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1"/>
  <workbookPr codeName="ThisWorkbook"/>
  <mc:AlternateContent xmlns:mc="http://schemas.openxmlformats.org/markup-compatibility/2006">
    <mc:Choice Requires="x15">
      <x15ac:absPath xmlns:x15ac="http://schemas.microsoft.com/office/spreadsheetml/2010/11/ac" url="https://correouisedu-my.sharepoint.com/personal/jhon2175571_correo_uis_edu_co/Documents/Educación/UIS/Semestres/2022-2/TG/Propuesta/TG2/0_ARCHIVO/"/>
    </mc:Choice>
  </mc:AlternateContent>
  <xr:revisionPtr revIDLastSave="0" documentId="8_{E9C33461-207F-4E2F-AB53-E7F0AA3570BB}" xr6:coauthVersionLast="47" xr6:coauthVersionMax="47" xr10:uidLastSave="{00000000-0000-0000-0000-000000000000}"/>
  <bookViews>
    <workbookView xWindow="-24945" yWindow="5025" windowWidth="21600" windowHeight="11295" xr2:uid="{4519EBB3-B4F8-4A4F-BAB1-433CB017AE31}"/>
  </bookViews>
  <sheets>
    <sheet name="CONTENIDO" sheetId="32" r:id="rId1"/>
    <sheet name="1.1 FORM" sheetId="7" r:id="rId2"/>
    <sheet name="1.2 CR_CONSISTENCIA" sheetId="6" r:id="rId3"/>
    <sheet name="1.2.1 PROC_CR" sheetId="14" r:id="rId4"/>
    <sheet name="1.3 SBCR_CONSISTENCIA" sheetId="8" r:id="rId5"/>
    <sheet name="1.3.1 PROC_SBCR" sheetId="15" r:id="rId6"/>
    <sheet name="1.4 VÁLIDOS" sheetId="12" state="hidden" r:id="rId7"/>
    <sheet name="1.4 RESULTADOS" sheetId="17" r:id="rId8"/>
    <sheet name="2. CARACTERIZACIÓN" sheetId="13" r:id="rId9"/>
    <sheet name="3.1 SELECCIÓN AHP" sheetId="24" r:id="rId10"/>
    <sheet name="3.2 SELECCIÓN CON PREFERENCIAS" sheetId="31" r:id="rId11"/>
    <sheet name="Sandra" sheetId="33" state="hidden" r:id="rId12"/>
    <sheet name="Tablas para artículo" sheetId="18" state="hidden" r:id="rId13"/>
  </sheets>
  <definedNames>
    <definedName name="solver_eng" localSheetId="10" hidden="1">1</definedName>
    <definedName name="solver_neg" localSheetId="10" hidden="1">1</definedName>
    <definedName name="solver_num" localSheetId="10" hidden="1">0</definedName>
    <definedName name="solver_opt" localSheetId="10" hidden="1">'3.2 SELECCIÓN CON PREFERENCIAS'!$V$3</definedName>
    <definedName name="solver_typ" localSheetId="10" hidden="1">1</definedName>
    <definedName name="solver_val" localSheetId="10" hidden="1">0</definedName>
    <definedName name="solver_ver" localSheetId="10" hidden="1">3</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0" i="33" l="1"/>
  <c r="AJ18" i="33"/>
  <c r="AI18" i="33"/>
  <c r="AJ5" i="33"/>
  <c r="AJ6" i="33"/>
  <c r="AG21" i="33"/>
  <c r="AG19" i="33"/>
  <c r="AG18" i="33"/>
  <c r="AE7" i="33"/>
  <c r="AF19" i="33"/>
  <c r="AF18" i="33"/>
  <c r="AF5" i="33"/>
  <c r="AF6" i="33"/>
  <c r="AA7" i="33"/>
  <c r="AC21" i="33"/>
  <c r="AC20" i="33"/>
  <c r="AC19" i="33"/>
  <c r="AC18" i="33"/>
  <c r="AB6" i="33"/>
  <c r="AA21" i="33"/>
  <c r="AA20" i="33"/>
  <c r="AA19" i="33"/>
  <c r="AA18" i="33"/>
  <c r="Q5" i="33"/>
  <c r="AK5" i="33" s="1"/>
  <c r="Q6" i="33"/>
  <c r="AI6" i="33" s="1"/>
  <c r="Q7" i="33"/>
  <c r="AK7" i="33" s="1"/>
  <c r="Q18" i="33"/>
  <c r="Q19" i="33"/>
  <c r="AJ19" i="33" s="1"/>
  <c r="Q20" i="33"/>
  <c r="AJ20" i="33" s="1"/>
  <c r="Q21" i="33"/>
  <c r="AK21" i="33" s="1"/>
  <c r="Q4" i="33"/>
  <c r="AK4" i="33" s="1"/>
  <c r="P5" i="33"/>
  <c r="P6" i="33"/>
  <c r="P7" i="33"/>
  <c r="P18" i="33"/>
  <c r="AE18" i="33" s="1"/>
  <c r="P19" i="33"/>
  <c r="AE19" i="33" s="1"/>
  <c r="P20" i="33"/>
  <c r="AE20" i="33" s="1"/>
  <c r="P21" i="33"/>
  <c r="AE21" i="33" s="1"/>
  <c r="P4" i="33"/>
  <c r="AG4" i="33" s="1"/>
  <c r="O5" i="33"/>
  <c r="AA5" i="33" s="1"/>
  <c r="O6" i="33"/>
  <c r="AC6" i="33" s="1"/>
  <c r="O7" i="33"/>
  <c r="AC7" i="33" s="1"/>
  <c r="O18" i="33"/>
  <c r="O19" i="33"/>
  <c r="O20" i="33"/>
  <c r="O21" i="33"/>
  <c r="O4" i="33"/>
  <c r="AA4" i="33" s="1"/>
  <c r="Y5" i="33"/>
  <c r="AG5" i="33" s="1"/>
  <c r="Y6" i="33"/>
  <c r="AG6" i="33" s="1"/>
  <c r="Y7" i="33"/>
  <c r="AG7" i="33" s="1"/>
  <c r="Y12" i="33"/>
  <c r="Y18" i="33"/>
  <c r="AK18" i="33" s="1"/>
  <c r="Y19" i="33"/>
  <c r="Y20" i="33"/>
  <c r="Y21" i="33"/>
  <c r="X5" i="33"/>
  <c r="X6" i="33"/>
  <c r="X7" i="33"/>
  <c r="AB7" i="33" s="1"/>
  <c r="X12" i="33"/>
  <c r="X18" i="33"/>
  <c r="AB18" i="33" s="1"/>
  <c r="X19" i="33"/>
  <c r="AB19" i="33" s="1"/>
  <c r="X20" i="33"/>
  <c r="AB20" i="33" s="1"/>
  <c r="X21" i="33"/>
  <c r="AB21" i="33" s="1"/>
  <c r="W5" i="33"/>
  <c r="AI5" i="33" s="1"/>
  <c r="W6" i="33"/>
  <c r="AE6" i="33" s="1"/>
  <c r="W7" i="33"/>
  <c r="W12" i="33"/>
  <c r="W18" i="33"/>
  <c r="W19" i="33"/>
  <c r="W20" i="33"/>
  <c r="W21" i="33"/>
  <c r="X4" i="33"/>
  <c r="AB4" i="33" s="1"/>
  <c r="Y4" i="33"/>
  <c r="AC4" i="33" s="1"/>
  <c r="W4" i="33"/>
  <c r="M12" i="33"/>
  <c r="Q12" i="33" s="1"/>
  <c r="K12" i="33"/>
  <c r="P12" i="33" s="1"/>
  <c r="I12" i="33"/>
  <c r="O12" i="33" s="1"/>
  <c r="M7" i="33"/>
  <c r="K7" i="33"/>
  <c r="I7" i="33"/>
  <c r="M108" i="31"/>
  <c r="M107" i="31"/>
  <c r="M106" i="31"/>
  <c r="M82" i="31"/>
  <c r="M81" i="31"/>
  <c r="M80" i="31"/>
  <c r="M57" i="31"/>
  <c r="M56" i="31"/>
  <c r="M55" i="31"/>
  <c r="N35" i="13"/>
  <c r="L35" i="13"/>
  <c r="J35" i="13"/>
  <c r="N30" i="13"/>
  <c r="L30" i="13"/>
  <c r="J30" i="13"/>
  <c r="T117" i="31"/>
  <c r="M117" i="31"/>
  <c r="F117" i="31"/>
  <c r="T116" i="31"/>
  <c r="M116" i="31"/>
  <c r="F116" i="31"/>
  <c r="T115" i="31"/>
  <c r="M115" i="31"/>
  <c r="F115" i="31"/>
  <c r="T114" i="31"/>
  <c r="M114" i="31"/>
  <c r="F114" i="31"/>
  <c r="T108" i="31"/>
  <c r="F108" i="31"/>
  <c r="T107" i="31"/>
  <c r="F107" i="31"/>
  <c r="T106" i="31"/>
  <c r="F106" i="31"/>
  <c r="T100" i="31"/>
  <c r="M100" i="31"/>
  <c r="F100" i="31"/>
  <c r="T99" i="31"/>
  <c r="M99" i="31"/>
  <c r="F99" i="31"/>
  <c r="T91" i="31"/>
  <c r="M91" i="31"/>
  <c r="F91" i="31"/>
  <c r="T90" i="31"/>
  <c r="M90" i="31"/>
  <c r="F90" i="31"/>
  <c r="T89" i="31"/>
  <c r="M89" i="31"/>
  <c r="F89" i="31"/>
  <c r="T88" i="31"/>
  <c r="M88" i="31"/>
  <c r="F88" i="31"/>
  <c r="T82" i="31"/>
  <c r="F82" i="31"/>
  <c r="T81" i="31"/>
  <c r="F81" i="31"/>
  <c r="T80" i="31"/>
  <c r="F80" i="31"/>
  <c r="T74" i="31"/>
  <c r="M74" i="31"/>
  <c r="F74" i="31"/>
  <c r="T73" i="31"/>
  <c r="T75" i="31" s="1"/>
  <c r="V72" i="31" s="1"/>
  <c r="M73" i="31"/>
  <c r="F73" i="31"/>
  <c r="T66" i="31"/>
  <c r="T65" i="31"/>
  <c r="T64" i="31"/>
  <c r="T63" i="31"/>
  <c r="M66" i="31"/>
  <c r="M65" i="31"/>
  <c r="M64" i="31"/>
  <c r="M63" i="31"/>
  <c r="F66" i="31"/>
  <c r="F65" i="31"/>
  <c r="F64" i="31"/>
  <c r="F63" i="31"/>
  <c r="T57" i="31"/>
  <c r="T56" i="31"/>
  <c r="T55" i="31"/>
  <c r="F57" i="31"/>
  <c r="F56" i="31"/>
  <c r="F55" i="31"/>
  <c r="T49" i="31"/>
  <c r="T48" i="31"/>
  <c r="M49" i="31"/>
  <c r="M48" i="31"/>
  <c r="F49" i="31"/>
  <c r="F48" i="31"/>
  <c r="K32" i="31"/>
  <c r="K31" i="31"/>
  <c r="K30" i="31"/>
  <c r="I187" i="31"/>
  <c r="E187" i="31"/>
  <c r="S171" i="31"/>
  <c r="Q163" i="31" a="1"/>
  <c r="Q163" i="31" s="1"/>
  <c r="M163" i="31" a="1"/>
  <c r="M163" i="31" s="1"/>
  <c r="D144" i="31"/>
  <c r="F144" i="31" s="1"/>
  <c r="D145" i="31"/>
  <c r="D146" i="31"/>
  <c r="D147" i="31"/>
  <c r="F147" i="31" s="1"/>
  <c r="D148" i="31"/>
  <c r="F148" i="31" s="1"/>
  <c r="D149" i="31"/>
  <c r="F149" i="31" s="1"/>
  <c r="D150" i="31"/>
  <c r="F150" i="31" s="1"/>
  <c r="D151" i="31"/>
  <c r="F151" i="31" s="1"/>
  <c r="D152" i="31"/>
  <c r="F152" i="31" s="1"/>
  <c r="D153" i="31"/>
  <c r="F153" i="31" s="1"/>
  <c r="D154" i="31"/>
  <c r="F154" i="31" s="1"/>
  <c r="D143" i="31"/>
  <c r="D126" i="31"/>
  <c r="F126" i="31" s="1"/>
  <c r="D127" i="31"/>
  <c r="F127" i="31" s="1"/>
  <c r="D128" i="31"/>
  <c r="F128" i="31" s="1"/>
  <c r="D129" i="31"/>
  <c r="F129" i="31" s="1"/>
  <c r="D130" i="31"/>
  <c r="F130" i="31" s="1"/>
  <c r="D131" i="31"/>
  <c r="F131" i="31" s="1"/>
  <c r="D132" i="31"/>
  <c r="F132" i="31" s="1"/>
  <c r="D133" i="31"/>
  <c r="F133" i="31" s="1"/>
  <c r="D134" i="31"/>
  <c r="F134" i="31" s="1"/>
  <c r="D135" i="31"/>
  <c r="F135" i="31" s="1"/>
  <c r="D136" i="31"/>
  <c r="F136" i="31" s="1"/>
  <c r="D125" i="31"/>
  <c r="F125" i="31" s="1"/>
  <c r="D30" i="31"/>
  <c r="F30" i="31" s="1"/>
  <c r="D31" i="31"/>
  <c r="F31" i="31" s="1"/>
  <c r="D32" i="31"/>
  <c r="D33" i="31"/>
  <c r="D34" i="31"/>
  <c r="D35" i="31"/>
  <c r="F35" i="31" s="1"/>
  <c r="D36" i="31"/>
  <c r="F36" i="31" s="1"/>
  <c r="D37" i="31"/>
  <c r="F37" i="31" s="1"/>
  <c r="D38" i="31"/>
  <c r="F38" i="31" s="1"/>
  <c r="D39" i="31"/>
  <c r="F39" i="31" s="1"/>
  <c r="D40" i="31"/>
  <c r="F40" i="31" s="1"/>
  <c r="D29" i="31"/>
  <c r="F29" i="31" s="1"/>
  <c r="Z142" i="31"/>
  <c r="AB142" i="31" s="1"/>
  <c r="Z143" i="31"/>
  <c r="AB143" i="31" s="1"/>
  <c r="Z144" i="31"/>
  <c r="AB144" i="31" s="1"/>
  <c r="Z145" i="31"/>
  <c r="AB145" i="31" s="1"/>
  <c r="Z146" i="31"/>
  <c r="AB146" i="31" s="1"/>
  <c r="Z147" i="31"/>
  <c r="AB147" i="31" s="1"/>
  <c r="Z148" i="31"/>
  <c r="AB148" i="31" s="1"/>
  <c r="Z149" i="31"/>
  <c r="AB149" i="31" s="1"/>
  <c r="Z150" i="31"/>
  <c r="AB150" i="31" s="1"/>
  <c r="Z151" i="31"/>
  <c r="AB151" i="31" s="1"/>
  <c r="Z152" i="31"/>
  <c r="AB152" i="31" s="1"/>
  <c r="P154" i="31"/>
  <c r="P153" i="31"/>
  <c r="P152" i="31"/>
  <c r="P151" i="31"/>
  <c r="P150" i="31"/>
  <c r="P149" i="31"/>
  <c r="P148" i="31"/>
  <c r="P147" i="31"/>
  <c r="P146" i="31"/>
  <c r="P145" i="31"/>
  <c r="P144" i="31"/>
  <c r="P143" i="31"/>
  <c r="P136" i="31"/>
  <c r="P135" i="31"/>
  <c r="P134" i="31"/>
  <c r="P133" i="31"/>
  <c r="P132" i="31"/>
  <c r="P131" i="31"/>
  <c r="P130" i="31"/>
  <c r="P129" i="31"/>
  <c r="P128" i="31"/>
  <c r="P127" i="31"/>
  <c r="P126" i="31"/>
  <c r="P125" i="31"/>
  <c r="P40" i="31"/>
  <c r="P39" i="31"/>
  <c r="P38" i="31"/>
  <c r="P37" i="31"/>
  <c r="P36" i="31"/>
  <c r="P35" i="31"/>
  <c r="P34" i="31"/>
  <c r="P33" i="31"/>
  <c r="P32" i="31"/>
  <c r="P31" i="31"/>
  <c r="P30" i="31"/>
  <c r="P29" i="31"/>
  <c r="Z141" i="31"/>
  <c r="AB141" i="31" s="1"/>
  <c r="Z124" i="31"/>
  <c r="AB124" i="31" s="1"/>
  <c r="Z125" i="31"/>
  <c r="AB125" i="31" s="1"/>
  <c r="Z126" i="31"/>
  <c r="Z127" i="31"/>
  <c r="AB127" i="31" s="1"/>
  <c r="Z128" i="31"/>
  <c r="AB128" i="31" s="1"/>
  <c r="Z129" i="31"/>
  <c r="AB129" i="31" s="1"/>
  <c r="Z130" i="31"/>
  <c r="AB130" i="31" s="1"/>
  <c r="Z131" i="31"/>
  <c r="AB131" i="31" s="1"/>
  <c r="Z132" i="31"/>
  <c r="AB132" i="31" s="1"/>
  <c r="Z133" i="31"/>
  <c r="AB133" i="31" s="1"/>
  <c r="Z134" i="31"/>
  <c r="AB134" i="31" s="1"/>
  <c r="Z123" i="31"/>
  <c r="AB123" i="31" s="1"/>
  <c r="Z28" i="31"/>
  <c r="Z29" i="31"/>
  <c r="AB29" i="31" s="1"/>
  <c r="Z30" i="31"/>
  <c r="Z31" i="31"/>
  <c r="Z32" i="31"/>
  <c r="Z33" i="31"/>
  <c r="Z34" i="31"/>
  <c r="AB34" i="31" s="1"/>
  <c r="Z35" i="31"/>
  <c r="AB35" i="31" s="1"/>
  <c r="Z36" i="31"/>
  <c r="AB36" i="31" s="1"/>
  <c r="Z37" i="31"/>
  <c r="AB37" i="31" s="1"/>
  <c r="Z38" i="31"/>
  <c r="AB38" i="31" s="1"/>
  <c r="Z27" i="31"/>
  <c r="AB27" i="31" s="1"/>
  <c r="AB126" i="31"/>
  <c r="AB28" i="31"/>
  <c r="AB30" i="31"/>
  <c r="AB31" i="31"/>
  <c r="AB32" i="31"/>
  <c r="AB33" i="31"/>
  <c r="F146" i="31"/>
  <c r="F145" i="31"/>
  <c r="F32" i="31"/>
  <c r="F33" i="31"/>
  <c r="F34" i="31"/>
  <c r="G11" i="31"/>
  <c r="G5" i="31"/>
  <c r="M11" i="31"/>
  <c r="M7" i="31"/>
  <c r="M5" i="31"/>
  <c r="G7" i="31"/>
  <c r="J7" i="31"/>
  <c r="J5" i="31"/>
  <c r="J11" i="31"/>
  <c r="L16" i="31"/>
  <c r="I16" i="31"/>
  <c r="F16" i="31"/>
  <c r="AK12" i="33" l="1"/>
  <c r="AJ12" i="33"/>
  <c r="AI12" i="33"/>
  <c r="AG12" i="33"/>
  <c r="AG29" i="33" s="1"/>
  <c r="AF12" i="33"/>
  <c r="AF25" i="33" s="1"/>
  <c r="AE12" i="33"/>
  <c r="AE25" i="33" s="1"/>
  <c r="AC12" i="33"/>
  <c r="AB12" i="33"/>
  <c r="AA12" i="33"/>
  <c r="AE4" i="33"/>
  <c r="AF20" i="33"/>
  <c r="AG20" i="33"/>
  <c r="AK6" i="33"/>
  <c r="AK29" i="33" s="1"/>
  <c r="AK19" i="33"/>
  <c r="AB5" i="33"/>
  <c r="AB29" i="33" s="1"/>
  <c r="AE5" i="33"/>
  <c r="AF21" i="33"/>
  <c r="AI7" i="33"/>
  <c r="AJ7" i="33"/>
  <c r="AJ25" i="33" s="1"/>
  <c r="AF7" i="33"/>
  <c r="AI21" i="33"/>
  <c r="AI4" i="33"/>
  <c r="AI20" i="33"/>
  <c r="AJ4" i="33"/>
  <c r="AI19" i="33"/>
  <c r="AA6" i="33"/>
  <c r="AA29" i="33" s="1"/>
  <c r="AF4" i="33"/>
  <c r="AJ21" i="33"/>
  <c r="AC5" i="33"/>
  <c r="AC29" i="33" s="1"/>
  <c r="M58" i="31"/>
  <c r="O54" i="31" s="1"/>
  <c r="AK23" i="33"/>
  <c r="AA23" i="33"/>
  <c r="AB27" i="33"/>
  <c r="AC27" i="33"/>
  <c r="AA25" i="33"/>
  <c r="AB23" i="33"/>
  <c r="AE23" i="33"/>
  <c r="AI23" i="33"/>
  <c r="AK25" i="33"/>
  <c r="AE27" i="33"/>
  <c r="M83" i="31"/>
  <c r="O79" i="31" s="1"/>
  <c r="M67" i="31"/>
  <c r="O62" i="31" s="1"/>
  <c r="T50" i="31"/>
  <c r="V47" i="31" s="1"/>
  <c r="T58" i="31"/>
  <c r="V54" i="31" s="1"/>
  <c r="T67" i="31"/>
  <c r="V62" i="31" s="1"/>
  <c r="M109" i="31"/>
  <c r="O105" i="31" s="1"/>
  <c r="M50" i="31"/>
  <c r="O47" i="31" s="1"/>
  <c r="M92" i="31"/>
  <c r="O87" i="31" s="1"/>
  <c r="P173" i="31"/>
  <c r="P169" i="31"/>
  <c r="P166" i="31"/>
  <c r="P174" i="31"/>
  <c r="P168" i="31"/>
  <c r="P165" i="31"/>
  <c r="P172" i="31"/>
  <c r="P167" i="31"/>
  <c r="P175" i="31"/>
  <c r="P176" i="31"/>
  <c r="P170" i="31"/>
  <c r="P171" i="31"/>
  <c r="F42" i="31"/>
  <c r="I27" i="31" s="1"/>
  <c r="K27" i="31" s="1"/>
  <c r="P138" i="31"/>
  <c r="S123" i="31" s="1"/>
  <c r="U123" i="31" s="1"/>
  <c r="P42" i="31"/>
  <c r="S27" i="31" s="1"/>
  <c r="U27" i="31" s="1"/>
  <c r="F138" i="31"/>
  <c r="I123" i="31" s="1"/>
  <c r="K123" i="31" s="1"/>
  <c r="F101" i="31"/>
  <c r="H97" i="31" s="1"/>
  <c r="F109" i="31"/>
  <c r="H105" i="31" s="1"/>
  <c r="P156" i="31"/>
  <c r="S141" i="31" s="1"/>
  <c r="U141" i="31" s="1"/>
  <c r="F75" i="31"/>
  <c r="H71" i="31" s="1"/>
  <c r="F83" i="31"/>
  <c r="H79" i="31" s="1"/>
  <c r="M101" i="31"/>
  <c r="O97" i="31" s="1"/>
  <c r="F118" i="31"/>
  <c r="H113" i="31" s="1"/>
  <c r="M75" i="31"/>
  <c r="O71" i="31" s="1"/>
  <c r="F92" i="31"/>
  <c r="H87" i="31" s="1"/>
  <c r="T101" i="31"/>
  <c r="V98" i="31" s="1"/>
  <c r="M118" i="31"/>
  <c r="O113" i="31" s="1"/>
  <c r="F58" i="31"/>
  <c r="H54" i="31" s="1"/>
  <c r="F50" i="31"/>
  <c r="H47" i="31" s="1"/>
  <c r="F67" i="31"/>
  <c r="H62" i="31" s="1"/>
  <c r="T109" i="31"/>
  <c r="V105" i="31" s="1"/>
  <c r="T118" i="31"/>
  <c r="V113" i="31" s="1"/>
  <c r="T92" i="31"/>
  <c r="V87" i="31" s="1"/>
  <c r="T83" i="31"/>
  <c r="V79" i="31" s="1"/>
  <c r="D190" i="31"/>
  <c r="D191" i="31"/>
  <c r="D192" i="31"/>
  <c r="D193" i="31"/>
  <c r="D194" i="31"/>
  <c r="D195" i="31"/>
  <c r="D196" i="31"/>
  <c r="D197" i="31"/>
  <c r="D198" i="31"/>
  <c r="D199" i="31"/>
  <c r="D200" i="31"/>
  <c r="D189" i="31"/>
  <c r="H190" i="31"/>
  <c r="H191" i="31"/>
  <c r="H192" i="31"/>
  <c r="H193" i="31"/>
  <c r="H194" i="31"/>
  <c r="H195" i="31"/>
  <c r="H196" i="31"/>
  <c r="H197" i="31"/>
  <c r="H198" i="31"/>
  <c r="H199" i="31"/>
  <c r="H200" i="31"/>
  <c r="H189" i="31"/>
  <c r="L166" i="31"/>
  <c r="L167" i="31"/>
  <c r="L168" i="31"/>
  <c r="L169" i="31"/>
  <c r="L170" i="31"/>
  <c r="L171" i="31"/>
  <c r="L172" i="31"/>
  <c r="L173" i="31"/>
  <c r="L174" i="31"/>
  <c r="L175" i="31"/>
  <c r="L176" i="31"/>
  <c r="L165" i="31"/>
  <c r="E163" i="31"/>
  <c r="F143" i="31"/>
  <c r="F156" i="31" s="1"/>
  <c r="I141" i="31" s="1"/>
  <c r="K141" i="31" s="1"/>
  <c r="AB40" i="31"/>
  <c r="AE25" i="31" s="1"/>
  <c r="AG25" i="31" s="1"/>
  <c r="AB136" i="31"/>
  <c r="AE121" i="31" s="1"/>
  <c r="AG121" i="31" s="1"/>
  <c r="AB154" i="31"/>
  <c r="AE139" i="31" s="1"/>
  <c r="Q6" i="31"/>
  <c r="Q8" i="31"/>
  <c r="Q12" i="31"/>
  <c r="Q13" i="31"/>
  <c r="Q14" i="31"/>
  <c r="Q15" i="31"/>
  <c r="Q5" i="31"/>
  <c r="P6" i="31"/>
  <c r="P8" i="31"/>
  <c r="P12" i="31"/>
  <c r="P13" i="31"/>
  <c r="P14" i="31"/>
  <c r="P15" i="31"/>
  <c r="P5" i="31"/>
  <c r="O6" i="31"/>
  <c r="O8" i="31"/>
  <c r="O12" i="31"/>
  <c r="O13" i="31"/>
  <c r="O14" i="31"/>
  <c r="O15" i="31"/>
  <c r="O5" i="31"/>
  <c r="K37" i="24"/>
  <c r="K36" i="24"/>
  <c r="J36" i="24"/>
  <c r="J20" i="24"/>
  <c r="J5" i="13"/>
  <c r="O9" i="31" s="1"/>
  <c r="AF29" i="33" l="1"/>
  <c r="AF23" i="33"/>
  <c r="AJ29" i="33"/>
  <c r="AJ23" i="33"/>
  <c r="AI29" i="33"/>
  <c r="AE29" i="33"/>
  <c r="AC25" i="33"/>
  <c r="AB25" i="33"/>
  <c r="AA27" i="33"/>
  <c r="AF27" i="33"/>
  <c r="AI25" i="33"/>
  <c r="AK27" i="33"/>
  <c r="AG27" i="33"/>
  <c r="AJ27" i="33"/>
  <c r="AC23" i="33"/>
  <c r="AG23" i="33"/>
  <c r="AI27" i="33"/>
  <c r="AG25" i="33"/>
  <c r="P178" i="31"/>
  <c r="P179" i="31" s="1"/>
  <c r="D208" i="31" s="1"/>
  <c r="L178" i="31"/>
  <c r="L179" i="31" s="1"/>
  <c r="D207" i="31" s="1"/>
  <c r="H202" i="31"/>
  <c r="H203" i="31" s="1"/>
  <c r="H208" i="31" s="1"/>
  <c r="P11" i="31"/>
  <c r="P4" i="31"/>
  <c r="O4" i="31"/>
  <c r="O11" i="31"/>
  <c r="Q11" i="31"/>
  <c r="Q4" i="31"/>
  <c r="D166" i="31"/>
  <c r="D167" i="31"/>
  <c r="D168" i="31"/>
  <c r="D169" i="31"/>
  <c r="D170" i="31"/>
  <c r="D171" i="31"/>
  <c r="D172" i="31"/>
  <c r="D173" i="31"/>
  <c r="D174" i="31"/>
  <c r="D175" i="31"/>
  <c r="D176" i="31"/>
  <c r="D165" i="31"/>
  <c r="G26" i="15"/>
  <c r="F25" i="15"/>
  <c r="E24" i="15"/>
  <c r="D23" i="15"/>
  <c r="E16" i="15"/>
  <c r="F17" i="15"/>
  <c r="D15" i="15"/>
  <c r="E8" i="15"/>
  <c r="D7" i="15"/>
  <c r="E115" i="6"/>
  <c r="F116" i="6"/>
  <c r="D114" i="6"/>
  <c r="V117" i="6"/>
  <c r="F276" i="8"/>
  <c r="F284" i="8"/>
  <c r="G285" i="8"/>
  <c r="D6" i="14"/>
  <c r="E7" i="14"/>
  <c r="C5" i="14"/>
  <c r="D35" i="14"/>
  <c r="E36" i="14"/>
  <c r="C34" i="14"/>
  <c r="U35" i="14"/>
  <c r="D24" i="14"/>
  <c r="E25" i="14"/>
  <c r="C23" i="14"/>
  <c r="U24" i="14"/>
  <c r="L5" i="13"/>
  <c r="P9" i="31" s="1"/>
  <c r="J78" i="24"/>
  <c r="N5" i="13"/>
  <c r="Q9" i="31" s="1"/>
  <c r="L10" i="13"/>
  <c r="P10" i="31" s="1"/>
  <c r="N10" i="13"/>
  <c r="Q10" i="31" s="1"/>
  <c r="J10" i="13"/>
  <c r="O10" i="31" s="1"/>
  <c r="O7" i="31" s="1"/>
  <c r="V106" i="6"/>
  <c r="Z248" i="8"/>
  <c r="Z256" i="8"/>
  <c r="H207" i="31" l="1"/>
  <c r="D178" i="31"/>
  <c r="D179" i="31" s="1"/>
  <c r="D183" i="31" s="1"/>
  <c r="Q7" i="31"/>
  <c r="Q16" i="31" s="1"/>
  <c r="P7" i="31"/>
  <c r="P16" i="31" s="1"/>
  <c r="I163" i="31"/>
  <c r="H173" i="31" s="1"/>
  <c r="O16" i="31"/>
  <c r="D184" i="31" l="1"/>
  <c r="H170" i="31"/>
  <c r="H169" i="31"/>
  <c r="H168" i="31"/>
  <c r="H167" i="31"/>
  <c r="H166" i="31"/>
  <c r="H171" i="31"/>
  <c r="H165" i="31"/>
  <c r="H175" i="31"/>
  <c r="H176" i="31"/>
  <c r="H172" i="31"/>
  <c r="H174" i="31"/>
  <c r="H178" i="31" l="1"/>
  <c r="H179" i="31" s="1"/>
  <c r="D182" i="31" s="1"/>
  <c r="H206" i="31" l="1"/>
  <c r="AQ11" i="13" l="1"/>
  <c r="AR11" i="13"/>
  <c r="AP11" i="13"/>
  <c r="D32" i="24"/>
  <c r="D31" i="24"/>
  <c r="D30" i="24"/>
  <c r="D29" i="24"/>
  <c r="D28" i="24"/>
  <c r="K65" i="24"/>
  <c r="J66" i="24" s="1"/>
  <c r="K79" i="24"/>
  <c r="J80" i="24" s="1"/>
  <c r="K78" i="24"/>
  <c r="I79" i="24"/>
  <c r="K72" i="24"/>
  <c r="J73" i="24" s="1"/>
  <c r="K71" i="24"/>
  <c r="I73" i="24" s="1"/>
  <c r="J71" i="24"/>
  <c r="I72" i="24" s="1"/>
  <c r="K64" i="24"/>
  <c r="J64" i="24"/>
  <c r="I65" i="24" s="1"/>
  <c r="K58" i="24"/>
  <c r="J59" i="24" s="1"/>
  <c r="K57" i="24"/>
  <c r="J57" i="24"/>
  <c r="K29" i="24"/>
  <c r="J30" i="24" s="1"/>
  <c r="K28" i="24"/>
  <c r="I30" i="24" s="1"/>
  <c r="J28" i="24"/>
  <c r="I29" i="24" s="1"/>
  <c r="I21" i="24"/>
  <c r="K21" i="24"/>
  <c r="J22" i="24" s="1"/>
  <c r="K20" i="24"/>
  <c r="K39" i="24"/>
  <c r="N36" i="24" s="1"/>
  <c r="J38" i="24"/>
  <c r="J39" i="24" s="1"/>
  <c r="M37" i="24" s="1"/>
  <c r="I38" i="24"/>
  <c r="I37" i="24"/>
  <c r="K67" i="24" l="1"/>
  <c r="N65" i="24" s="1"/>
  <c r="K60" i="24"/>
  <c r="N59" i="24" s="1"/>
  <c r="I39" i="24"/>
  <c r="L36" i="24" s="1"/>
  <c r="K23" i="24"/>
  <c r="N22" i="24" s="1"/>
  <c r="K81" i="24"/>
  <c r="N80" i="24" s="1"/>
  <c r="M36" i="24"/>
  <c r="I66" i="24"/>
  <c r="I67" i="24" s="1"/>
  <c r="M38" i="24"/>
  <c r="J67" i="24"/>
  <c r="M65" i="24" s="1"/>
  <c r="L38" i="24"/>
  <c r="N37" i="24"/>
  <c r="N38" i="24"/>
  <c r="K31" i="24"/>
  <c r="N29" i="24" s="1"/>
  <c r="I58" i="24"/>
  <c r="I59" i="24"/>
  <c r="J60" i="24"/>
  <c r="M58" i="24" s="1"/>
  <c r="I80" i="24"/>
  <c r="I81" i="24" s="1"/>
  <c r="K74" i="24"/>
  <c r="I74" i="24"/>
  <c r="L71" i="24" s="1"/>
  <c r="J81" i="24"/>
  <c r="J74" i="24"/>
  <c r="M73" i="24" s="1"/>
  <c r="I31" i="24"/>
  <c r="L28" i="24" s="1"/>
  <c r="J23" i="24"/>
  <c r="M20" i="24" s="1"/>
  <c r="I22" i="24"/>
  <c r="I23" i="24" s="1"/>
  <c r="L20" i="24" s="1"/>
  <c r="J31" i="24"/>
  <c r="M30" i="24" s="1"/>
  <c r="N64" i="24" l="1"/>
  <c r="N66" i="24"/>
  <c r="N79" i="24"/>
  <c r="M59" i="24"/>
  <c r="N58" i="24"/>
  <c r="L37" i="24"/>
  <c r="O37" i="24" s="1"/>
  <c r="I94" i="24" s="1"/>
  <c r="N21" i="24"/>
  <c r="N57" i="24"/>
  <c r="O36" i="24"/>
  <c r="I93" i="24" s="1"/>
  <c r="N20" i="24"/>
  <c r="O20" i="24" s="1"/>
  <c r="I85" i="24" s="1"/>
  <c r="M21" i="24"/>
  <c r="N78" i="24"/>
  <c r="M22" i="24"/>
  <c r="L64" i="24"/>
  <c r="L65" i="24"/>
  <c r="O65" i="24" s="1"/>
  <c r="J102" i="24" s="1"/>
  <c r="L66" i="24"/>
  <c r="L72" i="24"/>
  <c r="O38" i="24"/>
  <c r="I95" i="24" s="1"/>
  <c r="M66" i="24"/>
  <c r="M64" i="24"/>
  <c r="L78" i="24"/>
  <c r="L79" i="24"/>
  <c r="N71" i="24"/>
  <c r="N73" i="24"/>
  <c r="L30" i="24"/>
  <c r="M57" i="24"/>
  <c r="L29" i="24"/>
  <c r="N72" i="24"/>
  <c r="N30" i="24"/>
  <c r="N28" i="24"/>
  <c r="M78" i="24"/>
  <c r="M79" i="24"/>
  <c r="M28" i="24"/>
  <c r="M29" i="24"/>
  <c r="M72" i="24"/>
  <c r="M71" i="24"/>
  <c r="L80" i="24"/>
  <c r="I60" i="24"/>
  <c r="L57" i="24" s="1"/>
  <c r="M80" i="24"/>
  <c r="L73" i="24"/>
  <c r="L22" i="24"/>
  <c r="L21" i="24"/>
  <c r="O21" i="24" l="1"/>
  <c r="I86" i="24" s="1"/>
  <c r="O73" i="24"/>
  <c r="K103" i="24" s="1"/>
  <c r="O72" i="24"/>
  <c r="K102" i="24" s="1"/>
  <c r="L59" i="24"/>
  <c r="O59" i="24" s="1"/>
  <c r="I103" i="24" s="1"/>
  <c r="O22" i="24"/>
  <c r="I87" i="24" s="1"/>
  <c r="O39" i="24"/>
  <c r="L58" i="24"/>
  <c r="O58" i="24" s="1"/>
  <c r="I102" i="24" s="1"/>
  <c r="O66" i="24"/>
  <c r="J103" i="24" s="1"/>
  <c r="O30" i="24"/>
  <c r="J87" i="24" s="1"/>
  <c r="O64" i="24"/>
  <c r="J101" i="24" s="1"/>
  <c r="O71" i="24"/>
  <c r="K101" i="24" s="1"/>
  <c r="O78" i="24"/>
  <c r="L101" i="24" s="1"/>
  <c r="O28" i="24"/>
  <c r="J85" i="24" s="1"/>
  <c r="O79" i="24"/>
  <c r="L102" i="24" s="1"/>
  <c r="O57" i="24"/>
  <c r="O80" i="24"/>
  <c r="O29" i="24"/>
  <c r="J86" i="24" s="1"/>
  <c r="D20" i="24"/>
  <c r="D21" i="24"/>
  <c r="D23" i="24"/>
  <c r="D24" i="24"/>
  <c r="D25" i="24"/>
  <c r="D26" i="24"/>
  <c r="D19" i="24"/>
  <c r="O23" i="24" l="1"/>
  <c r="K44" i="24"/>
  <c r="J50" i="24"/>
  <c r="K50" i="24"/>
  <c r="O74" i="24"/>
  <c r="K51" i="24"/>
  <c r="K43" i="24"/>
  <c r="J43" i="24"/>
  <c r="O67" i="24"/>
  <c r="I101" i="24"/>
  <c r="O60" i="24"/>
  <c r="O81" i="24"/>
  <c r="L103" i="24"/>
  <c r="O31" i="24"/>
  <c r="G293" i="8"/>
  <c r="F292" i="8"/>
  <c r="H294" i="8"/>
  <c r="E291" i="8"/>
  <c r="E283" i="8"/>
  <c r="E275" i="8"/>
  <c r="C31" i="7"/>
  <c r="F103" i="6" s="1"/>
  <c r="D31" i="7"/>
  <c r="E103" i="6" s="1"/>
  <c r="E31" i="7"/>
  <c r="F104" i="6" s="1"/>
  <c r="F31" i="7"/>
  <c r="F247" i="8" s="1"/>
  <c r="H31" i="7"/>
  <c r="G255" i="8" s="1"/>
  <c r="I31" i="7"/>
  <c r="G256" i="8" s="1"/>
  <c r="M31" i="7"/>
  <c r="G264" i="8" s="1"/>
  <c r="N31" i="7"/>
  <c r="H264" i="8" s="1"/>
  <c r="O31" i="7"/>
  <c r="H265" i="8" s="1"/>
  <c r="E13" i="18"/>
  <c r="D14" i="18" s="1"/>
  <c r="H7" i="18"/>
  <c r="D7" i="18"/>
  <c r="U6" i="14"/>
  <c r="Y16" i="15"/>
  <c r="Y8" i="15"/>
  <c r="Z284" i="8"/>
  <c r="Z276" i="8"/>
  <c r="D104" i="6" l="1"/>
  <c r="D105" i="6"/>
  <c r="F106" i="6"/>
  <c r="K105" i="6" s="1"/>
  <c r="F266" i="8"/>
  <c r="L248" i="8"/>
  <c r="E248" i="8"/>
  <c r="L247" i="8"/>
  <c r="F265" i="8"/>
  <c r="G266" i="8"/>
  <c r="M256" i="8"/>
  <c r="F257" i="8"/>
  <c r="E105" i="6"/>
  <c r="E257" i="8"/>
  <c r="M257" i="8"/>
  <c r="M255" i="8"/>
  <c r="I52" i="24"/>
  <c r="K53" i="24"/>
  <c r="N52" i="24" s="1"/>
  <c r="I44" i="24"/>
  <c r="I45" i="24"/>
  <c r="K46" i="24"/>
  <c r="N45" i="24" s="1"/>
  <c r="I51" i="24"/>
  <c r="J52" i="24"/>
  <c r="J53" i="24" s="1"/>
  <c r="J45" i="24"/>
  <c r="J46" i="24" s="1"/>
  <c r="K247" i="8" l="1"/>
  <c r="M247" i="8" s="1"/>
  <c r="R246" i="8" s="1"/>
  <c r="K248" i="8"/>
  <c r="M248" i="8" s="1"/>
  <c r="S246" i="8" s="1"/>
  <c r="K104" i="6"/>
  <c r="K103" i="6"/>
  <c r="E106" i="6"/>
  <c r="D106" i="6"/>
  <c r="I104" i="6" s="1"/>
  <c r="N44" i="24"/>
  <c r="N50" i="24"/>
  <c r="N43" i="24"/>
  <c r="M44" i="24"/>
  <c r="M43" i="24"/>
  <c r="I53" i="24"/>
  <c r="L50" i="24" s="1"/>
  <c r="N51" i="24"/>
  <c r="M50" i="24"/>
  <c r="M51" i="24"/>
  <c r="M45" i="24"/>
  <c r="M52" i="24"/>
  <c r="I46" i="24"/>
  <c r="L45" i="24" s="1"/>
  <c r="I105" i="6" l="1"/>
  <c r="I103" i="6"/>
  <c r="S248" i="8"/>
  <c r="S249" i="8"/>
  <c r="J105" i="6"/>
  <c r="J104" i="6"/>
  <c r="L104" i="6" s="1"/>
  <c r="P101" i="6" s="1"/>
  <c r="J103" i="6"/>
  <c r="R249" i="8"/>
  <c r="R248" i="8"/>
  <c r="T248" i="8" s="1"/>
  <c r="U248" i="8" s="1"/>
  <c r="O45" i="24"/>
  <c r="J95" i="24" s="1"/>
  <c r="L51" i="24"/>
  <c r="O51" i="24" s="1"/>
  <c r="K94" i="24" s="1"/>
  <c r="L52" i="24"/>
  <c r="O52" i="24" s="1"/>
  <c r="K95" i="24" s="1"/>
  <c r="O50" i="24"/>
  <c r="L44" i="24"/>
  <c r="O44" i="24" s="1"/>
  <c r="J94" i="24" s="1"/>
  <c r="L43" i="24"/>
  <c r="O43" i="24" s="1"/>
  <c r="P104" i="6" l="1"/>
  <c r="P103" i="6"/>
  <c r="P105" i="6"/>
  <c r="T249" i="8"/>
  <c r="U249" i="8" s="1"/>
  <c r="Z247" i="8" s="1"/>
  <c r="Z249" i="8" s="1"/>
  <c r="Z251" i="8" s="1"/>
  <c r="L103" i="6"/>
  <c r="O101" i="6" s="1"/>
  <c r="L105" i="6"/>
  <c r="Q101" i="6" s="1"/>
  <c r="O53" i="24"/>
  <c r="K93" i="24"/>
  <c r="O46" i="24"/>
  <c r="J93" i="24"/>
  <c r="F72" i="6"/>
  <c r="F93" i="6"/>
  <c r="F92" i="6"/>
  <c r="O104" i="6" l="1"/>
  <c r="O103" i="6"/>
  <c r="O105" i="6"/>
  <c r="Q104" i="6"/>
  <c r="Q105" i="6"/>
  <c r="Q103" i="6"/>
  <c r="P34" i="12"/>
  <c r="P38" i="12"/>
  <c r="Q38" i="12"/>
  <c r="Q39" i="12"/>
  <c r="P43" i="12"/>
  <c r="Q43" i="12"/>
  <c r="R43" i="12"/>
  <c r="Q44" i="12"/>
  <c r="R44" i="12"/>
  <c r="R45" i="12"/>
  <c r="J57" i="12"/>
  <c r="K57" i="12"/>
  <c r="L57" i="12"/>
  <c r="Q56" i="12" s="1"/>
  <c r="J58" i="12"/>
  <c r="K58" i="12"/>
  <c r="Y58" i="12"/>
  <c r="J65" i="12"/>
  <c r="K65" i="12"/>
  <c r="L65" i="12"/>
  <c r="J66" i="12"/>
  <c r="M66" i="12" s="1"/>
  <c r="R64" i="12" s="1"/>
  <c r="K66" i="12"/>
  <c r="L66" i="12"/>
  <c r="Y66" i="12"/>
  <c r="J67" i="12"/>
  <c r="K67" i="12"/>
  <c r="L67" i="12"/>
  <c r="J73" i="12"/>
  <c r="K73" i="12"/>
  <c r="L73" i="12"/>
  <c r="M73" i="12"/>
  <c r="J74" i="12"/>
  <c r="K74" i="12"/>
  <c r="L74" i="12"/>
  <c r="M74" i="12"/>
  <c r="J75" i="12"/>
  <c r="K75" i="12"/>
  <c r="L75" i="12"/>
  <c r="M75" i="12"/>
  <c r="J76" i="12"/>
  <c r="K76" i="12"/>
  <c r="L76" i="12"/>
  <c r="M76" i="12"/>
  <c r="N238" i="8"/>
  <c r="M238" i="8"/>
  <c r="L238" i="8"/>
  <c r="K238" i="8"/>
  <c r="N237" i="8"/>
  <c r="M237" i="8"/>
  <c r="L237" i="8"/>
  <c r="K237" i="8"/>
  <c r="O237" i="8" s="1"/>
  <c r="T234" i="8" s="1"/>
  <c r="N236" i="8"/>
  <c r="M236" i="8"/>
  <c r="L236" i="8"/>
  <c r="K236" i="8"/>
  <c r="N235" i="8"/>
  <c r="M235" i="8"/>
  <c r="L235" i="8"/>
  <c r="K235" i="8"/>
  <c r="M229" i="8"/>
  <c r="L229" i="8"/>
  <c r="K229" i="8"/>
  <c r="Z228" i="8"/>
  <c r="M228" i="8"/>
  <c r="L228" i="8"/>
  <c r="K228" i="8"/>
  <c r="M227" i="8"/>
  <c r="L227" i="8"/>
  <c r="K227" i="8"/>
  <c r="Z220" i="8"/>
  <c r="L220" i="8"/>
  <c r="K220" i="8"/>
  <c r="L219" i="8"/>
  <c r="K219" i="8"/>
  <c r="E92" i="6"/>
  <c r="V95" i="6"/>
  <c r="K11" i="8"/>
  <c r="Z116" i="8"/>
  <c r="Z108" i="8"/>
  <c r="Z88" i="8"/>
  <c r="Z80" i="8"/>
  <c r="Z144" i="8"/>
  <c r="Z136" i="8"/>
  <c r="Z172" i="8"/>
  <c r="Z164" i="8"/>
  <c r="Z60" i="8"/>
  <c r="Z52" i="8"/>
  <c r="Z200" i="8"/>
  <c r="Z192" i="8"/>
  <c r="M65" i="12" l="1"/>
  <c r="Q64" i="12" s="1"/>
  <c r="N76" i="12"/>
  <c r="T72" i="12" s="1"/>
  <c r="T74" i="12" s="1"/>
  <c r="L58" i="12"/>
  <c r="R56" i="12" s="1"/>
  <c r="M67" i="12"/>
  <c r="S64" i="12" s="1"/>
  <c r="N73" i="12"/>
  <c r="Q72" i="12" s="1"/>
  <c r="R105" i="6"/>
  <c r="S105" i="6" s="1"/>
  <c r="N74" i="12"/>
  <c r="R72" i="12" s="1"/>
  <c r="N229" i="8"/>
  <c r="T226" i="8" s="1"/>
  <c r="T228" i="8" s="1"/>
  <c r="N75" i="12"/>
  <c r="S72" i="12" s="1"/>
  <c r="S75" i="12" s="1"/>
  <c r="R103" i="6"/>
  <c r="S103" i="6" s="1"/>
  <c r="R104" i="6"/>
  <c r="S104" i="6" s="1"/>
  <c r="M220" i="8"/>
  <c r="S218" i="8" s="1"/>
  <c r="S221" i="8" s="1"/>
  <c r="N228" i="8"/>
  <c r="S226" i="8" s="1"/>
  <c r="S230" i="8" s="1"/>
  <c r="N227" i="8"/>
  <c r="R226" i="8" s="1"/>
  <c r="R229" i="8" s="1"/>
  <c r="O235" i="8"/>
  <c r="R234" i="8" s="1"/>
  <c r="R239" i="8" s="1"/>
  <c r="O238" i="8"/>
  <c r="U234" i="8" s="1"/>
  <c r="U239" i="8" s="1"/>
  <c r="O236" i="8"/>
  <c r="S234" i="8" s="1"/>
  <c r="S238" i="8" s="1"/>
  <c r="M219" i="8"/>
  <c r="R218" i="8" s="1"/>
  <c r="R221" i="8" s="1"/>
  <c r="R67" i="12"/>
  <c r="R66" i="12"/>
  <c r="R68" i="12"/>
  <c r="T76" i="12"/>
  <c r="Q67" i="12"/>
  <c r="Q66" i="12"/>
  <c r="Q68" i="12"/>
  <c r="S77" i="12"/>
  <c r="S74" i="12"/>
  <c r="Q77" i="12"/>
  <c r="Q75" i="12"/>
  <c r="Q76" i="12"/>
  <c r="Q74" i="12"/>
  <c r="S68" i="12"/>
  <c r="S67" i="12"/>
  <c r="S66" i="12"/>
  <c r="R59" i="12"/>
  <c r="R58" i="12"/>
  <c r="R77" i="12"/>
  <c r="R75" i="12"/>
  <c r="R76" i="12"/>
  <c r="R74" i="12"/>
  <c r="Q59" i="12"/>
  <c r="Q58" i="12"/>
  <c r="S228" i="8"/>
  <c r="S229" i="8"/>
  <c r="U236" i="8"/>
  <c r="U238" i="8"/>
  <c r="U237" i="8"/>
  <c r="T239" i="8"/>
  <c r="T236" i="8"/>
  <c r="T238" i="8"/>
  <c r="T237" i="8"/>
  <c r="R237" i="8"/>
  <c r="E95" i="6"/>
  <c r="J92" i="6" s="1"/>
  <c r="F95" i="6"/>
  <c r="T75" i="12" l="1"/>
  <c r="T77" i="12"/>
  <c r="S76" i="12"/>
  <c r="U74" i="12"/>
  <c r="V74" i="12" s="1"/>
  <c r="T68" i="12"/>
  <c r="U68" i="12" s="1"/>
  <c r="T230" i="8"/>
  <c r="T229" i="8"/>
  <c r="V103" i="6"/>
  <c r="V105" i="6" s="1"/>
  <c r="V107" i="6" s="1"/>
  <c r="R236" i="8"/>
  <c r="R238" i="8"/>
  <c r="V238" i="8" s="1"/>
  <c r="W238" i="8" s="1"/>
  <c r="K94" i="6"/>
  <c r="K92" i="6"/>
  <c r="K93" i="6"/>
  <c r="J94" i="6"/>
  <c r="J93" i="6"/>
  <c r="R228" i="8"/>
  <c r="U228" i="8" s="1"/>
  <c r="V228" i="8" s="1"/>
  <c r="R230" i="8"/>
  <c r="U230" i="8" s="1"/>
  <c r="V230" i="8" s="1"/>
  <c r="S220" i="8"/>
  <c r="S239" i="8"/>
  <c r="V239" i="8" s="1"/>
  <c r="W239" i="8" s="1"/>
  <c r="U229" i="8"/>
  <c r="V229" i="8" s="1"/>
  <c r="S236" i="8"/>
  <c r="V236" i="8"/>
  <c r="W236" i="8" s="1"/>
  <c r="R220" i="8"/>
  <c r="S237" i="8"/>
  <c r="V237" i="8" s="1"/>
  <c r="W237" i="8" s="1"/>
  <c r="T221" i="8"/>
  <c r="U221" i="8" s="1"/>
  <c r="T66" i="12"/>
  <c r="U66" i="12" s="1"/>
  <c r="T67" i="12"/>
  <c r="U67" i="12" s="1"/>
  <c r="S58" i="12"/>
  <c r="T58" i="12" s="1"/>
  <c r="U75" i="12"/>
  <c r="V75" i="12" s="1"/>
  <c r="U77" i="12"/>
  <c r="V77" i="12" s="1"/>
  <c r="S59" i="12"/>
  <c r="T59" i="12" s="1"/>
  <c r="U76" i="12"/>
  <c r="V76" i="12" s="1"/>
  <c r="D95" i="6"/>
  <c r="Z32" i="8"/>
  <c r="Z24" i="8"/>
  <c r="V84" i="6"/>
  <c r="V42" i="6"/>
  <c r="V32" i="6"/>
  <c r="V74" i="6"/>
  <c r="V65" i="6"/>
  <c r="V55" i="6"/>
  <c r="V23" i="6"/>
  <c r="C23" i="7"/>
  <c r="D23" i="7"/>
  <c r="E23" i="7"/>
  <c r="F23" i="7"/>
  <c r="I23" i="7"/>
  <c r="N23" i="7"/>
  <c r="O23" i="7"/>
  <c r="C24" i="7"/>
  <c r="D24" i="7"/>
  <c r="E24" i="7"/>
  <c r="F24" i="7"/>
  <c r="G24" i="7"/>
  <c r="H24" i="7"/>
  <c r="I24" i="7"/>
  <c r="J24" i="7"/>
  <c r="K24" i="7"/>
  <c r="L24" i="7"/>
  <c r="O24" i="7"/>
  <c r="C25" i="7"/>
  <c r="D25" i="7"/>
  <c r="E25" i="7"/>
  <c r="F25" i="7"/>
  <c r="H25" i="7"/>
  <c r="I25" i="7"/>
  <c r="J25" i="7"/>
  <c r="K25" i="7"/>
  <c r="L25" i="7"/>
  <c r="O25" i="7"/>
  <c r="C26" i="7"/>
  <c r="D26" i="7"/>
  <c r="E26" i="7"/>
  <c r="F26" i="7"/>
  <c r="G26" i="7"/>
  <c r="H26" i="7"/>
  <c r="I26" i="7"/>
  <c r="J26" i="7"/>
  <c r="K26" i="7"/>
  <c r="L26" i="7"/>
  <c r="M26" i="7"/>
  <c r="N26" i="7"/>
  <c r="O26" i="7"/>
  <c r="C27" i="7"/>
  <c r="D27" i="7"/>
  <c r="E27" i="7"/>
  <c r="F27" i="7"/>
  <c r="G27" i="7"/>
  <c r="H27" i="7"/>
  <c r="I27" i="7"/>
  <c r="J27" i="7"/>
  <c r="K27" i="7"/>
  <c r="M27" i="7"/>
  <c r="N27" i="7"/>
  <c r="O27" i="7"/>
  <c r="C28" i="7"/>
  <c r="D28" i="7"/>
  <c r="F28" i="7"/>
  <c r="G28" i="7"/>
  <c r="H28" i="7"/>
  <c r="I28" i="7"/>
  <c r="M28" i="7"/>
  <c r="N28" i="7"/>
  <c r="O28" i="7"/>
  <c r="D29" i="7"/>
  <c r="F29" i="7"/>
  <c r="G29" i="7"/>
  <c r="H29" i="7"/>
  <c r="I29" i="7"/>
  <c r="K29" i="7"/>
  <c r="L29" i="7"/>
  <c r="M29" i="7"/>
  <c r="N29" i="7"/>
  <c r="O29" i="7"/>
  <c r="C11" i="7"/>
  <c r="C13" i="7"/>
  <c r="C14" i="7"/>
  <c r="G31" i="7" s="1"/>
  <c r="F255" i="8" s="1"/>
  <c r="E256" i="8" l="1"/>
  <c r="L255" i="8"/>
  <c r="L256" i="8"/>
  <c r="L257" i="8"/>
  <c r="M24" i="7"/>
  <c r="J31" i="7"/>
  <c r="F263" i="8" s="1"/>
  <c r="K31" i="7"/>
  <c r="G263" i="8" s="1"/>
  <c r="L31" i="7"/>
  <c r="H263" i="8" s="1"/>
  <c r="C29" i="7"/>
  <c r="Y73" i="12"/>
  <c r="Y75" i="12" s="1"/>
  <c r="Y77" i="12" s="1"/>
  <c r="Z227" i="8"/>
  <c r="Z229" i="8" s="1"/>
  <c r="Z231" i="8" s="1"/>
  <c r="T220" i="8"/>
  <c r="U220" i="8" s="1"/>
  <c r="Z219" i="8" s="1"/>
  <c r="Z221" i="8" s="1"/>
  <c r="Z223" i="8" s="1"/>
  <c r="I92" i="6"/>
  <c r="L92" i="6" s="1"/>
  <c r="O90" i="6" s="1"/>
  <c r="O92" i="6" s="1"/>
  <c r="I93" i="6"/>
  <c r="L93" i="6" s="1"/>
  <c r="P90" i="6" s="1"/>
  <c r="I94" i="6"/>
  <c r="L94" i="6" s="1"/>
  <c r="Q90" i="6" s="1"/>
  <c r="Z235" i="8"/>
  <c r="Z237" i="8" s="1"/>
  <c r="Z239" i="8" s="1"/>
  <c r="Y57" i="12"/>
  <c r="Y59" i="12" s="1"/>
  <c r="Y61" i="12" s="1"/>
  <c r="Y65" i="12"/>
  <c r="Y67" i="12" s="1"/>
  <c r="Y69" i="12" s="1"/>
  <c r="N25" i="7"/>
  <c r="M23" i="7"/>
  <c r="G68" i="8"/>
  <c r="H209" i="8"/>
  <c r="H208" i="8"/>
  <c r="G208" i="8"/>
  <c r="H207" i="8"/>
  <c r="G207" i="8"/>
  <c r="G200" i="8"/>
  <c r="G199" i="8"/>
  <c r="F199" i="8"/>
  <c r="F191" i="8"/>
  <c r="H181" i="8"/>
  <c r="H180" i="8"/>
  <c r="G180" i="8"/>
  <c r="G172" i="8"/>
  <c r="G171" i="8"/>
  <c r="F171" i="8"/>
  <c r="F163" i="8"/>
  <c r="E73" i="6"/>
  <c r="E71" i="6"/>
  <c r="D72" i="6" s="1"/>
  <c r="F71" i="6"/>
  <c r="F74" i="6" s="1"/>
  <c r="H153" i="8"/>
  <c r="H152" i="8"/>
  <c r="G152" i="8"/>
  <c r="G151" i="8"/>
  <c r="F151" i="8"/>
  <c r="G143" i="8"/>
  <c r="F135" i="8"/>
  <c r="F63" i="6"/>
  <c r="E64" i="6" s="1"/>
  <c r="E62" i="6"/>
  <c r="D63" i="6" s="1"/>
  <c r="F62" i="6"/>
  <c r="H125" i="8"/>
  <c r="H124" i="8"/>
  <c r="G124" i="8"/>
  <c r="H123" i="8"/>
  <c r="G123" i="8"/>
  <c r="F123" i="8"/>
  <c r="G116" i="8"/>
  <c r="G115" i="8"/>
  <c r="F115" i="8"/>
  <c r="F107" i="8"/>
  <c r="F53" i="6"/>
  <c r="F52" i="6"/>
  <c r="H97" i="8"/>
  <c r="H95" i="8"/>
  <c r="G95" i="8"/>
  <c r="F95" i="8"/>
  <c r="G88" i="8"/>
  <c r="G87" i="8"/>
  <c r="F79" i="8"/>
  <c r="F42" i="6"/>
  <c r="E41" i="6"/>
  <c r="D42" i="6" s="1"/>
  <c r="F41" i="6"/>
  <c r="H69" i="8"/>
  <c r="H67" i="8"/>
  <c r="G67" i="8"/>
  <c r="F67" i="8"/>
  <c r="G60" i="8"/>
  <c r="G59" i="8"/>
  <c r="F59" i="8"/>
  <c r="F51" i="8"/>
  <c r="F32" i="6"/>
  <c r="E33" i="6" s="1"/>
  <c r="E31" i="6"/>
  <c r="D32" i="6" s="1"/>
  <c r="F31" i="6"/>
  <c r="H41" i="8"/>
  <c r="G42" i="8" s="1"/>
  <c r="H40" i="8"/>
  <c r="F42" i="8" s="1"/>
  <c r="G32" i="8"/>
  <c r="F33" i="8" s="1"/>
  <c r="F23" i="8"/>
  <c r="L23" i="8" s="1"/>
  <c r="F23" i="6"/>
  <c r="E24" i="6" s="1"/>
  <c r="E22" i="6"/>
  <c r="D23" i="6" s="1"/>
  <c r="F22" i="6"/>
  <c r="D24" i="6" s="1"/>
  <c r="E81" i="6"/>
  <c r="D82" i="6" s="1"/>
  <c r="E52" i="6"/>
  <c r="L23" i="7"/>
  <c r="K23" i="7"/>
  <c r="J23" i="7"/>
  <c r="G25" i="7"/>
  <c r="G23" i="7"/>
  <c r="L28" i="7"/>
  <c r="E29" i="7"/>
  <c r="K28" i="7"/>
  <c r="H23" i="7"/>
  <c r="L27" i="7"/>
  <c r="J28" i="7"/>
  <c r="M25" i="7"/>
  <c r="N24" i="7"/>
  <c r="J29" i="7"/>
  <c r="E266" i="8" l="1"/>
  <c r="N263" i="8"/>
  <c r="N266" i="8"/>
  <c r="N265" i="8"/>
  <c r="N264" i="8"/>
  <c r="E265" i="8"/>
  <c r="M263" i="8"/>
  <c r="M265" i="8"/>
  <c r="M264" i="8"/>
  <c r="M266" i="8"/>
  <c r="E264" i="8"/>
  <c r="L263" i="8"/>
  <c r="L264" i="8"/>
  <c r="L265" i="8"/>
  <c r="L266" i="8"/>
  <c r="N255" i="8"/>
  <c r="R254" i="8" s="1"/>
  <c r="K255" i="8"/>
  <c r="K256" i="8"/>
  <c r="N256" i="8" s="1"/>
  <c r="S254" i="8" s="1"/>
  <c r="K257" i="8"/>
  <c r="N257" i="8" s="1"/>
  <c r="T254" i="8" s="1"/>
  <c r="G25" i="15"/>
  <c r="I24" i="6"/>
  <c r="G24" i="15"/>
  <c r="K32" i="6"/>
  <c r="E15" i="15"/>
  <c r="F283" i="8"/>
  <c r="F15" i="15"/>
  <c r="G283" i="8"/>
  <c r="F275" i="8"/>
  <c r="E7" i="15"/>
  <c r="F16" i="15"/>
  <c r="G284" i="8"/>
  <c r="D23" i="14"/>
  <c r="E114" i="6"/>
  <c r="D34" i="14"/>
  <c r="D5" i="14"/>
  <c r="I23" i="6"/>
  <c r="F24" i="15"/>
  <c r="I22" i="6"/>
  <c r="H292" i="8"/>
  <c r="H293" i="8"/>
  <c r="F125" i="8"/>
  <c r="G292" i="8"/>
  <c r="Q94" i="6"/>
  <c r="Q93" i="6"/>
  <c r="Q92" i="6"/>
  <c r="F65" i="6"/>
  <c r="K64" i="6" s="1"/>
  <c r="P94" i="6"/>
  <c r="P93" i="6"/>
  <c r="P92" i="6"/>
  <c r="O94" i="6"/>
  <c r="O93" i="6"/>
  <c r="L24" i="8"/>
  <c r="E24" i="8"/>
  <c r="K24" i="8" s="1"/>
  <c r="J24" i="6"/>
  <c r="D54" i="6"/>
  <c r="D53" i="6"/>
  <c r="K31" i="6"/>
  <c r="E54" i="6"/>
  <c r="K43" i="6"/>
  <c r="K42" i="6"/>
  <c r="K33" i="6"/>
  <c r="E43" i="6"/>
  <c r="J43" i="6" s="1"/>
  <c r="E74" i="6"/>
  <c r="J72" i="6" s="1"/>
  <c r="K41" i="6"/>
  <c r="K24" i="6"/>
  <c r="F55" i="6"/>
  <c r="K54" i="6" s="1"/>
  <c r="D64" i="6"/>
  <c r="D65" i="6" s="1"/>
  <c r="I62" i="6" s="1"/>
  <c r="E65" i="6"/>
  <c r="J63" i="6" s="1"/>
  <c r="J23" i="6"/>
  <c r="D73" i="6"/>
  <c r="D74" i="6" s="1"/>
  <c r="I71" i="6" s="1"/>
  <c r="K22" i="6"/>
  <c r="D33" i="6"/>
  <c r="I32" i="6" s="1"/>
  <c r="J22" i="6"/>
  <c r="K23" i="6"/>
  <c r="D43" i="6"/>
  <c r="F207" i="8"/>
  <c r="H68" i="8"/>
  <c r="N70" i="8" s="1"/>
  <c r="G96" i="8"/>
  <c r="F179" i="8"/>
  <c r="H151" i="8"/>
  <c r="G31" i="8"/>
  <c r="G179" i="8"/>
  <c r="F23" i="15" s="1"/>
  <c r="H179" i="8"/>
  <c r="N180" i="8" s="1"/>
  <c r="F31" i="8"/>
  <c r="E32" i="8" s="1"/>
  <c r="F87" i="8"/>
  <c r="F39" i="8"/>
  <c r="E40" i="8" s="1"/>
  <c r="G39" i="8"/>
  <c r="E41" i="8" s="1"/>
  <c r="H39" i="8"/>
  <c r="L51" i="8"/>
  <c r="L52" i="8"/>
  <c r="E52" i="8"/>
  <c r="E60" i="8"/>
  <c r="E61" i="8"/>
  <c r="M59" i="8"/>
  <c r="M61" i="8"/>
  <c r="F61" i="8"/>
  <c r="M60" i="8"/>
  <c r="E68" i="8"/>
  <c r="E69" i="8"/>
  <c r="E70" i="8"/>
  <c r="N67" i="8"/>
  <c r="G70" i="8"/>
  <c r="M68" i="8" s="1"/>
  <c r="E80" i="8"/>
  <c r="L79" i="8"/>
  <c r="L80" i="8"/>
  <c r="E89" i="8"/>
  <c r="M87" i="8"/>
  <c r="M89" i="8"/>
  <c r="F89" i="8"/>
  <c r="M88" i="8"/>
  <c r="E96" i="8"/>
  <c r="E97" i="8"/>
  <c r="E98" i="8"/>
  <c r="G98" i="8"/>
  <c r="E108" i="8"/>
  <c r="L107" i="8"/>
  <c r="L108" i="8"/>
  <c r="E116" i="8"/>
  <c r="E117" i="8"/>
  <c r="M115" i="8"/>
  <c r="M117" i="8"/>
  <c r="F117" i="8"/>
  <c r="M116" i="8"/>
  <c r="E124" i="8"/>
  <c r="E125" i="8"/>
  <c r="E126" i="8"/>
  <c r="N123" i="8"/>
  <c r="N126" i="8"/>
  <c r="F126" i="8"/>
  <c r="N124" i="8"/>
  <c r="G126" i="8"/>
  <c r="N125" i="8"/>
  <c r="E136" i="8"/>
  <c r="L136" i="8"/>
  <c r="L135" i="8"/>
  <c r="E144" i="8"/>
  <c r="E145" i="8"/>
  <c r="M145" i="8"/>
  <c r="M143" i="8"/>
  <c r="F145" i="8"/>
  <c r="M144" i="8"/>
  <c r="E152" i="8"/>
  <c r="E153" i="8"/>
  <c r="F153" i="8"/>
  <c r="F154" i="8"/>
  <c r="G154" i="8"/>
  <c r="E164" i="8"/>
  <c r="L164" i="8"/>
  <c r="L163" i="8"/>
  <c r="E172" i="8"/>
  <c r="E173" i="8"/>
  <c r="M173" i="8"/>
  <c r="M171" i="8"/>
  <c r="F173" i="8"/>
  <c r="M172" i="8"/>
  <c r="F181" i="8"/>
  <c r="F182" i="8"/>
  <c r="G182" i="8"/>
  <c r="E192" i="8"/>
  <c r="L192" i="8"/>
  <c r="L191" i="8"/>
  <c r="E200" i="8"/>
  <c r="E201" i="8"/>
  <c r="M201" i="8"/>
  <c r="M199" i="8"/>
  <c r="F201" i="8"/>
  <c r="M200" i="8"/>
  <c r="E209" i="8"/>
  <c r="E210" i="8"/>
  <c r="N210" i="8"/>
  <c r="N207" i="8"/>
  <c r="F209" i="8"/>
  <c r="F210" i="8"/>
  <c r="N208" i="8"/>
  <c r="G210" i="8"/>
  <c r="N209" i="8"/>
  <c r="F69" i="8"/>
  <c r="G40" i="8"/>
  <c r="H96" i="8"/>
  <c r="F81" i="6"/>
  <c r="E23" i="14" s="1"/>
  <c r="F82" i="6"/>
  <c r="E24" i="14" s="1"/>
  <c r="J31" i="6"/>
  <c r="J33" i="6"/>
  <c r="J32" i="6"/>
  <c r="K73" i="6"/>
  <c r="K71" i="6"/>
  <c r="K72" i="6"/>
  <c r="T256" i="8" l="1"/>
  <c r="T257" i="8"/>
  <c r="T258" i="8"/>
  <c r="S258" i="8"/>
  <c r="S257" i="8"/>
  <c r="S256" i="8"/>
  <c r="R257" i="8"/>
  <c r="R258" i="8"/>
  <c r="U258" i="8" s="1"/>
  <c r="V258" i="8" s="1"/>
  <c r="R256" i="8"/>
  <c r="U256" i="8" s="1"/>
  <c r="V256" i="8" s="1"/>
  <c r="K265" i="8"/>
  <c r="O265" i="8" s="1"/>
  <c r="T262" i="8" s="1"/>
  <c r="K63" i="6"/>
  <c r="K263" i="8"/>
  <c r="O263" i="8" s="1"/>
  <c r="R262" i="8" s="1"/>
  <c r="K264" i="8"/>
  <c r="O264" i="8" s="1"/>
  <c r="S262" i="8" s="1"/>
  <c r="K266" i="8"/>
  <c r="O266" i="8" s="1"/>
  <c r="U262" i="8" s="1"/>
  <c r="E23" i="15"/>
  <c r="M284" i="8"/>
  <c r="E25" i="15"/>
  <c r="K23" i="8"/>
  <c r="M23" i="8" s="1"/>
  <c r="R22" i="8" s="1"/>
  <c r="G23" i="15"/>
  <c r="M26" i="15" s="1"/>
  <c r="E26" i="14"/>
  <c r="J23" i="14" s="1"/>
  <c r="F285" i="8"/>
  <c r="E17" i="15"/>
  <c r="K16" i="15" s="1"/>
  <c r="C35" i="14"/>
  <c r="C6" i="14"/>
  <c r="C24" i="14"/>
  <c r="D115" i="6"/>
  <c r="E6" i="14"/>
  <c r="I31" i="6"/>
  <c r="E35" i="14"/>
  <c r="G294" i="8"/>
  <c r="F26" i="15"/>
  <c r="L24" i="15" s="1"/>
  <c r="F294" i="8"/>
  <c r="E26" i="15"/>
  <c r="F115" i="6"/>
  <c r="D17" i="15"/>
  <c r="E285" i="8"/>
  <c r="D16" i="15"/>
  <c r="E284" i="8"/>
  <c r="E55" i="6"/>
  <c r="J53" i="6" s="1"/>
  <c r="L24" i="6"/>
  <c r="Q21" i="6" s="1"/>
  <c r="Q24" i="6" s="1"/>
  <c r="E5" i="14"/>
  <c r="E276" i="8"/>
  <c r="D8" i="15"/>
  <c r="F291" i="8"/>
  <c r="E34" i="14"/>
  <c r="F114" i="6"/>
  <c r="R92" i="6"/>
  <c r="S92" i="6" s="1"/>
  <c r="R93" i="6"/>
  <c r="S93" i="6" s="1"/>
  <c r="R94" i="6"/>
  <c r="S94" i="6" s="1"/>
  <c r="K62" i="6"/>
  <c r="G291" i="8"/>
  <c r="F293" i="8"/>
  <c r="M283" i="8"/>
  <c r="M285" i="8"/>
  <c r="H291" i="8"/>
  <c r="N293" i="8" s="1"/>
  <c r="N181" i="8"/>
  <c r="M24" i="8"/>
  <c r="S22" i="8" s="1"/>
  <c r="S24" i="8" s="1"/>
  <c r="K52" i="6"/>
  <c r="J42" i="6"/>
  <c r="D55" i="6"/>
  <c r="I53" i="6" s="1"/>
  <c r="L22" i="6"/>
  <c r="O21" i="6" s="1"/>
  <c r="O23" i="6" s="1"/>
  <c r="L31" i="8"/>
  <c r="L17" i="15"/>
  <c r="K173" i="8"/>
  <c r="L32" i="8"/>
  <c r="K117" i="8"/>
  <c r="M25" i="15"/>
  <c r="N153" i="8"/>
  <c r="K70" i="8"/>
  <c r="L33" i="8"/>
  <c r="M40" i="8"/>
  <c r="L182" i="8"/>
  <c r="L154" i="8"/>
  <c r="L89" i="8"/>
  <c r="N152" i="8"/>
  <c r="M41" i="8"/>
  <c r="L210" i="8"/>
  <c r="K7" i="15"/>
  <c r="K8" i="15"/>
  <c r="M39" i="8"/>
  <c r="K61" i="8"/>
  <c r="L15" i="15"/>
  <c r="L16" i="15"/>
  <c r="K126" i="8"/>
  <c r="N69" i="8"/>
  <c r="L23" i="6"/>
  <c r="P21" i="6" s="1"/>
  <c r="P23" i="6" s="1"/>
  <c r="K98" i="8"/>
  <c r="K201" i="8"/>
  <c r="L275" i="8"/>
  <c r="L276" i="8"/>
  <c r="J73" i="6"/>
  <c r="K145" i="8"/>
  <c r="K53" i="6"/>
  <c r="J64" i="6"/>
  <c r="J71" i="6"/>
  <c r="L71" i="6" s="1"/>
  <c r="J41" i="6"/>
  <c r="I41" i="6"/>
  <c r="I43" i="6"/>
  <c r="L43" i="6" s="1"/>
  <c r="Q40" i="6" s="1"/>
  <c r="I42" i="6"/>
  <c r="I33" i="6"/>
  <c r="L33" i="6" s="1"/>
  <c r="Q30" i="6" s="1"/>
  <c r="Q34" i="6" s="1"/>
  <c r="J62" i="6"/>
  <c r="F98" i="8"/>
  <c r="N96" i="8"/>
  <c r="N95" i="8"/>
  <c r="N98" i="8"/>
  <c r="N97" i="8"/>
  <c r="F41" i="8"/>
  <c r="M42" i="8"/>
  <c r="M210" i="8"/>
  <c r="M209" i="8"/>
  <c r="M207" i="8"/>
  <c r="M208" i="8"/>
  <c r="L209" i="8"/>
  <c r="L201" i="8"/>
  <c r="L200" i="8"/>
  <c r="L199" i="8"/>
  <c r="K200" i="8"/>
  <c r="K199" i="8"/>
  <c r="K192" i="8"/>
  <c r="M192" i="8" s="1"/>
  <c r="S190" i="8" s="1"/>
  <c r="K191" i="8"/>
  <c r="M191" i="8" s="1"/>
  <c r="R190" i="8" s="1"/>
  <c r="M182" i="8"/>
  <c r="M180" i="8"/>
  <c r="L181" i="8"/>
  <c r="L173" i="8"/>
  <c r="L172" i="8"/>
  <c r="L171" i="8"/>
  <c r="K172" i="8"/>
  <c r="K171" i="8"/>
  <c r="K164" i="8"/>
  <c r="M164" i="8" s="1"/>
  <c r="S162" i="8" s="1"/>
  <c r="K163" i="8"/>
  <c r="M163" i="8" s="1"/>
  <c r="R162" i="8" s="1"/>
  <c r="M154" i="8"/>
  <c r="M153" i="8"/>
  <c r="M151" i="8"/>
  <c r="M152" i="8"/>
  <c r="L153" i="8"/>
  <c r="L152" i="8"/>
  <c r="L151" i="8"/>
  <c r="L145" i="8"/>
  <c r="L144" i="8"/>
  <c r="L143" i="8"/>
  <c r="K144" i="8"/>
  <c r="K143" i="8"/>
  <c r="K136" i="8"/>
  <c r="M136" i="8" s="1"/>
  <c r="S134" i="8" s="1"/>
  <c r="K135" i="8"/>
  <c r="M135" i="8" s="1"/>
  <c r="R134" i="8" s="1"/>
  <c r="M124" i="8"/>
  <c r="M126" i="8"/>
  <c r="M123" i="8"/>
  <c r="M125" i="8"/>
  <c r="L126" i="8"/>
  <c r="L123" i="8"/>
  <c r="L124" i="8"/>
  <c r="L125" i="8"/>
  <c r="K125" i="8"/>
  <c r="K123" i="8"/>
  <c r="K124" i="8"/>
  <c r="L117" i="8"/>
  <c r="L115" i="8"/>
  <c r="L116" i="8"/>
  <c r="K115" i="8"/>
  <c r="K116" i="8"/>
  <c r="K107" i="8"/>
  <c r="M107" i="8" s="1"/>
  <c r="R106" i="8" s="1"/>
  <c r="K108" i="8"/>
  <c r="M108" i="8" s="1"/>
  <c r="S106" i="8" s="1"/>
  <c r="M98" i="8"/>
  <c r="M95" i="8"/>
  <c r="M97" i="8"/>
  <c r="K97" i="8"/>
  <c r="K95" i="8"/>
  <c r="K96" i="8"/>
  <c r="K79" i="8"/>
  <c r="M79" i="8" s="1"/>
  <c r="R78" i="8" s="1"/>
  <c r="K80" i="8"/>
  <c r="M80" i="8" s="1"/>
  <c r="S78" i="8" s="1"/>
  <c r="M67" i="8"/>
  <c r="M70" i="8"/>
  <c r="M69" i="8"/>
  <c r="K69" i="8"/>
  <c r="K68" i="8"/>
  <c r="K67" i="8"/>
  <c r="L61" i="8"/>
  <c r="L59" i="8"/>
  <c r="L60" i="8"/>
  <c r="K59" i="8"/>
  <c r="K60" i="8"/>
  <c r="K51" i="8"/>
  <c r="M51" i="8" s="1"/>
  <c r="R50" i="8" s="1"/>
  <c r="K52" i="8"/>
  <c r="M52" i="8" s="1"/>
  <c r="S50" i="8" s="1"/>
  <c r="E42" i="8"/>
  <c r="N39" i="8"/>
  <c r="N42" i="8"/>
  <c r="N40" i="8"/>
  <c r="N41" i="8"/>
  <c r="E88" i="8"/>
  <c r="L87" i="8"/>
  <c r="L88" i="8"/>
  <c r="E182" i="8"/>
  <c r="N182" i="8"/>
  <c r="N179" i="8"/>
  <c r="E181" i="8"/>
  <c r="E293" i="8" s="1"/>
  <c r="M181" i="8"/>
  <c r="M179" i="8"/>
  <c r="M33" i="8"/>
  <c r="M31" i="8"/>
  <c r="M32" i="8"/>
  <c r="E33" i="8"/>
  <c r="E154" i="8"/>
  <c r="N154" i="8"/>
  <c r="N151" i="8"/>
  <c r="E180" i="8"/>
  <c r="L180" i="8"/>
  <c r="L179" i="8"/>
  <c r="F97" i="8"/>
  <c r="M96" i="8"/>
  <c r="F70" i="8"/>
  <c r="N68" i="8"/>
  <c r="E208" i="8"/>
  <c r="L208" i="8"/>
  <c r="L207" i="8"/>
  <c r="R24" i="8"/>
  <c r="R25" i="8"/>
  <c r="F84" i="6"/>
  <c r="K83" i="6" s="1"/>
  <c r="D83" i="6"/>
  <c r="D116" i="6" s="1"/>
  <c r="E83" i="6"/>
  <c r="E116" i="6" s="1"/>
  <c r="L31" i="6"/>
  <c r="O30" i="6" s="1"/>
  <c r="O34" i="6" s="1"/>
  <c r="I73" i="6"/>
  <c r="I64" i="6"/>
  <c r="I63" i="6"/>
  <c r="L63" i="6" s="1"/>
  <c r="P60" i="6" s="1"/>
  <c r="I72" i="6"/>
  <c r="L72" i="6" s="1"/>
  <c r="L32" i="6"/>
  <c r="P30" i="6" s="1"/>
  <c r="J52" i="6"/>
  <c r="J54" i="6"/>
  <c r="Q25" i="6"/>
  <c r="Q23" i="6"/>
  <c r="U257" i="8" l="1"/>
  <c r="V257" i="8" s="1"/>
  <c r="Z255" i="8" s="1"/>
  <c r="Z257" i="8" s="1"/>
  <c r="Z259" i="8" s="1"/>
  <c r="R266" i="8"/>
  <c r="R265" i="8"/>
  <c r="R267" i="8"/>
  <c r="R264" i="8"/>
  <c r="T267" i="8"/>
  <c r="T264" i="8"/>
  <c r="T266" i="8"/>
  <c r="T265" i="8"/>
  <c r="K15" i="15"/>
  <c r="U267" i="8"/>
  <c r="U266" i="8"/>
  <c r="U265" i="8"/>
  <c r="U264" i="8"/>
  <c r="S265" i="8"/>
  <c r="S267" i="8"/>
  <c r="S266" i="8"/>
  <c r="S264" i="8"/>
  <c r="J35" i="14"/>
  <c r="M24" i="15"/>
  <c r="M23" i="15"/>
  <c r="L42" i="6"/>
  <c r="P40" i="6" s="1"/>
  <c r="P44" i="6" s="1"/>
  <c r="L41" i="6"/>
  <c r="O40" i="6" s="1"/>
  <c r="O42" i="6" s="1"/>
  <c r="L62" i="6"/>
  <c r="O60" i="6" s="1"/>
  <c r="O64" i="6" s="1"/>
  <c r="E292" i="8"/>
  <c r="M292" i="8"/>
  <c r="N292" i="8"/>
  <c r="L293" i="8"/>
  <c r="K283" i="8"/>
  <c r="K285" i="8"/>
  <c r="E294" i="8"/>
  <c r="E117" i="6"/>
  <c r="E8" i="14"/>
  <c r="J7" i="14" s="1"/>
  <c r="C25" i="14"/>
  <c r="C26" i="14" s="1"/>
  <c r="C36" i="14"/>
  <c r="K284" i="8"/>
  <c r="F117" i="6"/>
  <c r="K116" i="6" s="1"/>
  <c r="C7" i="14"/>
  <c r="C8" i="14" s="1"/>
  <c r="H5" i="14" s="1"/>
  <c r="D25" i="15"/>
  <c r="D26" i="15"/>
  <c r="D117" i="6"/>
  <c r="I114" i="6" s="1"/>
  <c r="D24" i="15"/>
  <c r="S25" i="8"/>
  <c r="T25" i="8" s="1"/>
  <c r="U25" i="8" s="1"/>
  <c r="E37" i="14"/>
  <c r="J34" i="14"/>
  <c r="D25" i="14"/>
  <c r="D7" i="14"/>
  <c r="D36" i="14"/>
  <c r="J25" i="14"/>
  <c r="J36" i="14"/>
  <c r="L53" i="6"/>
  <c r="P50" i="6" s="1"/>
  <c r="P53" i="6" s="1"/>
  <c r="J24" i="14"/>
  <c r="V92" i="6"/>
  <c r="V94" i="6" s="1"/>
  <c r="V96" i="6" s="1"/>
  <c r="L285" i="8"/>
  <c r="N285" i="8" s="1"/>
  <c r="T282" i="8" s="1"/>
  <c r="L284" i="8"/>
  <c r="L283" i="8"/>
  <c r="M294" i="8"/>
  <c r="M293" i="8"/>
  <c r="M291" i="8"/>
  <c r="L294" i="8"/>
  <c r="L292" i="8"/>
  <c r="N294" i="8"/>
  <c r="N291" i="8"/>
  <c r="L291" i="8"/>
  <c r="N173" i="8"/>
  <c r="T170" i="8" s="1"/>
  <c r="T173" i="8" s="1"/>
  <c r="O25" i="6"/>
  <c r="O24" i="6"/>
  <c r="I52" i="6"/>
  <c r="L52" i="6" s="1"/>
  <c r="O50" i="6" s="1"/>
  <c r="I54" i="6"/>
  <c r="L54" i="6" s="1"/>
  <c r="Q50" i="6" s="1"/>
  <c r="N117" i="8"/>
  <c r="T114" i="8" s="1"/>
  <c r="T117" i="8" s="1"/>
  <c r="J17" i="15"/>
  <c r="K17" i="15"/>
  <c r="N61" i="8"/>
  <c r="T58" i="8" s="1"/>
  <c r="T60" i="8" s="1"/>
  <c r="O126" i="8"/>
  <c r="U122" i="8" s="1"/>
  <c r="U124" i="8" s="1"/>
  <c r="N201" i="8"/>
  <c r="T198" i="8" s="1"/>
  <c r="T202" i="8" s="1"/>
  <c r="N116" i="8"/>
  <c r="S114" i="8" s="1"/>
  <c r="S116" i="8" s="1"/>
  <c r="N115" i="8"/>
  <c r="R114" i="8" s="1"/>
  <c r="R116" i="8" s="1"/>
  <c r="N143" i="8"/>
  <c r="R142" i="8" s="1"/>
  <c r="N144" i="8"/>
  <c r="S142" i="8" s="1"/>
  <c r="S146" i="8" s="1"/>
  <c r="N172" i="8"/>
  <c r="S170" i="8" s="1"/>
  <c r="S173" i="8" s="1"/>
  <c r="L23" i="15"/>
  <c r="N145" i="8"/>
  <c r="T142" i="8" s="1"/>
  <c r="T145" i="8" s="1"/>
  <c r="T24" i="8"/>
  <c r="U24" i="8" s="1"/>
  <c r="N60" i="8"/>
  <c r="S58" i="8" s="1"/>
  <c r="S61" i="8" s="1"/>
  <c r="N59" i="8"/>
  <c r="R58" i="8" s="1"/>
  <c r="R62" i="8" s="1"/>
  <c r="K25" i="15"/>
  <c r="K1" i="6" a="1"/>
  <c r="K1" i="6" s="1"/>
  <c r="K23" i="15"/>
  <c r="N171" i="8"/>
  <c r="R170" i="8" s="1"/>
  <c r="R172" i="8" s="1"/>
  <c r="K26" i="15"/>
  <c r="K275" i="8"/>
  <c r="M275" i="8" s="1"/>
  <c r="R274" i="8" s="1"/>
  <c r="K276" i="8"/>
  <c r="M276" i="8" s="1"/>
  <c r="S274" i="8" s="1"/>
  <c r="L25" i="15"/>
  <c r="L26" i="15"/>
  <c r="P25" i="6"/>
  <c r="L64" i="6"/>
  <c r="Q60" i="6" s="1"/>
  <c r="Q63" i="6" s="1"/>
  <c r="O124" i="8"/>
  <c r="S122" i="8" s="1"/>
  <c r="S125" i="8" s="1"/>
  <c r="P24" i="6"/>
  <c r="L73" i="6"/>
  <c r="Q69" i="6" s="1"/>
  <c r="Q73" i="6" s="1"/>
  <c r="O123" i="8"/>
  <c r="R122" i="8" s="1"/>
  <c r="R127" i="8" s="1"/>
  <c r="J15" i="15"/>
  <c r="M15" i="15" s="1"/>
  <c r="J7" i="15"/>
  <c r="J8" i="15"/>
  <c r="L8" i="15" s="1"/>
  <c r="D33" i="15" s="1"/>
  <c r="J16" i="15"/>
  <c r="M16" i="15" s="1"/>
  <c r="O125" i="8"/>
  <c r="T122" i="8" s="1"/>
  <c r="T125" i="8" s="1"/>
  <c r="K24" i="15"/>
  <c r="P42" i="6"/>
  <c r="P43" i="6"/>
  <c r="K208" i="8"/>
  <c r="O208" i="8" s="1"/>
  <c r="S206" i="8" s="1"/>
  <c r="K207" i="8"/>
  <c r="O207" i="8" s="1"/>
  <c r="R206" i="8" s="1"/>
  <c r="K210" i="8"/>
  <c r="O210" i="8" s="1"/>
  <c r="U206" i="8" s="1"/>
  <c r="K209" i="8"/>
  <c r="O209" i="8" s="1"/>
  <c r="T206" i="8" s="1"/>
  <c r="L70" i="8"/>
  <c r="O70" i="8" s="1"/>
  <c r="U66" i="8" s="1"/>
  <c r="L69" i="8"/>
  <c r="O69" i="8" s="1"/>
  <c r="T66" i="8" s="1"/>
  <c r="L68" i="8"/>
  <c r="O68" i="8" s="1"/>
  <c r="S66" i="8" s="1"/>
  <c r="L67" i="8"/>
  <c r="O67" i="8" s="1"/>
  <c r="R66" i="8" s="1"/>
  <c r="L96" i="8"/>
  <c r="O96" i="8" s="1"/>
  <c r="S94" i="8" s="1"/>
  <c r="L97" i="8"/>
  <c r="O97" i="8" s="1"/>
  <c r="T94" i="8" s="1"/>
  <c r="L95" i="8"/>
  <c r="O95" i="8" s="1"/>
  <c r="R94" i="8" s="1"/>
  <c r="K180" i="8"/>
  <c r="O180" i="8" s="1"/>
  <c r="S178" i="8" s="1"/>
  <c r="K179" i="8"/>
  <c r="O179" i="8" s="1"/>
  <c r="R178" i="8" s="1"/>
  <c r="K154" i="8"/>
  <c r="O154" i="8" s="1"/>
  <c r="U150" i="8" s="1"/>
  <c r="K153" i="8"/>
  <c r="O153" i="8" s="1"/>
  <c r="T150" i="8" s="1"/>
  <c r="K151" i="8"/>
  <c r="O151" i="8" s="1"/>
  <c r="R150" i="8" s="1"/>
  <c r="K152" i="8"/>
  <c r="O152" i="8" s="1"/>
  <c r="S150" i="8" s="1"/>
  <c r="K33" i="8"/>
  <c r="N33" i="8" s="1"/>
  <c r="T30" i="8" s="1"/>
  <c r="T33" i="8" s="1"/>
  <c r="K32" i="8"/>
  <c r="N32" i="8" s="1"/>
  <c r="S30" i="8" s="1"/>
  <c r="S34" i="8" s="1"/>
  <c r="K31" i="8"/>
  <c r="N31" i="8" s="1"/>
  <c r="R30" i="8" s="1"/>
  <c r="R34" i="8" s="1"/>
  <c r="K181" i="8"/>
  <c r="O181" i="8" s="1"/>
  <c r="T178" i="8" s="1"/>
  <c r="K182" i="8"/>
  <c r="O182" i="8" s="1"/>
  <c r="U178" i="8" s="1"/>
  <c r="K87" i="8"/>
  <c r="N87" i="8" s="1"/>
  <c r="R86" i="8" s="1"/>
  <c r="K88" i="8"/>
  <c r="N88" i="8" s="1"/>
  <c r="S86" i="8" s="1"/>
  <c r="K89" i="8"/>
  <c r="N89" i="8" s="1"/>
  <c r="T86" i="8" s="1"/>
  <c r="K42" i="8"/>
  <c r="K41" i="8"/>
  <c r="K40" i="8"/>
  <c r="K39" i="8"/>
  <c r="S53" i="8"/>
  <c r="S52" i="8"/>
  <c r="R53" i="8"/>
  <c r="R52" i="8"/>
  <c r="S81" i="8"/>
  <c r="S80" i="8"/>
  <c r="R81" i="8"/>
  <c r="R80" i="8"/>
  <c r="S108" i="8"/>
  <c r="S109" i="8"/>
  <c r="R109" i="8"/>
  <c r="R108" i="8"/>
  <c r="R137" i="8"/>
  <c r="R136" i="8"/>
  <c r="S137" i="8"/>
  <c r="S136" i="8"/>
  <c r="R165" i="8"/>
  <c r="R164" i="8"/>
  <c r="S164" i="8"/>
  <c r="S165" i="8"/>
  <c r="R193" i="8"/>
  <c r="R192" i="8"/>
  <c r="S193" i="8"/>
  <c r="S192" i="8"/>
  <c r="N199" i="8"/>
  <c r="R198" i="8" s="1"/>
  <c r="N200" i="8"/>
  <c r="S198" i="8" s="1"/>
  <c r="L42" i="8"/>
  <c r="L40" i="8"/>
  <c r="L41" i="8"/>
  <c r="L39" i="8"/>
  <c r="L98" i="8"/>
  <c r="O98" i="8" s="1"/>
  <c r="U94" i="8" s="1"/>
  <c r="K81" i="6"/>
  <c r="K82" i="6"/>
  <c r="E84" i="6"/>
  <c r="D84" i="6"/>
  <c r="I83" i="6" s="1"/>
  <c r="O32" i="6"/>
  <c r="O33" i="6"/>
  <c r="Q42" i="6"/>
  <c r="Q43" i="6"/>
  <c r="Q44" i="6"/>
  <c r="Q32" i="6"/>
  <c r="Q33" i="6"/>
  <c r="R23" i="6"/>
  <c r="S23" i="6" s="1"/>
  <c r="P33" i="6"/>
  <c r="P34" i="6"/>
  <c r="R34" i="6" s="1"/>
  <c r="S34" i="6" s="1"/>
  <c r="P32" i="6"/>
  <c r="P69" i="6"/>
  <c r="O69" i="6"/>
  <c r="P63" i="6"/>
  <c r="P64" i="6"/>
  <c r="P62" i="6"/>
  <c r="O62" i="6"/>
  <c r="V264" i="8" l="1"/>
  <c r="W264" i="8" s="1"/>
  <c r="O44" i="6"/>
  <c r="O43" i="6"/>
  <c r="R24" i="6"/>
  <c r="S24" i="6" s="1"/>
  <c r="V267" i="8"/>
  <c r="W267" i="8" s="1"/>
  <c r="V265" i="8"/>
  <c r="W265" i="8" s="1"/>
  <c r="O63" i="6"/>
  <c r="V266" i="8"/>
  <c r="W266" i="8" s="1"/>
  <c r="T174" i="8"/>
  <c r="R117" i="8"/>
  <c r="K292" i="8"/>
  <c r="O292" i="8" s="1"/>
  <c r="S290" i="8" s="1"/>
  <c r="K291" i="8"/>
  <c r="O291" i="8" s="1"/>
  <c r="R290" i="8" s="1"/>
  <c r="R292" i="8" s="1"/>
  <c r="T62" i="8"/>
  <c r="T61" i="8"/>
  <c r="K294" i="8"/>
  <c r="T116" i="8"/>
  <c r="K114" i="6"/>
  <c r="T172" i="8"/>
  <c r="N283" i="8"/>
  <c r="R282" i="8" s="1"/>
  <c r="R284" i="8" s="1"/>
  <c r="N284" i="8"/>
  <c r="S282" i="8" s="1"/>
  <c r="S284" i="8" s="1"/>
  <c r="K115" i="6"/>
  <c r="K293" i="8"/>
  <c r="O293" i="8" s="1"/>
  <c r="T290" i="8" s="1"/>
  <c r="I115" i="6"/>
  <c r="P52" i="6"/>
  <c r="P54" i="6"/>
  <c r="D37" i="14"/>
  <c r="D8" i="14"/>
  <c r="J6" i="14"/>
  <c r="J5" i="14"/>
  <c r="H36" i="14"/>
  <c r="H24" i="14"/>
  <c r="H23" i="14"/>
  <c r="H34" i="14"/>
  <c r="H25" i="14"/>
  <c r="O294" i="8"/>
  <c r="U290" i="8" s="1"/>
  <c r="U295" i="8" s="1"/>
  <c r="S118" i="8"/>
  <c r="I116" i="6"/>
  <c r="J115" i="6"/>
  <c r="J114" i="6"/>
  <c r="R25" i="6"/>
  <c r="S25" i="6" s="1"/>
  <c r="H35" i="14"/>
  <c r="D26" i="14"/>
  <c r="C37" i="14"/>
  <c r="J116" i="6"/>
  <c r="Q64" i="6"/>
  <c r="Q62" i="6"/>
  <c r="R62" i="6" s="1"/>
  <c r="S62" i="6" s="1"/>
  <c r="T81" i="8"/>
  <c r="U81" i="8" s="1"/>
  <c r="T284" i="8"/>
  <c r="T285" i="8"/>
  <c r="T286" i="8"/>
  <c r="T118" i="8"/>
  <c r="R285" i="8"/>
  <c r="R286" i="8"/>
  <c r="U125" i="8"/>
  <c r="S62" i="8"/>
  <c r="U126" i="8"/>
  <c r="S60" i="8"/>
  <c r="D35" i="15"/>
  <c r="J16" i="17"/>
  <c r="T200" i="8"/>
  <c r="U127" i="8"/>
  <c r="S117" i="8"/>
  <c r="R60" i="8"/>
  <c r="R61" i="8"/>
  <c r="T201" i="8"/>
  <c r="K3" i="8" a="1"/>
  <c r="K3" i="8" s="1"/>
  <c r="S144" i="8"/>
  <c r="Q52" i="6"/>
  <c r="Q54" i="6"/>
  <c r="Q53" i="6"/>
  <c r="O52" i="6"/>
  <c r="O54" i="6"/>
  <c r="O53" i="6"/>
  <c r="L7" i="15"/>
  <c r="C16" i="17" s="1"/>
  <c r="AK47" i="17" s="1"/>
  <c r="M17" i="15"/>
  <c r="Y18" i="17" s="1"/>
  <c r="R118" i="8"/>
  <c r="S174" i="8"/>
  <c r="S172" i="8"/>
  <c r="U172" i="8" s="1"/>
  <c r="V172" i="8" s="1"/>
  <c r="S145" i="8"/>
  <c r="R174" i="8"/>
  <c r="R173" i="8"/>
  <c r="U173" i="8" s="1"/>
  <c r="V173" i="8" s="1"/>
  <c r="T53" i="8"/>
  <c r="U53" i="8" s="1"/>
  <c r="S32" i="8"/>
  <c r="T109" i="8"/>
  <c r="U109" i="8" s="1"/>
  <c r="T144" i="8"/>
  <c r="T146" i="8"/>
  <c r="S124" i="8"/>
  <c r="T126" i="8"/>
  <c r="T127" i="8"/>
  <c r="S33" i="8"/>
  <c r="T137" i="8"/>
  <c r="U137" i="8" s="1"/>
  <c r="T80" i="8"/>
  <c r="U80" i="8" s="1"/>
  <c r="T52" i="8"/>
  <c r="U52" i="8" s="1"/>
  <c r="O42" i="8"/>
  <c r="U38" i="8" s="1"/>
  <c r="U42" i="8" s="1"/>
  <c r="R32" i="8"/>
  <c r="T124" i="8"/>
  <c r="T108" i="8"/>
  <c r="U108" i="8" s="1"/>
  <c r="R277" i="8"/>
  <c r="R276" i="8"/>
  <c r="H6" i="14"/>
  <c r="R124" i="8"/>
  <c r="S276" i="8"/>
  <c r="S277" i="8"/>
  <c r="H7" i="14"/>
  <c r="R126" i="8"/>
  <c r="R44" i="6"/>
  <c r="S44" i="6" s="1"/>
  <c r="T34" i="8"/>
  <c r="U34" i="8" s="1"/>
  <c r="V34" i="8" s="1"/>
  <c r="S127" i="8"/>
  <c r="Q14" i="15"/>
  <c r="H16" i="17"/>
  <c r="D34" i="15"/>
  <c r="Y16" i="17"/>
  <c r="J24" i="15"/>
  <c r="N24" i="15" s="1"/>
  <c r="J23" i="15"/>
  <c r="N23" i="15" s="1"/>
  <c r="D37" i="15" s="1"/>
  <c r="R43" i="6"/>
  <c r="S43" i="6" s="1"/>
  <c r="T32" i="8"/>
  <c r="S126" i="8"/>
  <c r="R6" i="15"/>
  <c r="Y15" i="17"/>
  <c r="E16" i="17"/>
  <c r="R14" i="15"/>
  <c r="Y17" i="17"/>
  <c r="R125" i="8"/>
  <c r="R42" i="6"/>
  <c r="S42" i="6" s="1"/>
  <c r="R33" i="8"/>
  <c r="J26" i="15"/>
  <c r="N26" i="15" s="1"/>
  <c r="J25" i="15"/>
  <c r="N25" i="15" s="1"/>
  <c r="R32" i="6"/>
  <c r="S32" i="6" s="1"/>
  <c r="U96" i="8"/>
  <c r="U98" i="8"/>
  <c r="U99" i="8"/>
  <c r="U97" i="8"/>
  <c r="S202" i="8"/>
  <c r="S200" i="8"/>
  <c r="S201" i="8"/>
  <c r="R202" i="8"/>
  <c r="R200" i="8"/>
  <c r="R201" i="8"/>
  <c r="T192" i="8"/>
  <c r="U192" i="8" s="1"/>
  <c r="T193" i="8"/>
  <c r="U193" i="8" s="1"/>
  <c r="T164" i="8"/>
  <c r="U164" i="8" s="1"/>
  <c r="T165" i="8"/>
  <c r="U165" i="8" s="1"/>
  <c r="R144" i="8"/>
  <c r="R145" i="8"/>
  <c r="U145" i="8" s="1"/>
  <c r="V145" i="8" s="1"/>
  <c r="R146" i="8"/>
  <c r="T136" i="8"/>
  <c r="U136" i="8" s="1"/>
  <c r="U116" i="8"/>
  <c r="V116" i="8" s="1"/>
  <c r="T71" i="8"/>
  <c r="T70" i="8"/>
  <c r="T68" i="8"/>
  <c r="T69" i="8"/>
  <c r="R69" i="8"/>
  <c r="R68" i="8"/>
  <c r="R71" i="8"/>
  <c r="R70" i="8"/>
  <c r="U62" i="8"/>
  <c r="V62" i="8" s="1"/>
  <c r="O39" i="8"/>
  <c r="R38" i="8" s="1"/>
  <c r="O40" i="8"/>
  <c r="S38" i="8" s="1"/>
  <c r="O41" i="8"/>
  <c r="T38" i="8" s="1"/>
  <c r="T89" i="8"/>
  <c r="T88" i="8"/>
  <c r="T90" i="8"/>
  <c r="S89" i="8"/>
  <c r="S90" i="8"/>
  <c r="S88" i="8"/>
  <c r="R89" i="8"/>
  <c r="R88" i="8"/>
  <c r="R90" i="8"/>
  <c r="U180" i="8"/>
  <c r="U181" i="8"/>
  <c r="U182" i="8"/>
  <c r="U183" i="8"/>
  <c r="T181" i="8"/>
  <c r="T182" i="8"/>
  <c r="T183" i="8"/>
  <c r="T180" i="8"/>
  <c r="S153" i="8"/>
  <c r="S152" i="8"/>
  <c r="S154" i="8"/>
  <c r="S155" i="8"/>
  <c r="R153" i="8"/>
  <c r="R152" i="8"/>
  <c r="R155" i="8"/>
  <c r="R154" i="8"/>
  <c r="T155" i="8"/>
  <c r="T152" i="8"/>
  <c r="T154" i="8"/>
  <c r="T153" i="8"/>
  <c r="U155" i="8"/>
  <c r="U152" i="8"/>
  <c r="U153" i="8"/>
  <c r="U154" i="8"/>
  <c r="R181" i="8"/>
  <c r="R183" i="8"/>
  <c r="R180" i="8"/>
  <c r="R182" i="8"/>
  <c r="S180" i="8"/>
  <c r="S181" i="8"/>
  <c r="S183" i="8"/>
  <c r="S182" i="8"/>
  <c r="R97" i="8"/>
  <c r="R98" i="8"/>
  <c r="R96" i="8"/>
  <c r="R99" i="8"/>
  <c r="T96" i="8"/>
  <c r="T98" i="8"/>
  <c r="T99" i="8"/>
  <c r="T97" i="8"/>
  <c r="S97" i="8"/>
  <c r="S98" i="8"/>
  <c r="S96" i="8"/>
  <c r="S99" i="8"/>
  <c r="S69" i="8"/>
  <c r="S70" i="8"/>
  <c r="S68" i="8"/>
  <c r="S71" i="8"/>
  <c r="U69" i="8"/>
  <c r="U68" i="8"/>
  <c r="U70" i="8"/>
  <c r="U71" i="8"/>
  <c r="T209" i="8"/>
  <c r="T211" i="8"/>
  <c r="T208" i="8"/>
  <c r="T210" i="8"/>
  <c r="U208" i="8"/>
  <c r="U210" i="8"/>
  <c r="U211" i="8"/>
  <c r="U209" i="8"/>
  <c r="R209" i="8"/>
  <c r="R211" i="8"/>
  <c r="R210" i="8"/>
  <c r="R208" i="8"/>
  <c r="S208" i="8"/>
  <c r="S210" i="8"/>
  <c r="S209" i="8"/>
  <c r="S211" i="8"/>
  <c r="J82" i="6"/>
  <c r="J81" i="6"/>
  <c r="J83" i="6"/>
  <c r="L83" i="6" s="1"/>
  <c r="Q79" i="6" s="1"/>
  <c r="I81" i="6"/>
  <c r="I82" i="6"/>
  <c r="Z23" i="8"/>
  <c r="Z25" i="8" s="1"/>
  <c r="Z27" i="8" s="1"/>
  <c r="Q72" i="6"/>
  <c r="Q71" i="6"/>
  <c r="R33" i="6"/>
  <c r="S33" i="6" s="1"/>
  <c r="V22" i="6"/>
  <c r="V24" i="6" s="1"/>
  <c r="V26" i="6" s="1"/>
  <c r="O71" i="6"/>
  <c r="O73" i="6"/>
  <c r="O72" i="6"/>
  <c r="P72" i="6"/>
  <c r="P71" i="6"/>
  <c r="P73" i="6"/>
  <c r="R63" i="6"/>
  <c r="S63" i="6" s="1"/>
  <c r="R64" i="6"/>
  <c r="S64" i="6" s="1"/>
  <c r="Z263" i="8" l="1"/>
  <c r="Z265" i="8" s="1"/>
  <c r="Z267" i="8" s="1"/>
  <c r="U117" i="8"/>
  <c r="V117" i="8" s="1"/>
  <c r="S285" i="8"/>
  <c r="U61" i="8"/>
  <c r="V61" i="8" s="1"/>
  <c r="R294" i="8"/>
  <c r="S295" i="8"/>
  <c r="S293" i="8"/>
  <c r="V125" i="8"/>
  <c r="W125" i="8" s="1"/>
  <c r="S286" i="8"/>
  <c r="S292" i="8"/>
  <c r="R52" i="6"/>
  <c r="S52" i="6" s="1"/>
  <c r="S294" i="8"/>
  <c r="L114" i="6"/>
  <c r="O112" i="6" s="1"/>
  <c r="V41" i="6"/>
  <c r="V43" i="6" s="1"/>
  <c r="V45" i="6" s="1"/>
  <c r="U294" i="8"/>
  <c r="L115" i="6"/>
  <c r="J11" i="17" s="1"/>
  <c r="AK49" i="17" s="1"/>
  <c r="R293" i="8"/>
  <c r="R295" i="8"/>
  <c r="L116" i="6"/>
  <c r="Q112" i="6" s="1"/>
  <c r="U292" i="8"/>
  <c r="U293" i="8"/>
  <c r="R53" i="6"/>
  <c r="S53" i="6" s="1"/>
  <c r="R54" i="6"/>
  <c r="S54" i="6" s="1"/>
  <c r="I5" i="14"/>
  <c r="K5" i="14" s="1"/>
  <c r="Y9" i="17" s="1"/>
  <c r="I6" i="14"/>
  <c r="K6" i="14" s="1"/>
  <c r="I7" i="14"/>
  <c r="K7" i="14" s="1"/>
  <c r="U174" i="8"/>
  <c r="V174" i="8" s="1"/>
  <c r="I35" i="14"/>
  <c r="K35" i="14" s="1"/>
  <c r="O32" i="14" s="1"/>
  <c r="I24" i="14"/>
  <c r="K24" i="14" s="1"/>
  <c r="O21" i="14" s="1"/>
  <c r="I23" i="14"/>
  <c r="K23" i="14" s="1"/>
  <c r="N21" i="14" s="1"/>
  <c r="I34" i="14"/>
  <c r="K34" i="14" s="1"/>
  <c r="N32" i="14" s="1"/>
  <c r="U118" i="8"/>
  <c r="V118" i="8" s="1"/>
  <c r="Z115" i="8" s="1"/>
  <c r="Z117" i="8" s="1"/>
  <c r="Z119" i="8" s="1"/>
  <c r="I25" i="14"/>
  <c r="K25" i="14" s="1"/>
  <c r="P21" i="14" s="1"/>
  <c r="I36" i="14"/>
  <c r="K36" i="14" s="1"/>
  <c r="P32" i="14" s="1"/>
  <c r="U60" i="8"/>
  <c r="V60" i="8" s="1"/>
  <c r="U284" i="8"/>
  <c r="V284" i="8" s="1"/>
  <c r="AK51" i="17"/>
  <c r="AK48" i="17"/>
  <c r="AK50" i="17"/>
  <c r="Y14" i="17"/>
  <c r="I88" i="24" s="1"/>
  <c r="U286" i="8"/>
  <c r="V286" i="8" s="1"/>
  <c r="U285" i="8"/>
  <c r="V285" i="8" s="1"/>
  <c r="V127" i="8"/>
  <c r="W127" i="8" s="1"/>
  <c r="Q6" i="15"/>
  <c r="Q9" i="15" s="1"/>
  <c r="Z51" i="8"/>
  <c r="Z53" i="8" s="1"/>
  <c r="Z55" i="8" s="1"/>
  <c r="Z79" i="8"/>
  <c r="Z81" i="8" s="1"/>
  <c r="Z83" i="8" s="1"/>
  <c r="V126" i="8"/>
  <c r="W126" i="8" s="1"/>
  <c r="D32" i="15"/>
  <c r="T292" i="8"/>
  <c r="T293" i="8"/>
  <c r="T295" i="8"/>
  <c r="V295" i="8" s="1"/>
  <c r="W295" i="8" s="1"/>
  <c r="T294" i="8"/>
  <c r="K96" i="24"/>
  <c r="S14" i="15"/>
  <c r="S16" i="15" s="1"/>
  <c r="I96" i="24"/>
  <c r="L16" i="17"/>
  <c r="J96" i="24"/>
  <c r="D36" i="15"/>
  <c r="J88" i="24"/>
  <c r="U43" i="8"/>
  <c r="Z107" i="8"/>
  <c r="Z109" i="8" s="1"/>
  <c r="Z111" i="8" s="1"/>
  <c r="U146" i="8"/>
  <c r="V146" i="8" s="1"/>
  <c r="U144" i="8"/>
  <c r="V144" i="8" s="1"/>
  <c r="Z135" i="8"/>
  <c r="Z137" i="8" s="1"/>
  <c r="Z139" i="8" s="1"/>
  <c r="U33" i="8"/>
  <c r="V33" i="8" s="1"/>
  <c r="U201" i="8"/>
  <c r="V201" i="8" s="1"/>
  <c r="U40" i="8"/>
  <c r="V124" i="8"/>
  <c r="W124" i="8" s="1"/>
  <c r="U32" i="8"/>
  <c r="V32" i="8" s="1"/>
  <c r="U41" i="8"/>
  <c r="V209" i="8"/>
  <c r="W209" i="8" s="1"/>
  <c r="U200" i="8"/>
  <c r="V200" i="8" s="1"/>
  <c r="U202" i="8"/>
  <c r="V202" i="8" s="1"/>
  <c r="R22" i="15"/>
  <c r="P16" i="17"/>
  <c r="Y20" i="17"/>
  <c r="D38" i="15"/>
  <c r="R8" i="15"/>
  <c r="R9" i="15"/>
  <c r="T22" i="15"/>
  <c r="T16" i="17"/>
  <c r="D40" i="15"/>
  <c r="Y22" i="17"/>
  <c r="S22" i="15"/>
  <c r="R16" i="17"/>
  <c r="Y21" i="17"/>
  <c r="D39" i="15"/>
  <c r="Q22" i="15"/>
  <c r="Y19" i="17"/>
  <c r="N16" i="17"/>
  <c r="M37" i="15"/>
  <c r="U90" i="8"/>
  <c r="V90" i="8" s="1"/>
  <c r="Z171" i="8"/>
  <c r="Z173" i="8" s="1"/>
  <c r="Z175" i="8" s="1"/>
  <c r="Q16" i="15"/>
  <c r="Q18" i="15"/>
  <c r="Q17" i="15"/>
  <c r="R17" i="15"/>
  <c r="R16" i="15"/>
  <c r="R18" i="15"/>
  <c r="T276" i="8"/>
  <c r="U276" i="8" s="1"/>
  <c r="U88" i="8"/>
  <c r="V88" i="8" s="1"/>
  <c r="V31" i="6"/>
  <c r="V33" i="6" s="1"/>
  <c r="V35" i="6" s="1"/>
  <c r="U89" i="8"/>
  <c r="V89" i="8" s="1"/>
  <c r="T277" i="8"/>
  <c r="U277" i="8" s="1"/>
  <c r="L82" i="6"/>
  <c r="P79" i="6" s="1"/>
  <c r="P82" i="6" s="1"/>
  <c r="L81" i="6"/>
  <c r="O79" i="6" s="1"/>
  <c r="O81" i="6" s="1"/>
  <c r="V208" i="8"/>
  <c r="W208" i="8" s="1"/>
  <c r="V210" i="8"/>
  <c r="W210" i="8" s="1"/>
  <c r="V211" i="8"/>
  <c r="W211" i="8" s="1"/>
  <c r="V96" i="8"/>
  <c r="W96" i="8" s="1"/>
  <c r="V99" i="8"/>
  <c r="W99" i="8" s="1"/>
  <c r="V98" i="8"/>
  <c r="W98" i="8" s="1"/>
  <c r="V182" i="8"/>
  <c r="W182" i="8" s="1"/>
  <c r="V180" i="8"/>
  <c r="W180" i="8" s="1"/>
  <c r="V181" i="8"/>
  <c r="W181" i="8" s="1"/>
  <c r="V154" i="8"/>
  <c r="W154" i="8" s="1"/>
  <c r="V153" i="8"/>
  <c r="W153" i="8" s="1"/>
  <c r="V155" i="8"/>
  <c r="W155" i="8" s="1"/>
  <c r="V152" i="8"/>
  <c r="W152" i="8" s="1"/>
  <c r="V183" i="8"/>
  <c r="W183" i="8" s="1"/>
  <c r="T43" i="8"/>
  <c r="T40" i="8"/>
  <c r="T42" i="8"/>
  <c r="T41" i="8"/>
  <c r="S43" i="8"/>
  <c r="S40" i="8"/>
  <c r="S42" i="8"/>
  <c r="S41" i="8"/>
  <c r="R41" i="8"/>
  <c r="R43" i="8"/>
  <c r="R40" i="8"/>
  <c r="R42" i="8"/>
  <c r="Z59" i="8"/>
  <c r="Z61" i="8" s="1"/>
  <c r="Z63" i="8" s="1"/>
  <c r="V70" i="8"/>
  <c r="W70" i="8" s="1"/>
  <c r="V71" i="8"/>
  <c r="W71" i="8" s="1"/>
  <c r="V68" i="8"/>
  <c r="W68" i="8" s="1"/>
  <c r="V69" i="8"/>
  <c r="W69" i="8" s="1"/>
  <c r="Z163" i="8"/>
  <c r="Z165" i="8" s="1"/>
  <c r="Z167" i="8" s="1"/>
  <c r="Z191" i="8"/>
  <c r="Z193" i="8" s="1"/>
  <c r="Z195" i="8" s="1"/>
  <c r="V97" i="8"/>
  <c r="W97" i="8" s="1"/>
  <c r="Q83" i="6"/>
  <c r="Q82" i="6"/>
  <c r="Q81" i="6"/>
  <c r="R72" i="6"/>
  <c r="S72" i="6" s="1"/>
  <c r="R73" i="6"/>
  <c r="S73" i="6" s="1"/>
  <c r="R71" i="6"/>
  <c r="V62" i="6"/>
  <c r="V64" i="6" s="1"/>
  <c r="V66" i="6" s="1"/>
  <c r="V52" i="6"/>
  <c r="V54" i="6" s="1"/>
  <c r="V56" i="6" s="1"/>
  <c r="V293" i="8" l="1"/>
  <c r="W293" i="8" s="1"/>
  <c r="V294" i="8"/>
  <c r="W294" i="8" s="1"/>
  <c r="N3" i="14"/>
  <c r="N5" i="14" s="1"/>
  <c r="C11" i="17"/>
  <c r="AK46" i="17" s="1"/>
  <c r="Y10" i="17"/>
  <c r="O3" i="14"/>
  <c r="O6" i="14" s="1"/>
  <c r="Q8" i="15"/>
  <c r="P11" i="17"/>
  <c r="AK53" i="17" s="1"/>
  <c r="P112" i="6"/>
  <c r="P114" i="6" s="1"/>
  <c r="V292" i="8"/>
  <c r="W292" i="8" s="1"/>
  <c r="Z291" i="8" s="1"/>
  <c r="Z293" i="8" s="1"/>
  <c r="Z295" i="8" s="1"/>
  <c r="Y11" i="17"/>
  <c r="S90" i="24" s="1"/>
  <c r="P3" i="14"/>
  <c r="P5" i="14" s="1"/>
  <c r="P83" i="6"/>
  <c r="Z31" i="8"/>
  <c r="Z143" i="8"/>
  <c r="Z145" i="8" s="1"/>
  <c r="Z147" i="8" s="1"/>
  <c r="Z283" i="8"/>
  <c r="Z285" i="8" s="1"/>
  <c r="Z287" i="8" s="1"/>
  <c r="N23" i="14"/>
  <c r="N24" i="14"/>
  <c r="N25" i="14"/>
  <c r="O24" i="14"/>
  <c r="O23" i="14"/>
  <c r="Q23" i="14" s="1"/>
  <c r="R23" i="14" s="1"/>
  <c r="O25" i="14"/>
  <c r="Q116" i="6"/>
  <c r="Q114" i="6"/>
  <c r="Q115" i="6"/>
  <c r="P25" i="14"/>
  <c r="P24" i="14"/>
  <c r="P23" i="14"/>
  <c r="O114" i="6"/>
  <c r="O116" i="6"/>
  <c r="O115" i="6"/>
  <c r="AK52" i="17"/>
  <c r="AK56" i="17"/>
  <c r="AK54" i="17"/>
  <c r="AK57" i="17"/>
  <c r="AK55" i="17"/>
  <c r="S18" i="15"/>
  <c r="T18" i="15" s="1"/>
  <c r="U18" i="15" s="1"/>
  <c r="S17" i="15"/>
  <c r="T17" i="15" s="1"/>
  <c r="U17" i="15" s="1"/>
  <c r="N34" i="14"/>
  <c r="O36" i="14"/>
  <c r="O35" i="14"/>
  <c r="Z123" i="8"/>
  <c r="Z125" i="8" s="1"/>
  <c r="Z127" i="8" s="1"/>
  <c r="K104" i="24"/>
  <c r="L95" i="24"/>
  <c r="R89" i="24" s="1"/>
  <c r="L94" i="24"/>
  <c r="R88" i="24" s="1"/>
  <c r="L93" i="24"/>
  <c r="J104" i="24"/>
  <c r="I104" i="24"/>
  <c r="K86" i="24"/>
  <c r="Q88" i="24" s="1"/>
  <c r="K85" i="24"/>
  <c r="L85" i="24" s="1"/>
  <c r="K87" i="24"/>
  <c r="Q89" i="24" s="1"/>
  <c r="L104" i="24"/>
  <c r="Q90" i="24"/>
  <c r="R90" i="24"/>
  <c r="Z199" i="8"/>
  <c r="Z201" i="8" s="1"/>
  <c r="Z203" i="8" s="1"/>
  <c r="Z87" i="8"/>
  <c r="Z89" i="8" s="1"/>
  <c r="Z91" i="8" s="1"/>
  <c r="S9" i="15"/>
  <c r="T9" i="15" s="1"/>
  <c r="T16" i="15"/>
  <c r="U16" i="15" s="1"/>
  <c r="Z151" i="8"/>
  <c r="Z153" i="8" s="1"/>
  <c r="Z155" i="8" s="1"/>
  <c r="P81" i="6"/>
  <c r="T27" i="15"/>
  <c r="T25" i="15"/>
  <c r="T24" i="15"/>
  <c r="T26" i="15"/>
  <c r="S26" i="15"/>
  <c r="S24" i="15"/>
  <c r="S27" i="15"/>
  <c r="S25" i="15"/>
  <c r="V43" i="8"/>
  <c r="W43" i="8" s="1"/>
  <c r="V40" i="8"/>
  <c r="W40" i="8" s="1"/>
  <c r="O5" i="14"/>
  <c r="O7" i="14"/>
  <c r="Z275" i="8"/>
  <c r="Z277" i="8" s="1"/>
  <c r="Z279" i="8" s="1"/>
  <c r="N6" i="14"/>
  <c r="N7" i="14"/>
  <c r="S8" i="15"/>
  <c r="T8" i="15" s="1"/>
  <c r="Q25" i="15"/>
  <c r="Q26" i="15"/>
  <c r="Q24" i="15"/>
  <c r="Q27" i="15"/>
  <c r="R27" i="15"/>
  <c r="R26" i="15"/>
  <c r="R25" i="15"/>
  <c r="R24" i="15"/>
  <c r="Z67" i="8"/>
  <c r="Z69" i="8" s="1"/>
  <c r="Z71" i="8" s="1"/>
  <c r="V41" i="8"/>
  <c r="W41" i="8" s="1"/>
  <c r="V42" i="8"/>
  <c r="W42" i="8" s="1"/>
  <c r="Z179" i="8"/>
  <c r="Z181" i="8" s="1"/>
  <c r="Z183" i="8" s="1"/>
  <c r="Z95" i="8"/>
  <c r="Z97" i="8" s="1"/>
  <c r="Z99" i="8" s="1"/>
  <c r="Z207" i="8"/>
  <c r="Z209" i="8" s="1"/>
  <c r="Z211" i="8" s="1"/>
  <c r="Z33" i="8"/>
  <c r="Z35" i="8" s="1"/>
  <c r="O82" i="6"/>
  <c r="R82" i="6" s="1"/>
  <c r="S82" i="6" s="1"/>
  <c r="O83" i="6"/>
  <c r="R83" i="6" s="1"/>
  <c r="S83" i="6" s="1"/>
  <c r="S71" i="6"/>
  <c r="V71" i="6" s="1"/>
  <c r="V73" i="6" s="1"/>
  <c r="V75" i="6" s="1"/>
  <c r="N36" i="14" l="1"/>
  <c r="N35" i="14"/>
  <c r="O34" i="14"/>
  <c r="P7" i="14"/>
  <c r="Q7" i="14" s="1"/>
  <c r="R7" i="14" s="1"/>
  <c r="P36" i="14"/>
  <c r="P35" i="14"/>
  <c r="P6" i="14"/>
  <c r="Q6" i="14" s="1"/>
  <c r="R6" i="14" s="1"/>
  <c r="P115" i="6"/>
  <c r="R115" i="6" s="1"/>
  <c r="S115" i="6" s="1"/>
  <c r="P116" i="6"/>
  <c r="R116" i="6" s="1"/>
  <c r="S116" i="6" s="1"/>
  <c r="P34" i="14"/>
  <c r="Q34" i="14" s="1"/>
  <c r="R34" i="14" s="1"/>
  <c r="R114" i="6"/>
  <c r="S114" i="6" s="1"/>
  <c r="Q36" i="14"/>
  <c r="R36" i="14" s="1"/>
  <c r="Q25" i="14"/>
  <c r="R25" i="14" s="1"/>
  <c r="Q24" i="14"/>
  <c r="R24" i="14" s="1"/>
  <c r="L87" i="24"/>
  <c r="M94" i="24"/>
  <c r="L86" i="24"/>
  <c r="M95" i="24"/>
  <c r="R87" i="24"/>
  <c r="L96" i="24"/>
  <c r="M102" i="24"/>
  <c r="M103" i="24"/>
  <c r="M101" i="24"/>
  <c r="M93" i="24"/>
  <c r="Q87" i="24"/>
  <c r="K88" i="24"/>
  <c r="R81" i="6"/>
  <c r="S81" i="6" s="1"/>
  <c r="V81" i="6" s="1"/>
  <c r="V83" i="6" s="1"/>
  <c r="V85" i="6" s="1"/>
  <c r="Y7" i="15"/>
  <c r="Y9" i="15" s="1"/>
  <c r="Y11" i="15" s="1"/>
  <c r="Y15" i="15"/>
  <c r="Y17" i="15" s="1"/>
  <c r="Y19" i="15" s="1"/>
  <c r="U24" i="15"/>
  <c r="V24" i="15" s="1"/>
  <c r="U25" i="15"/>
  <c r="V25" i="15" s="1"/>
  <c r="Q5" i="14"/>
  <c r="R5" i="14" s="1"/>
  <c r="U26" i="15"/>
  <c r="V26" i="15" s="1"/>
  <c r="U27" i="15"/>
  <c r="V27" i="15" s="1"/>
  <c r="Z39" i="8"/>
  <c r="Z41" i="8" s="1"/>
  <c r="Z43" i="8" s="1"/>
  <c r="Q35" i="14" l="1"/>
  <c r="R35" i="14" s="1"/>
  <c r="V114" i="6"/>
  <c r="V116" i="6" s="1"/>
  <c r="V118" i="6" s="1"/>
  <c r="U21" i="14"/>
  <c r="U23" i="14" s="1"/>
  <c r="U25" i="14" s="1"/>
  <c r="U32" i="14"/>
  <c r="U34" i="14" s="1"/>
  <c r="U36" i="14" s="1"/>
  <c r="M96" i="24"/>
  <c r="L88" i="24"/>
  <c r="M104" i="24"/>
  <c r="S87" i="24"/>
  <c r="T87" i="24" s="1"/>
  <c r="N101" i="24"/>
  <c r="S88" i="24"/>
  <c r="T88" i="24" s="1"/>
  <c r="N102" i="24"/>
  <c r="S89" i="24"/>
  <c r="T89" i="24" s="1"/>
  <c r="N103" i="24"/>
  <c r="U3" i="14"/>
  <c r="U5" i="14" s="1"/>
  <c r="U7" i="14" s="1"/>
  <c r="Y23" i="15"/>
  <c r="Y25" i="15" s="1"/>
  <c r="Y27" i="15" s="1"/>
  <c r="T90" i="24" l="1"/>
  <c r="D202" i="31"/>
  <c r="D203" i="31" s="1"/>
  <c r="D206" i="31" s="1"/>
  <c r="K5" i="8" l="1"/>
  <c r="K4" i="8"/>
  <c r="K8" i="8" s="1"/>
  <c r="K10" i="8" s="1"/>
  <c r="K12" i="8" s="1"/>
  <c r="K3" i="6"/>
  <c r="K2" i="6"/>
  <c r="K4" i="6" l="1"/>
  <c r="K6" i="6" s="1"/>
  <c r="K8" i="6" s="1"/>
  <c r="N104" i="24"/>
</calcChain>
</file>

<file path=xl/sharedStrings.xml><?xml version="1.0" encoding="utf-8"?>
<sst xmlns="http://schemas.openxmlformats.org/spreadsheetml/2006/main" count="3356" uniqueCount="423">
  <si>
    <t>Selección de un modelo de producción hídrica idóneo para propósitos de manejo de una cuenca abastecedora de los andes colombianos, caso de estudio: Cuenca del Río Tona</t>
  </si>
  <si>
    <t>Jhon Andrew Quintero Cárdenas</t>
  </si>
  <si>
    <t>Andrés Felipe Rondón Chavarrío</t>
  </si>
  <si>
    <t>TABLA DE CONTENIDO</t>
  </si>
  <si>
    <t>1.1</t>
  </si>
  <si>
    <t>Información obtenida de los expertos a través de la herramienta Forms</t>
  </si>
  <si>
    <t>1.2</t>
  </si>
  <si>
    <t>Análisis de consistencia (criterios) de las respuestas de los expertos</t>
  </si>
  <si>
    <t>1.2.1</t>
  </si>
  <si>
    <t>Matriz agregada Criterios</t>
  </si>
  <si>
    <t>1.3</t>
  </si>
  <si>
    <t>Análisis de consistencia (Subcriterios) de las respuestas de los expertos</t>
  </si>
  <si>
    <t>1.3.1</t>
  </si>
  <si>
    <t>Matriz agregada Subcriterios</t>
  </si>
  <si>
    <t>1.4</t>
  </si>
  <si>
    <t>Resultados (pesos de criterios y subcriterios)</t>
  </si>
  <si>
    <t>Caracterización de los modelos, y asignación de indicadores.</t>
  </si>
  <si>
    <t>3.1</t>
  </si>
  <si>
    <t>Selección del modelo usando la metodología AHP</t>
  </si>
  <si>
    <t>3.2</t>
  </si>
  <si>
    <t>Selección del modelo usando el método MSE con las preferencias de los usuarios</t>
  </si>
  <si>
    <t>Marca temporal</t>
  </si>
  <si>
    <r>
      <rPr>
        <b/>
        <sz val="10"/>
        <color theme="1"/>
        <rFont val="Times New Roman"/>
        <family val="1"/>
      </rPr>
      <t>Consentimiento Informado</t>
    </r>
    <r>
      <rPr>
        <sz val="10"/>
        <color theme="1"/>
        <rFont val="Times New Roman"/>
        <family val="1"/>
      </rPr>
      <t xml:space="preserve">
Por favor, lea esta sección cuidadosamente y, una vez considerados todos los aspectos establecidos, proceda a manifestar su acuerdo o desacuerdo con el consentimiento.
La información recopilada a través de este formulario es confidencial y su único fin es el académico en el marco del desarrollo del trabajo de grado “Selección de un modelo de producción hídrica idóneo para propósitos de manejo de una cuenca abastecedora de los andes colombianos, caso de estudio: Cuenca del Río Tona”, cuya descripción se realizó en la sección anterior.
La participación en el diligenciamiento de este formulario es completamente voluntaria, no representa riesgos para los participantes, y no tiene asociada una compensación económica. Sin embargo, los miembros del equipo de trabajo del proyecto se comprometen a compartir los resultados finales del ejercicio realizado con los expertos que participen en el proceso de valoración de criterios y subcriterios.
La información recolectada en este formulario será guardada y procesada por el equipo investigador para realizar productos como: documentos escritos, artículos, comunicaciones en eventos científicos. La circulación de estos productos se realizará en medios tales como: web, libro impreso, cartillas, revistas, entre otros. Por lo tanto: Deseo participar en el proyecto de investigación de la Universidad Industrial de Santander anteriormente citado. El objetivo me ha sido mencionado claramente y conozco los beneficios y riesgos de mi participación en el proyecto ante lo cual decido que mi participación implique: </t>
    </r>
    <r>
      <rPr>
        <i/>
        <sz val="10"/>
        <color theme="1"/>
        <rFont val="Times New Roman"/>
        <family val="1"/>
      </rPr>
      <t xml:space="preserve">
Marque todas las casillas que apliquen</t>
    </r>
  </si>
  <si>
    <r>
      <t xml:space="preserve">La </t>
    </r>
    <r>
      <rPr>
        <b/>
        <sz val="10"/>
        <color theme="1"/>
        <rFont val="Times New Roman"/>
        <family val="1"/>
      </rPr>
      <t>precisión</t>
    </r>
    <r>
      <rPr>
        <sz val="10"/>
        <color theme="1"/>
        <rFont val="Times New Roman"/>
        <family val="1"/>
      </rPr>
      <t xml:space="preserve"> es ________ que la </t>
    </r>
    <r>
      <rPr>
        <b/>
        <sz val="10"/>
        <color theme="1"/>
        <rFont val="Times New Roman"/>
        <family val="1"/>
      </rPr>
      <t>accesibilidad</t>
    </r>
    <r>
      <rPr>
        <sz val="10"/>
        <color theme="1"/>
        <rFont val="Times New Roman"/>
        <family val="1"/>
      </rPr>
      <t>.</t>
    </r>
  </si>
  <si>
    <r>
      <t xml:space="preserve">La </t>
    </r>
    <r>
      <rPr>
        <b/>
        <sz val="10"/>
        <color theme="1"/>
        <rFont val="Times New Roman"/>
        <family val="1"/>
      </rPr>
      <t xml:space="preserve">resolución </t>
    </r>
    <r>
      <rPr>
        <sz val="10"/>
        <color theme="1"/>
        <rFont val="Times New Roman"/>
        <family val="1"/>
      </rPr>
      <t xml:space="preserve">es ________ que la </t>
    </r>
    <r>
      <rPr>
        <b/>
        <sz val="10"/>
        <color theme="1"/>
        <rFont val="Times New Roman"/>
        <family val="1"/>
      </rPr>
      <t>robustez</t>
    </r>
  </si>
  <si>
    <r>
      <t xml:space="preserve">La </t>
    </r>
    <r>
      <rPr>
        <b/>
        <sz val="10"/>
        <color theme="1"/>
        <rFont val="Times New Roman"/>
        <family val="1"/>
      </rPr>
      <t>robustez</t>
    </r>
    <r>
      <rPr>
        <sz val="10"/>
        <color theme="1"/>
        <rFont val="Times New Roman"/>
        <family val="1"/>
      </rPr>
      <t xml:space="preserve"> es ________ que la </t>
    </r>
    <r>
      <rPr>
        <b/>
        <sz val="10"/>
        <color theme="1"/>
        <rFont val="Times New Roman"/>
        <family val="1"/>
      </rPr>
      <t>accesibilidad.</t>
    </r>
  </si>
  <si>
    <r>
      <t xml:space="preserve">La </t>
    </r>
    <r>
      <rPr>
        <b/>
        <sz val="10"/>
        <color theme="1"/>
        <rFont val="Times New Roman"/>
        <family val="1"/>
      </rPr>
      <t>discretización espacial usada por el modelo</t>
    </r>
    <r>
      <rPr>
        <sz val="10"/>
        <color theme="1"/>
        <rFont val="Times New Roman"/>
        <family val="1"/>
      </rPr>
      <t xml:space="preserve"> es ________ que la </t>
    </r>
    <r>
      <rPr>
        <b/>
        <sz val="10"/>
        <color theme="1"/>
        <rFont val="Times New Roman"/>
        <family val="1"/>
      </rPr>
      <t>resolución temporal mínima de salida.</t>
    </r>
  </si>
  <si>
    <r>
      <t xml:space="preserve">La </t>
    </r>
    <r>
      <rPr>
        <b/>
        <sz val="10"/>
        <color theme="1"/>
        <rFont val="Times New Roman"/>
        <family val="1"/>
      </rPr>
      <t>estrategia de calibración</t>
    </r>
    <r>
      <rPr>
        <sz val="10"/>
        <color theme="1"/>
        <rFont val="Times New Roman"/>
        <family val="1"/>
      </rPr>
      <t xml:space="preserve"> es ________ que los </t>
    </r>
    <r>
      <rPr>
        <b/>
        <sz val="10"/>
        <color theme="1"/>
        <rFont val="Times New Roman"/>
        <family val="1"/>
      </rPr>
      <t>procesos naturales modelados.</t>
    </r>
  </si>
  <si>
    <r>
      <t xml:space="preserve">La </t>
    </r>
    <r>
      <rPr>
        <b/>
        <sz val="10"/>
        <color theme="1"/>
        <rFont val="Times New Roman"/>
        <family val="1"/>
      </rPr>
      <t>estrategia de calibración</t>
    </r>
    <r>
      <rPr>
        <sz val="10"/>
        <color theme="1"/>
        <rFont val="Times New Roman"/>
        <family val="1"/>
      </rPr>
      <t xml:space="preserve"> es ________ que el </t>
    </r>
    <r>
      <rPr>
        <b/>
        <sz val="10"/>
        <color theme="1"/>
        <rFont val="Times New Roman"/>
        <family val="1"/>
      </rPr>
      <t>análisis de escenarios.</t>
    </r>
  </si>
  <si>
    <r>
      <t xml:space="preserve">Los </t>
    </r>
    <r>
      <rPr>
        <b/>
        <sz val="10"/>
        <color theme="1"/>
        <rFont val="Times New Roman"/>
        <family val="1"/>
      </rPr>
      <t>procesos naturales modelados</t>
    </r>
    <r>
      <rPr>
        <sz val="10"/>
        <color theme="1"/>
        <rFont val="Times New Roman"/>
        <family val="1"/>
      </rPr>
      <t xml:space="preserve"> son ________ que el </t>
    </r>
    <r>
      <rPr>
        <b/>
        <sz val="10"/>
        <color theme="1"/>
        <rFont val="Times New Roman"/>
        <family val="1"/>
      </rPr>
      <t>análisis de escenarios.</t>
    </r>
  </si>
  <si>
    <r>
      <t xml:space="preserve">La </t>
    </r>
    <r>
      <rPr>
        <b/>
        <sz val="10"/>
        <color theme="1"/>
        <rFont val="Times New Roman"/>
        <family val="1"/>
      </rPr>
      <t>disponibilidad del código</t>
    </r>
    <r>
      <rPr>
        <sz val="10"/>
        <color theme="1"/>
        <rFont val="Times New Roman"/>
        <family val="1"/>
      </rPr>
      <t xml:space="preserve"> es ________ que el </t>
    </r>
    <r>
      <rPr>
        <b/>
        <sz val="10"/>
        <color theme="1"/>
        <rFont val="Times New Roman"/>
        <family val="1"/>
      </rPr>
      <t>soporte.</t>
    </r>
  </si>
  <si>
    <r>
      <t xml:space="preserve">La </t>
    </r>
    <r>
      <rPr>
        <b/>
        <sz val="10"/>
        <color theme="1"/>
        <rFont val="Times New Roman"/>
        <family val="1"/>
      </rPr>
      <t xml:space="preserve">disponibilidad del código </t>
    </r>
    <r>
      <rPr>
        <sz val="10"/>
        <color theme="1"/>
        <rFont val="Times New Roman"/>
        <family val="1"/>
      </rPr>
      <t xml:space="preserve">es ________ que los </t>
    </r>
    <r>
      <rPr>
        <b/>
        <sz val="10"/>
        <color theme="1"/>
        <rFont val="Times New Roman"/>
        <family val="1"/>
      </rPr>
      <t>recursos humanos técnicos.</t>
    </r>
  </si>
  <si>
    <r>
      <t xml:space="preserve">La </t>
    </r>
    <r>
      <rPr>
        <b/>
        <sz val="10"/>
        <color theme="1"/>
        <rFont val="Times New Roman"/>
        <family val="1"/>
      </rPr>
      <t xml:space="preserve">disponibilidad del código </t>
    </r>
    <r>
      <rPr>
        <sz val="10"/>
        <color theme="1"/>
        <rFont val="Times New Roman"/>
        <family val="1"/>
      </rPr>
      <t xml:space="preserve">es ________ que el </t>
    </r>
    <r>
      <rPr>
        <b/>
        <sz val="10"/>
        <color theme="1"/>
        <rFont val="Times New Roman"/>
        <family val="1"/>
      </rPr>
      <t>nivel de postprocesamiento.</t>
    </r>
  </si>
  <si>
    <r>
      <t xml:space="preserve">El </t>
    </r>
    <r>
      <rPr>
        <b/>
        <sz val="10"/>
        <color theme="1"/>
        <rFont val="Times New Roman"/>
        <family val="1"/>
      </rPr>
      <t>soporte</t>
    </r>
    <r>
      <rPr>
        <sz val="10"/>
        <color theme="1"/>
        <rFont val="Times New Roman"/>
        <family val="1"/>
      </rPr>
      <t xml:space="preserve"> es ________ que los</t>
    </r>
    <r>
      <rPr>
        <b/>
        <sz val="10"/>
        <color theme="1"/>
        <rFont val="Times New Roman"/>
        <family val="1"/>
      </rPr>
      <t xml:space="preserve"> recursos humanos y técnicos.</t>
    </r>
  </si>
  <si>
    <r>
      <t xml:space="preserve">El </t>
    </r>
    <r>
      <rPr>
        <b/>
        <sz val="10"/>
        <color theme="1"/>
        <rFont val="Times New Roman"/>
        <family val="1"/>
      </rPr>
      <t>soporte</t>
    </r>
    <r>
      <rPr>
        <sz val="10"/>
        <color theme="1"/>
        <rFont val="Times New Roman"/>
        <family val="1"/>
      </rPr>
      <t xml:space="preserve"> es ________ que el </t>
    </r>
    <r>
      <rPr>
        <b/>
        <sz val="10"/>
        <color theme="1"/>
        <rFont val="Times New Roman"/>
        <family val="1"/>
      </rPr>
      <t>nivel de postprocesamiento.</t>
    </r>
  </si>
  <si>
    <r>
      <t xml:space="preserve">Los </t>
    </r>
    <r>
      <rPr>
        <b/>
        <sz val="10"/>
        <color theme="1"/>
        <rFont val="Times New Roman"/>
        <family val="1"/>
      </rPr>
      <t>recursos humanos y técnicos</t>
    </r>
    <r>
      <rPr>
        <sz val="10"/>
        <color theme="1"/>
        <rFont val="Times New Roman"/>
        <family val="1"/>
      </rPr>
      <t xml:space="preserve"> son ________ que el </t>
    </r>
    <r>
      <rPr>
        <b/>
        <sz val="10"/>
        <color theme="1"/>
        <rFont val="Times New Roman"/>
        <family val="1"/>
      </rPr>
      <t>nivel de postprocesamiento.</t>
    </r>
  </si>
  <si>
    <t>Ser encuestado., Evaluar criterios y subcriterios de modelación mediante la metodología AHP., Participar en el proceso de selección del modelo de producción hídrica., Permitir que mis aportes sean citados de manera anónima en los productos del estudio.</t>
  </si>
  <si>
    <t>Extremadamente más importante</t>
  </si>
  <si>
    <t>Mucho más importante</t>
  </si>
  <si>
    <t>Más importante</t>
  </si>
  <si>
    <t>Menos importante</t>
  </si>
  <si>
    <t>Ligeramente menos importante</t>
  </si>
  <si>
    <t>Ligeramente más importante</t>
  </si>
  <si>
    <t>Ser encuestado., Evaluar criterios y subcriterios de modelación mediante la metodología AHP., Permitir que mis aportes sean citados de manera anónima en los productos del estudio.</t>
  </si>
  <si>
    <t>Igual de importante</t>
  </si>
  <si>
    <t>Ser encuestado., Evaluar criterios y subcriterios de modelación mediante la metodología AHP., Participar en el proceso de selección del modelo de producción hídrica., Permitir que mis aportes sean citados con mi nombre en los productos del estudio.</t>
  </si>
  <si>
    <t>Ser encuestado., Evaluar criterios y subcriterios de modelación mediante la metodología AHP., Participar en el proceso de selección del modelo de producción hídrica., Permitir que mis aportes sean citados de manera anónima en los productos del estudio., Permitir que mis aportes sean citados con mi nombre en los productos del estudio., No estoy interesado en participar.</t>
  </si>
  <si>
    <t>Mucho menos importante</t>
  </si>
  <si>
    <t>Evaluar criterios y subcriterios de modelación mediante la metodología AHP., Permitir que mis aportes sean citados de manera anónima en los productos del estudio.</t>
  </si>
  <si>
    <t>mdiazgra@uniandes.edu.co</t>
  </si>
  <si>
    <t>Extremadamente menos importante</t>
  </si>
  <si>
    <t>C1</t>
  </si>
  <si>
    <t>Resolución</t>
  </si>
  <si>
    <t>C2</t>
  </si>
  <si>
    <t>Robustez</t>
  </si>
  <si>
    <t>C3</t>
  </si>
  <si>
    <t>Accesibilidad</t>
  </si>
  <si>
    <t>C1.1</t>
  </si>
  <si>
    <t>Discretización espacial usada por el modelo</t>
  </si>
  <si>
    <t>C2.1</t>
  </si>
  <si>
    <t>Estrategia de calibración</t>
  </si>
  <si>
    <t>C3.1</t>
  </si>
  <si>
    <t>Disponbilidad de código</t>
  </si>
  <si>
    <t>C1.2</t>
  </si>
  <si>
    <t>Resolución temporal mínima de salida</t>
  </si>
  <si>
    <t>C2.2</t>
  </si>
  <si>
    <t>Procesos naturales modelados</t>
  </si>
  <si>
    <t>C3.2</t>
  </si>
  <si>
    <t>Soporte</t>
  </si>
  <si>
    <t>C2.3</t>
  </si>
  <si>
    <t>Análisis de escenarios</t>
  </si>
  <si>
    <t xml:space="preserve">C3.3 </t>
  </si>
  <si>
    <t>Recursos humanos y técnicos</t>
  </si>
  <si>
    <t>C3.4</t>
  </si>
  <si>
    <t>Nivel de postprocesamiento</t>
  </si>
  <si>
    <t>EXPERTO</t>
  </si>
  <si>
    <r>
      <t xml:space="preserve">La </t>
    </r>
    <r>
      <rPr>
        <b/>
        <sz val="10"/>
        <color theme="1"/>
        <rFont val="Times New Roman"/>
        <family val="1"/>
      </rPr>
      <t>resolución</t>
    </r>
    <r>
      <rPr>
        <sz val="10"/>
        <color theme="1"/>
        <rFont val="Times New Roman"/>
        <family val="1"/>
      </rPr>
      <t xml:space="preserve"> es ________ que la </t>
    </r>
    <r>
      <rPr>
        <b/>
        <sz val="10"/>
        <color theme="1"/>
        <rFont val="Times New Roman"/>
        <family val="1"/>
      </rPr>
      <t>accesibilidad</t>
    </r>
    <r>
      <rPr>
        <sz val="10"/>
        <color theme="1"/>
        <rFont val="Times New Roman"/>
        <family val="1"/>
      </rPr>
      <t>.</t>
    </r>
  </si>
  <si>
    <t>EXPERTO 1</t>
  </si>
  <si>
    <t>NN</t>
  </si>
  <si>
    <t>EXPERTO 2</t>
  </si>
  <si>
    <t>EXPERTO 3</t>
  </si>
  <si>
    <t>EXPERTO 4</t>
  </si>
  <si>
    <t>Natalia Hoyos</t>
  </si>
  <si>
    <t>EXPERTO 5</t>
  </si>
  <si>
    <t>John Márquez</t>
  </si>
  <si>
    <t>EXPERTO 6</t>
  </si>
  <si>
    <t>Sergio Pineda</t>
  </si>
  <si>
    <t>EXPERTO 7</t>
  </si>
  <si>
    <t>Diego Guzmán</t>
  </si>
  <si>
    <t>EXPERTO 8</t>
  </si>
  <si>
    <t>Felipe Quintero</t>
  </si>
  <si>
    <t>EXPERTO 9</t>
  </si>
  <si>
    <t>Mario Diaz</t>
  </si>
  <si>
    <t>n: criteria number</t>
  </si>
  <si>
    <r>
      <t>λ</t>
    </r>
    <r>
      <rPr>
        <b/>
        <vertAlign val="subscript"/>
        <sz val="11"/>
        <rFont val="Times New Roman"/>
        <family val="1"/>
      </rPr>
      <t>máx</t>
    </r>
  </si>
  <si>
    <t>CI: consistency index</t>
  </si>
  <si>
    <t>n</t>
  </si>
  <si>
    <t>RI: random index</t>
  </si>
  <si>
    <t>C.I. (consistency index)</t>
  </si>
  <si>
    <t>CR: consistency ratio</t>
  </si>
  <si>
    <t>R.I. (random index)</t>
  </si>
  <si>
    <t>C.R. (consistency ratio)</t>
  </si>
  <si>
    <t>Experto 1</t>
  </si>
  <si>
    <t>Matriz normalizada</t>
  </si>
  <si>
    <t>CW</t>
  </si>
  <si>
    <t>WSV</t>
  </si>
  <si>
    <t>R=WSV/CW</t>
  </si>
  <si>
    <t>C.I.</t>
  </si>
  <si>
    <t>R.I.</t>
  </si>
  <si>
    <t>C.R.</t>
  </si>
  <si>
    <t>Experto 2</t>
  </si>
  <si>
    <t>Experto 3</t>
  </si>
  <si>
    <t>Experto 4</t>
  </si>
  <si>
    <t>SUM</t>
  </si>
  <si>
    <t>Experto 5</t>
  </si>
  <si>
    <t>Experto 6</t>
  </si>
  <si>
    <t>Experto 7</t>
  </si>
  <si>
    <t>Experto 8</t>
  </si>
  <si>
    <t>Experto 9</t>
  </si>
  <si>
    <t>Ponderación</t>
  </si>
  <si>
    <t>Criterios: Matriz agregada</t>
  </si>
  <si>
    <t>Criterios: Matriz agregada (incluyendo experto 9)</t>
  </si>
  <si>
    <t>Criterios: Matriz agregada (sin incluir experto 9)</t>
  </si>
  <si>
    <r>
      <t>λ</t>
    </r>
    <r>
      <rPr>
        <b/>
        <vertAlign val="subscript"/>
        <sz val="11"/>
        <rFont val="Arial"/>
        <family val="2"/>
        <scheme val="minor"/>
      </rPr>
      <t>máx</t>
    </r>
  </si>
  <si>
    <t>C1: Resolución</t>
  </si>
  <si>
    <t>C2: Robustez</t>
  </si>
  <si>
    <t xml:space="preserve"> </t>
  </si>
  <si>
    <t>C3: Accesibilidad</t>
  </si>
  <si>
    <t>C3.3</t>
  </si>
  <si>
    <t>Ponderada</t>
  </si>
  <si>
    <t>Matriz agregada</t>
  </si>
  <si>
    <t>Respuestas válidas según su consistencia</t>
  </si>
  <si>
    <t>F</t>
  </si>
  <si>
    <t>Experto 4: Natalia Hoyos</t>
  </si>
  <si>
    <t>OK</t>
  </si>
  <si>
    <t>Experto 5: John Jairo</t>
  </si>
  <si>
    <t>Experto 6: Sergio Pineda</t>
  </si>
  <si>
    <t>Experto 7: Diego Alejandro</t>
  </si>
  <si>
    <t>Experto 8: Felipe Quintero</t>
  </si>
  <si>
    <t>Experto 9: Mario Diaz</t>
  </si>
  <si>
    <t>EVALUACIÓN DE FELIPE QUINTERO (ENVIADA POR CORREO COMO UN EXCEL, NO MEDIANTE FORMULARIO).</t>
  </si>
  <si>
    <t>Criterio B</t>
  </si>
  <si>
    <t>Criterio A</t>
  </si>
  <si>
    <t>Discretizacion</t>
  </si>
  <si>
    <t>Res temp</t>
  </si>
  <si>
    <t>Calibracion</t>
  </si>
  <si>
    <t>Procesos naturales</t>
  </si>
  <si>
    <t>Procesos antropicos (escenarios)</t>
  </si>
  <si>
    <t>Disponibilidad codigo</t>
  </si>
  <si>
    <t>Recursos humanos</t>
  </si>
  <si>
    <t>Postprocesamiento</t>
  </si>
  <si>
    <t>CALIBRAC</t>
  </si>
  <si>
    <t>P NAT</t>
  </si>
  <si>
    <t>P ANT</t>
  </si>
  <si>
    <t>CALIBRACIÓN</t>
  </si>
  <si>
    <t>Seleccionar un modelo de producción hídrica idóneo para efectos de toma de decisiones en la cuenca del río Tona</t>
  </si>
  <si>
    <t>Abreviatura</t>
  </si>
  <si>
    <t>Peso</t>
  </si>
  <si>
    <t>RES</t>
  </si>
  <si>
    <t>ROB</t>
  </si>
  <si>
    <t>ACC</t>
  </si>
  <si>
    <t>DE</t>
  </si>
  <si>
    <t>Disc. espacial</t>
  </si>
  <si>
    <t>Res. temporal</t>
  </si>
  <si>
    <t>Est. calibración</t>
  </si>
  <si>
    <t>Procesos nat. mod.</t>
  </si>
  <si>
    <t>Disp. de código</t>
  </si>
  <si>
    <t>Rec. hum. y téc.</t>
  </si>
  <si>
    <t>Niv. de postproc.</t>
  </si>
  <si>
    <t>RT</t>
  </si>
  <si>
    <t>EC</t>
  </si>
  <si>
    <t>PN</t>
  </si>
  <si>
    <t>AE</t>
  </si>
  <si>
    <t>Disponibilidad de código</t>
  </si>
  <si>
    <t>DC</t>
  </si>
  <si>
    <t>SP</t>
  </si>
  <si>
    <t>RH</t>
  </si>
  <si>
    <t>NP</t>
  </si>
  <si>
    <t>Criterio/subcriterio</t>
  </si>
  <si>
    <t>Definición</t>
  </si>
  <si>
    <t>Capacidad del modelode producción hídrica para capturar y representar adecuadamente la exactitud, así como el detalle espacial y temporal de los procesos hidrológicos.</t>
  </si>
  <si>
    <t>Resolución o tamaño de la mínima unidad utilizada por el modelo para representar la cuenca hidrográfica. Una mayor discretización espacial puede proporcionar mayor detalle, pero puede requerir más datos desconocidos en el sitio de estudio y aumentar la complejidad computacional.</t>
  </si>
  <si>
    <t>Intervalo o frecuencia de los datos de salida del modelo (diaria, semanal, mensual, anual).</t>
  </si>
  <si>
    <t>Capacidad del modelo de producción hídrica para manejar diferentes condiciones y escenarios hidrológicos de manera efectiva y consistente, incluyendo variaciones en los datos, incertidumbres y condiciones extremas.</t>
  </si>
  <si>
    <t>Herramienta o mecanismo utilizado para ajustar los parámetros del modelo y obtener una mejor correspondencia entre las salidas del modelo y los datos observados (automática, semiautomática, manual).</t>
  </si>
  <si>
    <t>Componentes del ciclo hidrológico modelados (precipitación, evapotranspiración, escorrentía, entre otros).</t>
  </si>
  <si>
    <t xml:space="preserve">Posibilidad del modelo de producción hídrica de simular escenarios futuros, incorporar procesos antrópicos relevantes como la gestión del agua (oferta y demanda) y prácticas agrícolas, el impacto de infraestructuras humanas (represas, canales de riego, etc.), y otros factores antrópicos que puedan afectar el sistema hídrico de la cuenca.  </t>
  </si>
  <si>
    <t xml:space="preserve">Facilidad de uso del programa, incluyendo una interfaz intuitiva, documentación clara y aprendizaje rápido, para permitir que un amplio rango de usuarios pueda utilizarlo de manera efectiva. </t>
  </si>
  <si>
    <t>Accesibilidad del código del software (abierto, disponible por solicitud, sólo ejecutable).</t>
  </si>
  <si>
    <t>Disponibilidad de elementos como documentación (manual de referencia, guía de usuario, manual de aplicaciones), canales de asistencia al usuario, una base de conocimientos actualizada y acceso a una línea directa de soporte técnico o chat en vivo, actualizaciones periódicas, parches de seguridad y una comunidad activa de usuarios para intercambiar ideas y solucionar problemas.</t>
  </si>
  <si>
    <t xml:space="preserve">Nivel de conocimiento y habilidades técnicas necesarias para operar y utilizar efectivamente el modelo, esto incorporado a una interfaz gráfica amigable.  </t>
  </si>
  <si>
    <t>Evalúa el grado de procesamiento adicional necesario para obtener resultados finales interpretables y listos para su aplicación. Algunos modelos pueden requerir un mayor nivel de postprocesamiento, lo que puede implicar más tiempo y esfuerzo por parte del usuario.  </t>
  </si>
  <si>
    <t>Criterio</t>
  </si>
  <si>
    <t>Definición de la escala</t>
  </si>
  <si>
    <t>SWAT</t>
  </si>
  <si>
    <t>INVEST</t>
  </si>
  <si>
    <t>WEAP</t>
  </si>
  <si>
    <t>INDICADORES</t>
  </si>
  <si>
    <t>C.1</t>
  </si>
  <si>
    <t>5 mayor discretización y 1 menor discretización.</t>
  </si>
  <si>
    <t xml:space="preserve">HRU (Unidad de Respuesta Hidrológica) </t>
  </si>
  <si>
    <t>Pixel</t>
  </si>
  <si>
    <t>Subcuenca</t>
  </si>
  <si>
    <t>Siendo 5 una mayor discretización y 1 una menor discretización</t>
  </si>
  <si>
    <t>5 resolución más precisa y 1 una menos precisa</t>
  </si>
  <si>
    <t>Diarias, mensuales, anuales</t>
  </si>
  <si>
    <t>Mensuales, anuales</t>
  </si>
  <si>
    <t>Siendo 5 una resolución de salida mas precisa y 1 una menos precisa</t>
  </si>
  <si>
    <t>C.2</t>
  </si>
  <si>
    <t>5 estrategias de calibración robustas y 1 estrategias de calibración manuales</t>
  </si>
  <si>
    <t>Automática</t>
  </si>
  <si>
    <t>Manual</t>
  </si>
  <si>
    <t>Semiautomática</t>
  </si>
  <si>
    <t>Siendo 5 estrategias de calibracion robustas y 1 manuales</t>
  </si>
  <si>
    <t>5 corresponde a 5 procesos más relevantes modelados y 1 ningún proceso modelado</t>
  </si>
  <si>
    <t xml:space="preserve">Precipitaciones </t>
  </si>
  <si>
    <t>✓</t>
  </si>
  <si>
    <t xml:space="preserve">Escorrentía superficial </t>
  </si>
  <si>
    <t>Infiltración</t>
  </si>
  <si>
    <t xml:space="preserve">Siendo 5 5 procesos naturales modelados y 1 ningún proceso natural modelado </t>
  </si>
  <si>
    <t>HRU</t>
  </si>
  <si>
    <t>Evapotranspiración</t>
  </si>
  <si>
    <t xml:space="preserve">Flujo de aguas subterraneas </t>
  </si>
  <si>
    <t>5 corresponde a 6 escenarios más relevantes modelados y 1 ningún escenario modelado</t>
  </si>
  <si>
    <t xml:space="preserve">Prácticas agrícolas </t>
  </si>
  <si>
    <t>Uso de suelos</t>
  </si>
  <si>
    <t xml:space="preserve">Climas futuros </t>
  </si>
  <si>
    <t>Siendo 5 6 escenarios modelados y 1 ningun escenario modelado</t>
  </si>
  <si>
    <t>Infraestructura</t>
  </si>
  <si>
    <t xml:space="preserve">Oferta y demanda </t>
  </si>
  <si>
    <t xml:space="preserve">Operaciones </t>
  </si>
  <si>
    <t>C.3</t>
  </si>
  <si>
    <t>5 código abierto y 1 solo ejecutable</t>
  </si>
  <si>
    <r>
      <rPr>
        <b/>
        <sz val="10"/>
        <color rgb="FF000000"/>
        <rFont val="Times New Roman"/>
        <family val="1"/>
      </rPr>
      <t>Open source:</t>
    </r>
    <r>
      <rPr>
        <sz val="10"/>
        <color rgb="FF000000"/>
        <rFont val="Times New Roman"/>
        <family val="1"/>
      </rPr>
      <t xml:space="preserve"> este es un modelo de código abierto, y su código fuente está disponible públicamente para su acceso y revisión. La comunidad de usuarios y desarrolladores puede acceder al código, realizar mejoras y contribuir al desarrollo continuo del modelo.</t>
    </r>
  </si>
  <si>
    <r>
      <rPr>
        <b/>
        <sz val="10"/>
        <color rgb="FF000000"/>
        <rFont val="Times New Roman"/>
        <family val="1"/>
      </rPr>
      <t>Solo ejecutable</t>
    </r>
    <r>
      <rPr>
        <sz val="10"/>
        <color rgb="FF000000"/>
        <rFont val="Times New Roman"/>
        <family val="1"/>
      </rPr>
      <t>. El acceso al código fuente está restringido y controlado por la organización desarrolladora. Sin embargo, por medio de API es posible generar modificaciones a las entradas y salidas.</t>
    </r>
  </si>
  <si>
    <t>Siendo 5 codigo abierto y 1 solo ejecutable</t>
  </si>
  <si>
    <t>5 soporte alto y 1 soporte bajo</t>
  </si>
  <si>
    <r>
      <rPr>
        <b/>
        <sz val="10"/>
        <color rgb="FF000000"/>
        <rFont val="Times New Roman"/>
        <family val="1"/>
      </rPr>
      <t xml:space="preserve">Alto: </t>
    </r>
    <r>
      <rPr>
        <sz val="10"/>
        <color rgb="FF000000"/>
        <rFont val="Times New Roman"/>
        <family val="1"/>
      </rPr>
      <t>canales de asistencia al usuario, tutoriales en línea, una base de conocimientos actualizada y acceso a una línea directa de soporte técnico o chat en vivo, actualizaciones periódicas, parches de seguridad y una comunidad activa de usuarios para intercambiar ideas y solucionar problemas.</t>
    </r>
  </si>
  <si>
    <r>
      <rPr>
        <b/>
        <sz val="10"/>
        <color rgb="FF000000"/>
        <rFont val="Times New Roman"/>
        <family val="1"/>
      </rPr>
      <t xml:space="preserve">Bajo-Medio: </t>
    </r>
    <r>
      <rPr>
        <sz val="10"/>
        <color rgb="FF000000"/>
        <rFont val="Times New Roman"/>
        <family val="1"/>
      </rPr>
      <t>manual de referencia y manual de usuario, un portal con solución a preguntas no respondido con tanta frecuencia, asistencia por correo electrónico o a través de un formulario de contacto, atualizaciones y mejoras del programa poco frecuentes</t>
    </r>
  </si>
  <si>
    <r>
      <rPr>
        <b/>
        <sz val="10"/>
        <color rgb="FF000000"/>
        <rFont val="Times New Roman"/>
        <family val="1"/>
      </rPr>
      <t>Medio-alto</t>
    </r>
    <r>
      <rPr>
        <sz val="10"/>
        <color rgb="FF000000"/>
        <rFont val="Times New Roman"/>
        <family val="1"/>
      </rPr>
      <t>: manual de referencia y manual de usuario, un portal con solución a preguntas frecuentes, asistencia por correo electrónico o a través de un formulario de contacto, atualizaciones y mejoras del programa menos frecuentes.</t>
    </r>
  </si>
  <si>
    <t>siemdo 5 soporte alto y 1 soporte bajo</t>
  </si>
  <si>
    <t>5 requiere un bajo nivel de formación y 1 requiere un alto nivel de formación</t>
  </si>
  <si>
    <r>
      <rPr>
        <b/>
        <sz val="10"/>
        <color rgb="FF000000"/>
        <rFont val="Times New Roman"/>
        <family val="1"/>
      </rPr>
      <t xml:space="preserve">Alto: </t>
    </r>
    <r>
      <rPr>
        <sz val="10"/>
        <color rgb="FF000000"/>
        <rFont val="Times New Roman"/>
        <family val="1"/>
      </rPr>
      <t>este es un modelo hidrológico y de calidad del agua que requiere un alto nivel de formación y experiencia en hidrología, modelación de cuencas y manejo de datos hidrológicos. El usuario debe tener conocimientos sólidos en el uso de software de SIG y análisis de datos, así como una comprensión profunda de los procesos hidrológicos y la calibración de modelos.</t>
    </r>
  </si>
  <si>
    <r>
      <rPr>
        <b/>
        <sz val="10"/>
        <color rgb="FF000000"/>
        <rFont val="Times New Roman"/>
        <family val="1"/>
      </rPr>
      <t>Medio:</t>
    </r>
    <r>
      <rPr>
        <sz val="10"/>
        <color rgb="FF000000"/>
        <rFont val="Times New Roman"/>
        <family val="1"/>
      </rPr>
      <t xml:space="preserve"> está diseñado para ser más accesible y amigable para usuarios con conocimientos en ciencias ambientales, ecología y manejo de recursos naturales. Así mismo, se espera que los usuarios tengan conocimientos básicos en SIG y manejo de datos geoespaciales para utilizar el modelo de manera efectiva.</t>
    </r>
  </si>
  <si>
    <r>
      <rPr>
        <b/>
        <sz val="10"/>
        <color rgb="FF000000"/>
        <rFont val="Times New Roman"/>
        <family val="1"/>
      </rPr>
      <t xml:space="preserve">Medio-alto: </t>
    </r>
    <r>
      <rPr>
        <sz val="10"/>
        <color rgb="FF000000"/>
        <rFont val="Times New Roman"/>
        <family val="1"/>
      </rPr>
      <t>es un modelo de planificación y gestión de recursos hídricos que requiere un nivel medio a alto de formación. Los usuarios deben tener conocimientos en hidrología, manejo de recursos hídricos y planificación del uso del agua. A pesar de su interfaz gráfica intuitiva, se espera que los usuarios tengan experiencia en el análisis de datos hidrológicos y la interpretación de resultados para tomar decisiones informadas. Requiere conocimiento y/o manejo de archivos GIS para la comprensión de la interfaz, además, para el proceso de calibración se requiere implementar otras herramientas como Excel o PEST.</t>
    </r>
  </si>
  <si>
    <t xml:space="preserve">Siendo 5 que requiere un bajo nivel de formacion y 1 que requiere un alto nivel de formación </t>
  </si>
  <si>
    <t>5 un nivel de post procesamiento bajo y 1 un nivel de post procesamiento alto</t>
  </si>
  <si>
    <r>
      <rPr>
        <b/>
        <sz val="10"/>
        <color rgb="FF000000"/>
        <rFont val="Times New Roman"/>
        <family val="1"/>
      </rPr>
      <t xml:space="preserve">Medio: </t>
    </r>
    <r>
      <rPr>
        <sz val="10"/>
        <color rgb="FF000000"/>
        <rFont val="Times New Roman"/>
        <family val="1"/>
      </rPr>
      <t>Una vez que se ejecuta el modelo, los resultados necesitan un análisis adicional para su interpretación, que puede involucrar la creación de gráficos, mapas y la comparación con datos reales. Además, los resultados generados a menudo necesitan ajustes o transformaciones para ser presentados de manera comprensible y útil para la toma de decisiones.</t>
    </r>
  </si>
  <si>
    <r>
      <rPr>
        <b/>
        <sz val="10"/>
        <color rgb="FF000000"/>
        <rFont val="Times New Roman"/>
        <family val="1"/>
      </rPr>
      <t>Medio-bajo</t>
    </r>
    <r>
      <rPr>
        <sz val="10"/>
        <color rgb="FF000000"/>
        <rFont val="Times New Roman"/>
        <family val="1"/>
      </rPr>
      <t>: Para visualizar los resultados de InVEST, se requiere un nivel mínimo de postprocesamiento, pues proporciona una variedad de resultados que se pueden visualizar en diferentes formatos, como mapas raster, gráficos y tablas. Para visualizar los resultados de los modelos hidrológicos, es necesario tener acceso a un software de SIG (Sistemas de Información Geográfica) que pueda leer los archivos de salida generados por InVEST</t>
    </r>
  </si>
  <si>
    <r>
      <rPr>
        <b/>
        <sz val="10"/>
        <color rgb="FF000000"/>
        <rFont val="Times New Roman"/>
        <family val="1"/>
      </rPr>
      <t>Bajo</t>
    </r>
    <r>
      <rPr>
        <sz val="10"/>
        <color rgb="FF000000"/>
        <rFont val="Times New Roman"/>
        <family val="1"/>
      </rPr>
      <t>: WEAP proporciona una interfaz gráfica intuitiva para visualizar y analizar los resultados del modelo. Los resultados se presentan en gráficos y tablas dentro de la interfaz, lo que permite a los usuarios explorar y comparar diferentes escenarios y opciones de gestión.</t>
    </r>
  </si>
  <si>
    <t>Siendo 5 un nivel de postprocesamiento bajo y 1 un nivel de postprocesamieto alto</t>
  </si>
  <si>
    <t>Código abierto</t>
  </si>
  <si>
    <t>Sólo ejecutable (intervenible mediante API)</t>
  </si>
  <si>
    <t>Alto</t>
  </si>
  <si>
    <t>Bajo-Medio</t>
  </si>
  <si>
    <t>Medio-alto</t>
  </si>
  <si>
    <t>Medio</t>
  </si>
  <si>
    <t>Medio-bajo</t>
  </si>
  <si>
    <t>Bajo</t>
  </si>
  <si>
    <t>C2.2.1</t>
  </si>
  <si>
    <t>Escorrentía</t>
  </si>
  <si>
    <t>C2.2.2</t>
  </si>
  <si>
    <t>Erosión</t>
  </si>
  <si>
    <t>C2.2.3</t>
  </si>
  <si>
    <t>Ciclo de nutrientes</t>
  </si>
  <si>
    <t>C2.2.4</t>
  </si>
  <si>
    <t>Calidad del agua</t>
  </si>
  <si>
    <t>C2.2.5</t>
  </si>
  <si>
    <t>Interaccón planta-suelo-atmósfera</t>
  </si>
  <si>
    <t>C2.2.6</t>
  </si>
  <si>
    <t>Oferta de agua</t>
  </si>
  <si>
    <t>C2.2.7</t>
  </si>
  <si>
    <t>Demanda de agua</t>
  </si>
  <si>
    <t>C2.2.8</t>
  </si>
  <si>
    <t>Cambio climático</t>
  </si>
  <si>
    <t>C2.2.9</t>
  </si>
  <si>
    <t>Reservorios</t>
  </si>
  <si>
    <t>C2.2.10</t>
  </si>
  <si>
    <t>Cultivos</t>
  </si>
  <si>
    <t>C2.2.11</t>
  </si>
  <si>
    <t>Practicas de manejo del agua</t>
  </si>
  <si>
    <t>C2.3.1</t>
  </si>
  <si>
    <t>Simulación de escenarios futuros</t>
  </si>
  <si>
    <t xml:space="preserve">HRU </t>
  </si>
  <si>
    <t xml:space="preserve">Subcuenca </t>
  </si>
  <si>
    <t>C2.3.2</t>
  </si>
  <si>
    <t>Incorporación de Procesos Antrópicos Relevantes</t>
  </si>
  <si>
    <t>Diaria, mensual, anual</t>
  </si>
  <si>
    <t>Semanal, mensual</t>
  </si>
  <si>
    <t>Anuales, mensuales</t>
  </si>
  <si>
    <t>C2.3.3</t>
  </si>
  <si>
    <t>Impacto de Infraestructuras Humanas</t>
  </si>
  <si>
    <t>C2.3.4</t>
  </si>
  <si>
    <t>Otros Factores Antropogénicos</t>
  </si>
  <si>
    <t>Si</t>
  </si>
  <si>
    <t>No</t>
  </si>
  <si>
    <t>C2.3.5</t>
  </si>
  <si>
    <t>Flexibilidad en Escenarios</t>
  </si>
  <si>
    <t xml:space="preserve">No </t>
  </si>
  <si>
    <t>Alta</t>
  </si>
  <si>
    <t>Media</t>
  </si>
  <si>
    <t>Open source</t>
  </si>
  <si>
    <t>Solo ejecutable</t>
  </si>
  <si>
    <t>proc</t>
  </si>
  <si>
    <t>ESC</t>
  </si>
  <si>
    <t>ERO</t>
  </si>
  <si>
    <t>CN</t>
  </si>
  <si>
    <t>CA</t>
  </si>
  <si>
    <t>IPSA</t>
  </si>
  <si>
    <t>OA</t>
  </si>
  <si>
    <t>DA</t>
  </si>
  <si>
    <t>CC</t>
  </si>
  <si>
    <t>RV</t>
  </si>
  <si>
    <t>CV</t>
  </si>
  <si>
    <t>PMA</t>
  </si>
  <si>
    <t>SEF</t>
  </si>
  <si>
    <t>IPA</t>
  </si>
  <si>
    <t>IIH</t>
  </si>
  <si>
    <t>OFA</t>
  </si>
  <si>
    <t>FE</t>
  </si>
  <si>
    <t>Usuario 1: AMB</t>
  </si>
  <si>
    <t>Usuario 2: TONA</t>
  </si>
  <si>
    <t>Usuario 3: CDM</t>
  </si>
  <si>
    <t>Nivel de preferencia AMB</t>
  </si>
  <si>
    <t>Nivel de preferencia TONA</t>
  </si>
  <si>
    <t>Nivel de preferencia CDMB</t>
  </si>
  <si>
    <t>Nivel de preferencia</t>
  </si>
  <si>
    <t>Nombre</t>
  </si>
  <si>
    <t>Entidad que representa</t>
  </si>
  <si>
    <t xml:space="preserve">Silvia Cristina Reyes Sanchez </t>
  </si>
  <si>
    <t>Acueducto Metropolitano de Bucaramanga (AMB)</t>
  </si>
  <si>
    <t>Discr. Esp</t>
  </si>
  <si>
    <t xml:space="preserve">Andrés Almeyda Ortiz </t>
  </si>
  <si>
    <t>Resol. Temp</t>
  </si>
  <si>
    <t>Paula Mora Franklin</t>
  </si>
  <si>
    <t>Alcaldía de Tona</t>
  </si>
  <si>
    <t>Criterio: Robustez</t>
  </si>
  <si>
    <t>Carlos Mauricio Torres Galvis</t>
  </si>
  <si>
    <t>Corporación Autónoma Regional para la Defensa de la Meseta de Bucaramanga (CDMB)</t>
  </si>
  <si>
    <t>Est. Calibr.</t>
  </si>
  <si>
    <t>Criterio: Accesibilidad</t>
  </si>
  <si>
    <t xml:space="preserve">Subcriterio: </t>
  </si>
  <si>
    <t>MATRIZ NORMALIZADA</t>
  </si>
  <si>
    <t>VECTOR PROMEDIO</t>
  </si>
  <si>
    <t>InVEST</t>
  </si>
  <si>
    <t>Discretrización espacial</t>
  </si>
  <si>
    <t>Factores de preferencia</t>
  </si>
  <si>
    <t>Resolución espacial</t>
  </si>
  <si>
    <t>Criterio: Resolución</t>
  </si>
  <si>
    <t>TOTAL</t>
  </si>
  <si>
    <t>Subcriterio</t>
  </si>
  <si>
    <t>Priorización interna</t>
  </si>
  <si>
    <t>Priorización global</t>
  </si>
  <si>
    <t>Priorización</t>
  </si>
  <si>
    <t>Ponderación interna</t>
  </si>
  <si>
    <t>Ponderación global</t>
  </si>
  <si>
    <t>Usuario 3: CDMB</t>
  </si>
  <si>
    <t>AMB</t>
  </si>
  <si>
    <t>tona</t>
  </si>
  <si>
    <t>CDMB</t>
  </si>
  <si>
    <t>swat, invest</t>
  </si>
  <si>
    <t>invest</t>
  </si>
  <si>
    <t>prom.</t>
  </si>
  <si>
    <t>MSE Y RMSE</t>
  </si>
  <si>
    <t>TONA</t>
  </si>
  <si>
    <t>Pref. vs Swat</t>
  </si>
  <si>
    <t>MSE</t>
  </si>
  <si>
    <t>RMSE=</t>
  </si>
  <si>
    <t>Para gráficas</t>
  </si>
  <si>
    <t xml:space="preserve">Pref </t>
  </si>
  <si>
    <t>Swat</t>
  </si>
  <si>
    <t>(Y-Y')^2</t>
  </si>
  <si>
    <t>Sumatoria</t>
  </si>
  <si>
    <t>Preferencia</t>
  </si>
  <si>
    <t>Invest</t>
  </si>
  <si>
    <t>1 DE</t>
  </si>
  <si>
    <t>2 RT</t>
  </si>
  <si>
    <t>EJE X</t>
  </si>
  <si>
    <t>1. DE</t>
  </si>
  <si>
    <t>2. RT</t>
  </si>
  <si>
    <t>3. EC</t>
  </si>
  <si>
    <t>4. PN</t>
  </si>
  <si>
    <t>3 EC</t>
  </si>
  <si>
    <t>5. AE</t>
  </si>
  <si>
    <t>4 PN</t>
  </si>
  <si>
    <t>6. DC</t>
  </si>
  <si>
    <t>5 AE</t>
  </si>
  <si>
    <t>7. SP</t>
  </si>
  <si>
    <t>8. RH</t>
  </si>
  <si>
    <t>9. NP</t>
  </si>
  <si>
    <t>6 DC</t>
  </si>
  <si>
    <t>7 SP</t>
  </si>
  <si>
    <t>8 RH</t>
  </si>
  <si>
    <t>9 NP</t>
  </si>
  <si>
    <t>Pref</t>
  </si>
  <si>
    <t>Pref vs InVETS</t>
  </si>
  <si>
    <t>InVETS</t>
  </si>
  <si>
    <t>Pref vs WEAP</t>
  </si>
  <si>
    <t>DESVIACIÓN MEDIA</t>
  </si>
  <si>
    <t>Prefe</t>
  </si>
  <si>
    <t>Xbarra</t>
  </si>
  <si>
    <t>|X-Xbarra|</t>
  </si>
  <si>
    <t>sumatoria</t>
  </si>
  <si>
    <t>DM=</t>
  </si>
  <si>
    <t>Valoraciones normalizadas</t>
  </si>
  <si>
    <t>Preferencias "Como los pesos de los expertos"</t>
  </si>
  <si>
    <t>amb</t>
  </si>
  <si>
    <t>Tona</t>
  </si>
  <si>
    <t>Total</t>
  </si>
  <si>
    <t>Objetivo general</t>
  </si>
  <si>
    <t>Selección de un modelo de producción hídrica idóneo para propósitos de manejo de una cuenca abastecedora</t>
  </si>
  <si>
    <t>Criterios </t>
  </si>
  <si>
    <t>Subcriterios </t>
  </si>
  <si>
    <t>Discretización espacial usada por el modelo </t>
  </si>
  <si>
    <t>Resolución temporal mínima de salida </t>
  </si>
  <si>
    <t>Estrategia de calibración </t>
  </si>
  <si>
    <t>Procesos naturales modelados </t>
  </si>
  <si>
    <t>Análisis de escenarios </t>
  </si>
  <si>
    <r>
      <t>Accesibilidad</t>
    </r>
    <r>
      <rPr>
        <sz val="10"/>
        <color rgb="FF000000"/>
        <rFont val="Times New Roman"/>
        <family val="1"/>
      </rPr>
      <t> </t>
    </r>
  </si>
  <si>
    <t>Disponibilidad del código </t>
  </si>
  <si>
    <t>Soporte  </t>
  </si>
  <si>
    <t>Recursos humanos y técnicos  </t>
  </si>
  <si>
    <t>Nivel de postprocesamiento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</si>
</sst>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h:mm:ss"/>
    <numFmt numFmtId="165" formatCode="0.000"/>
    <numFmt numFmtId="166" formatCode="0.0"/>
    <numFmt numFmtId="167" formatCode="0.0000000000"/>
  </numFmts>
  <fonts count="38">
    <font>
      <sz val="10"/>
      <color rgb="FF000000"/>
      <name val="Arial"/>
      <scheme val="minor"/>
    </font>
    <font>
      <sz val="11"/>
      <color theme="1"/>
      <name val="Arial"/>
      <family val="2"/>
      <scheme val="minor"/>
    </font>
    <font>
      <sz val="11"/>
      <color theme="1"/>
      <name val="Arial"/>
      <family val="2"/>
      <scheme val="minor"/>
    </font>
    <font>
      <b/>
      <sz val="11"/>
      <color theme="1"/>
      <name val="Arial"/>
      <family val="2"/>
      <scheme val="minor"/>
    </font>
    <font>
      <sz val="8"/>
      <name val="Arial"/>
      <family val="2"/>
      <scheme val="minor"/>
    </font>
    <font>
      <sz val="11"/>
      <color rgb="FF000000"/>
      <name val="Arial"/>
      <family val="2"/>
      <scheme val="minor"/>
    </font>
    <font>
      <sz val="10"/>
      <color rgb="FF000000"/>
      <name val="Arial"/>
      <family val="2"/>
      <scheme val="minor"/>
    </font>
    <font>
      <sz val="10"/>
      <name val="Arial"/>
      <family val="2"/>
      <scheme val="minor"/>
    </font>
    <font>
      <b/>
      <sz val="10"/>
      <color rgb="FF000000"/>
      <name val="Arial"/>
      <family val="2"/>
      <scheme val="minor"/>
    </font>
    <font>
      <b/>
      <sz val="10"/>
      <name val="Arial"/>
      <family val="2"/>
      <scheme val="minor"/>
    </font>
    <font>
      <b/>
      <vertAlign val="subscript"/>
      <sz val="11"/>
      <name val="Arial"/>
      <family val="2"/>
      <scheme val="minor"/>
    </font>
    <font>
      <sz val="11"/>
      <color rgb="FF006100"/>
      <name val="Arial"/>
      <family val="2"/>
      <scheme val="minor"/>
    </font>
    <font>
      <sz val="12"/>
      <color theme="1"/>
      <name val="Arial"/>
      <family val="2"/>
      <scheme val="minor"/>
    </font>
    <font>
      <sz val="10"/>
      <color rgb="FF000000"/>
      <name val="Times New Roman"/>
      <family val="1"/>
    </font>
    <font>
      <sz val="11"/>
      <color rgb="FF000000"/>
      <name val="Times New Roman"/>
      <family val="1"/>
    </font>
    <font>
      <b/>
      <sz val="10"/>
      <color rgb="FF000000"/>
      <name val="Times New Roman"/>
      <family val="1"/>
    </font>
    <font>
      <sz val="11"/>
      <color rgb="FF9C0006"/>
      <name val="Arial"/>
      <family val="2"/>
      <scheme val="minor"/>
    </font>
    <font>
      <b/>
      <sz val="11"/>
      <color theme="1"/>
      <name val="Times New Roman"/>
      <family val="1"/>
    </font>
    <font>
      <b/>
      <sz val="10"/>
      <name val="Times New Roman"/>
      <family val="1"/>
    </font>
    <font>
      <sz val="10"/>
      <name val="Times New Roman"/>
      <family val="1"/>
    </font>
    <font>
      <b/>
      <vertAlign val="subscript"/>
      <sz val="11"/>
      <name val="Times New Roman"/>
      <family val="1"/>
    </font>
    <font>
      <sz val="11"/>
      <color theme="1"/>
      <name val="Times New Roman"/>
      <family val="1"/>
    </font>
    <font>
      <b/>
      <sz val="10"/>
      <color rgb="FF002060"/>
      <name val="Times New Roman"/>
      <family val="1"/>
    </font>
    <font>
      <b/>
      <sz val="11"/>
      <color rgb="FF000000"/>
      <name val="Times New Roman"/>
      <family val="1"/>
    </font>
    <font>
      <b/>
      <sz val="10"/>
      <color theme="1"/>
      <name val="Times New Roman"/>
      <family val="1"/>
    </font>
    <font>
      <sz val="10"/>
      <color rgb="FF9C0006"/>
      <name val="Times New Roman"/>
      <family val="1"/>
    </font>
    <font>
      <sz val="9"/>
      <color rgb="FF000000"/>
      <name val="Times New Roman"/>
      <family val="1"/>
    </font>
    <font>
      <b/>
      <sz val="9"/>
      <color rgb="FF000000"/>
      <name val="Times New Roman"/>
      <family val="1"/>
    </font>
    <font>
      <b/>
      <u val="double"/>
      <sz val="10"/>
      <color rgb="FF000000"/>
      <name val="Times New Roman"/>
      <family val="1"/>
    </font>
    <font>
      <b/>
      <sz val="11"/>
      <color rgb="FFC00000"/>
      <name val="Arial"/>
      <family val="2"/>
      <scheme val="minor"/>
    </font>
    <font>
      <b/>
      <sz val="11"/>
      <color rgb="FFC00000"/>
      <name val="Times New Roman"/>
      <family val="1"/>
    </font>
    <font>
      <b/>
      <sz val="11"/>
      <color rgb="FF202124"/>
      <name val="Arial"/>
      <family val="2"/>
      <scheme val="minor"/>
    </font>
    <font>
      <sz val="10"/>
      <color theme="1"/>
      <name val="Times New Roman"/>
      <family val="1"/>
    </font>
    <font>
      <i/>
      <sz val="10"/>
      <color theme="1"/>
      <name val="Times New Roman"/>
      <family val="1"/>
    </font>
    <font>
      <sz val="11"/>
      <color rgb="FF9C0006"/>
      <name val="Times New Roman"/>
      <family val="1"/>
    </font>
    <font>
      <sz val="11"/>
      <color rgb="FF006100"/>
      <name val="Times New Roman"/>
      <family val="1"/>
    </font>
    <font>
      <sz val="12"/>
      <color theme="1"/>
      <name val="Times New Roman"/>
      <family val="1"/>
    </font>
    <font>
      <b/>
      <sz val="12"/>
      <color theme="1"/>
      <name val="Times New Roman"/>
      <family val="1"/>
    </font>
  </fonts>
  <fills count="1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4"/>
        <bgColor indexed="64"/>
      </patternFill>
    </fill>
    <fill>
      <patternFill patternType="solid">
        <fgColor theme="6"/>
        <bgColor indexed="64"/>
      </patternFill>
    </fill>
    <fill>
      <patternFill patternType="solid">
        <fgColor rgb="FFFFC000"/>
        <bgColor indexed="64"/>
      </patternFill>
    </fill>
    <fill>
      <patternFill patternType="solid">
        <fgColor theme="6" tint="0.59999389629810485"/>
        <bgColor indexed="64"/>
      </patternFill>
    </fill>
    <fill>
      <patternFill patternType="solid">
        <fgColor theme="6"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CCCCCC"/>
      </right>
      <top style="thin">
        <color rgb="FF000000"/>
      </top>
      <bottom style="thin">
        <color rgb="FF000000"/>
      </bottom>
      <diagonal/>
    </border>
    <border>
      <left style="thin">
        <color rgb="FFCCCCCC"/>
      </left>
      <right style="thin">
        <color rgb="FFCCCCCC"/>
      </right>
      <top style="thin">
        <color rgb="FF000000"/>
      </top>
      <bottom style="thin">
        <color rgb="FF000000"/>
      </bottom>
      <diagonal/>
    </border>
    <border>
      <left style="thin">
        <color rgb="FFCCCCCC"/>
      </left>
      <right style="thin">
        <color rgb="FF000000"/>
      </right>
      <top style="thin">
        <color rgb="FF000000"/>
      </top>
      <bottom style="thin">
        <color rgb="FF000000"/>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n">
        <color rgb="FF000000"/>
      </bottom>
      <diagonal/>
    </border>
    <border>
      <left/>
      <right/>
      <top style="thin">
        <color indexed="64"/>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style="medium">
        <color rgb="FFCCCCCC"/>
      </left>
      <right style="medium">
        <color rgb="FFCCCCCC"/>
      </right>
      <top style="medium">
        <color rgb="FFCCCCCC"/>
      </top>
      <bottom style="medium">
        <color rgb="FFCCCCCC"/>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thin">
        <color indexed="64"/>
      </right>
      <top/>
      <bottom/>
      <diagonal/>
    </border>
    <border>
      <left style="medium">
        <color rgb="FFC00000"/>
      </left>
      <right/>
      <top style="thin">
        <color indexed="64"/>
      </top>
      <bottom style="thin">
        <color indexed="64"/>
      </bottom>
      <diagonal/>
    </border>
    <border>
      <left/>
      <right style="medium">
        <color rgb="FFC00000"/>
      </right>
      <top style="thin">
        <color indexed="64"/>
      </top>
      <bottom style="thin">
        <color indexed="64"/>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n">
        <color indexed="64"/>
      </left>
      <right style="thick">
        <color rgb="FFC00000"/>
      </right>
      <top/>
      <bottom/>
      <diagonal/>
    </border>
    <border>
      <left style="thick">
        <color rgb="FFC00000"/>
      </left>
      <right/>
      <top/>
      <bottom style="thin">
        <color indexed="64"/>
      </bottom>
      <diagonal/>
    </border>
    <border>
      <left style="thin">
        <color indexed="64"/>
      </left>
      <right style="thin">
        <color indexed="64"/>
      </right>
      <top/>
      <bottom style="thick">
        <color rgb="FFC00000"/>
      </bottom>
      <diagonal/>
    </border>
    <border>
      <left style="thin">
        <color indexed="64"/>
      </left>
      <right style="thick">
        <color rgb="FFC00000"/>
      </right>
      <top/>
      <bottom style="thick">
        <color rgb="FFC00000"/>
      </bottom>
      <diagonal/>
    </border>
    <border>
      <left style="thick">
        <color rgb="FFC00000"/>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s>
  <cellStyleXfs count="6">
    <xf numFmtId="0" fontId="0" fillId="0" borderId="0"/>
    <xf numFmtId="0" fontId="2" fillId="0" borderId="0"/>
    <xf numFmtId="0" fontId="11" fillId="4" borderId="0" applyNumberFormat="0" applyBorder="0" applyAlignment="0" applyProtection="0"/>
    <xf numFmtId="0" fontId="12" fillId="0" borderId="0"/>
    <xf numFmtId="0" fontId="16" fillId="5" borderId="0" applyNumberFormat="0" applyBorder="0" applyAlignment="0" applyProtection="0"/>
    <xf numFmtId="0" fontId="1" fillId="0" borderId="0"/>
  </cellStyleXfs>
  <cellXfs count="553">
    <xf numFmtId="0" fontId="0" fillId="0" borderId="0" xfId="0"/>
    <xf numFmtId="0" fontId="0" fillId="0" borderId="0" xfId="0" applyAlignment="1">
      <alignment horizontal="center" vertical="center"/>
    </xf>
    <xf numFmtId="0" fontId="6" fillId="0" borderId="0" xfId="0" applyFont="1"/>
    <xf numFmtId="0" fontId="8" fillId="0" borderId="0" xfId="0" applyFont="1"/>
    <xf numFmtId="0" fontId="9" fillId="0" borderId="0" xfId="0" applyFont="1"/>
    <xf numFmtId="2" fontId="7" fillId="0" borderId="0" xfId="0" applyNumberFormat="1" applyFont="1"/>
    <xf numFmtId="0" fontId="7" fillId="0" borderId="0" xfId="0" applyFont="1"/>
    <xf numFmtId="165" fontId="0" fillId="0" borderId="0" xfId="0" applyNumberFormat="1"/>
    <xf numFmtId="0" fontId="0" fillId="3" borderId="0" xfId="0" applyFill="1"/>
    <xf numFmtId="0" fontId="5" fillId="3" borderId="0" xfId="0" applyFont="1" applyFill="1" applyAlignment="1">
      <alignment vertical="center"/>
    </xf>
    <xf numFmtId="1" fontId="0" fillId="3" borderId="0" xfId="0" applyNumberFormat="1" applyFill="1" applyAlignment="1">
      <alignment horizontal="center"/>
    </xf>
    <xf numFmtId="0" fontId="3" fillId="3" borderId="0" xfId="0" applyFont="1" applyFill="1"/>
    <xf numFmtId="0" fontId="3" fillId="3" borderId="0" xfId="0" applyFont="1" applyFill="1" applyAlignment="1">
      <alignment horizontal="center" vertical="center"/>
    </xf>
    <xf numFmtId="0" fontId="3" fillId="3" borderId="0" xfId="0" applyFont="1" applyFill="1" applyAlignment="1">
      <alignment horizontal="center"/>
    </xf>
    <xf numFmtId="0" fontId="0" fillId="3" borderId="0" xfId="0" applyFill="1" applyAlignment="1">
      <alignment horizontal="center" vertical="center"/>
    </xf>
    <xf numFmtId="0" fontId="7" fillId="3" borderId="0" xfId="0" applyFont="1" applyFill="1"/>
    <xf numFmtId="0" fontId="9" fillId="3" borderId="0" xfId="0" applyFont="1" applyFill="1" applyAlignment="1">
      <alignment horizontal="center" vertical="center" wrapText="1"/>
    </xf>
    <xf numFmtId="2" fontId="7" fillId="3" borderId="0" xfId="0" applyNumberFormat="1" applyFont="1" applyFill="1" applyAlignment="1">
      <alignment horizontal="center" vertical="center"/>
    </xf>
    <xf numFmtId="0" fontId="7" fillId="3" borderId="6" xfId="0" applyFont="1" applyFill="1" applyBorder="1"/>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2" fontId="7" fillId="3" borderId="7" xfId="0" applyNumberFormat="1" applyFont="1" applyFill="1" applyBorder="1" applyAlignment="1">
      <alignment horizontal="center" vertical="center"/>
    </xf>
    <xf numFmtId="0" fontId="9" fillId="3" borderId="8" xfId="0" applyFont="1" applyFill="1" applyBorder="1" applyAlignment="1">
      <alignment horizontal="center" vertical="center" wrapText="1"/>
    </xf>
    <xf numFmtId="2" fontId="7" fillId="3" borderId="8" xfId="0" applyNumberFormat="1" applyFont="1" applyFill="1" applyBorder="1" applyAlignment="1">
      <alignment horizontal="center" vertical="center"/>
    </xf>
    <xf numFmtId="165" fontId="0" fillId="3" borderId="0" xfId="0" applyNumberFormat="1" applyFill="1" applyAlignment="1">
      <alignment horizontal="center" vertical="center"/>
    </xf>
    <xf numFmtId="165" fontId="0" fillId="3" borderId="7" xfId="0" applyNumberFormat="1" applyFill="1" applyBorder="1" applyAlignment="1">
      <alignment horizontal="center" vertical="center"/>
    </xf>
    <xf numFmtId="165" fontId="0" fillId="3" borderId="8" xfId="0" applyNumberFormat="1" applyFill="1" applyBorder="1" applyAlignment="1">
      <alignment horizontal="center" vertical="center"/>
    </xf>
    <xf numFmtId="2" fontId="7" fillId="3" borderId="0" xfId="0" applyNumberFormat="1" applyFont="1" applyFill="1"/>
    <xf numFmtId="2" fontId="9" fillId="3" borderId="0" xfId="0" applyNumberFormat="1" applyFont="1" applyFill="1" applyAlignment="1">
      <alignment horizontal="center" vertical="center"/>
    </xf>
    <xf numFmtId="2" fontId="7" fillId="3" borderId="7" xfId="0" applyNumberFormat="1" applyFont="1" applyFill="1" applyBorder="1"/>
    <xf numFmtId="2" fontId="9" fillId="3" borderId="7" xfId="0" applyNumberFormat="1" applyFont="1" applyFill="1" applyBorder="1" applyAlignment="1">
      <alignment horizontal="center" vertical="center"/>
    </xf>
    <xf numFmtId="2" fontId="7" fillId="3" borderId="8" xfId="0" applyNumberFormat="1" applyFont="1" applyFill="1" applyBorder="1"/>
    <xf numFmtId="2" fontId="9" fillId="3" borderId="8" xfId="0" applyNumberFormat="1" applyFont="1" applyFill="1" applyBorder="1" applyAlignment="1">
      <alignment horizontal="center" vertical="center"/>
    </xf>
    <xf numFmtId="0" fontId="9" fillId="3" borderId="2" xfId="0" applyFont="1" applyFill="1" applyBorder="1"/>
    <xf numFmtId="2" fontId="7" fillId="3" borderId="2" xfId="0" applyNumberFormat="1" applyFont="1" applyFill="1" applyBorder="1"/>
    <xf numFmtId="0" fontId="7" fillId="3" borderId="7" xfId="0" applyFont="1" applyFill="1" applyBorder="1"/>
    <xf numFmtId="0" fontId="8" fillId="3" borderId="7" xfId="0" applyFont="1" applyFill="1" applyBorder="1" applyAlignment="1">
      <alignment horizontal="center" vertical="center"/>
    </xf>
    <xf numFmtId="0" fontId="9" fillId="3" borderId="10" xfId="0" applyFont="1" applyFill="1" applyBorder="1" applyAlignment="1">
      <alignment horizontal="center" vertical="center" wrapText="1"/>
    </xf>
    <xf numFmtId="0" fontId="7" fillId="3" borderId="10" xfId="0" applyFont="1" applyFill="1" applyBorder="1"/>
    <xf numFmtId="0" fontId="8" fillId="3" borderId="0" xfId="0" applyFont="1" applyFill="1"/>
    <xf numFmtId="2" fontId="7" fillId="3" borderId="9" xfId="0" applyNumberFormat="1" applyFont="1" applyFill="1" applyBorder="1" applyAlignment="1">
      <alignment horizontal="center" vertical="center"/>
    </xf>
    <xf numFmtId="0" fontId="0" fillId="2" borderId="0" xfId="0" applyFill="1"/>
    <xf numFmtId="0" fontId="9" fillId="3" borderId="9" xfId="0" applyFont="1" applyFill="1" applyBorder="1" applyAlignment="1">
      <alignment horizontal="center" vertical="center" wrapText="1"/>
    </xf>
    <xf numFmtId="2" fontId="7" fillId="3" borderId="9" xfId="0" applyNumberFormat="1" applyFont="1" applyFill="1" applyBorder="1"/>
    <xf numFmtId="2" fontId="9" fillId="3" borderId="9" xfId="0" applyNumberFormat="1" applyFont="1" applyFill="1" applyBorder="1" applyAlignment="1">
      <alignment horizontal="center" vertical="center"/>
    </xf>
    <xf numFmtId="0" fontId="8" fillId="3" borderId="0" xfId="0" applyFont="1" applyFill="1" applyAlignment="1">
      <alignment horizontal="center" vertical="center"/>
    </xf>
    <xf numFmtId="0" fontId="8" fillId="3" borderId="8" xfId="0" applyFont="1" applyFill="1" applyBorder="1" applyAlignment="1">
      <alignment vertical="center"/>
    </xf>
    <xf numFmtId="0" fontId="8" fillId="3" borderId="0" xfId="0" applyFont="1" applyFill="1" applyAlignment="1">
      <alignment vertical="center"/>
    </xf>
    <xf numFmtId="0" fontId="6" fillId="3" borderId="0" xfId="0" applyFont="1" applyFill="1"/>
    <xf numFmtId="0" fontId="5"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xf>
    <xf numFmtId="165" fontId="7" fillId="3" borderId="0" xfId="0" applyNumberFormat="1" applyFont="1" applyFill="1"/>
    <xf numFmtId="0" fontId="3" fillId="3" borderId="21" xfId="0" applyFont="1" applyFill="1" applyBorder="1"/>
    <xf numFmtId="0" fontId="3" fillId="3" borderId="22" xfId="0" applyFont="1" applyFill="1" applyBorder="1" applyAlignment="1">
      <alignment horizontal="center" vertical="center"/>
    </xf>
    <xf numFmtId="0" fontId="3" fillId="3" borderId="22" xfId="0" applyFont="1" applyFill="1" applyBorder="1" applyAlignment="1">
      <alignment horizontal="center"/>
    </xf>
    <xf numFmtId="1" fontId="0" fillId="3" borderId="22" xfId="0" applyNumberFormat="1" applyFill="1" applyBorder="1" applyAlignment="1">
      <alignment horizontal="center"/>
    </xf>
    <xf numFmtId="0" fontId="0" fillId="3" borderId="22" xfId="0" applyFill="1" applyBorder="1"/>
    <xf numFmtId="0" fontId="0" fillId="3" borderId="23" xfId="0" applyFill="1" applyBorder="1"/>
    <xf numFmtId="0" fontId="0" fillId="3" borderId="24" xfId="0" applyFill="1" applyBorder="1"/>
    <xf numFmtId="0" fontId="0" fillId="3" borderId="25" xfId="0" applyFill="1" applyBorder="1"/>
    <xf numFmtId="0" fontId="9" fillId="3" borderId="24" xfId="0" applyFont="1" applyFill="1" applyBorder="1" applyAlignment="1">
      <alignment horizontal="center" vertical="center" wrapText="1"/>
    </xf>
    <xf numFmtId="1" fontId="0" fillId="3" borderId="24" xfId="0" applyNumberFormat="1" applyFill="1" applyBorder="1" applyAlignment="1">
      <alignment horizontal="center"/>
    </xf>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2" xfId="0" applyBorder="1"/>
    <xf numFmtId="0" fontId="0" fillId="0" borderId="23" xfId="0" applyBorder="1"/>
    <xf numFmtId="0" fontId="13" fillId="0" borderId="0" xfId="0" applyFont="1"/>
    <xf numFmtId="0" fontId="13" fillId="3" borderId="0" xfId="0" applyFont="1" applyFill="1"/>
    <xf numFmtId="0" fontId="15" fillId="3" borderId="0" xfId="0" applyFont="1" applyFill="1" applyAlignment="1">
      <alignment horizontal="center" vertical="center"/>
    </xf>
    <xf numFmtId="0" fontId="14" fillId="3" borderId="0" xfId="0" applyFont="1" applyFill="1" applyAlignment="1">
      <alignment horizontal="left" vertical="center"/>
    </xf>
    <xf numFmtId="0" fontId="13" fillId="3" borderId="0" xfId="0" applyFont="1" applyFill="1" applyAlignment="1">
      <alignment horizontal="left" vertical="center"/>
    </xf>
    <xf numFmtId="0" fontId="15" fillId="3" borderId="0" xfId="0" applyFont="1" applyFill="1" applyAlignment="1">
      <alignment horizontal="center" vertical="center" wrapText="1"/>
    </xf>
    <xf numFmtId="0" fontId="17" fillId="0" borderId="0" xfId="0" applyFont="1"/>
    <xf numFmtId="0" fontId="13" fillId="0" borderId="0" xfId="0" applyFont="1" applyAlignment="1">
      <alignment horizontal="center" vertical="center"/>
    </xf>
    <xf numFmtId="0" fontId="18" fillId="3" borderId="7" xfId="0" applyFont="1" applyFill="1" applyBorder="1" applyAlignment="1">
      <alignment horizontal="center" vertical="center" wrapText="1"/>
    </xf>
    <xf numFmtId="2" fontId="19" fillId="3" borderId="7" xfId="0" applyNumberFormat="1" applyFont="1" applyFill="1" applyBorder="1" applyAlignment="1">
      <alignment horizontal="center" vertical="center"/>
    </xf>
    <xf numFmtId="0" fontId="19" fillId="3" borderId="0" xfId="0" applyFont="1" applyFill="1"/>
    <xf numFmtId="0" fontId="19" fillId="3" borderId="10" xfId="0" applyFont="1" applyFill="1" applyBorder="1"/>
    <xf numFmtId="0" fontId="18" fillId="3" borderId="10" xfId="0" applyFont="1" applyFill="1" applyBorder="1" applyAlignment="1">
      <alignment horizontal="center" vertical="center" wrapText="1"/>
    </xf>
    <xf numFmtId="0" fontId="15" fillId="3" borderId="10" xfId="0" applyFont="1" applyFill="1" applyBorder="1" applyAlignment="1">
      <alignment horizontal="center" vertical="center"/>
    </xf>
    <xf numFmtId="0" fontId="19" fillId="3" borderId="7" xfId="0" applyFont="1" applyFill="1" applyBorder="1"/>
    <xf numFmtId="0" fontId="18" fillId="3" borderId="0" xfId="0" applyFont="1" applyFill="1" applyAlignment="1">
      <alignment horizontal="center" vertical="center" wrapText="1"/>
    </xf>
    <xf numFmtId="2" fontId="19" fillId="3" borderId="0" xfId="0" applyNumberFormat="1" applyFont="1" applyFill="1" applyAlignment="1">
      <alignment horizontal="center" vertical="center"/>
    </xf>
    <xf numFmtId="165" fontId="13" fillId="3" borderId="0" xfId="0" applyNumberFormat="1" applyFont="1" applyFill="1" applyAlignment="1">
      <alignment horizontal="center" vertical="center"/>
    </xf>
    <xf numFmtId="2" fontId="19" fillId="3" borderId="0" xfId="0" applyNumberFormat="1" applyFont="1" applyFill="1"/>
    <xf numFmtId="2" fontId="18" fillId="3" borderId="0" xfId="0" applyNumberFormat="1" applyFont="1" applyFill="1" applyAlignment="1">
      <alignment horizontal="center" vertical="center"/>
    </xf>
    <xf numFmtId="0" fontId="18" fillId="3" borderId="2" xfId="0" applyFont="1" applyFill="1" applyBorder="1"/>
    <xf numFmtId="2" fontId="19" fillId="3" borderId="2" xfId="0" applyNumberFormat="1" applyFont="1" applyFill="1" applyBorder="1"/>
    <xf numFmtId="0" fontId="18" fillId="3" borderId="8" xfId="0" applyFont="1" applyFill="1" applyBorder="1" applyAlignment="1">
      <alignment horizontal="center" vertical="center" wrapText="1"/>
    </xf>
    <xf numFmtId="165" fontId="13" fillId="3" borderId="8" xfId="0" applyNumberFormat="1" applyFont="1" applyFill="1" applyBorder="1" applyAlignment="1">
      <alignment horizontal="center" vertical="center"/>
    </xf>
    <xf numFmtId="2" fontId="19" fillId="3" borderId="8" xfId="0" applyNumberFormat="1" applyFont="1" applyFill="1" applyBorder="1"/>
    <xf numFmtId="2" fontId="18" fillId="3" borderId="8" xfId="0" applyNumberFormat="1" applyFont="1" applyFill="1" applyBorder="1" applyAlignment="1">
      <alignment horizontal="center" vertical="center"/>
    </xf>
    <xf numFmtId="1" fontId="15" fillId="3" borderId="0" xfId="0" applyNumberFormat="1" applyFont="1" applyFill="1" applyAlignment="1">
      <alignment horizontal="center"/>
    </xf>
    <xf numFmtId="1" fontId="13" fillId="3" borderId="0" xfId="0" applyNumberFormat="1" applyFont="1" applyFill="1" applyAlignment="1">
      <alignment horizontal="center"/>
    </xf>
    <xf numFmtId="0" fontId="14" fillId="0" borderId="0" xfId="0" applyFont="1" applyAlignment="1">
      <alignment horizontal="left" vertical="center"/>
    </xf>
    <xf numFmtId="165" fontId="13" fillId="0" borderId="0" xfId="0" applyNumberFormat="1" applyFont="1"/>
    <xf numFmtId="0" fontId="13" fillId="0" borderId="0" xfId="0" applyFont="1" applyAlignment="1">
      <alignment horizontal="left" vertical="center"/>
    </xf>
    <xf numFmtId="0" fontId="18" fillId="0" borderId="0" xfId="0" applyFont="1"/>
    <xf numFmtId="2" fontId="19" fillId="0" borderId="0" xfId="0" applyNumberFormat="1" applyFont="1"/>
    <xf numFmtId="0" fontId="19" fillId="0" borderId="0" xfId="0" applyFont="1"/>
    <xf numFmtId="0" fontId="14" fillId="3" borderId="0" xfId="0" applyFont="1" applyFill="1" applyAlignment="1">
      <alignment vertical="center"/>
    </xf>
    <xf numFmtId="0" fontId="17" fillId="3" borderId="0" xfId="0" applyFont="1" applyFill="1"/>
    <xf numFmtId="0" fontId="17" fillId="3" borderId="0" xfId="0" applyFont="1" applyFill="1" applyAlignment="1">
      <alignment horizontal="center" vertical="center"/>
    </xf>
    <xf numFmtId="0" fontId="17" fillId="3" borderId="0" xfId="0" applyFont="1" applyFill="1" applyAlignment="1">
      <alignment horizontal="center"/>
    </xf>
    <xf numFmtId="0" fontId="13" fillId="3" borderId="0" xfId="0" applyFont="1" applyFill="1" applyAlignment="1">
      <alignment horizontal="center" vertical="center"/>
    </xf>
    <xf numFmtId="0" fontId="19" fillId="3" borderId="6" xfId="0" applyFont="1" applyFill="1" applyBorder="1"/>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165" fontId="13" fillId="3" borderId="7" xfId="0" applyNumberFormat="1" applyFont="1" applyFill="1" applyBorder="1" applyAlignment="1">
      <alignment horizontal="center" vertical="center"/>
    </xf>
    <xf numFmtId="2" fontId="19" fillId="3" borderId="7" xfId="0" applyNumberFormat="1" applyFont="1" applyFill="1" applyBorder="1"/>
    <xf numFmtId="2" fontId="18" fillId="3" borderId="7" xfId="0" applyNumberFormat="1" applyFont="1" applyFill="1" applyBorder="1" applyAlignment="1">
      <alignment horizontal="center" vertical="center"/>
    </xf>
    <xf numFmtId="2" fontId="19" fillId="3" borderId="8" xfId="0" applyNumberFormat="1" applyFont="1" applyFill="1" applyBorder="1" applyAlignment="1">
      <alignment horizontal="center" vertical="center"/>
    </xf>
    <xf numFmtId="1" fontId="13" fillId="0" borderId="0" xfId="0" applyNumberFormat="1" applyFont="1" applyAlignment="1">
      <alignment horizontal="center"/>
    </xf>
    <xf numFmtId="0" fontId="18" fillId="3" borderId="0" xfId="0" applyFont="1" applyFill="1"/>
    <xf numFmtId="0" fontId="21" fillId="3" borderId="0" xfId="0" applyFont="1" applyFill="1" applyAlignment="1">
      <alignment horizontal="center" wrapText="1"/>
    </xf>
    <xf numFmtId="2" fontId="22" fillId="3" borderId="0" xfId="0" applyNumberFormat="1" applyFont="1" applyFill="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xf>
    <xf numFmtId="2" fontId="19" fillId="3" borderId="9" xfId="0" applyNumberFormat="1" applyFont="1" applyFill="1" applyBorder="1" applyAlignment="1">
      <alignment horizontal="center" vertical="center"/>
    </xf>
    <xf numFmtId="0" fontId="15" fillId="0" borderId="0" xfId="0" applyFont="1" applyAlignment="1">
      <alignment horizontal="left" vertical="center"/>
    </xf>
    <xf numFmtId="2" fontId="7" fillId="3" borderId="29" xfId="0" applyNumberFormat="1" applyFont="1" applyFill="1" applyBorder="1" applyAlignment="1">
      <alignment horizontal="center" vertical="center"/>
    </xf>
    <xf numFmtId="165" fontId="0" fillId="6" borderId="7" xfId="0" applyNumberFormat="1" applyFill="1" applyBorder="1" applyAlignment="1">
      <alignment horizontal="center" vertical="center"/>
    </xf>
    <xf numFmtId="165" fontId="0" fillId="6" borderId="8" xfId="0" applyNumberFormat="1" applyFill="1" applyBorder="1" applyAlignment="1">
      <alignment horizontal="center" vertical="center"/>
    </xf>
    <xf numFmtId="165" fontId="0" fillId="6" borderId="0" xfId="0" applyNumberFormat="1" applyFill="1" applyAlignment="1">
      <alignment horizontal="center" vertical="center"/>
    </xf>
    <xf numFmtId="165" fontId="0" fillId="0" borderId="0" xfId="0" applyNumberFormat="1" applyAlignment="1">
      <alignment horizontal="center" vertical="center"/>
    </xf>
    <xf numFmtId="0" fontId="13" fillId="3" borderId="0" xfId="0" applyFont="1" applyFill="1" applyAlignment="1">
      <alignment horizontal="center" vertical="center" wrapText="1"/>
    </xf>
    <xf numFmtId="165" fontId="13" fillId="3" borderId="0" xfId="0" applyNumberFormat="1" applyFont="1" applyFill="1" applyAlignment="1">
      <alignment horizontal="center" vertical="center" wrapText="1"/>
    </xf>
    <xf numFmtId="165" fontId="13" fillId="3" borderId="20" xfId="0" applyNumberFormat="1" applyFont="1" applyFill="1" applyBorder="1" applyAlignment="1">
      <alignment horizontal="center" vertical="center" wrapText="1"/>
    </xf>
    <xf numFmtId="0" fontId="15" fillId="3" borderId="19" xfId="0" applyFont="1" applyFill="1" applyBorder="1" applyAlignment="1">
      <alignment horizontal="center" vertical="center" wrapText="1"/>
    </xf>
    <xf numFmtId="165" fontId="15" fillId="3" borderId="19" xfId="0" applyNumberFormat="1" applyFont="1" applyFill="1" applyBorder="1" applyAlignment="1">
      <alignment horizontal="center" vertical="center" wrapText="1"/>
    </xf>
    <xf numFmtId="0" fontId="15" fillId="3" borderId="8" xfId="0" applyFont="1" applyFill="1" applyBorder="1" applyAlignment="1">
      <alignment vertical="center"/>
    </xf>
    <xf numFmtId="0" fontId="24" fillId="3" borderId="0" xfId="0" applyFont="1" applyFill="1"/>
    <xf numFmtId="0" fontId="15" fillId="7" borderId="0" xfId="0" applyFont="1" applyFill="1" applyAlignment="1">
      <alignment horizontal="center" vertical="center" wrapText="1"/>
    </xf>
    <xf numFmtId="0" fontId="13" fillId="7" borderId="0" xfId="0" applyFont="1" applyFill="1" applyAlignment="1">
      <alignment horizontal="left" vertical="center" wrapText="1"/>
    </xf>
    <xf numFmtId="0" fontId="13" fillId="7" borderId="8" xfId="0" applyFont="1" applyFill="1" applyBorder="1" applyAlignment="1">
      <alignment horizontal="left" vertical="center" wrapText="1"/>
    </xf>
    <xf numFmtId="0" fontId="13" fillId="3" borderId="0" xfId="0" applyFont="1" applyFill="1" applyAlignment="1">
      <alignment horizontal="left"/>
    </xf>
    <xf numFmtId="0" fontId="26" fillId="3" borderId="0" xfId="0" applyFont="1" applyFill="1" applyAlignment="1">
      <alignment horizontal="left" vertical="center"/>
    </xf>
    <xf numFmtId="0" fontId="27" fillId="3" borderId="0" xfId="0" applyFont="1" applyFill="1" applyAlignment="1">
      <alignment horizontal="center" vertical="center"/>
    </xf>
    <xf numFmtId="0" fontId="27" fillId="3" borderId="0" xfId="0" applyFont="1" applyFill="1" applyAlignment="1">
      <alignment horizontal="left" vertical="center"/>
    </xf>
    <xf numFmtId="0" fontId="26" fillId="3" borderId="0" xfId="0" applyFont="1" applyFill="1" applyAlignment="1">
      <alignment horizontal="center" vertical="center"/>
    </xf>
    <xf numFmtId="165" fontId="26" fillId="3" borderId="0" xfId="0" applyNumberFormat="1" applyFont="1" applyFill="1" applyAlignment="1">
      <alignment horizontal="center" vertical="center"/>
    </xf>
    <xf numFmtId="0" fontId="14" fillId="3" borderId="6" xfId="0" applyFont="1" applyFill="1" applyBorder="1" applyAlignment="1">
      <alignment horizontal="left" vertical="center" wrapText="1"/>
    </xf>
    <xf numFmtId="165" fontId="13" fillId="8" borderId="0" xfId="0" applyNumberFormat="1" applyFont="1" applyFill="1" applyAlignment="1">
      <alignment horizontal="center" vertical="center"/>
    </xf>
    <xf numFmtId="165" fontId="13" fillId="8" borderId="8" xfId="0" applyNumberFormat="1" applyFont="1" applyFill="1" applyBorder="1" applyAlignment="1">
      <alignment horizontal="center" vertical="center"/>
    </xf>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29" fillId="3" borderId="31" xfId="0" applyFont="1" applyFill="1" applyBorder="1"/>
    <xf numFmtId="0" fontId="13" fillId="0" borderId="0" xfId="0" applyFont="1" applyAlignment="1">
      <alignment horizontal="center" vertical="center" wrapText="1"/>
    </xf>
    <xf numFmtId="0" fontId="14" fillId="3" borderId="0" xfId="0" applyFont="1" applyFill="1"/>
    <xf numFmtId="0" fontId="23" fillId="3" borderId="0" xfId="0" applyFont="1" applyFill="1"/>
    <xf numFmtId="0" fontId="14" fillId="3" borderId="0" xfId="0" applyFont="1" applyFill="1" applyAlignment="1">
      <alignment horizontal="center"/>
    </xf>
    <xf numFmtId="0" fontId="23" fillId="3" borderId="0" xfId="0" applyFont="1" applyFill="1" applyAlignment="1">
      <alignment horizontal="left"/>
    </xf>
    <xf numFmtId="0" fontId="23" fillId="3" borderId="6" xfId="0" applyFont="1" applyFill="1" applyBorder="1" applyAlignment="1">
      <alignment horizontal="center" wrapText="1"/>
    </xf>
    <xf numFmtId="0" fontId="23" fillId="3" borderId="6" xfId="0" applyFont="1" applyFill="1" applyBorder="1" applyAlignment="1">
      <alignment horizontal="left" vertical="center"/>
    </xf>
    <xf numFmtId="0" fontId="14" fillId="3" borderId="6" xfId="0" applyFont="1" applyFill="1" applyBorder="1"/>
    <xf numFmtId="2" fontId="19" fillId="3" borderId="29" xfId="0" applyNumberFormat="1" applyFont="1" applyFill="1" applyBorder="1" applyAlignment="1">
      <alignment horizontal="center" vertical="center"/>
    </xf>
    <xf numFmtId="0" fontId="14" fillId="3" borderId="0" xfId="0" applyFont="1" applyFill="1" applyAlignment="1">
      <alignment horizontal="center" vertical="center"/>
    </xf>
    <xf numFmtId="165" fontId="14" fillId="3" borderId="0" xfId="0" applyNumberFormat="1" applyFont="1" applyFill="1" applyAlignment="1">
      <alignment horizontal="center" vertical="center"/>
    </xf>
    <xf numFmtId="0" fontId="14" fillId="3" borderId="0" xfId="0" applyFont="1" applyFill="1" applyAlignment="1">
      <alignment horizontal="left"/>
    </xf>
    <xf numFmtId="165" fontId="14" fillId="3" borderId="0" xfId="0" applyNumberFormat="1" applyFont="1" applyFill="1" applyAlignment="1">
      <alignment horizontal="center"/>
    </xf>
    <xf numFmtId="0" fontId="14" fillId="3" borderId="32" xfId="0" applyFont="1" applyFill="1" applyBorder="1"/>
    <xf numFmtId="0" fontId="14" fillId="3" borderId="33" xfId="0" applyFont="1" applyFill="1" applyBorder="1" applyAlignment="1">
      <alignment horizontal="center"/>
    </xf>
    <xf numFmtId="0" fontId="23" fillId="3" borderId="40" xfId="0" applyFont="1" applyFill="1" applyBorder="1" applyAlignment="1">
      <alignment horizontal="left" vertical="center"/>
    </xf>
    <xf numFmtId="0" fontId="23" fillId="3" borderId="41" xfId="0" applyFont="1" applyFill="1" applyBorder="1" applyAlignment="1">
      <alignment horizontal="center" wrapText="1"/>
    </xf>
    <xf numFmtId="0" fontId="23" fillId="3" borderId="34" xfId="0" applyFont="1" applyFill="1" applyBorder="1" applyAlignment="1">
      <alignment horizontal="left"/>
    </xf>
    <xf numFmtId="2" fontId="14" fillId="3" borderId="35" xfId="0" applyNumberFormat="1" applyFont="1" applyFill="1" applyBorder="1" applyAlignment="1">
      <alignment horizontal="center"/>
    </xf>
    <xf numFmtId="0" fontId="23" fillId="3" borderId="36" xfId="0" applyFont="1" applyFill="1" applyBorder="1" applyAlignment="1">
      <alignment horizontal="left"/>
    </xf>
    <xf numFmtId="0" fontId="14" fillId="3" borderId="37" xfId="0" applyFont="1" applyFill="1" applyBorder="1"/>
    <xf numFmtId="2" fontId="14" fillId="3" borderId="38" xfId="0" applyNumberFormat="1" applyFont="1" applyFill="1" applyBorder="1" applyAlignment="1">
      <alignment horizontal="center"/>
    </xf>
    <xf numFmtId="0" fontId="30" fillId="3" borderId="31" xfId="0" applyFont="1" applyFill="1" applyBorder="1"/>
    <xf numFmtId="165" fontId="14" fillId="3" borderId="48" xfId="0" applyNumberFormat="1" applyFont="1" applyFill="1" applyBorder="1" applyAlignment="1">
      <alignment horizontal="center" vertical="center"/>
    </xf>
    <xf numFmtId="165" fontId="14" fillId="3" borderId="49" xfId="0" applyNumberFormat="1" applyFont="1" applyFill="1" applyBorder="1" applyAlignment="1">
      <alignment horizontal="center" vertical="center"/>
    </xf>
    <xf numFmtId="0" fontId="23" fillId="3" borderId="42" xfId="0" applyFont="1" applyFill="1" applyBorder="1" applyAlignment="1">
      <alignment horizontal="left" vertical="center"/>
    </xf>
    <xf numFmtId="0" fontId="23" fillId="3" borderId="43" xfId="0" applyFont="1" applyFill="1" applyBorder="1" applyAlignment="1">
      <alignment horizontal="center" vertical="center"/>
    </xf>
    <xf numFmtId="0" fontId="23" fillId="3" borderId="44" xfId="0" applyFont="1" applyFill="1" applyBorder="1" applyAlignment="1">
      <alignment horizontal="center" vertical="center"/>
    </xf>
    <xf numFmtId="0" fontId="23" fillId="3" borderId="47" xfId="0" applyFont="1" applyFill="1" applyBorder="1" applyAlignment="1">
      <alignment horizontal="left" vertical="center"/>
    </xf>
    <xf numFmtId="0" fontId="23" fillId="3" borderId="45" xfId="0" applyFont="1" applyFill="1" applyBorder="1" applyAlignment="1">
      <alignment horizontal="left" vertical="center"/>
    </xf>
    <xf numFmtId="165" fontId="23" fillId="3" borderId="46" xfId="0" applyNumberFormat="1" applyFont="1" applyFill="1" applyBorder="1" applyAlignment="1">
      <alignment horizontal="center" vertical="center"/>
    </xf>
    <xf numFmtId="0" fontId="23" fillId="3" borderId="0" xfId="0" applyFont="1" applyFill="1" applyAlignment="1">
      <alignment horizontal="center" wrapText="1"/>
    </xf>
    <xf numFmtId="2" fontId="14" fillId="3" borderId="0" xfId="0" applyNumberFormat="1" applyFont="1" applyFill="1" applyAlignment="1">
      <alignment horizontal="center"/>
    </xf>
    <xf numFmtId="2" fontId="13" fillId="3" borderId="0" xfId="0" applyNumberFormat="1" applyFont="1" applyFill="1" applyAlignment="1">
      <alignment horizontal="center" vertical="center"/>
    </xf>
    <xf numFmtId="0" fontId="14" fillId="3" borderId="7" xfId="0" applyFont="1" applyFill="1" applyBorder="1" applyAlignment="1">
      <alignment horizontal="left" vertical="center" wrapText="1"/>
    </xf>
    <xf numFmtId="0" fontId="15" fillId="0" borderId="1" xfId="0" applyFont="1" applyBorder="1" applyAlignment="1">
      <alignment horizontal="center" vertical="center" wrapText="1"/>
    </xf>
    <xf numFmtId="0" fontId="9" fillId="3" borderId="29" xfId="0" applyFont="1" applyFill="1" applyBorder="1" applyAlignment="1">
      <alignment horizontal="center" vertical="center" wrapText="1"/>
    </xf>
    <xf numFmtId="0" fontId="13" fillId="0" borderId="43" xfId="0" applyFont="1" applyBorder="1" applyAlignment="1">
      <alignment horizontal="center" vertical="center"/>
    </xf>
    <xf numFmtId="0" fontId="13" fillId="0" borderId="43" xfId="0" applyFont="1" applyBorder="1"/>
    <xf numFmtId="0" fontId="17" fillId="3" borderId="43" xfId="0" applyFont="1" applyFill="1" applyBorder="1"/>
    <xf numFmtId="0" fontId="13" fillId="3" borderId="43" xfId="0" applyFont="1" applyFill="1" applyBorder="1"/>
    <xf numFmtId="0" fontId="13" fillId="0" borderId="44" xfId="0" applyFont="1" applyBorder="1"/>
    <xf numFmtId="0" fontId="13" fillId="0" borderId="45" xfId="0" applyFont="1" applyBorder="1"/>
    <xf numFmtId="0" fontId="13" fillId="0" borderId="46" xfId="0" applyFont="1" applyBorder="1"/>
    <xf numFmtId="0" fontId="18" fillId="3" borderId="45" xfId="0" applyFont="1" applyFill="1" applyBorder="1" applyAlignment="1">
      <alignment horizontal="center" vertical="center" wrapText="1"/>
    </xf>
    <xf numFmtId="2" fontId="19" fillId="3" borderId="50" xfId="0" applyNumberFormat="1" applyFont="1" applyFill="1" applyBorder="1"/>
    <xf numFmtId="0" fontId="18" fillId="3" borderId="51" xfId="0" applyFont="1" applyFill="1" applyBorder="1" applyAlignment="1">
      <alignment horizontal="center" vertical="center" wrapText="1"/>
    </xf>
    <xf numFmtId="1" fontId="15" fillId="3" borderId="45" xfId="0" applyNumberFormat="1" applyFont="1" applyFill="1" applyBorder="1" applyAlignment="1">
      <alignment horizontal="center"/>
    </xf>
    <xf numFmtId="0" fontId="13" fillId="0" borderId="47" xfId="0" applyFont="1" applyBorder="1"/>
    <xf numFmtId="0" fontId="13" fillId="0" borderId="48" xfId="0" applyFont="1" applyBorder="1"/>
    <xf numFmtId="0" fontId="18" fillId="3" borderId="48" xfId="0" applyFont="1" applyFill="1" applyBorder="1" applyAlignment="1">
      <alignment horizontal="center" vertical="center" wrapText="1"/>
    </xf>
    <xf numFmtId="2" fontId="19" fillId="3" borderId="48" xfId="0" applyNumberFormat="1" applyFont="1" applyFill="1" applyBorder="1" applyAlignment="1">
      <alignment horizontal="center" vertical="center"/>
    </xf>
    <xf numFmtId="0" fontId="18" fillId="3" borderId="52" xfId="0" applyFont="1" applyFill="1" applyBorder="1"/>
    <xf numFmtId="2" fontId="19" fillId="3" borderId="53" xfId="0" applyNumberFormat="1" applyFont="1" applyFill="1" applyBorder="1"/>
    <xf numFmtId="0" fontId="15" fillId="3" borderId="7" xfId="0" applyFont="1" applyFill="1" applyBorder="1" applyAlignment="1">
      <alignment horizontal="center" vertical="center"/>
    </xf>
    <xf numFmtId="0" fontId="19" fillId="3" borderId="54" xfId="0" applyFont="1" applyFill="1" applyBorder="1"/>
    <xf numFmtId="0" fontId="18" fillId="3" borderId="54" xfId="0" applyFont="1" applyFill="1" applyBorder="1" applyAlignment="1">
      <alignment horizontal="center" vertical="center" wrapText="1"/>
    </xf>
    <xf numFmtId="0" fontId="30" fillId="0" borderId="42" xfId="0" applyFont="1" applyBorder="1"/>
    <xf numFmtId="0" fontId="13" fillId="3" borderId="0" xfId="0" applyFont="1" applyFill="1" applyAlignment="1">
      <alignment horizontal="left" vertical="center" wrapText="1"/>
    </xf>
    <xf numFmtId="0" fontId="13" fillId="0" borderId="0" xfId="0" applyFont="1" applyAlignment="1">
      <alignment wrapText="1"/>
    </xf>
    <xf numFmtId="0" fontId="13" fillId="0" borderId="0" xfId="0" applyFont="1" applyAlignment="1">
      <alignment vertical="center" wrapText="1"/>
    </xf>
    <xf numFmtId="0" fontId="13" fillId="0" borderId="0" xfId="0" applyFont="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left" vertical="center" wrapText="1"/>
    </xf>
    <xf numFmtId="0" fontId="14" fillId="3" borderId="0" xfId="0" applyFont="1" applyFill="1" applyAlignment="1">
      <alignment horizontal="left" vertical="center" wrapText="1"/>
    </xf>
    <xf numFmtId="0" fontId="15" fillId="3" borderId="0" xfId="0" applyFont="1" applyFill="1" applyAlignment="1">
      <alignment horizontal="left"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3" fillId="0" borderId="6" xfId="0" applyFont="1" applyBorder="1" applyAlignment="1">
      <alignmen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28" fillId="0" borderId="0" xfId="0" applyFont="1" applyAlignment="1">
      <alignment horizontal="left" vertical="center" wrapText="1"/>
    </xf>
    <xf numFmtId="0" fontId="13" fillId="3" borderId="0" xfId="0" applyFont="1" applyFill="1" applyAlignment="1">
      <alignment wrapText="1"/>
    </xf>
    <xf numFmtId="0" fontId="15" fillId="3" borderId="0" xfId="0" applyFont="1" applyFill="1" applyAlignment="1">
      <alignment wrapText="1"/>
    </xf>
    <xf numFmtId="0" fontId="15"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6" xfId="4" applyFont="1" applyFill="1" applyBorder="1" applyAlignment="1">
      <alignment horizontal="center" vertical="center" wrapText="1"/>
    </xf>
    <xf numFmtId="0" fontId="25" fillId="0" borderId="7" xfId="4" applyFont="1" applyFill="1" applyBorder="1" applyAlignment="1">
      <alignment horizontal="center"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3" fillId="0" borderId="0" xfId="0" applyFont="1" applyAlignment="1">
      <alignment horizontal="left" wrapText="1"/>
    </xf>
    <xf numFmtId="0" fontId="14" fillId="0" borderId="8" xfId="0" applyFont="1" applyBorder="1" applyAlignment="1">
      <alignment vertical="center" wrapText="1"/>
    </xf>
    <xf numFmtId="0" fontId="15" fillId="0" borderId="0" xfId="0" applyFont="1" applyAlignment="1">
      <alignment horizontal="left" wrapText="1"/>
    </xf>
    <xf numFmtId="2" fontId="13" fillId="3" borderId="0" xfId="0" applyNumberFormat="1" applyFont="1" applyFill="1"/>
    <xf numFmtId="0" fontId="31" fillId="0" borderId="58" xfId="0" applyFont="1" applyBorder="1" applyAlignment="1">
      <alignment horizontal="center" vertical="center"/>
    </xf>
    <xf numFmtId="0" fontId="31" fillId="0" borderId="39" xfId="0" applyFont="1" applyBorder="1" applyAlignment="1">
      <alignment horizontal="center" vertical="center"/>
    </xf>
    <xf numFmtId="0" fontId="31" fillId="0" borderId="59" xfId="0" applyFont="1" applyBorder="1" applyAlignment="1">
      <alignment horizontal="center" vertical="center"/>
    </xf>
    <xf numFmtId="0" fontId="31" fillId="0" borderId="57" xfId="0" applyFont="1" applyBorder="1" applyAlignment="1">
      <alignment horizontal="center" vertical="center"/>
    </xf>
    <xf numFmtId="16" fontId="13" fillId="0" borderId="0" xfId="0" applyNumberFormat="1" applyFont="1" applyAlignment="1">
      <alignment horizontal="left" wrapText="1"/>
    </xf>
    <xf numFmtId="0" fontId="13" fillId="3" borderId="6" xfId="0" applyFont="1" applyFill="1" applyBorder="1" applyAlignment="1">
      <alignment horizontal="left" vertical="center" wrapText="1"/>
    </xf>
    <xf numFmtId="2" fontId="13" fillId="3" borderId="6" xfId="0" applyNumberFormat="1"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7" xfId="0" applyFont="1" applyFill="1" applyBorder="1" applyAlignment="1">
      <alignment vertical="center" wrapText="1"/>
    </xf>
    <xf numFmtId="0" fontId="13" fillId="3" borderId="7" xfId="0" applyFont="1" applyFill="1" applyBorder="1" applyAlignment="1">
      <alignment horizontal="center" vertical="center" wrapText="1"/>
    </xf>
    <xf numFmtId="165" fontId="13" fillId="3" borderId="7" xfId="0" applyNumberFormat="1" applyFont="1" applyFill="1" applyBorder="1" applyAlignment="1">
      <alignment horizontal="center" vertical="center" wrapText="1"/>
    </xf>
    <xf numFmtId="0" fontId="15" fillId="3" borderId="8"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8" xfId="0" applyFont="1" applyFill="1" applyBorder="1" applyAlignment="1">
      <alignment horizontal="center" vertical="center" wrapText="1"/>
    </xf>
    <xf numFmtId="165" fontId="13" fillId="3" borderId="8" xfId="0" applyNumberFormat="1" applyFont="1" applyFill="1" applyBorder="1" applyAlignment="1">
      <alignment horizontal="center" vertical="center" wrapText="1"/>
    </xf>
    <xf numFmtId="166" fontId="0" fillId="3" borderId="0" xfId="0" applyNumberFormat="1" applyFill="1" applyAlignment="1">
      <alignment horizontal="center" vertical="center"/>
    </xf>
    <xf numFmtId="0" fontId="8" fillId="3" borderId="0" xfId="0" applyFont="1" applyFill="1" applyAlignment="1">
      <alignment horizontal="right"/>
    </xf>
    <xf numFmtId="0" fontId="0" fillId="3" borderId="0" xfId="0" applyFill="1" applyAlignment="1">
      <alignment horizontal="center"/>
    </xf>
    <xf numFmtId="0" fontId="23" fillId="3" borderId="7" xfId="0" applyFont="1" applyFill="1" applyBorder="1" applyAlignment="1">
      <alignment horizontal="left" vertical="center"/>
    </xf>
    <xf numFmtId="0" fontId="23" fillId="3" borderId="60" xfId="0" applyFont="1" applyFill="1" applyBorder="1"/>
    <xf numFmtId="166" fontId="0" fillId="3" borderId="61" xfId="0" applyNumberFormat="1" applyFill="1" applyBorder="1" applyAlignment="1">
      <alignment horizontal="center" vertical="center"/>
    </xf>
    <xf numFmtId="166" fontId="0" fillId="3" borderId="62" xfId="0" applyNumberFormat="1" applyFill="1" applyBorder="1" applyAlignment="1">
      <alignment horizontal="center" vertical="center"/>
    </xf>
    <xf numFmtId="2" fontId="0" fillId="3" borderId="0" xfId="0" applyNumberFormat="1" applyFill="1"/>
    <xf numFmtId="167" fontId="0" fillId="3" borderId="0" xfId="0" applyNumberFormat="1" applyFill="1"/>
    <xf numFmtId="0" fontId="13" fillId="3" borderId="8" xfId="0" applyFont="1" applyFill="1" applyBorder="1" applyAlignment="1">
      <alignment horizontal="center" vertical="center"/>
    </xf>
    <xf numFmtId="0" fontId="15" fillId="3" borderId="8" xfId="0" applyFont="1" applyFill="1" applyBorder="1" applyAlignment="1">
      <alignment horizontal="center" vertical="center"/>
    </xf>
    <xf numFmtId="0" fontId="15" fillId="0" borderId="8" xfId="0" applyFont="1" applyBorder="1" applyAlignment="1">
      <alignment horizontal="center" vertical="center"/>
    </xf>
    <xf numFmtId="0" fontId="13" fillId="3" borderId="8" xfId="0" applyFont="1" applyFill="1" applyBorder="1"/>
    <xf numFmtId="0" fontId="13" fillId="0" borderId="8" xfId="0" applyFont="1" applyBorder="1"/>
    <xf numFmtId="0" fontId="13" fillId="0" borderId="6" xfId="0" applyFont="1" applyBorder="1" applyAlignment="1">
      <alignment horizontal="center" vertical="center"/>
    </xf>
    <xf numFmtId="0" fontId="13" fillId="3" borderId="6" xfId="0" applyFont="1" applyFill="1" applyBorder="1" applyAlignment="1">
      <alignment horizontal="center" vertical="center"/>
    </xf>
    <xf numFmtId="0" fontId="15" fillId="0" borderId="6" xfId="0" applyFont="1" applyBorder="1"/>
    <xf numFmtId="0" fontId="13" fillId="0" borderId="8" xfId="0" applyFont="1" applyBorder="1" applyAlignment="1">
      <alignment horizontal="center" vertical="center"/>
    </xf>
    <xf numFmtId="0" fontId="15" fillId="0" borderId="8" xfId="0" applyFont="1" applyBorder="1"/>
    <xf numFmtId="0" fontId="15" fillId="3" borderId="0" xfId="0" applyFont="1" applyFill="1"/>
    <xf numFmtId="0" fontId="15" fillId="3" borderId="8" xfId="0" applyFont="1" applyFill="1" applyBorder="1"/>
    <xf numFmtId="2" fontId="15" fillId="0" borderId="6" xfId="0" applyNumberFormat="1" applyFont="1" applyBorder="1"/>
    <xf numFmtId="0" fontId="15" fillId="3" borderId="6" xfId="0" applyFont="1" applyFill="1" applyBorder="1" applyAlignment="1">
      <alignment horizontal="center" wrapText="1"/>
    </xf>
    <xf numFmtId="0" fontId="15" fillId="3" borderId="0" xfId="0" applyFont="1" applyFill="1" applyAlignment="1">
      <alignment horizontal="left"/>
    </xf>
    <xf numFmtId="0" fontId="15" fillId="3" borderId="8" xfId="0" applyFont="1" applyFill="1" applyBorder="1" applyAlignment="1">
      <alignment horizontal="left"/>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3" borderId="8" xfId="0" applyFont="1" applyFill="1" applyBorder="1" applyAlignment="1">
      <alignment horizontal="left" vertical="center" wrapText="1"/>
    </xf>
    <xf numFmtId="0" fontId="0" fillId="3" borderId="0" xfId="0" applyFill="1" applyAlignment="1">
      <alignment horizontal="left" vertical="center" indent="5"/>
    </xf>
    <xf numFmtId="0" fontId="14" fillId="0" borderId="6" xfId="0" applyFont="1" applyBorder="1" applyAlignment="1">
      <alignment horizontal="left" vertical="center" wrapText="1"/>
    </xf>
    <xf numFmtId="0" fontId="13" fillId="0" borderId="8" xfId="0" applyFont="1" applyBorder="1" applyAlignment="1">
      <alignment vertical="center" wrapText="1"/>
    </xf>
    <xf numFmtId="0" fontId="14" fillId="0" borderId="0" xfId="0" applyFont="1" applyAlignment="1">
      <alignment vertical="center" wrapText="1"/>
    </xf>
    <xf numFmtId="0" fontId="31" fillId="0" borderId="0" xfId="0" applyFont="1" applyAlignment="1">
      <alignment horizontal="center" vertical="center" wrapText="1"/>
    </xf>
    <xf numFmtId="0" fontId="25" fillId="0" borderId="0" xfId="4" applyFont="1" applyFill="1" applyBorder="1" applyAlignment="1">
      <alignment horizontal="center" vertical="center" wrapText="1"/>
    </xf>
    <xf numFmtId="0" fontId="13" fillId="0" borderId="7" xfId="0" applyFont="1" applyBorder="1" applyAlignment="1">
      <alignment vertical="center" wrapText="1"/>
    </xf>
    <xf numFmtId="0" fontId="31" fillId="0" borderId="8" xfId="0" applyFont="1" applyBorder="1" applyAlignment="1">
      <alignment horizontal="center" vertical="center" wrapText="1"/>
    </xf>
    <xf numFmtId="0" fontId="31" fillId="0" borderId="7" xfId="0" applyFont="1" applyBorder="1" applyAlignment="1">
      <alignment horizontal="center" vertical="center" wrapText="1"/>
    </xf>
    <xf numFmtId="0" fontId="25" fillId="0" borderId="8" xfId="4" applyFont="1" applyFill="1" applyBorder="1" applyAlignment="1">
      <alignment horizontal="center" vertical="center" wrapText="1"/>
    </xf>
    <xf numFmtId="0" fontId="13" fillId="3" borderId="1" xfId="0" applyFont="1" applyFill="1" applyBorder="1" applyAlignment="1">
      <alignment horizontal="center" vertical="center"/>
    </xf>
    <xf numFmtId="12" fontId="13" fillId="3" borderId="1" xfId="0" applyNumberFormat="1" applyFont="1" applyFill="1" applyBorder="1" applyAlignment="1">
      <alignment horizontal="center" vertical="center"/>
    </xf>
    <xf numFmtId="0" fontId="13" fillId="3" borderId="1" xfId="0" applyFont="1" applyFill="1" applyBorder="1" applyAlignment="1">
      <alignment horizontal="center"/>
    </xf>
    <xf numFmtId="12" fontId="13" fillId="3" borderId="1" xfId="0" applyNumberFormat="1" applyFont="1" applyFill="1" applyBorder="1" applyAlignment="1">
      <alignment horizontal="center"/>
    </xf>
    <xf numFmtId="0" fontId="13" fillId="3" borderId="0" xfId="0" applyFont="1" applyFill="1" applyAlignment="1">
      <alignment horizontal="center"/>
    </xf>
    <xf numFmtId="0" fontId="8" fillId="0" borderId="0" xfId="0" applyFont="1" applyAlignment="1">
      <alignment horizontal="center" vertical="center"/>
    </xf>
    <xf numFmtId="0" fontId="17" fillId="3" borderId="21" xfId="0" applyFont="1" applyFill="1" applyBorder="1"/>
    <xf numFmtId="0" fontId="18" fillId="3" borderId="9" xfId="0" applyFont="1" applyFill="1" applyBorder="1" applyAlignment="1">
      <alignment horizontal="center" vertical="center" wrapText="1"/>
    </xf>
    <xf numFmtId="2" fontId="19" fillId="3" borderId="9" xfId="0" applyNumberFormat="1" applyFont="1" applyFill="1" applyBorder="1"/>
    <xf numFmtId="2" fontId="18" fillId="3" borderId="9" xfId="0" applyNumberFormat="1" applyFont="1" applyFill="1" applyBorder="1" applyAlignment="1">
      <alignment horizontal="center" vertical="center"/>
    </xf>
    <xf numFmtId="165" fontId="19" fillId="3" borderId="0" xfId="0" applyNumberFormat="1" applyFont="1" applyFill="1"/>
    <xf numFmtId="0" fontId="34" fillId="3" borderId="0" xfId="4" applyFont="1" applyFill="1"/>
    <xf numFmtId="0" fontId="35" fillId="3" borderId="0" xfId="2" applyFont="1" applyFill="1"/>
    <xf numFmtId="0" fontId="36" fillId="3" borderId="0" xfId="3" applyFont="1" applyFill="1" applyAlignment="1">
      <alignment vertical="center"/>
    </xf>
    <xf numFmtId="0" fontId="13" fillId="3" borderId="0" xfId="0" applyFont="1" applyFill="1" applyAlignment="1">
      <alignment vertical="center"/>
    </xf>
    <xf numFmtId="0" fontId="37" fillId="3" borderId="0" xfId="3" applyFont="1" applyFill="1" applyAlignment="1">
      <alignment vertical="center"/>
    </xf>
    <xf numFmtId="0" fontId="15" fillId="3" borderId="0" xfId="0" applyFont="1" applyFill="1" applyAlignment="1">
      <alignment vertical="center"/>
    </xf>
    <xf numFmtId="2" fontId="37" fillId="3" borderId="0" xfId="3" applyNumberFormat="1" applyFont="1" applyFill="1" applyAlignment="1">
      <alignment vertical="center"/>
    </xf>
    <xf numFmtId="2" fontId="36" fillId="3" borderId="0" xfId="3" applyNumberFormat="1" applyFont="1" applyFill="1" applyAlignment="1">
      <alignment vertical="center"/>
    </xf>
    <xf numFmtId="0" fontId="13" fillId="3" borderId="22" xfId="0" applyFont="1" applyFill="1" applyBorder="1"/>
    <xf numFmtId="0" fontId="13" fillId="3" borderId="23" xfId="0" applyFont="1" applyFill="1" applyBorder="1"/>
    <xf numFmtId="0" fontId="13" fillId="3" borderId="24" xfId="0" applyFont="1" applyFill="1" applyBorder="1"/>
    <xf numFmtId="0" fontId="13" fillId="3" borderId="25" xfId="0" applyFont="1" applyFill="1" applyBorder="1"/>
    <xf numFmtId="0" fontId="13" fillId="3" borderId="26" xfId="0" applyFont="1" applyFill="1" applyBorder="1"/>
    <xf numFmtId="0" fontId="13" fillId="3" borderId="27" xfId="0" applyFont="1" applyFill="1" applyBorder="1"/>
    <xf numFmtId="0" fontId="13" fillId="3" borderId="28" xfId="0" applyFont="1" applyFill="1" applyBorder="1"/>
    <xf numFmtId="0" fontId="32" fillId="3" borderId="0" xfId="0" applyFont="1" applyFill="1"/>
    <xf numFmtId="164" fontId="32" fillId="3" borderId="0" xfId="0" applyNumberFormat="1" applyFont="1" applyFill="1"/>
    <xf numFmtId="22" fontId="13" fillId="3" borderId="3" xfId="0" applyNumberFormat="1" applyFont="1" applyFill="1" applyBorder="1" applyAlignment="1">
      <alignment readingOrder="1"/>
    </xf>
    <xf numFmtId="0" fontId="13" fillId="3" borderId="4" xfId="0" applyFont="1" applyFill="1" applyBorder="1" applyAlignment="1">
      <alignment readingOrder="1"/>
    </xf>
    <xf numFmtId="0" fontId="13" fillId="3" borderId="5" xfId="0" applyFont="1" applyFill="1" applyBorder="1" applyAlignment="1">
      <alignment readingOrder="1"/>
    </xf>
    <xf numFmtId="22" fontId="13" fillId="3" borderId="30" xfId="0" applyNumberFormat="1" applyFont="1" applyFill="1" applyBorder="1" applyAlignment="1">
      <alignment horizontal="right" wrapText="1"/>
    </xf>
    <xf numFmtId="0" fontId="13" fillId="3" borderId="30" xfId="0" applyFont="1" applyFill="1" applyBorder="1" applyAlignment="1">
      <alignment wrapText="1"/>
    </xf>
    <xf numFmtId="0" fontId="13" fillId="3" borderId="30" xfId="0" applyFont="1" applyFill="1" applyBorder="1" applyAlignment="1">
      <alignment vertical="center"/>
    </xf>
    <xf numFmtId="2" fontId="13" fillId="3" borderId="1" xfId="0" applyNumberFormat="1" applyFont="1" applyFill="1" applyBorder="1" applyAlignment="1">
      <alignment horizontal="center"/>
    </xf>
    <xf numFmtId="1" fontId="13" fillId="3" borderId="1" xfId="0" applyNumberFormat="1" applyFont="1" applyFill="1" applyBorder="1" applyAlignment="1">
      <alignment horizontal="center"/>
    </xf>
    <xf numFmtId="0" fontId="15" fillId="3" borderId="1" xfId="0" applyFont="1" applyFill="1" applyBorder="1" applyAlignment="1">
      <alignment horizontal="center" vertical="center"/>
    </xf>
    <xf numFmtId="0" fontId="32" fillId="3" borderId="1" xfId="0" applyFont="1" applyFill="1" applyBorder="1" applyAlignment="1">
      <alignment horizontal="center" vertical="center" wrapText="1"/>
    </xf>
    <xf numFmtId="0" fontId="23" fillId="3" borderId="0" xfId="0" applyFont="1" applyFill="1" applyAlignment="1">
      <alignment vertical="center"/>
    </xf>
    <xf numFmtId="165" fontId="19" fillId="3" borderId="0" xfId="0" applyNumberFormat="1" applyFont="1" applyFill="1" applyAlignment="1">
      <alignment horizontal="center" vertical="center"/>
    </xf>
    <xf numFmtId="0" fontId="23" fillId="3" borderId="6" xfId="0" applyFont="1" applyFill="1" applyBorder="1" applyAlignment="1">
      <alignment vertical="center"/>
    </xf>
    <xf numFmtId="165" fontId="23" fillId="3" borderId="6" xfId="0" applyNumberFormat="1"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6" xfId="0" applyFont="1" applyFill="1" applyBorder="1" applyAlignment="1">
      <alignment wrapText="1"/>
    </xf>
    <xf numFmtId="165" fontId="14" fillId="3" borderId="6" xfId="0" applyNumberFormat="1" applyFont="1" applyFill="1" applyBorder="1" applyAlignment="1">
      <alignment horizontal="center" vertical="center"/>
    </xf>
    <xf numFmtId="165" fontId="23" fillId="3" borderId="6" xfId="0" applyNumberFormat="1" applyFont="1" applyFill="1" applyBorder="1" applyAlignment="1">
      <alignment horizontal="center"/>
    </xf>
    <xf numFmtId="0" fontId="23" fillId="3" borderId="6" xfId="0" applyFont="1" applyFill="1" applyBorder="1"/>
    <xf numFmtId="0" fontId="0" fillId="3" borderId="12" xfId="0" applyFill="1" applyBorder="1" applyAlignment="1">
      <alignment horizontal="center" vertical="center"/>
    </xf>
    <xf numFmtId="0" fontId="0" fillId="3" borderId="12" xfId="0" applyFill="1" applyBorder="1"/>
    <xf numFmtId="0" fontId="0" fillId="3" borderId="13" xfId="0" applyFill="1" applyBorder="1"/>
    <xf numFmtId="0" fontId="0" fillId="3" borderId="14" xfId="0" applyFill="1" applyBorder="1"/>
    <xf numFmtId="0" fontId="0" fillId="3" borderId="15" xfId="0" applyFill="1" applyBorder="1"/>
    <xf numFmtId="0" fontId="13" fillId="3" borderId="17" xfId="0" applyFont="1" applyFill="1" applyBorder="1" applyAlignment="1">
      <alignment horizontal="center" vertical="center"/>
    </xf>
    <xf numFmtId="0" fontId="15" fillId="3" borderId="17" xfId="0" applyFont="1" applyFill="1" applyBorder="1" applyAlignment="1">
      <alignment horizontal="center" vertical="center"/>
    </xf>
    <xf numFmtId="0" fontId="13" fillId="3" borderId="17" xfId="0" applyFont="1" applyFill="1" applyBorder="1"/>
    <xf numFmtId="0" fontId="0" fillId="3" borderId="17" xfId="0" applyFill="1" applyBorder="1"/>
    <xf numFmtId="0" fontId="0" fillId="3" borderId="17" xfId="0" applyFill="1" applyBorder="1" applyAlignment="1">
      <alignment horizontal="center" vertical="center"/>
    </xf>
    <xf numFmtId="0" fontId="0" fillId="3" borderId="18" xfId="0" applyFill="1" applyBorder="1"/>
    <xf numFmtId="0" fontId="0" fillId="3" borderId="8" xfId="0" applyFill="1" applyBorder="1"/>
    <xf numFmtId="0" fontId="8" fillId="3" borderId="8" xfId="0" applyFont="1" applyFill="1" applyBorder="1"/>
    <xf numFmtId="0" fontId="0" fillId="9" borderId="12" xfId="0" applyFill="1" applyBorder="1" applyAlignment="1">
      <alignment horizontal="center" vertical="center"/>
    </xf>
    <xf numFmtId="0" fontId="15" fillId="0" borderId="6" xfId="0" applyFont="1" applyBorder="1" applyAlignment="1">
      <alignment horizontal="center" vertical="center"/>
    </xf>
    <xf numFmtId="0" fontId="0" fillId="3" borderId="11" xfId="0" applyFill="1" applyBorder="1"/>
    <xf numFmtId="0" fontId="15" fillId="0" borderId="0" xfId="0" applyFont="1"/>
    <xf numFmtId="0" fontId="0" fillId="3" borderId="16" xfId="0" applyFill="1" applyBorder="1"/>
    <xf numFmtId="0" fontId="15" fillId="0" borderId="0" xfId="0" applyFont="1" applyAlignment="1">
      <alignment horizontal="center" vertical="center"/>
    </xf>
    <xf numFmtId="0" fontId="15" fillId="3" borderId="17" xfId="0" applyFont="1" applyFill="1" applyBorder="1"/>
    <xf numFmtId="0" fontId="8" fillId="3" borderId="11" xfId="0" applyFont="1" applyFill="1" applyBorder="1"/>
    <xf numFmtId="0" fontId="8" fillId="9" borderId="12"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2" xfId="0" applyFont="1" applyFill="1" applyBorder="1"/>
    <xf numFmtId="0" fontId="8" fillId="3" borderId="13" xfId="0" applyFont="1" applyFill="1" applyBorder="1"/>
    <xf numFmtId="0" fontId="8" fillId="3" borderId="14" xfId="0" applyFont="1" applyFill="1" applyBorder="1"/>
    <xf numFmtId="0" fontId="8" fillId="3" borderId="15" xfId="0" applyFont="1" applyFill="1" applyBorder="1"/>
    <xf numFmtId="0" fontId="8" fillId="3" borderId="16" xfId="0" applyFont="1" applyFill="1" applyBorder="1"/>
    <xf numFmtId="0" fontId="8" fillId="3" borderId="17" xfId="0" applyFont="1" applyFill="1" applyBorder="1" applyAlignment="1">
      <alignment horizontal="center" vertical="center"/>
    </xf>
    <xf numFmtId="0" fontId="8" fillId="3" borderId="17" xfId="0" applyFont="1" applyFill="1" applyBorder="1"/>
    <xf numFmtId="0" fontId="8" fillId="3" borderId="18" xfId="0" applyFont="1" applyFill="1" applyBorder="1"/>
    <xf numFmtId="0" fontId="19" fillId="3" borderId="0" xfId="0" applyFont="1" applyFill="1" applyAlignment="1">
      <alignment horizontal="center" vertical="center"/>
    </xf>
    <xf numFmtId="0" fontId="13" fillId="3" borderId="43" xfId="0" applyFont="1" applyFill="1" applyBorder="1" applyAlignment="1">
      <alignment horizontal="center" vertical="center"/>
    </xf>
    <xf numFmtId="0" fontId="15" fillId="0" borderId="64"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71" xfId="0" applyFont="1" applyBorder="1" applyAlignment="1">
      <alignment horizontal="center" vertical="center" wrapText="1"/>
    </xf>
    <xf numFmtId="0" fontId="13" fillId="0" borderId="71" xfId="0" applyFont="1" applyBorder="1" applyAlignment="1">
      <alignment vertical="center" wrapText="1"/>
    </xf>
    <xf numFmtId="0" fontId="13" fillId="0" borderId="71" xfId="0" applyFont="1" applyBorder="1" applyAlignment="1">
      <alignment horizontal="left" vertical="center" wrapText="1"/>
    </xf>
    <xf numFmtId="0" fontId="15" fillId="0" borderId="73" xfId="0" applyFont="1" applyBorder="1" applyAlignment="1">
      <alignment horizontal="center" vertical="center" wrapText="1"/>
    </xf>
    <xf numFmtId="0" fontId="15" fillId="0" borderId="74" xfId="0" applyFont="1" applyBorder="1" applyAlignment="1">
      <alignment horizontal="center" vertical="center" wrapText="1"/>
    </xf>
    <xf numFmtId="0" fontId="0" fillId="0" borderId="13" xfId="0" applyBorder="1"/>
    <xf numFmtId="0" fontId="0" fillId="0" borderId="15" xfId="0" applyBorder="1"/>
    <xf numFmtId="0" fontId="0" fillId="0" borderId="15" xfId="0" applyBorder="1" applyAlignment="1">
      <alignment vertical="center"/>
    </xf>
    <xf numFmtId="0" fontId="0" fillId="0" borderId="16" xfId="0" applyBorder="1"/>
    <xf numFmtId="0" fontId="0" fillId="0" borderId="17" xfId="0" applyBorder="1"/>
    <xf numFmtId="0" fontId="0" fillId="0" borderId="18" xfId="0" applyBorder="1"/>
    <xf numFmtId="0" fontId="13" fillId="0" borderId="11" xfId="0" applyFont="1" applyBorder="1"/>
    <xf numFmtId="0" fontId="13" fillId="0" borderId="12" xfId="0" applyFont="1" applyBorder="1"/>
    <xf numFmtId="0" fontId="13" fillId="0" borderId="14" xfId="0" applyFont="1" applyBorder="1"/>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xf numFmtId="0" fontId="0" fillId="0" borderId="0" xfId="0" applyAlignment="1">
      <alignment horizontal="center"/>
    </xf>
    <xf numFmtId="0" fontId="8" fillId="0" borderId="14" xfId="0" applyFont="1" applyBorder="1" applyAlignment="1">
      <alignment horizontal="center" vertical="center"/>
    </xf>
    <xf numFmtId="0" fontId="0" fillId="0" borderId="0" xfId="0" applyAlignment="1">
      <alignment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vertical="center"/>
    </xf>
    <xf numFmtId="0" fontId="8" fillId="10" borderId="0" xfId="0" applyFont="1" applyFill="1" applyAlignment="1">
      <alignment horizontal="center" vertical="center"/>
    </xf>
    <xf numFmtId="0" fontId="8" fillId="10" borderId="15" xfId="0" applyFont="1" applyFill="1" applyBorder="1" applyAlignment="1">
      <alignment horizontal="center" vertical="center"/>
    </xf>
    <xf numFmtId="0" fontId="0" fillId="10" borderId="0" xfId="0" applyFill="1" applyAlignment="1">
      <alignment horizontal="center" vertical="center"/>
    </xf>
    <xf numFmtId="0" fontId="0" fillId="10" borderId="15" xfId="0" applyFill="1" applyBorder="1" applyAlignment="1">
      <alignment horizontal="center" vertical="center"/>
    </xf>
    <xf numFmtId="0" fontId="0" fillId="10" borderId="17" xfId="0" applyFill="1" applyBorder="1" applyAlignment="1">
      <alignment horizontal="center" vertical="center"/>
    </xf>
    <xf numFmtId="0" fontId="0" fillId="10" borderId="18" xfId="0" applyFill="1" applyBorder="1" applyAlignment="1">
      <alignment horizontal="center" vertical="center"/>
    </xf>
    <xf numFmtId="0" fontId="15" fillId="0" borderId="7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17" xfId="0" applyFont="1" applyBorder="1" applyAlignment="1">
      <alignment horizontal="center" vertical="center" wrapText="1"/>
    </xf>
    <xf numFmtId="0" fontId="13" fillId="0" borderId="17" xfId="0" applyFont="1" applyBorder="1" applyAlignment="1">
      <alignment vertical="center" wrapText="1"/>
    </xf>
    <xf numFmtId="0" fontId="13" fillId="0" borderId="17" xfId="0" applyFont="1" applyBorder="1" applyAlignment="1">
      <alignment horizontal="left" vertical="center" wrapText="1"/>
    </xf>
    <xf numFmtId="0" fontId="15" fillId="0" borderId="18" xfId="0" applyFont="1" applyBorder="1" applyAlignment="1">
      <alignment horizontal="center" vertical="center" wrapText="1"/>
    </xf>
    <xf numFmtId="0" fontId="6" fillId="0" borderId="0" xfId="0" applyFont="1" applyAlignment="1">
      <alignment horizontal="right"/>
    </xf>
    <xf numFmtId="0" fontId="8" fillId="12" borderId="14" xfId="0" applyFont="1" applyFill="1" applyBorder="1" applyAlignment="1">
      <alignment horizontal="center" vertical="center"/>
    </xf>
    <xf numFmtId="0" fontId="8" fillId="11" borderId="15" xfId="0" applyFont="1" applyFill="1" applyBorder="1" applyAlignment="1">
      <alignment horizontal="center" vertical="center"/>
    </xf>
    <xf numFmtId="166" fontId="0" fillId="0" borderId="14" xfId="0" applyNumberFormat="1" applyBorder="1" applyAlignment="1">
      <alignment horizontal="center" vertical="center"/>
    </xf>
    <xf numFmtId="166" fontId="0" fillId="0" borderId="15" xfId="0" applyNumberFormat="1" applyBorder="1" applyAlignment="1">
      <alignment horizontal="center" vertical="center"/>
    </xf>
    <xf numFmtId="166" fontId="0" fillId="0" borderId="0" xfId="0" applyNumberFormat="1"/>
    <xf numFmtId="166" fontId="0" fillId="0" borderId="16" xfId="0" applyNumberFormat="1" applyBorder="1" applyAlignment="1">
      <alignment horizontal="center" vertical="center"/>
    </xf>
    <xf numFmtId="166" fontId="0" fillId="0" borderId="17" xfId="0" applyNumberFormat="1" applyBorder="1" applyAlignment="1">
      <alignment horizontal="center" vertical="center"/>
    </xf>
    <xf numFmtId="166" fontId="0" fillId="0" borderId="18" xfId="0" applyNumberFormat="1" applyBorder="1" applyAlignment="1">
      <alignment horizontal="center" vertical="center"/>
    </xf>
    <xf numFmtId="166" fontId="0" fillId="12" borderId="0" xfId="0" applyNumberFormat="1" applyFill="1" applyAlignment="1">
      <alignment horizontal="center" vertical="center"/>
    </xf>
    <xf numFmtId="166" fontId="0" fillId="11" borderId="0" xfId="0" applyNumberFormat="1" applyFill="1" applyAlignment="1">
      <alignment horizontal="center" vertical="center"/>
    </xf>
    <xf numFmtId="166" fontId="0" fillId="13" borderId="0" xfId="0" applyNumberFormat="1" applyFill="1" applyAlignment="1">
      <alignment horizontal="center" vertical="center"/>
    </xf>
    <xf numFmtId="166" fontId="0" fillId="12" borderId="0" xfId="0" applyNumberFormat="1" applyFill="1" applyAlignment="1">
      <alignment horizontal="center"/>
    </xf>
    <xf numFmtId="166" fontId="0" fillId="13" borderId="0" xfId="0" applyNumberFormat="1" applyFill="1" applyAlignment="1">
      <alignment horizontal="center"/>
    </xf>
    <xf numFmtId="166" fontId="0" fillId="11" borderId="0" xfId="0" applyNumberFormat="1" applyFill="1" applyAlignment="1">
      <alignment horizontal="center"/>
    </xf>
    <xf numFmtId="166" fontId="0" fillId="14" borderId="0" xfId="0" applyNumberFormat="1" applyFill="1" applyAlignment="1">
      <alignment horizontal="center"/>
    </xf>
    <xf numFmtId="166" fontId="13" fillId="10" borderId="14" xfId="0" applyNumberFormat="1" applyFont="1" applyFill="1" applyBorder="1" applyAlignment="1">
      <alignment horizontal="center" vertical="center" wrapText="1"/>
    </xf>
    <xf numFmtId="166" fontId="13" fillId="10" borderId="0" xfId="0" applyNumberFormat="1" applyFont="1" applyFill="1" applyAlignment="1">
      <alignment horizontal="center" vertical="center" wrapText="1"/>
    </xf>
    <xf numFmtId="166" fontId="13" fillId="10" borderId="16" xfId="0" applyNumberFormat="1" applyFont="1" applyFill="1" applyBorder="1" applyAlignment="1">
      <alignment horizontal="center" vertical="center" wrapText="1"/>
    </xf>
    <xf numFmtId="166" fontId="13" fillId="10" borderId="17" xfId="0" applyNumberFormat="1" applyFont="1" applyFill="1" applyBorder="1" applyAlignment="1">
      <alignment horizontal="center" vertical="center" wrapText="1"/>
    </xf>
    <xf numFmtId="166" fontId="13" fillId="10" borderId="15" xfId="0" applyNumberFormat="1" applyFont="1" applyFill="1" applyBorder="1" applyAlignment="1">
      <alignment horizontal="center" vertical="center" wrapText="1"/>
    </xf>
    <xf numFmtId="166" fontId="13" fillId="10" borderId="18" xfId="0" applyNumberFormat="1" applyFont="1" applyFill="1" applyBorder="1" applyAlignment="1">
      <alignment horizontal="center" vertical="center" wrapText="1"/>
    </xf>
    <xf numFmtId="166" fontId="0" fillId="0" borderId="0" xfId="0" applyNumberFormat="1" applyAlignment="1">
      <alignment horizontal="center" vertical="center"/>
    </xf>
    <xf numFmtId="166" fontId="0" fillId="0" borderId="0" xfId="0" applyNumberFormat="1" applyAlignment="1">
      <alignment horizontal="center"/>
    </xf>
    <xf numFmtId="0" fontId="8" fillId="13" borderId="0" xfId="0" applyFont="1" applyFill="1" applyAlignment="1">
      <alignment horizontal="center" vertical="center"/>
    </xf>
    <xf numFmtId="166" fontId="0" fillId="6" borderId="0" xfId="0" applyNumberFormat="1" applyFill="1" applyAlignment="1">
      <alignment horizontal="center" vertical="center"/>
    </xf>
    <xf numFmtId="166" fontId="0" fillId="6" borderId="0" xfId="0" applyNumberFormat="1" applyFill="1" applyAlignment="1">
      <alignment horizontal="center"/>
    </xf>
    <xf numFmtId="166" fontId="0" fillId="15" borderId="0" xfId="0" applyNumberFormat="1" applyFill="1" applyAlignment="1">
      <alignment horizontal="center"/>
    </xf>
    <xf numFmtId="166" fontId="0" fillId="16" borderId="0" xfId="0" applyNumberFormat="1" applyFill="1" applyAlignment="1">
      <alignment horizontal="center" vertical="center"/>
    </xf>
    <xf numFmtId="0" fontId="8" fillId="0" borderId="0" xfId="0" applyFont="1" applyAlignment="1">
      <alignment horizontal="right"/>
    </xf>
    <xf numFmtId="0" fontId="15" fillId="3" borderId="78" xfId="0" applyFont="1" applyFill="1" applyBorder="1"/>
    <xf numFmtId="0" fontId="13" fillId="3" borderId="19" xfId="0" applyFont="1" applyFill="1" applyBorder="1"/>
    <xf numFmtId="0" fontId="13" fillId="3" borderId="79" xfId="0" applyFont="1" applyFill="1" applyBorder="1"/>
    <xf numFmtId="0" fontId="13" fillId="3" borderId="20" xfId="0" applyFont="1" applyFill="1" applyBorder="1"/>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center"/>
    </xf>
    <xf numFmtId="0" fontId="15" fillId="3" borderId="0" xfId="0" applyFont="1" applyFill="1" applyAlignment="1">
      <alignment horizontal="center" vertical="center"/>
    </xf>
    <xf numFmtId="0" fontId="37" fillId="3" borderId="0" xfId="3" applyFont="1" applyFill="1" applyAlignment="1">
      <alignment horizontal="center" vertical="center"/>
    </xf>
    <xf numFmtId="0" fontId="15" fillId="3" borderId="0" xfId="0" applyFont="1" applyFill="1" applyAlignment="1">
      <alignment horizontal="center" vertical="center" wrapText="1"/>
    </xf>
    <xf numFmtId="0" fontId="23" fillId="3" borderId="11"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15"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165" fontId="13" fillId="3" borderId="16" xfId="0" applyNumberFormat="1" applyFont="1" applyFill="1" applyBorder="1" applyAlignment="1">
      <alignment horizontal="center" vertical="center" wrapText="1"/>
    </xf>
    <xf numFmtId="165" fontId="13" fillId="3" borderId="17" xfId="0" applyNumberFormat="1" applyFont="1" applyFill="1" applyBorder="1" applyAlignment="1">
      <alignment horizontal="center" vertical="center" wrapText="1"/>
    </xf>
    <xf numFmtId="165" fontId="13" fillId="3" borderId="18" xfId="0" applyNumberFormat="1" applyFont="1" applyFill="1" applyBorder="1" applyAlignment="1">
      <alignment horizontal="center"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13" fillId="0" borderId="8" xfId="0" applyFont="1" applyBorder="1" applyAlignment="1">
      <alignment horizontal="left" vertical="center" wrapText="1"/>
    </xf>
    <xf numFmtId="0" fontId="13" fillId="0" borderId="6" xfId="0" applyFont="1" applyBorder="1" applyAlignment="1">
      <alignment horizontal="left" vertical="center" wrapText="1"/>
    </xf>
    <xf numFmtId="166" fontId="15" fillId="0" borderId="7" xfId="0" applyNumberFormat="1" applyFont="1" applyBorder="1" applyAlignment="1">
      <alignment horizontal="center" vertical="center" wrapText="1"/>
    </xf>
    <xf numFmtId="166" fontId="15" fillId="0" borderId="0" xfId="0" applyNumberFormat="1" applyFont="1" applyAlignment="1">
      <alignment horizontal="center" vertical="center" wrapText="1"/>
    </xf>
    <xf numFmtId="166" fontId="15" fillId="0" borderId="8" xfId="0" applyNumberFormat="1" applyFont="1" applyBorder="1" applyAlignment="1">
      <alignment horizontal="center" vertical="center" wrapText="1"/>
    </xf>
    <xf numFmtId="0" fontId="14" fillId="3" borderId="0" xfId="0" applyFont="1" applyFill="1" applyAlignment="1">
      <alignment horizontal="left" vertical="center" wrapText="1"/>
    </xf>
    <xf numFmtId="0" fontId="13" fillId="0" borderId="7" xfId="0" applyFont="1" applyBorder="1" applyAlignment="1">
      <alignment horizontal="left" vertical="center" wrapText="1"/>
    </xf>
    <xf numFmtId="0" fontId="14" fillId="3" borderId="0" xfId="0" applyFont="1" applyFill="1" applyAlignment="1">
      <alignment horizontal="center" vertical="center" wrapText="1"/>
    </xf>
    <xf numFmtId="0" fontId="13" fillId="3" borderId="0" xfId="0" applyFont="1" applyFill="1" applyAlignment="1">
      <alignment horizontal="center" wrapText="1"/>
    </xf>
    <xf numFmtId="0" fontId="15" fillId="0" borderId="5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56" xfId="0" applyFont="1" applyBorder="1" applyAlignment="1">
      <alignment horizontal="center" vertical="center" wrapText="1"/>
    </xf>
    <xf numFmtId="166" fontId="15" fillId="0" borderId="55" xfId="0" applyNumberFormat="1" applyFont="1" applyBorder="1" applyAlignment="1">
      <alignment horizontal="center" vertical="center" wrapText="1"/>
    </xf>
    <xf numFmtId="166" fontId="15" fillId="0" borderId="2" xfId="0" applyNumberFormat="1" applyFont="1" applyBorder="1" applyAlignment="1">
      <alignment horizontal="center" vertical="center" wrapText="1"/>
    </xf>
    <xf numFmtId="166" fontId="15" fillId="0" borderId="56" xfId="0" applyNumberFormat="1" applyFont="1" applyBorder="1" applyAlignment="1">
      <alignment horizontal="center" vertical="center" wrapText="1"/>
    </xf>
    <xf numFmtId="0" fontId="15" fillId="0" borderId="68" xfId="0" applyFont="1" applyBorder="1" applyAlignment="1">
      <alignment horizontal="center" vertical="center" wrapText="1"/>
    </xf>
    <xf numFmtId="0" fontId="15"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4" fillId="3" borderId="7"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63" xfId="0" applyFont="1" applyBorder="1" applyAlignment="1">
      <alignment horizontal="center" vertical="center" wrapText="1"/>
    </xf>
    <xf numFmtId="0" fontId="15" fillId="0" borderId="64" xfId="0" applyFont="1" applyBorder="1" applyAlignment="1">
      <alignment horizontal="center" vertical="center" wrapText="1"/>
    </xf>
    <xf numFmtId="0" fontId="13" fillId="0" borderId="57" xfId="0" applyFont="1" applyBorder="1" applyAlignment="1">
      <alignment horizontal="left" vertical="center" wrapText="1"/>
    </xf>
    <xf numFmtId="0" fontId="13" fillId="0" borderId="71" xfId="0" applyFont="1" applyBorder="1" applyAlignment="1">
      <alignment horizontal="left" vertical="center" wrapText="1"/>
    </xf>
    <xf numFmtId="0" fontId="13" fillId="0" borderId="72" xfId="0" applyFont="1" applyBorder="1" applyAlignment="1">
      <alignment horizontal="left" vertical="center" wrapText="1"/>
    </xf>
    <xf numFmtId="0" fontId="13" fillId="0" borderId="58" xfId="0" applyFont="1" applyBorder="1" applyAlignment="1">
      <alignment horizontal="left" vertical="center" wrapText="1"/>
    </xf>
    <xf numFmtId="0" fontId="15" fillId="0" borderId="17" xfId="0" applyFont="1" applyBorder="1" applyAlignment="1">
      <alignment horizontal="left" vertical="center" wrapText="1"/>
    </xf>
    <xf numFmtId="0" fontId="15" fillId="0" borderId="65" xfId="0" applyFont="1" applyBorder="1" applyAlignment="1">
      <alignment horizontal="center" vertical="center" wrapText="1"/>
    </xf>
    <xf numFmtId="0" fontId="15" fillId="0" borderId="67"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3" borderId="8" xfId="0" applyFont="1" applyFill="1" applyBorder="1" applyAlignment="1">
      <alignment horizontal="center" vertical="center"/>
    </xf>
    <xf numFmtId="0" fontId="15" fillId="3" borderId="0" xfId="0" applyFont="1" applyFill="1" applyAlignment="1">
      <alignment horizontal="center" wrapText="1"/>
    </xf>
    <xf numFmtId="0" fontId="15" fillId="3" borderId="8" xfId="0" applyFont="1" applyFill="1" applyBorder="1" applyAlignment="1">
      <alignment horizontal="center" wrapText="1"/>
    </xf>
    <xf numFmtId="0" fontId="15" fillId="3" borderId="6" xfId="0" applyFont="1" applyFill="1" applyBorder="1" applyAlignment="1">
      <alignment horizontal="left" vertical="center"/>
    </xf>
    <xf numFmtId="165" fontId="14" fillId="3" borderId="0" xfId="0" applyNumberFormat="1" applyFont="1" applyFill="1" applyAlignment="1">
      <alignment horizontal="center"/>
    </xf>
    <xf numFmtId="166" fontId="0" fillId="3" borderId="0" xfId="0" applyNumberFormat="1" applyFill="1" applyAlignment="1">
      <alignment horizontal="center" vertical="center"/>
    </xf>
    <xf numFmtId="0" fontId="0" fillId="3" borderId="0" xfId="0" applyFill="1" applyAlignment="1">
      <alignment horizontal="center" vertical="center"/>
    </xf>
    <xf numFmtId="0" fontId="23" fillId="3" borderId="6" xfId="0" applyFont="1" applyFill="1" applyBorder="1" applyAlignment="1">
      <alignment horizontal="left" vertical="center"/>
    </xf>
    <xf numFmtId="0" fontId="0" fillId="0" borderId="0" xfId="0" applyAlignment="1">
      <alignment horizontal="center" vertic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166" fontId="13" fillId="10" borderId="14" xfId="0" applyNumberFormat="1" applyFont="1" applyFill="1" applyBorder="1" applyAlignment="1">
      <alignment horizontal="center" vertical="center" wrapText="1"/>
    </xf>
    <xf numFmtId="166" fontId="13" fillId="10" borderId="0" xfId="0" applyNumberFormat="1" applyFont="1" applyFill="1" applyAlignment="1">
      <alignment horizontal="center" vertical="center" wrapText="1"/>
    </xf>
    <xf numFmtId="166" fontId="13" fillId="10" borderId="15" xfId="0" applyNumberFormat="1" applyFont="1" applyFill="1" applyBorder="1" applyAlignment="1">
      <alignment horizontal="center" vertical="center" wrapText="1"/>
    </xf>
    <xf numFmtId="0" fontId="15" fillId="0" borderId="11" xfId="0" applyFont="1" applyBorder="1" applyAlignment="1">
      <alignment horizontal="center" vertical="center" wrapText="1"/>
    </xf>
    <xf numFmtId="0" fontId="15" fillId="0" borderId="7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77" xfId="0" applyFont="1" applyBorder="1" applyAlignment="1">
      <alignment horizontal="center" vertical="center" wrapText="1"/>
    </xf>
    <xf numFmtId="0" fontId="13" fillId="0" borderId="17" xfId="0" applyFont="1" applyBorder="1" applyAlignment="1">
      <alignment horizontal="left"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0" fillId="0" borderId="14" xfId="0" applyBorder="1" applyAlignment="1">
      <alignment horizontal="center" vertical="center"/>
    </xf>
    <xf numFmtId="0" fontId="0" fillId="10" borderId="0" xfId="0" applyFill="1" applyAlignment="1">
      <alignment horizontal="center" vertical="center"/>
    </xf>
    <xf numFmtId="0" fontId="0" fillId="10" borderId="15" xfId="0" applyFill="1" applyBorder="1" applyAlignment="1">
      <alignment horizontal="center" vertical="center"/>
    </xf>
    <xf numFmtId="166" fontId="0" fillId="0" borderId="14" xfId="0" applyNumberFormat="1" applyBorder="1" applyAlignment="1">
      <alignment horizontal="center" vertical="center"/>
    </xf>
    <xf numFmtId="166" fontId="0" fillId="0" borderId="0" xfId="0" applyNumberFormat="1" applyAlignment="1">
      <alignment horizontal="center" vertical="center"/>
    </xf>
    <xf numFmtId="166" fontId="0" fillId="0" borderId="15" xfId="0" applyNumberForma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5" fillId="7" borderId="0" xfId="0" applyFont="1" applyFill="1" applyAlignment="1">
      <alignment horizontal="center" vertical="center" wrapText="1"/>
    </xf>
    <xf numFmtId="0" fontId="15" fillId="7" borderId="8" xfId="0" applyFont="1" applyFill="1" applyBorder="1" applyAlignment="1">
      <alignment horizontal="center" vertical="center" wrapText="1"/>
    </xf>
    <xf numFmtId="0" fontId="15" fillId="7" borderId="0" xfId="0" applyFont="1" applyFill="1" applyAlignment="1">
      <alignment horizontal="center" vertical="center"/>
    </xf>
    <xf numFmtId="0" fontId="13" fillId="7" borderId="0" xfId="0" applyFont="1" applyFill="1" applyAlignment="1">
      <alignment horizontal="left" vertical="center" wrapText="1"/>
    </xf>
  </cellXfs>
  <cellStyles count="6">
    <cellStyle name="Bad" xfId="4" builtinId="27"/>
    <cellStyle name="Good" xfId="2" builtinId="26"/>
    <cellStyle name="Normal" xfId="0" builtinId="0"/>
    <cellStyle name="Normal 2" xfId="1" xr:uid="{2CA4BDA4-01B0-492D-9482-61587FE7A20F}"/>
    <cellStyle name="Normal 3" xfId="3" xr:uid="{E026EECB-88DD-40D1-8DD3-63B938B473B4}"/>
    <cellStyle name="Normal 4" xfId="5" xr:uid="{B092F19D-8612-45EE-A4DE-912D845C5B08}"/>
  </cellStyles>
  <dxfs count="9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ysClr val="windowText" lastClr="000000"/>
                </a:solidFill>
                <a:latin typeface="+mn-lt"/>
                <a:ea typeface="+mn-ea"/>
                <a:cs typeface="+mn-cs"/>
              </a:defRPr>
            </a:pPr>
            <a:r>
              <a:rPr lang="es-CO">
                <a:solidFill>
                  <a:sysClr val="windowText" lastClr="000000"/>
                </a:solidFill>
                <a:latin typeface="Times New Roman" panose="02020603050405020304" pitchFamily="18" charset="0"/>
                <a:cs typeface="Times New Roman" panose="02020603050405020304" pitchFamily="18" charset="0"/>
              </a:rPr>
              <a:t>ponderación</a:t>
            </a:r>
            <a:r>
              <a:rPr lang="es-CO" baseline="0">
                <a:solidFill>
                  <a:sysClr val="windowText" lastClr="000000"/>
                </a:solidFill>
                <a:latin typeface="Times New Roman" panose="02020603050405020304" pitchFamily="18" charset="0"/>
                <a:cs typeface="Times New Roman" panose="02020603050405020304" pitchFamily="18" charset="0"/>
              </a:rPr>
              <a:t> subcriterios</a:t>
            </a:r>
            <a:endParaRPr lang="es-CO">
              <a:solidFill>
                <a:sysClr val="windowText" lastClr="000000"/>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ysClr val="windowText" lastClr="000000"/>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18"/>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A1BD-460B-BEBB-1177C49179BF}"/>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A1BD-460B-BEBB-1177C49179BF}"/>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A1BD-460B-BEBB-1177C49179BF}"/>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A1BD-460B-BEBB-1177C49179BF}"/>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A1BD-460B-BEBB-1177C49179BF}"/>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A1BD-460B-BEBB-1177C49179BF}"/>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A1BD-460B-BEBB-1177C49179BF}"/>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A1BD-460B-BEBB-1177C49179BF}"/>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A1BD-460B-BEBB-1177C49179BF}"/>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A1BD-460B-BEBB-1177C49179BF}"/>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A1BD-460B-BEBB-1177C49179BF}"/>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5-A1BD-460B-BEBB-1177C49179BF}"/>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7-A1BD-460B-BEBB-1177C49179BF}"/>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9-A1BD-460B-BEBB-1177C49179BF}"/>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B-A1BD-460B-BEBB-1177C49179BF}"/>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D-A1BD-460B-BEBB-1177C49179BF}"/>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F-A1BD-460B-BEBB-1177C49179BF}"/>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11-A1BD-460B-BEBB-1177C49179B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 RESULTADOS'!$X$14:$X$22</c:f>
              <c:strCache>
                <c:ptCount val="9"/>
                <c:pt idx="0">
                  <c:v>DE</c:v>
                </c:pt>
                <c:pt idx="1">
                  <c:v>RT</c:v>
                </c:pt>
                <c:pt idx="2">
                  <c:v>EC</c:v>
                </c:pt>
                <c:pt idx="3">
                  <c:v>PN</c:v>
                </c:pt>
                <c:pt idx="4">
                  <c:v>AE</c:v>
                </c:pt>
                <c:pt idx="5">
                  <c:v>DC</c:v>
                </c:pt>
                <c:pt idx="6">
                  <c:v>SP</c:v>
                </c:pt>
                <c:pt idx="7">
                  <c:v>RH</c:v>
                </c:pt>
                <c:pt idx="8">
                  <c:v>NP</c:v>
                </c:pt>
              </c:strCache>
            </c:strRef>
          </c:cat>
          <c:val>
            <c:numRef>
              <c:f>'1.4 RESULTADOS'!$Y$14:$Y$22</c:f>
              <c:numCache>
                <c:formatCode>0.000</c:formatCode>
                <c:ptCount val="9"/>
                <c:pt idx="0">
                  <c:v>0.49527811182678017</c:v>
                </c:pt>
                <c:pt idx="1">
                  <c:v>0.50472188817321983</c:v>
                </c:pt>
                <c:pt idx="2">
                  <c:v>0.34332195788297865</c:v>
                </c:pt>
                <c:pt idx="3">
                  <c:v>0.44340808370044354</c:v>
                </c:pt>
                <c:pt idx="4">
                  <c:v>0.21326995841657778</c:v>
                </c:pt>
                <c:pt idx="5">
                  <c:v>0.18391191499475304</c:v>
                </c:pt>
                <c:pt idx="6">
                  <c:v>0.37380331026874447</c:v>
                </c:pt>
                <c:pt idx="7">
                  <c:v>0.23802974796390003</c:v>
                </c:pt>
                <c:pt idx="8">
                  <c:v>0.20425502677260243</c:v>
                </c:pt>
              </c:numCache>
            </c:numRef>
          </c:val>
          <c:extLst>
            <c:ext xmlns:c16="http://schemas.microsoft.com/office/drawing/2014/chart" uri="{C3380CC4-5D6E-409C-BE32-E72D297353CC}">
              <c16:uniqueId val="{00000000-4062-479A-B0D8-A817851351A7}"/>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TONA - SWAT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390062279989169"/>
          <c:y val="0.17445585996955859"/>
          <c:w val="0.84023264735084391"/>
          <c:h val="0.57217465753424657"/>
        </c:manualLayout>
      </c:layout>
      <c:scatterChart>
        <c:scatterStyle val="lineMarker"/>
        <c:varyColors val="0"/>
        <c:ser>
          <c:idx val="0"/>
          <c:order val="0"/>
          <c:tx>
            <c:v>Pref TONA</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PREFERENCIAS'!$R$73:$R$74,'3.2 SELECCIÓN CON PREFERENCIAS'!$R$80:$R$82,'3.2 SELECCIÓN CON PREFERENCIAS'!$R$88:$R$91)</c:f>
              <c:numCache>
                <c:formatCode>General</c:formatCode>
                <c:ptCount val="9"/>
                <c:pt idx="0">
                  <c:v>4</c:v>
                </c:pt>
                <c:pt idx="1">
                  <c:v>3</c:v>
                </c:pt>
                <c:pt idx="2">
                  <c:v>4</c:v>
                </c:pt>
                <c:pt idx="3">
                  <c:v>3</c:v>
                </c:pt>
                <c:pt idx="4">
                  <c:v>4</c:v>
                </c:pt>
                <c:pt idx="5">
                  <c:v>1</c:v>
                </c:pt>
                <c:pt idx="6">
                  <c:v>3</c:v>
                </c:pt>
                <c:pt idx="7">
                  <c:v>5</c:v>
                </c:pt>
                <c:pt idx="8">
                  <c:v>5</c:v>
                </c:pt>
              </c:numCache>
            </c:numRef>
          </c:yVal>
          <c:smooth val="0"/>
          <c:extLst>
            <c:ext xmlns:c16="http://schemas.microsoft.com/office/drawing/2014/chart" uri="{C3380CC4-5D6E-409C-BE32-E72D297353CC}">
              <c16:uniqueId val="{00000000-AC51-4806-BB0D-FF39B57C8B92}"/>
            </c:ext>
          </c:extLst>
        </c:ser>
        <c:ser>
          <c:idx val="1"/>
          <c:order val="1"/>
          <c:tx>
            <c:v>SWAT</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PREFERENCIAS'!$E$73:$E$74,'3.2 SELECCIÓN CON PREFERENCIAS'!$E$80:$E$82,'3.2 SELECCIÓN CON PREFERENCIAS'!$E$88:$E$91)</c:f>
              <c:numCache>
                <c:formatCode>General</c:formatCode>
                <c:ptCount val="9"/>
                <c:pt idx="0">
                  <c:v>3</c:v>
                </c:pt>
                <c:pt idx="1">
                  <c:v>5</c:v>
                </c:pt>
                <c:pt idx="2">
                  <c:v>5</c:v>
                </c:pt>
                <c:pt idx="3">
                  <c:v>5</c:v>
                </c:pt>
                <c:pt idx="4">
                  <c:v>5</c:v>
                </c:pt>
                <c:pt idx="5">
                  <c:v>5</c:v>
                </c:pt>
                <c:pt idx="6">
                  <c:v>5</c:v>
                </c:pt>
                <c:pt idx="7">
                  <c:v>1</c:v>
                </c:pt>
                <c:pt idx="8">
                  <c:v>3</c:v>
                </c:pt>
              </c:numCache>
            </c:numRef>
          </c:yVal>
          <c:smooth val="0"/>
          <c:extLst>
            <c:ext xmlns:c16="http://schemas.microsoft.com/office/drawing/2014/chart" uri="{C3380CC4-5D6E-409C-BE32-E72D297353CC}">
              <c16:uniqueId val="{00000001-AC51-4806-BB0D-FF39B57C8B92}"/>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layout>
            <c:manualLayout>
              <c:xMode val="edge"/>
              <c:yMode val="edge"/>
              <c:x val="0.35618570831203827"/>
              <c:y val="0.834352168414026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lgn="ct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majorUnit val="1"/>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Preferencia - Indicadores</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latin typeface="Times New Roman" panose="02020603050405020304" pitchFamily="18" charset="0"/>
                <a:cs typeface="Times New Roman" panose="02020603050405020304" pitchFamily="18" charset="0"/>
              </a:rPr>
              <a:t>MSE,</a:t>
            </a:r>
            <a:r>
              <a:rPr lang="es-CO" sz="1600" b="1" baseline="0">
                <a:latin typeface="Times New Roman" panose="02020603050405020304" pitchFamily="18" charset="0"/>
                <a:cs typeface="Times New Roman" panose="02020603050405020304" pitchFamily="18" charset="0"/>
              </a:rPr>
              <a:t> AMB - SWAT</a:t>
            </a:r>
            <a:endParaRPr lang="es-CO" sz="16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390062279989169"/>
          <c:y val="0.17439613526570047"/>
          <c:w val="0.84023264735084391"/>
          <c:h val="0.5529974514055308"/>
        </c:manualLayout>
      </c:layout>
      <c:scatterChart>
        <c:scatterStyle val="lineMarker"/>
        <c:varyColors val="0"/>
        <c:ser>
          <c:idx val="0"/>
          <c:order val="0"/>
          <c:tx>
            <c:v>Pref AMB</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strRef>
              <c:f>'3.2 SELECCIÓN CON PREFERENCIAS'!$AJ$26:$AJ$34</c:f>
              <c:strCache>
                <c:ptCount val="9"/>
                <c:pt idx="0">
                  <c:v>DE</c:v>
                </c:pt>
                <c:pt idx="1">
                  <c:v>RT</c:v>
                </c:pt>
                <c:pt idx="2">
                  <c:v>EC</c:v>
                </c:pt>
                <c:pt idx="3">
                  <c:v>PN</c:v>
                </c:pt>
                <c:pt idx="4">
                  <c:v>AE</c:v>
                </c:pt>
                <c:pt idx="5">
                  <c:v>DC</c:v>
                </c:pt>
                <c:pt idx="6">
                  <c:v>SP</c:v>
                </c:pt>
                <c:pt idx="7">
                  <c:v>RH</c:v>
                </c:pt>
                <c:pt idx="8">
                  <c:v>NP</c:v>
                </c:pt>
              </c:strCache>
            </c:strRef>
          </c:xVal>
          <c:yVal>
            <c:numRef>
              <c:f>('3.2 SELECCIÓN CON PREFERENCIAS'!$R$48:$R$49,'3.2 SELECCIÓN CON PREFERENCIAS'!$R$55:$R$57,'3.2 SELECCIÓN CON PREFERENCIAS'!$R$63:$R$66)</c:f>
              <c:numCache>
                <c:formatCode>General</c:formatCode>
                <c:ptCount val="9"/>
                <c:pt idx="0">
                  <c:v>2</c:v>
                </c:pt>
                <c:pt idx="1">
                  <c:v>4</c:v>
                </c:pt>
                <c:pt idx="2">
                  <c:v>3</c:v>
                </c:pt>
                <c:pt idx="3">
                  <c:v>3</c:v>
                </c:pt>
                <c:pt idx="4">
                  <c:v>3</c:v>
                </c:pt>
                <c:pt idx="5">
                  <c:v>1</c:v>
                </c:pt>
                <c:pt idx="6">
                  <c:v>4</c:v>
                </c:pt>
                <c:pt idx="7">
                  <c:v>5</c:v>
                </c:pt>
                <c:pt idx="8">
                  <c:v>5</c:v>
                </c:pt>
              </c:numCache>
            </c:numRef>
          </c:yVal>
          <c:smooth val="0"/>
          <c:extLst>
            <c:ext xmlns:c16="http://schemas.microsoft.com/office/drawing/2014/chart" uri="{C3380CC4-5D6E-409C-BE32-E72D297353CC}">
              <c16:uniqueId val="{00000000-355B-444F-9752-A4F397C03A26}"/>
            </c:ext>
          </c:extLst>
        </c:ser>
        <c:ser>
          <c:idx val="1"/>
          <c:order val="1"/>
          <c:tx>
            <c:v>SWAT</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strRef>
              <c:f>'3.2 SELECCIÓN CON PREFERENCIAS'!$AJ$26:$AJ$34</c:f>
              <c:strCache>
                <c:ptCount val="9"/>
                <c:pt idx="0">
                  <c:v>DE</c:v>
                </c:pt>
                <c:pt idx="1">
                  <c:v>RT</c:v>
                </c:pt>
                <c:pt idx="2">
                  <c:v>EC</c:v>
                </c:pt>
                <c:pt idx="3">
                  <c:v>PN</c:v>
                </c:pt>
                <c:pt idx="4">
                  <c:v>AE</c:v>
                </c:pt>
                <c:pt idx="5">
                  <c:v>DC</c:v>
                </c:pt>
                <c:pt idx="6">
                  <c:v>SP</c:v>
                </c:pt>
                <c:pt idx="7">
                  <c:v>RH</c:v>
                </c:pt>
                <c:pt idx="8">
                  <c:v>NP</c:v>
                </c:pt>
              </c:strCache>
            </c:strRef>
          </c:xVal>
          <c:yVal>
            <c:numRef>
              <c:f>('3.2 SELECCIÓN CON PREFERENCIAS'!$E$48:$E$49,'3.2 SELECCIÓN CON PREFERENCIAS'!$E$55:$E$57,'3.2 SELECCIÓN CON PREFERENCIAS'!$E$63:$E$66)</c:f>
              <c:numCache>
                <c:formatCode>General</c:formatCode>
                <c:ptCount val="9"/>
                <c:pt idx="0">
                  <c:v>3</c:v>
                </c:pt>
                <c:pt idx="1">
                  <c:v>5</c:v>
                </c:pt>
                <c:pt idx="2">
                  <c:v>5</c:v>
                </c:pt>
                <c:pt idx="3">
                  <c:v>5</c:v>
                </c:pt>
                <c:pt idx="4">
                  <c:v>5</c:v>
                </c:pt>
                <c:pt idx="5">
                  <c:v>5</c:v>
                </c:pt>
                <c:pt idx="6">
                  <c:v>5</c:v>
                </c:pt>
                <c:pt idx="7">
                  <c:v>1</c:v>
                </c:pt>
                <c:pt idx="8">
                  <c:v>3</c:v>
                </c:pt>
              </c:numCache>
            </c:numRef>
          </c:yVal>
          <c:smooth val="0"/>
          <c:extLst>
            <c:ext xmlns:c16="http://schemas.microsoft.com/office/drawing/2014/chart" uri="{C3380CC4-5D6E-409C-BE32-E72D297353CC}">
              <c16:uniqueId val="{00000001-355B-444F-9752-A4F397C03A26}"/>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100" b="0" i="0" u="none" strike="noStrike" kern="1200" baseline="0">
                    <a:solidFill>
                      <a:srgbClr val="000000">
                        <a:lumMod val="65000"/>
                        <a:lumOff val="35000"/>
                      </a:srgbClr>
                    </a:solidFill>
                    <a:latin typeface="Times New Roman" panose="02020603050405020304" pitchFamily="18" charset="0"/>
                    <a:cs typeface="Times New Roman" panose="02020603050405020304" pitchFamily="18" charset="0"/>
                  </a:rPr>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 sourceLinked="0"/>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926656"/>
        <c:crosses val="autoZero"/>
        <c:crossBetween val="midCat"/>
        <c:majorUnit val="1"/>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100" b="0" i="0" u="none" strike="noStrike" kern="1200" baseline="0">
                    <a:solidFill>
                      <a:srgbClr val="000000">
                        <a:lumMod val="65000"/>
                        <a:lumOff val="35000"/>
                      </a:srgbClr>
                    </a:solidFill>
                    <a:latin typeface="Times New Roman" panose="02020603050405020304" pitchFamily="18" charset="0"/>
                    <a:cs typeface="Times New Roman" panose="02020603050405020304" pitchFamily="18" charset="0"/>
                  </a:rPr>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ysClr val="windowText" lastClr="000000"/>
                </a:solidFill>
                <a:latin typeface="+mn-lt"/>
                <a:ea typeface="+mn-ea"/>
                <a:cs typeface="+mn-cs"/>
              </a:defRPr>
            </a:pPr>
            <a:r>
              <a:rPr lang="es-CO">
                <a:solidFill>
                  <a:sysClr val="windowText" lastClr="000000"/>
                </a:solidFill>
                <a:latin typeface="Times New Roman" panose="02020603050405020304" pitchFamily="18" charset="0"/>
                <a:cs typeface="Times New Roman" panose="02020603050405020304" pitchFamily="18" charset="0"/>
              </a:rPr>
              <a:t>Ponderación criterios</a:t>
            </a:r>
          </a:p>
        </c:rich>
      </c:tx>
      <c:overlay val="0"/>
      <c:spPr>
        <a:noFill/>
        <a:ln>
          <a:noFill/>
        </a:ln>
        <a:effectLst/>
      </c:spPr>
      <c:txPr>
        <a:bodyPr rot="0" spcFirstLastPara="1" vertOverflow="ellipsis" vert="horz" wrap="square" anchor="ctr" anchorCtr="1"/>
        <a:lstStyle/>
        <a:p>
          <a:pPr>
            <a:defRPr sz="1600" b="1" i="0" u="none" strike="noStrike" kern="1200" cap="all" baseline="0">
              <a:solidFill>
                <a:sysClr val="windowText" lastClr="000000"/>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18"/>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5769-4D9C-B713-86A483B9973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5769-4D9C-B713-86A483B9973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5769-4D9C-B713-86A483B99735}"/>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5769-4D9C-B713-86A483B99735}"/>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2-5769-4D9C-B713-86A483B99735}"/>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5769-4D9C-B713-86A483B99735}"/>
                </c:ext>
              </c:extLst>
            </c:dLbl>
            <c:spPr>
              <a:noFill/>
              <a:ln>
                <a:noFill/>
              </a:ln>
              <a:effectLst/>
            </c:sp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 RESULTADOS'!$X$9:$X$11</c:f>
              <c:strCache>
                <c:ptCount val="3"/>
                <c:pt idx="0">
                  <c:v>RES</c:v>
                </c:pt>
                <c:pt idx="1">
                  <c:v>ROB</c:v>
                </c:pt>
                <c:pt idx="2">
                  <c:v>ACC</c:v>
                </c:pt>
              </c:strCache>
            </c:strRef>
          </c:cat>
          <c:val>
            <c:numRef>
              <c:f>'1.4 RESULTADOS'!$Y$9:$Y$11</c:f>
              <c:numCache>
                <c:formatCode>0.000</c:formatCode>
                <c:ptCount val="3"/>
                <c:pt idx="0">
                  <c:v>0.43373502940594766</c:v>
                </c:pt>
                <c:pt idx="1">
                  <c:v>0.36940365258336122</c:v>
                </c:pt>
                <c:pt idx="2">
                  <c:v>0.19686131801069118</c:v>
                </c:pt>
              </c:numCache>
            </c:numRef>
          </c:val>
          <c:extLst>
            <c:ext xmlns:c16="http://schemas.microsoft.com/office/drawing/2014/chart" uri="{C3380CC4-5D6E-409C-BE32-E72D297353CC}">
              <c16:uniqueId val="{00000000-5769-4D9C-B713-86A483B99735}"/>
            </c:ext>
          </c:extLst>
        </c:ser>
        <c:dLbls>
          <c:dLblPos val="outEnd"/>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AMB - WEAP</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2830971015267698"/>
          <c:y val="0.17177219628207022"/>
          <c:w val="0.78606316947480315"/>
          <c:h val="0.5581874324967917"/>
        </c:manualLayout>
      </c:layout>
      <c:scatterChart>
        <c:scatterStyle val="lineMarker"/>
        <c:varyColors val="0"/>
        <c:ser>
          <c:idx val="0"/>
          <c:order val="0"/>
          <c:tx>
            <c:v>Pref AMB</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PREFERENCIAS'!$R$48:$R$49,'3.2 SELECCIÓN CON PREFERENCIAS'!$R$55:$R$57,'3.2 SELECCIÓN CON PREFERENCIAS'!$R$63:$R$66)</c:f>
              <c:numCache>
                <c:formatCode>General</c:formatCode>
                <c:ptCount val="9"/>
                <c:pt idx="0">
                  <c:v>2</c:v>
                </c:pt>
                <c:pt idx="1">
                  <c:v>4</c:v>
                </c:pt>
                <c:pt idx="2">
                  <c:v>3</c:v>
                </c:pt>
                <c:pt idx="3">
                  <c:v>3</c:v>
                </c:pt>
                <c:pt idx="4">
                  <c:v>3</c:v>
                </c:pt>
                <c:pt idx="5">
                  <c:v>1</c:v>
                </c:pt>
                <c:pt idx="6">
                  <c:v>4</c:v>
                </c:pt>
                <c:pt idx="7">
                  <c:v>5</c:v>
                </c:pt>
                <c:pt idx="8">
                  <c:v>5</c:v>
                </c:pt>
              </c:numCache>
            </c:numRef>
          </c:yVal>
          <c:smooth val="0"/>
          <c:extLst>
            <c:ext xmlns:c16="http://schemas.microsoft.com/office/drawing/2014/chart" uri="{C3380CC4-5D6E-409C-BE32-E72D297353CC}">
              <c16:uniqueId val="{00000000-C9B4-450F-B779-F7E9A18F8CC4}"/>
            </c:ext>
          </c:extLst>
        </c:ser>
        <c:ser>
          <c:idx val="1"/>
          <c:order val="1"/>
          <c:tx>
            <c:v>WEAP</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PREFERENCIAS'!$S$48:$S$49,'3.2 SELECCIÓN CON PREFERENCIAS'!$S$55:$S$57,'3.2 SELECCIÓN CON PREFERENCIAS'!$S$63:$S$66)</c:f>
              <c:numCache>
                <c:formatCode>General</c:formatCode>
                <c:ptCount val="9"/>
                <c:pt idx="0">
                  <c:v>1</c:v>
                </c:pt>
                <c:pt idx="1">
                  <c:v>3</c:v>
                </c:pt>
                <c:pt idx="2">
                  <c:v>3</c:v>
                </c:pt>
                <c:pt idx="3">
                  <c:v>4</c:v>
                </c:pt>
                <c:pt idx="4">
                  <c:v>5</c:v>
                </c:pt>
                <c:pt idx="5">
                  <c:v>2</c:v>
                </c:pt>
                <c:pt idx="6">
                  <c:v>3</c:v>
                </c:pt>
                <c:pt idx="7">
                  <c:v>4</c:v>
                </c:pt>
                <c:pt idx="8">
                  <c:v>5</c:v>
                </c:pt>
              </c:numCache>
            </c:numRef>
          </c:yVal>
          <c:smooth val="0"/>
          <c:extLst>
            <c:ext xmlns:c16="http://schemas.microsoft.com/office/drawing/2014/chart" uri="{C3380CC4-5D6E-409C-BE32-E72D297353CC}">
              <c16:uniqueId val="{00000001-C9B4-450F-B779-F7E9A18F8CC4}"/>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majorUnit val="1"/>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TONA - WEAP</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816905857929417"/>
          <c:y val="0.17445585996955859"/>
          <c:w val="0.84596421157144153"/>
          <c:h val="0.5625095129375951"/>
        </c:manualLayout>
      </c:layout>
      <c:scatterChart>
        <c:scatterStyle val="lineMarker"/>
        <c:varyColors val="0"/>
        <c:ser>
          <c:idx val="0"/>
          <c:order val="0"/>
          <c:tx>
            <c:v>Pref TONA</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PREFERENCIAS'!$R$73:$R$74,'3.2 SELECCIÓN CON PREFERENCIAS'!$R$80:$R$82,'3.2 SELECCIÓN CON PREFERENCIAS'!$R$88:$R$91)</c:f>
              <c:numCache>
                <c:formatCode>General</c:formatCode>
                <c:ptCount val="9"/>
                <c:pt idx="0">
                  <c:v>4</c:v>
                </c:pt>
                <c:pt idx="1">
                  <c:v>3</c:v>
                </c:pt>
                <c:pt idx="2">
                  <c:v>4</c:v>
                </c:pt>
                <c:pt idx="3">
                  <c:v>3</c:v>
                </c:pt>
                <c:pt idx="4">
                  <c:v>4</c:v>
                </c:pt>
                <c:pt idx="5">
                  <c:v>1</c:v>
                </c:pt>
                <c:pt idx="6">
                  <c:v>3</c:v>
                </c:pt>
                <c:pt idx="7">
                  <c:v>5</c:v>
                </c:pt>
                <c:pt idx="8">
                  <c:v>5</c:v>
                </c:pt>
              </c:numCache>
            </c:numRef>
          </c:yVal>
          <c:smooth val="0"/>
          <c:extLst>
            <c:ext xmlns:c16="http://schemas.microsoft.com/office/drawing/2014/chart" uri="{C3380CC4-5D6E-409C-BE32-E72D297353CC}">
              <c16:uniqueId val="{00000000-5011-4DDA-B3C5-D92B83850E19}"/>
            </c:ext>
          </c:extLst>
        </c:ser>
        <c:ser>
          <c:idx val="1"/>
          <c:order val="1"/>
          <c:tx>
            <c:v>WEAP</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PREFERENCIAS'!$S$48:$S$49,'3.2 SELECCIÓN CON PREFERENCIAS'!$S$55:$S$57,'3.2 SELECCIÓN CON PREFERENCIAS'!$S$63:$S$66)</c:f>
              <c:numCache>
                <c:formatCode>General</c:formatCode>
                <c:ptCount val="9"/>
                <c:pt idx="0">
                  <c:v>1</c:v>
                </c:pt>
                <c:pt idx="1">
                  <c:v>3</c:v>
                </c:pt>
                <c:pt idx="2">
                  <c:v>3</c:v>
                </c:pt>
                <c:pt idx="3">
                  <c:v>4</c:v>
                </c:pt>
                <c:pt idx="4">
                  <c:v>5</c:v>
                </c:pt>
                <c:pt idx="5">
                  <c:v>2</c:v>
                </c:pt>
                <c:pt idx="6">
                  <c:v>3</c:v>
                </c:pt>
                <c:pt idx="7">
                  <c:v>4</c:v>
                </c:pt>
                <c:pt idx="8">
                  <c:v>5</c:v>
                </c:pt>
              </c:numCache>
            </c:numRef>
          </c:yVal>
          <c:smooth val="0"/>
          <c:extLst>
            <c:ext xmlns:c16="http://schemas.microsoft.com/office/drawing/2014/chart" uri="{C3380CC4-5D6E-409C-BE32-E72D297353CC}">
              <c16:uniqueId val="{00000001-5011-4DDA-B3C5-D92B83850E19}"/>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CDMB - WEAP</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530327646899541"/>
          <c:y val="0.17445585996955859"/>
          <c:w val="0.84882999368174028"/>
          <c:h val="0.57217465753424657"/>
        </c:manualLayout>
      </c:layout>
      <c:scatterChart>
        <c:scatterStyle val="lineMarker"/>
        <c:varyColors val="0"/>
        <c:ser>
          <c:idx val="0"/>
          <c:order val="0"/>
          <c:tx>
            <c:v>Pref CDMB</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PREFERENCIAS'!$R$99:$R$100,'3.2 SELECCIÓN CON PREFERENCIAS'!$R$106:$R$108,'3.2 SELECCIÓN CON PREFERENCIAS'!$R$114:$R$117)</c:f>
              <c:numCache>
                <c:formatCode>General</c:formatCode>
                <c:ptCount val="9"/>
                <c:pt idx="0">
                  <c:v>3</c:v>
                </c:pt>
                <c:pt idx="1">
                  <c:v>3</c:v>
                </c:pt>
                <c:pt idx="2">
                  <c:v>4</c:v>
                </c:pt>
                <c:pt idx="3">
                  <c:v>4</c:v>
                </c:pt>
                <c:pt idx="4">
                  <c:v>4</c:v>
                </c:pt>
                <c:pt idx="5">
                  <c:v>5</c:v>
                </c:pt>
                <c:pt idx="6">
                  <c:v>5</c:v>
                </c:pt>
                <c:pt idx="7">
                  <c:v>5</c:v>
                </c:pt>
                <c:pt idx="8">
                  <c:v>5</c:v>
                </c:pt>
              </c:numCache>
            </c:numRef>
          </c:yVal>
          <c:smooth val="0"/>
          <c:extLst>
            <c:ext xmlns:c16="http://schemas.microsoft.com/office/drawing/2014/chart" uri="{C3380CC4-5D6E-409C-BE32-E72D297353CC}">
              <c16:uniqueId val="{00000000-0E3C-46AA-B291-600FAFF15D8E}"/>
            </c:ext>
          </c:extLst>
        </c:ser>
        <c:ser>
          <c:idx val="1"/>
          <c:order val="1"/>
          <c:tx>
            <c:v>WEAP</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PREFERENCIAS'!$S$48:$S$49,'3.2 SELECCIÓN CON PREFERENCIAS'!$S$55:$S$57,'3.2 SELECCIÓN CON PREFERENCIAS'!$S$63:$S$66)</c:f>
              <c:numCache>
                <c:formatCode>General</c:formatCode>
                <c:ptCount val="9"/>
                <c:pt idx="0">
                  <c:v>1</c:v>
                </c:pt>
                <c:pt idx="1">
                  <c:v>3</c:v>
                </c:pt>
                <c:pt idx="2">
                  <c:v>3</c:v>
                </c:pt>
                <c:pt idx="3">
                  <c:v>4</c:v>
                </c:pt>
                <c:pt idx="4">
                  <c:v>5</c:v>
                </c:pt>
                <c:pt idx="5">
                  <c:v>2</c:v>
                </c:pt>
                <c:pt idx="6">
                  <c:v>3</c:v>
                </c:pt>
                <c:pt idx="7">
                  <c:v>4</c:v>
                </c:pt>
                <c:pt idx="8">
                  <c:v>5</c:v>
                </c:pt>
              </c:numCache>
            </c:numRef>
          </c:yVal>
          <c:smooth val="0"/>
          <c:extLst>
            <c:ext xmlns:c16="http://schemas.microsoft.com/office/drawing/2014/chart" uri="{C3380CC4-5D6E-409C-BE32-E72D297353CC}">
              <c16:uniqueId val="{00000001-0E3C-46AA-B291-600FAFF15D8E}"/>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AMB - InVEST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553790514557773"/>
          <c:y val="0.17524271844660194"/>
          <c:w val="0.8379360465116279"/>
          <c:h val="0.56053627398516936"/>
        </c:manualLayout>
      </c:layout>
      <c:scatterChart>
        <c:scatterStyle val="lineMarker"/>
        <c:varyColors val="0"/>
        <c:ser>
          <c:idx val="0"/>
          <c:order val="0"/>
          <c:tx>
            <c:v>Pref AMB</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PREFERENCIAS'!$R$48:$R$49,'3.2 SELECCIÓN CON PREFERENCIAS'!$R$55:$R$57,'3.2 SELECCIÓN CON PREFERENCIAS'!$R$63:$R$66)</c:f>
              <c:numCache>
                <c:formatCode>General</c:formatCode>
                <c:ptCount val="9"/>
                <c:pt idx="0">
                  <c:v>2</c:v>
                </c:pt>
                <c:pt idx="1">
                  <c:v>4</c:v>
                </c:pt>
                <c:pt idx="2">
                  <c:v>3</c:v>
                </c:pt>
                <c:pt idx="3">
                  <c:v>3</c:v>
                </c:pt>
                <c:pt idx="4">
                  <c:v>3</c:v>
                </c:pt>
                <c:pt idx="5">
                  <c:v>1</c:v>
                </c:pt>
                <c:pt idx="6">
                  <c:v>4</c:v>
                </c:pt>
                <c:pt idx="7">
                  <c:v>5</c:v>
                </c:pt>
                <c:pt idx="8">
                  <c:v>5</c:v>
                </c:pt>
              </c:numCache>
            </c:numRef>
          </c:yVal>
          <c:smooth val="0"/>
          <c:extLst>
            <c:ext xmlns:c16="http://schemas.microsoft.com/office/drawing/2014/chart" uri="{C3380CC4-5D6E-409C-BE32-E72D297353CC}">
              <c16:uniqueId val="{00000000-3ACC-42AD-ABA3-E9494BDEC260}"/>
            </c:ext>
          </c:extLst>
        </c:ser>
        <c:ser>
          <c:idx val="1"/>
          <c:order val="1"/>
          <c:tx>
            <c:v>InVEST</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PREFERENCIAS'!$L$48:$L$49,'3.2 SELECCIÓN CON PREFERENCIAS'!$L$55:$L$57,'3.2 SELECCIÓN CON PREFERENCIAS'!$L$63:$L$66)</c:f>
              <c:numCache>
                <c:formatCode>General</c:formatCode>
                <c:ptCount val="9"/>
                <c:pt idx="0">
                  <c:v>5</c:v>
                </c:pt>
                <c:pt idx="1">
                  <c:v>3</c:v>
                </c:pt>
                <c:pt idx="2">
                  <c:v>1</c:v>
                </c:pt>
                <c:pt idx="3">
                  <c:v>4</c:v>
                </c:pt>
                <c:pt idx="4">
                  <c:v>2.5</c:v>
                </c:pt>
                <c:pt idx="5">
                  <c:v>5</c:v>
                </c:pt>
                <c:pt idx="6">
                  <c:v>2</c:v>
                </c:pt>
                <c:pt idx="7">
                  <c:v>3</c:v>
                </c:pt>
                <c:pt idx="8">
                  <c:v>4</c:v>
                </c:pt>
              </c:numCache>
            </c:numRef>
          </c:yVal>
          <c:smooth val="0"/>
          <c:extLst>
            <c:ext xmlns:c16="http://schemas.microsoft.com/office/drawing/2014/chart" uri="{C3380CC4-5D6E-409C-BE32-E72D297353CC}">
              <c16:uniqueId val="{00000001-3ACC-42AD-ABA3-E9494BDEC260}"/>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majorUnit val="1"/>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At val="1"/>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CDMB - InVEST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103484068959293"/>
          <c:y val="0.17445585996955859"/>
          <c:w val="0.84309842946114266"/>
          <c:h val="0.56734208523592078"/>
        </c:manualLayout>
      </c:layout>
      <c:scatterChart>
        <c:scatterStyle val="lineMarker"/>
        <c:varyColors val="0"/>
        <c:ser>
          <c:idx val="0"/>
          <c:order val="0"/>
          <c:tx>
            <c:v>Pref CDMB</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PREFERENCIAS'!$R$99:$R$100,'3.2 SELECCIÓN CON PREFERENCIAS'!$R$106:$R$108,'3.2 SELECCIÓN CON PREFERENCIAS'!$R$114:$R$117)</c:f>
              <c:numCache>
                <c:formatCode>General</c:formatCode>
                <c:ptCount val="9"/>
                <c:pt idx="0">
                  <c:v>3</c:v>
                </c:pt>
                <c:pt idx="1">
                  <c:v>3</c:v>
                </c:pt>
                <c:pt idx="2">
                  <c:v>4</c:v>
                </c:pt>
                <c:pt idx="3">
                  <c:v>4</c:v>
                </c:pt>
                <c:pt idx="4">
                  <c:v>4</c:v>
                </c:pt>
                <c:pt idx="5">
                  <c:v>5</c:v>
                </c:pt>
                <c:pt idx="6">
                  <c:v>5</c:v>
                </c:pt>
                <c:pt idx="7">
                  <c:v>5</c:v>
                </c:pt>
                <c:pt idx="8">
                  <c:v>5</c:v>
                </c:pt>
              </c:numCache>
            </c:numRef>
          </c:yVal>
          <c:smooth val="0"/>
          <c:extLst>
            <c:ext xmlns:c16="http://schemas.microsoft.com/office/drawing/2014/chart" uri="{C3380CC4-5D6E-409C-BE32-E72D297353CC}">
              <c16:uniqueId val="{00000000-3788-4B2F-B39C-C9437A36DBF9}"/>
            </c:ext>
          </c:extLst>
        </c:ser>
        <c:ser>
          <c:idx val="1"/>
          <c:order val="1"/>
          <c:tx>
            <c:v>InVEST</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PREFERENCIAS'!$L$99:$L$100,'3.2 SELECCIÓN CON PREFERENCIAS'!$L$106:$L$108,'3.2 SELECCIÓN CON PREFERENCIAS'!$L$114:$L$117)</c:f>
              <c:numCache>
                <c:formatCode>General</c:formatCode>
                <c:ptCount val="9"/>
                <c:pt idx="0">
                  <c:v>5</c:v>
                </c:pt>
                <c:pt idx="1">
                  <c:v>3</c:v>
                </c:pt>
                <c:pt idx="2">
                  <c:v>1</c:v>
                </c:pt>
                <c:pt idx="3">
                  <c:v>4</c:v>
                </c:pt>
                <c:pt idx="4">
                  <c:v>2.5</c:v>
                </c:pt>
                <c:pt idx="5">
                  <c:v>5</c:v>
                </c:pt>
                <c:pt idx="6">
                  <c:v>2</c:v>
                </c:pt>
                <c:pt idx="7">
                  <c:v>3</c:v>
                </c:pt>
                <c:pt idx="8">
                  <c:v>4</c:v>
                </c:pt>
              </c:numCache>
            </c:numRef>
          </c:yVal>
          <c:smooth val="0"/>
          <c:extLst>
            <c:ext xmlns:c16="http://schemas.microsoft.com/office/drawing/2014/chart" uri="{C3380CC4-5D6E-409C-BE32-E72D297353CC}">
              <c16:uniqueId val="{00000001-3788-4B2F-B39C-C9437A36DBF9}"/>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CDMB - SWAT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390062279989169"/>
          <c:y val="0.17445585996955859"/>
          <c:w val="0.84023264735084391"/>
          <c:h val="0.57700722983257224"/>
        </c:manualLayout>
      </c:layout>
      <c:scatterChart>
        <c:scatterStyle val="lineMarker"/>
        <c:varyColors val="0"/>
        <c:ser>
          <c:idx val="0"/>
          <c:order val="0"/>
          <c:tx>
            <c:v>Pref CDMB</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PREFERENCIAS'!$R$99:$R$100,'3.2 SELECCIÓN CON PREFERENCIAS'!$R$106:$R$108,'3.2 SELECCIÓN CON PREFERENCIAS'!$R$114:$R$117)</c:f>
              <c:numCache>
                <c:formatCode>General</c:formatCode>
                <c:ptCount val="9"/>
                <c:pt idx="0">
                  <c:v>3</c:v>
                </c:pt>
                <c:pt idx="1">
                  <c:v>3</c:v>
                </c:pt>
                <c:pt idx="2">
                  <c:v>4</c:v>
                </c:pt>
                <c:pt idx="3">
                  <c:v>4</c:v>
                </c:pt>
                <c:pt idx="4">
                  <c:v>4</c:v>
                </c:pt>
                <c:pt idx="5">
                  <c:v>5</c:v>
                </c:pt>
                <c:pt idx="6">
                  <c:v>5</c:v>
                </c:pt>
                <c:pt idx="7">
                  <c:v>5</c:v>
                </c:pt>
                <c:pt idx="8">
                  <c:v>5</c:v>
                </c:pt>
              </c:numCache>
            </c:numRef>
          </c:yVal>
          <c:smooth val="0"/>
          <c:extLst>
            <c:ext xmlns:c16="http://schemas.microsoft.com/office/drawing/2014/chart" uri="{C3380CC4-5D6E-409C-BE32-E72D297353CC}">
              <c16:uniqueId val="{00000000-9032-4891-81B2-074B0181E131}"/>
            </c:ext>
          </c:extLst>
        </c:ser>
        <c:ser>
          <c:idx val="1"/>
          <c:order val="1"/>
          <c:tx>
            <c:v>SWAT</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PREFERENCIAS'!$E$99:$E$100,'3.2 SELECCIÓN CON PREFERENCIAS'!$E$106:$E$108,'3.2 SELECCIÓN CON PREFERENCIAS'!$E$114:$E$117)</c:f>
              <c:numCache>
                <c:formatCode>General</c:formatCode>
                <c:ptCount val="9"/>
                <c:pt idx="0">
                  <c:v>3</c:v>
                </c:pt>
                <c:pt idx="1">
                  <c:v>5</c:v>
                </c:pt>
                <c:pt idx="2">
                  <c:v>5</c:v>
                </c:pt>
                <c:pt idx="3">
                  <c:v>5</c:v>
                </c:pt>
                <c:pt idx="4">
                  <c:v>5</c:v>
                </c:pt>
                <c:pt idx="5">
                  <c:v>5</c:v>
                </c:pt>
                <c:pt idx="6">
                  <c:v>5</c:v>
                </c:pt>
                <c:pt idx="7">
                  <c:v>1</c:v>
                </c:pt>
                <c:pt idx="8">
                  <c:v>3</c:v>
                </c:pt>
              </c:numCache>
            </c:numRef>
          </c:yVal>
          <c:smooth val="0"/>
          <c:extLst>
            <c:ext xmlns:c16="http://schemas.microsoft.com/office/drawing/2014/chart" uri="{C3380CC4-5D6E-409C-BE32-E72D297353CC}">
              <c16:uniqueId val="{00000001-9032-4891-81B2-074B0181E131}"/>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1600" b="1"/>
              <a:t>MSE, TONA - InVEST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530327646899541"/>
          <c:y val="0.18412100456621006"/>
          <c:w val="0.84882999368174028"/>
          <c:h val="0.5625095129375951"/>
        </c:manualLayout>
      </c:layout>
      <c:scatterChart>
        <c:scatterStyle val="lineMarker"/>
        <c:varyColors val="0"/>
        <c:ser>
          <c:idx val="0"/>
          <c:order val="0"/>
          <c:tx>
            <c:v>Pref TONA</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PREFERENCIAS'!$R$73:$R$74,'3.2 SELECCIÓN CON PREFERENCIAS'!$R$80:$R$82,'3.2 SELECCIÓN CON PREFERENCIAS'!$R$88:$R$91)</c:f>
              <c:numCache>
                <c:formatCode>General</c:formatCode>
                <c:ptCount val="9"/>
                <c:pt idx="0">
                  <c:v>4</c:v>
                </c:pt>
                <c:pt idx="1">
                  <c:v>3</c:v>
                </c:pt>
                <c:pt idx="2">
                  <c:v>4</c:v>
                </c:pt>
                <c:pt idx="3">
                  <c:v>3</c:v>
                </c:pt>
                <c:pt idx="4">
                  <c:v>4</c:v>
                </c:pt>
                <c:pt idx="5">
                  <c:v>1</c:v>
                </c:pt>
                <c:pt idx="6">
                  <c:v>3</c:v>
                </c:pt>
                <c:pt idx="7">
                  <c:v>5</c:v>
                </c:pt>
                <c:pt idx="8">
                  <c:v>5</c:v>
                </c:pt>
              </c:numCache>
            </c:numRef>
          </c:yVal>
          <c:smooth val="0"/>
          <c:extLst>
            <c:ext xmlns:c16="http://schemas.microsoft.com/office/drawing/2014/chart" uri="{C3380CC4-5D6E-409C-BE32-E72D297353CC}">
              <c16:uniqueId val="{00000000-1978-4DCA-ACA4-2E98A6BA4804}"/>
            </c:ext>
          </c:extLst>
        </c:ser>
        <c:ser>
          <c:idx val="1"/>
          <c:order val="1"/>
          <c:tx>
            <c:v>InVEST</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'3.2 SELECCIÓN CON PREFERENCIAS'!$C$29:$C$40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('3.2 SELECCIÓN CON PREFERENCIAS'!$L$73:$L$74,'3.2 SELECCIÓN CON PREFERENCIAS'!$L$80:$L$82,'3.2 SELECCIÓN CON PREFERENCIAS'!$L$88:$L$91)</c:f>
              <c:numCache>
                <c:formatCode>General</c:formatCode>
                <c:ptCount val="9"/>
                <c:pt idx="0">
                  <c:v>5</c:v>
                </c:pt>
                <c:pt idx="1">
                  <c:v>3</c:v>
                </c:pt>
                <c:pt idx="2">
                  <c:v>1</c:v>
                </c:pt>
                <c:pt idx="3">
                  <c:v>4</c:v>
                </c:pt>
                <c:pt idx="4">
                  <c:v>2.5</c:v>
                </c:pt>
                <c:pt idx="5">
                  <c:v>5</c:v>
                </c:pt>
                <c:pt idx="6">
                  <c:v>2</c:v>
                </c:pt>
                <c:pt idx="7">
                  <c:v>3</c:v>
                </c:pt>
                <c:pt idx="8">
                  <c:v>4</c:v>
                </c:pt>
              </c:numCache>
            </c:numRef>
          </c:yVal>
          <c:smooth val="0"/>
          <c:extLst>
            <c:ext xmlns:c16="http://schemas.microsoft.com/office/drawing/2014/chart" uri="{C3380CC4-5D6E-409C-BE32-E72D297353CC}">
              <c16:uniqueId val="{00000001-1978-4DCA-ACA4-2E98A6BA4804}"/>
            </c:ext>
          </c:extLst>
        </c:ser>
        <c:dLbls>
          <c:showLegendKey val="0"/>
          <c:showVal val="0"/>
          <c:showCatName val="0"/>
          <c:showSerName val="0"/>
          <c:showPercent val="0"/>
          <c:showBubbleSize val="0"/>
        </c:dLbls>
        <c:axId val="1008492208"/>
        <c:axId val="905926656"/>
      </c:scatterChart>
      <c:valAx>
        <c:axId val="1008492208"/>
        <c:scaling>
          <c:orientation val="minMax"/>
          <c:max val="9"/>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Subcriterios-preferencias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905926656"/>
        <c:crosses val="autoZero"/>
        <c:crossBetween val="midCat"/>
        <c:majorUnit val="1"/>
      </c:valAx>
      <c:valAx>
        <c:axId val="905926656"/>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a:t>Escala</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008492208"/>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 Id="rId9"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4</xdr:col>
      <xdr:colOff>670560</xdr:colOff>
      <xdr:row>0</xdr:row>
      <xdr:rowOff>162970</xdr:rowOff>
    </xdr:from>
    <xdr:to>
      <xdr:col>9</xdr:col>
      <xdr:colOff>198120</xdr:colOff>
      <xdr:row>5</xdr:row>
      <xdr:rowOff>114296</xdr:rowOff>
    </xdr:to>
    <xdr:pic>
      <xdr:nvPicPr>
        <xdr:cNvPr id="2" name="Imagen 1" descr="UIS-Identidad-Institucional-Es – Universidad Industrial de ...">
          <a:extLst>
            <a:ext uri="{FF2B5EF4-FFF2-40B4-BE49-F238E27FC236}">
              <a16:creationId xmlns:a16="http://schemas.microsoft.com/office/drawing/2014/main" id="{ACD147F1-DE7C-6C26-4D91-93284F04F3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6080" y="498250"/>
          <a:ext cx="3101340" cy="850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377863</xdr:colOff>
      <xdr:row>0</xdr:row>
      <xdr:rowOff>174173</xdr:rowOff>
    </xdr:from>
    <xdr:to>
      <xdr:col>22</xdr:col>
      <xdr:colOff>407806</xdr:colOff>
      <xdr:row>7</xdr:row>
      <xdr:rowOff>164713</xdr:rowOff>
    </xdr:to>
    <xdr:pic>
      <xdr:nvPicPr>
        <xdr:cNvPr id="2" name="Imagen 1">
          <a:extLst>
            <a:ext uri="{FF2B5EF4-FFF2-40B4-BE49-F238E27FC236}">
              <a16:creationId xmlns:a16="http://schemas.microsoft.com/office/drawing/2014/main" id="{9DFA630D-C28B-7619-0952-3B566A020AA7}"/>
            </a:ext>
          </a:extLst>
        </xdr:cNvPr>
        <xdr:cNvPicPr>
          <a:picLocks noChangeAspect="1"/>
        </xdr:cNvPicPr>
      </xdr:nvPicPr>
      <xdr:blipFill>
        <a:blip xmlns:r="http://schemas.openxmlformats.org/officeDocument/2006/relationships" r:embed="rId1"/>
        <a:stretch>
          <a:fillRect/>
        </a:stretch>
      </xdr:blipFill>
      <xdr:spPr>
        <a:xfrm>
          <a:off x="9304149" y="174173"/>
          <a:ext cx="4558400" cy="1362140"/>
        </a:xfrm>
        <a:prstGeom prst="rect">
          <a:avLst/>
        </a:prstGeom>
      </xdr:spPr>
    </xdr:pic>
    <xdr:clientData/>
  </xdr:twoCellAnchor>
  <xdr:twoCellAnchor editAs="oneCell">
    <xdr:from>
      <xdr:col>18</xdr:col>
      <xdr:colOff>1254100</xdr:colOff>
      <xdr:row>3</xdr:row>
      <xdr:rowOff>45303</xdr:rowOff>
    </xdr:from>
    <xdr:to>
      <xdr:col>24</xdr:col>
      <xdr:colOff>771370</xdr:colOff>
      <xdr:row>7</xdr:row>
      <xdr:rowOff>106175</xdr:rowOff>
    </xdr:to>
    <xdr:pic>
      <xdr:nvPicPr>
        <xdr:cNvPr id="3" name="Imagen 1">
          <a:extLst>
            <a:ext uri="{FF2B5EF4-FFF2-40B4-BE49-F238E27FC236}">
              <a16:creationId xmlns:a16="http://schemas.microsoft.com/office/drawing/2014/main" id="{538AC045-648F-47E1-A68A-41D30CB201D8}"/>
            </a:ext>
          </a:extLst>
        </xdr:cNvPr>
        <xdr:cNvPicPr>
          <a:picLocks noChangeAspect="1"/>
        </xdr:cNvPicPr>
      </xdr:nvPicPr>
      <xdr:blipFill>
        <a:blip xmlns:r="http://schemas.openxmlformats.org/officeDocument/2006/relationships" r:embed="rId2"/>
        <a:stretch>
          <a:fillRect/>
        </a:stretch>
      </xdr:blipFill>
      <xdr:spPr>
        <a:xfrm>
          <a:off x="11878557" y="633132"/>
          <a:ext cx="4067499" cy="8446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489857</xdr:colOff>
      <xdr:row>1</xdr:row>
      <xdr:rowOff>163287</xdr:rowOff>
    </xdr:from>
    <xdr:to>
      <xdr:col>27</xdr:col>
      <xdr:colOff>372938</xdr:colOff>
      <xdr:row>11</xdr:row>
      <xdr:rowOff>17955</xdr:rowOff>
    </xdr:to>
    <xdr:pic>
      <xdr:nvPicPr>
        <xdr:cNvPr id="2" name="Imagen 1">
          <a:extLst>
            <a:ext uri="{FF2B5EF4-FFF2-40B4-BE49-F238E27FC236}">
              <a16:creationId xmlns:a16="http://schemas.microsoft.com/office/drawing/2014/main" id="{0FFD25F2-BCF8-42E3-BF07-9CD83D6E1845}"/>
            </a:ext>
          </a:extLst>
        </xdr:cNvPr>
        <xdr:cNvPicPr>
          <a:picLocks noChangeAspect="1"/>
        </xdr:cNvPicPr>
      </xdr:nvPicPr>
      <xdr:blipFill>
        <a:blip xmlns:r="http://schemas.openxmlformats.org/officeDocument/2006/relationships" r:embed="rId1"/>
        <a:stretch>
          <a:fillRect/>
        </a:stretch>
      </xdr:blipFill>
      <xdr:spPr>
        <a:xfrm>
          <a:off x="19216007" y="363312"/>
          <a:ext cx="5864285" cy="1854918"/>
        </a:xfrm>
        <a:prstGeom prst="rect">
          <a:avLst/>
        </a:prstGeom>
      </xdr:spPr>
    </xdr:pic>
    <xdr:clientData/>
  </xdr:twoCellAnchor>
  <xdr:twoCellAnchor editAs="oneCell">
    <xdr:from>
      <xdr:col>17</xdr:col>
      <xdr:colOff>544286</xdr:colOff>
      <xdr:row>12</xdr:row>
      <xdr:rowOff>40821</xdr:rowOff>
    </xdr:from>
    <xdr:to>
      <xdr:col>24</xdr:col>
      <xdr:colOff>88083</xdr:colOff>
      <xdr:row>16</xdr:row>
      <xdr:rowOff>107456</xdr:rowOff>
    </xdr:to>
    <xdr:pic>
      <xdr:nvPicPr>
        <xdr:cNvPr id="3" name="Imagen 1">
          <a:extLst>
            <a:ext uri="{FF2B5EF4-FFF2-40B4-BE49-F238E27FC236}">
              <a16:creationId xmlns:a16="http://schemas.microsoft.com/office/drawing/2014/main" id="{05FAD76E-1F5F-4F57-83A9-836DD131887A}"/>
            </a:ext>
          </a:extLst>
        </xdr:cNvPr>
        <xdr:cNvPicPr>
          <a:picLocks noChangeAspect="1"/>
        </xdr:cNvPicPr>
      </xdr:nvPicPr>
      <xdr:blipFill>
        <a:blip xmlns:r="http://schemas.openxmlformats.org/officeDocument/2006/relationships" r:embed="rId2"/>
        <a:stretch>
          <a:fillRect/>
        </a:stretch>
      </xdr:blipFill>
      <xdr:spPr>
        <a:xfrm>
          <a:off x="19270436" y="2441121"/>
          <a:ext cx="3958002" cy="8667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364435</xdr:colOff>
      <xdr:row>5</xdr:row>
      <xdr:rowOff>8283</xdr:rowOff>
    </xdr:from>
    <xdr:to>
      <xdr:col>11</xdr:col>
      <xdr:colOff>364435</xdr:colOff>
      <xdr:row>6</xdr:row>
      <xdr:rowOff>82826</xdr:rowOff>
    </xdr:to>
    <xdr:cxnSp macro="">
      <xdr:nvCxnSpPr>
        <xdr:cNvPr id="33" name="Conector recto 32">
          <a:extLst>
            <a:ext uri="{FF2B5EF4-FFF2-40B4-BE49-F238E27FC236}">
              <a16:creationId xmlns:a16="http://schemas.microsoft.com/office/drawing/2014/main" id="{CBF9E6E5-CC89-1410-CF0A-EE55C63EE86E}"/>
            </a:ext>
          </a:extLst>
        </xdr:cNvPr>
        <xdr:cNvCxnSpPr/>
      </xdr:nvCxnSpPr>
      <xdr:spPr>
        <a:xfrm>
          <a:off x="8229364" y="846483"/>
          <a:ext cx="0" cy="23782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363141</xdr:colOff>
      <xdr:row>6</xdr:row>
      <xdr:rowOff>80114</xdr:rowOff>
    </xdr:from>
    <xdr:to>
      <xdr:col>16</xdr:col>
      <xdr:colOff>184546</xdr:colOff>
      <xdr:row>6</xdr:row>
      <xdr:rowOff>80114</xdr:rowOff>
    </xdr:to>
    <xdr:cxnSp macro="">
      <xdr:nvCxnSpPr>
        <xdr:cNvPr id="49" name="Conector recto 48">
          <a:extLst>
            <a:ext uri="{FF2B5EF4-FFF2-40B4-BE49-F238E27FC236}">
              <a16:creationId xmlns:a16="http://schemas.microsoft.com/office/drawing/2014/main" id="{2C8AE35A-31DC-125B-D767-32EC01E35014}"/>
            </a:ext>
          </a:extLst>
        </xdr:cNvPr>
        <xdr:cNvCxnSpPr/>
      </xdr:nvCxnSpPr>
      <xdr:spPr>
        <a:xfrm>
          <a:off x="8234988" y="1068131"/>
          <a:ext cx="421259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184546</xdr:colOff>
      <xdr:row>6</xdr:row>
      <xdr:rowOff>83343</xdr:rowOff>
    </xdr:from>
    <xdr:to>
      <xdr:col>16</xdr:col>
      <xdr:colOff>184546</xdr:colOff>
      <xdr:row>9</xdr:row>
      <xdr:rowOff>0</xdr:rowOff>
    </xdr:to>
    <xdr:cxnSp macro="">
      <xdr:nvCxnSpPr>
        <xdr:cNvPr id="51" name="Conector recto 50">
          <a:extLst>
            <a:ext uri="{FF2B5EF4-FFF2-40B4-BE49-F238E27FC236}">
              <a16:creationId xmlns:a16="http://schemas.microsoft.com/office/drawing/2014/main" id="{E357A037-58F9-FD57-4BAA-F3D75EB23983}"/>
            </a:ext>
          </a:extLst>
        </xdr:cNvPr>
        <xdr:cNvCxnSpPr/>
      </xdr:nvCxnSpPr>
      <xdr:spPr>
        <a:xfrm>
          <a:off x="12453937" y="1071562"/>
          <a:ext cx="0" cy="44053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73269</xdr:colOff>
      <xdr:row>6</xdr:row>
      <xdr:rowOff>80596</xdr:rowOff>
    </xdr:from>
    <xdr:to>
      <xdr:col>11</xdr:col>
      <xdr:colOff>373673</xdr:colOff>
      <xdr:row>6</xdr:row>
      <xdr:rowOff>80596</xdr:rowOff>
    </xdr:to>
    <xdr:cxnSp macro="">
      <xdr:nvCxnSpPr>
        <xdr:cNvPr id="3" name="Conector recto 52">
          <a:extLst>
            <a:ext uri="{FF2B5EF4-FFF2-40B4-BE49-F238E27FC236}">
              <a16:creationId xmlns:a16="http://schemas.microsoft.com/office/drawing/2014/main" id="{C5949B05-6C9C-A03D-00E9-80C4FE99E3F7}"/>
            </a:ext>
          </a:extLst>
        </xdr:cNvPr>
        <xdr:cNvCxnSpPr/>
      </xdr:nvCxnSpPr>
      <xdr:spPr>
        <a:xfrm flipH="1">
          <a:off x="2366596" y="1062404"/>
          <a:ext cx="587619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73269</xdr:colOff>
      <xdr:row>6</xdr:row>
      <xdr:rowOff>80596</xdr:rowOff>
    </xdr:from>
    <xdr:to>
      <xdr:col>3</xdr:col>
      <xdr:colOff>73269</xdr:colOff>
      <xdr:row>8</xdr:row>
      <xdr:rowOff>183173</xdr:rowOff>
    </xdr:to>
    <xdr:cxnSp macro="">
      <xdr:nvCxnSpPr>
        <xdr:cNvPr id="55" name="Conector recto 54">
          <a:extLst>
            <a:ext uri="{FF2B5EF4-FFF2-40B4-BE49-F238E27FC236}">
              <a16:creationId xmlns:a16="http://schemas.microsoft.com/office/drawing/2014/main" id="{FE725AA0-7C06-896C-F8DD-85F4FA504BF5}"/>
            </a:ext>
          </a:extLst>
        </xdr:cNvPr>
        <xdr:cNvCxnSpPr/>
      </xdr:nvCxnSpPr>
      <xdr:spPr>
        <a:xfrm>
          <a:off x="2366596" y="1062404"/>
          <a:ext cx="0" cy="42496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520212</xdr:colOff>
      <xdr:row>6</xdr:row>
      <xdr:rowOff>80596</xdr:rowOff>
    </xdr:from>
    <xdr:to>
      <xdr:col>9</xdr:col>
      <xdr:colOff>520212</xdr:colOff>
      <xdr:row>8</xdr:row>
      <xdr:rowOff>183173</xdr:rowOff>
    </xdr:to>
    <xdr:cxnSp macro="">
      <xdr:nvCxnSpPr>
        <xdr:cNvPr id="57" name="Conector recto 56">
          <a:extLst>
            <a:ext uri="{FF2B5EF4-FFF2-40B4-BE49-F238E27FC236}">
              <a16:creationId xmlns:a16="http://schemas.microsoft.com/office/drawing/2014/main" id="{1BE035C2-68E8-6CFD-B1A1-1E6238B3A5A4}"/>
            </a:ext>
          </a:extLst>
        </xdr:cNvPr>
        <xdr:cNvCxnSpPr/>
      </xdr:nvCxnSpPr>
      <xdr:spPr>
        <a:xfrm>
          <a:off x="6762750" y="1062404"/>
          <a:ext cx="0" cy="42496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312509</xdr:colOff>
      <xdr:row>12</xdr:row>
      <xdr:rowOff>173934</xdr:rowOff>
    </xdr:from>
    <xdr:to>
      <xdr:col>2</xdr:col>
      <xdr:colOff>312509</xdr:colOff>
      <xdr:row>13</xdr:row>
      <xdr:rowOff>195916</xdr:rowOff>
    </xdr:to>
    <xdr:cxnSp macro="">
      <xdr:nvCxnSpPr>
        <xdr:cNvPr id="4" name="Conector recto 3">
          <a:extLst>
            <a:ext uri="{FF2B5EF4-FFF2-40B4-BE49-F238E27FC236}">
              <a16:creationId xmlns:a16="http://schemas.microsoft.com/office/drawing/2014/main" id="{300D060C-D62E-4468-867D-7E8B846C39EF}"/>
            </a:ext>
          </a:extLst>
        </xdr:cNvPr>
        <xdr:cNvCxnSpPr/>
      </xdr:nvCxnSpPr>
      <xdr:spPr>
        <a:xfrm>
          <a:off x="1836509" y="2277717"/>
          <a:ext cx="0" cy="2124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452990</xdr:colOff>
      <xdr:row>12</xdr:row>
      <xdr:rowOff>168992</xdr:rowOff>
    </xdr:from>
    <xdr:to>
      <xdr:col>4</xdr:col>
      <xdr:colOff>452990</xdr:colOff>
      <xdr:row>14</xdr:row>
      <xdr:rowOff>3072</xdr:rowOff>
    </xdr:to>
    <xdr:cxnSp macro="">
      <xdr:nvCxnSpPr>
        <xdr:cNvPr id="7" name="Conector recto 6">
          <a:extLst>
            <a:ext uri="{FF2B5EF4-FFF2-40B4-BE49-F238E27FC236}">
              <a16:creationId xmlns:a16="http://schemas.microsoft.com/office/drawing/2014/main" id="{BE3C8D66-62B4-46DA-974D-2A26E573E843}"/>
            </a:ext>
          </a:extLst>
        </xdr:cNvPr>
        <xdr:cNvCxnSpPr/>
      </xdr:nvCxnSpPr>
      <xdr:spPr>
        <a:xfrm>
          <a:off x="3015522" y="2252202"/>
          <a:ext cx="0" cy="22429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312509</xdr:colOff>
      <xdr:row>12</xdr:row>
      <xdr:rowOff>176165</xdr:rowOff>
    </xdr:from>
    <xdr:to>
      <xdr:col>4</xdr:col>
      <xdr:colOff>447261</xdr:colOff>
      <xdr:row>12</xdr:row>
      <xdr:rowOff>176165</xdr:rowOff>
    </xdr:to>
    <xdr:cxnSp macro="">
      <xdr:nvCxnSpPr>
        <xdr:cNvPr id="8" name="Conector recto 52">
          <a:extLst>
            <a:ext uri="{FF2B5EF4-FFF2-40B4-BE49-F238E27FC236}">
              <a16:creationId xmlns:a16="http://schemas.microsoft.com/office/drawing/2014/main" id="{4D16CF06-4470-4741-ACC8-5EB564A74D4F}"/>
            </a:ext>
          </a:extLst>
        </xdr:cNvPr>
        <xdr:cNvCxnSpPr/>
      </xdr:nvCxnSpPr>
      <xdr:spPr>
        <a:xfrm flipH="1">
          <a:off x="1836509" y="2279948"/>
          <a:ext cx="117007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75153</xdr:colOff>
      <xdr:row>11</xdr:row>
      <xdr:rowOff>5443</xdr:rowOff>
    </xdr:from>
    <xdr:to>
      <xdr:col>3</xdr:col>
      <xdr:colOff>75153</xdr:colOff>
      <xdr:row>12</xdr:row>
      <xdr:rowOff>174381</xdr:rowOff>
    </xdr:to>
    <xdr:cxnSp macro="">
      <xdr:nvCxnSpPr>
        <xdr:cNvPr id="11" name="Conector recto 10">
          <a:extLst>
            <a:ext uri="{FF2B5EF4-FFF2-40B4-BE49-F238E27FC236}">
              <a16:creationId xmlns:a16="http://schemas.microsoft.com/office/drawing/2014/main" id="{08BB7800-D99A-4B90-9DEE-726BE6B4E232}"/>
            </a:ext>
          </a:extLst>
        </xdr:cNvPr>
        <xdr:cNvCxnSpPr/>
      </xdr:nvCxnSpPr>
      <xdr:spPr>
        <a:xfrm>
          <a:off x="2372039" y="1937657"/>
          <a:ext cx="0" cy="3322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41816</xdr:colOff>
      <xdr:row>19</xdr:row>
      <xdr:rowOff>121737</xdr:rowOff>
    </xdr:from>
    <xdr:to>
      <xdr:col>17</xdr:col>
      <xdr:colOff>559019</xdr:colOff>
      <xdr:row>36</xdr:row>
      <xdr:rowOff>35351</xdr:rowOff>
    </xdr:to>
    <xdr:graphicFrame macro="">
      <xdr:nvGraphicFramePr>
        <xdr:cNvPr id="5" name="Gráfico 193">
          <a:extLst>
            <a:ext uri="{FF2B5EF4-FFF2-40B4-BE49-F238E27FC236}">
              <a16:creationId xmlns:a16="http://schemas.microsoft.com/office/drawing/2014/main" id="{BA9857AD-2325-EE39-39BB-773543FD78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513895</xdr:colOff>
      <xdr:row>12</xdr:row>
      <xdr:rowOff>173935</xdr:rowOff>
    </xdr:from>
    <xdr:to>
      <xdr:col>7</xdr:col>
      <xdr:colOff>513895</xdr:colOff>
      <xdr:row>13</xdr:row>
      <xdr:rowOff>195917</xdr:rowOff>
    </xdr:to>
    <xdr:cxnSp macro="">
      <xdr:nvCxnSpPr>
        <xdr:cNvPr id="22" name="Conector recto 21">
          <a:extLst>
            <a:ext uri="{FF2B5EF4-FFF2-40B4-BE49-F238E27FC236}">
              <a16:creationId xmlns:a16="http://schemas.microsoft.com/office/drawing/2014/main" id="{544D7444-8350-4F3C-B6A1-21DF913CAE1A}"/>
            </a:ext>
          </a:extLst>
        </xdr:cNvPr>
        <xdr:cNvCxnSpPr/>
      </xdr:nvCxnSpPr>
      <xdr:spPr>
        <a:xfrm>
          <a:off x="5445124" y="2269435"/>
          <a:ext cx="0" cy="2124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638047</xdr:colOff>
      <xdr:row>12</xdr:row>
      <xdr:rowOff>163550</xdr:rowOff>
    </xdr:from>
    <xdr:to>
      <xdr:col>11</xdr:col>
      <xdr:colOff>638047</xdr:colOff>
      <xdr:row>13</xdr:row>
      <xdr:rowOff>199016</xdr:rowOff>
    </xdr:to>
    <xdr:cxnSp macro="">
      <xdr:nvCxnSpPr>
        <xdr:cNvPr id="23" name="Conector recto 22">
          <a:extLst>
            <a:ext uri="{FF2B5EF4-FFF2-40B4-BE49-F238E27FC236}">
              <a16:creationId xmlns:a16="http://schemas.microsoft.com/office/drawing/2014/main" id="{5C7CCE0D-F674-4FEA-A29A-8F7C5BE86869}"/>
            </a:ext>
          </a:extLst>
        </xdr:cNvPr>
        <xdr:cNvCxnSpPr/>
      </xdr:nvCxnSpPr>
      <xdr:spPr>
        <a:xfrm>
          <a:off x="8502976" y="2259050"/>
          <a:ext cx="0" cy="22596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506185</xdr:colOff>
      <xdr:row>12</xdr:row>
      <xdr:rowOff>170723</xdr:rowOff>
    </xdr:from>
    <xdr:to>
      <xdr:col>11</xdr:col>
      <xdr:colOff>631371</xdr:colOff>
      <xdr:row>12</xdr:row>
      <xdr:rowOff>170723</xdr:rowOff>
    </xdr:to>
    <xdr:cxnSp macro="">
      <xdr:nvCxnSpPr>
        <xdr:cNvPr id="24" name="Conector recto 52">
          <a:extLst>
            <a:ext uri="{FF2B5EF4-FFF2-40B4-BE49-F238E27FC236}">
              <a16:creationId xmlns:a16="http://schemas.microsoft.com/office/drawing/2014/main" id="{1DE5771A-B92A-4D7C-B4A4-D2DB441A53F0}"/>
            </a:ext>
          </a:extLst>
        </xdr:cNvPr>
        <xdr:cNvCxnSpPr/>
      </xdr:nvCxnSpPr>
      <xdr:spPr>
        <a:xfrm flipH="1">
          <a:off x="5437414" y="2266223"/>
          <a:ext cx="305888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603111</xdr:colOff>
      <xdr:row>11</xdr:row>
      <xdr:rowOff>1</xdr:rowOff>
    </xdr:from>
    <xdr:to>
      <xdr:col>9</xdr:col>
      <xdr:colOff>603111</xdr:colOff>
      <xdr:row>13</xdr:row>
      <xdr:rowOff>190500</xdr:rowOff>
    </xdr:to>
    <xdr:cxnSp macro="">
      <xdr:nvCxnSpPr>
        <xdr:cNvPr id="25" name="Conector recto 24">
          <a:extLst>
            <a:ext uri="{FF2B5EF4-FFF2-40B4-BE49-F238E27FC236}">
              <a16:creationId xmlns:a16="http://schemas.microsoft.com/office/drawing/2014/main" id="{8BF7E5D0-F2B2-4274-8280-EB290D649468}"/>
            </a:ext>
          </a:extLst>
        </xdr:cNvPr>
        <xdr:cNvCxnSpPr/>
      </xdr:nvCxnSpPr>
      <xdr:spPr>
        <a:xfrm>
          <a:off x="6840625" y="1932215"/>
          <a:ext cx="0" cy="5442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426808</xdr:colOff>
      <xdr:row>12</xdr:row>
      <xdr:rowOff>168493</xdr:rowOff>
    </xdr:from>
    <xdr:to>
      <xdr:col>13</xdr:col>
      <xdr:colOff>426808</xdr:colOff>
      <xdr:row>13</xdr:row>
      <xdr:rowOff>190475</xdr:rowOff>
    </xdr:to>
    <xdr:cxnSp macro="">
      <xdr:nvCxnSpPr>
        <xdr:cNvPr id="34" name="Conector recto 33">
          <a:extLst>
            <a:ext uri="{FF2B5EF4-FFF2-40B4-BE49-F238E27FC236}">
              <a16:creationId xmlns:a16="http://schemas.microsoft.com/office/drawing/2014/main" id="{FA1B1E28-0C02-4DFA-86CF-635ED267CC3C}"/>
            </a:ext>
          </a:extLst>
        </xdr:cNvPr>
        <xdr:cNvCxnSpPr/>
      </xdr:nvCxnSpPr>
      <xdr:spPr>
        <a:xfrm>
          <a:off x="10730137" y="2263993"/>
          <a:ext cx="0" cy="2124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518304</xdr:colOff>
      <xdr:row>12</xdr:row>
      <xdr:rowOff>158108</xdr:rowOff>
    </xdr:from>
    <xdr:to>
      <xdr:col>19</xdr:col>
      <xdr:colOff>518304</xdr:colOff>
      <xdr:row>13</xdr:row>
      <xdr:rowOff>193574</xdr:rowOff>
    </xdr:to>
    <xdr:cxnSp macro="">
      <xdr:nvCxnSpPr>
        <xdr:cNvPr id="35" name="Conector recto 34">
          <a:extLst>
            <a:ext uri="{FF2B5EF4-FFF2-40B4-BE49-F238E27FC236}">
              <a16:creationId xmlns:a16="http://schemas.microsoft.com/office/drawing/2014/main" id="{31CF31F4-6D80-4143-80D7-6C9EDEA59787}"/>
            </a:ext>
          </a:extLst>
        </xdr:cNvPr>
        <xdr:cNvCxnSpPr/>
      </xdr:nvCxnSpPr>
      <xdr:spPr>
        <a:xfrm>
          <a:off x="14185318" y="2253608"/>
          <a:ext cx="0" cy="22596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424542</xdr:colOff>
      <xdr:row>12</xdr:row>
      <xdr:rowOff>165281</xdr:rowOff>
    </xdr:from>
    <xdr:to>
      <xdr:col>19</xdr:col>
      <xdr:colOff>511628</xdr:colOff>
      <xdr:row>12</xdr:row>
      <xdr:rowOff>165281</xdr:rowOff>
    </xdr:to>
    <xdr:cxnSp macro="">
      <xdr:nvCxnSpPr>
        <xdr:cNvPr id="36" name="Conector recto 52">
          <a:extLst>
            <a:ext uri="{FF2B5EF4-FFF2-40B4-BE49-F238E27FC236}">
              <a16:creationId xmlns:a16="http://schemas.microsoft.com/office/drawing/2014/main" id="{FB222AD2-F662-4482-880C-835B92079219}"/>
            </a:ext>
          </a:extLst>
        </xdr:cNvPr>
        <xdr:cNvCxnSpPr/>
      </xdr:nvCxnSpPr>
      <xdr:spPr>
        <a:xfrm flipH="1">
          <a:off x="10727871" y="2260781"/>
          <a:ext cx="345077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9838</xdr:colOff>
      <xdr:row>10</xdr:row>
      <xdr:rowOff>195944</xdr:rowOff>
    </xdr:from>
    <xdr:to>
      <xdr:col>17</xdr:col>
      <xdr:colOff>9838</xdr:colOff>
      <xdr:row>12</xdr:row>
      <xdr:rowOff>162485</xdr:rowOff>
    </xdr:to>
    <xdr:cxnSp macro="">
      <xdr:nvCxnSpPr>
        <xdr:cNvPr id="37" name="Conector recto 36">
          <a:extLst>
            <a:ext uri="{FF2B5EF4-FFF2-40B4-BE49-F238E27FC236}">
              <a16:creationId xmlns:a16="http://schemas.microsoft.com/office/drawing/2014/main" id="{8C41A92C-2C1B-4774-AD25-44FBC4DC5940}"/>
            </a:ext>
          </a:extLst>
        </xdr:cNvPr>
        <xdr:cNvCxnSpPr/>
      </xdr:nvCxnSpPr>
      <xdr:spPr>
        <a:xfrm>
          <a:off x="12521206" y="1910444"/>
          <a:ext cx="0" cy="32793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389158</xdr:colOff>
      <xdr:row>12</xdr:row>
      <xdr:rowOff>163447</xdr:rowOff>
    </xdr:from>
    <xdr:to>
      <xdr:col>15</xdr:col>
      <xdr:colOff>389158</xdr:colOff>
      <xdr:row>14</xdr:row>
      <xdr:rowOff>2802</xdr:rowOff>
    </xdr:to>
    <xdr:cxnSp macro="">
      <xdr:nvCxnSpPr>
        <xdr:cNvPr id="42" name="Conector recto 41">
          <a:extLst>
            <a:ext uri="{FF2B5EF4-FFF2-40B4-BE49-F238E27FC236}">
              <a16:creationId xmlns:a16="http://schemas.microsoft.com/office/drawing/2014/main" id="{419221E2-06C9-4B89-A5B2-600FAD44DB8F}"/>
            </a:ext>
          </a:extLst>
        </xdr:cNvPr>
        <xdr:cNvCxnSpPr/>
      </xdr:nvCxnSpPr>
      <xdr:spPr>
        <a:xfrm>
          <a:off x="11861180" y="2239337"/>
          <a:ext cx="0" cy="22875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443506</xdr:colOff>
      <xdr:row>12</xdr:row>
      <xdr:rowOff>161766</xdr:rowOff>
    </xdr:from>
    <xdr:to>
      <xdr:col>17</xdr:col>
      <xdr:colOff>443506</xdr:colOff>
      <xdr:row>14</xdr:row>
      <xdr:rowOff>1121</xdr:rowOff>
    </xdr:to>
    <xdr:cxnSp macro="">
      <xdr:nvCxnSpPr>
        <xdr:cNvPr id="44" name="Conector recto 43">
          <a:extLst>
            <a:ext uri="{FF2B5EF4-FFF2-40B4-BE49-F238E27FC236}">
              <a16:creationId xmlns:a16="http://schemas.microsoft.com/office/drawing/2014/main" id="{14748182-0A34-4556-926A-2A9766A81C49}"/>
            </a:ext>
          </a:extLst>
        </xdr:cNvPr>
        <xdr:cNvCxnSpPr/>
      </xdr:nvCxnSpPr>
      <xdr:spPr>
        <a:xfrm>
          <a:off x="12954874" y="2237656"/>
          <a:ext cx="0" cy="22875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783394</xdr:colOff>
      <xdr:row>19</xdr:row>
      <xdr:rowOff>143131</xdr:rowOff>
    </xdr:from>
    <xdr:to>
      <xdr:col>10</xdr:col>
      <xdr:colOff>145575</xdr:colOff>
      <xdr:row>36</xdr:row>
      <xdr:rowOff>49105</xdr:rowOff>
    </xdr:to>
    <xdr:graphicFrame macro="">
      <xdr:nvGraphicFramePr>
        <xdr:cNvPr id="328" name="Gráfico 249">
          <a:extLst>
            <a:ext uri="{FF2B5EF4-FFF2-40B4-BE49-F238E27FC236}">
              <a16:creationId xmlns:a16="http://schemas.microsoft.com/office/drawing/2014/main" id="{C7E47C58-008A-3A04-6BF2-867C644FFA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572139</xdr:colOff>
      <xdr:row>16</xdr:row>
      <xdr:rowOff>425824</xdr:rowOff>
    </xdr:from>
    <xdr:to>
      <xdr:col>23</xdr:col>
      <xdr:colOff>406259</xdr:colOff>
      <xdr:row>17</xdr:row>
      <xdr:rowOff>1423069</xdr:rowOff>
    </xdr:to>
    <xdr:pic>
      <xdr:nvPicPr>
        <xdr:cNvPr id="14" name="Imagen 1">
          <a:extLst>
            <a:ext uri="{FF2B5EF4-FFF2-40B4-BE49-F238E27FC236}">
              <a16:creationId xmlns:a16="http://schemas.microsoft.com/office/drawing/2014/main" id="{BB9E6634-B01B-1892-4ACD-26CCB6C56B84}"/>
            </a:ext>
          </a:extLst>
        </xdr:cNvPr>
        <xdr:cNvPicPr>
          <a:picLocks noChangeAspect="1"/>
        </xdr:cNvPicPr>
      </xdr:nvPicPr>
      <xdr:blipFill>
        <a:blip xmlns:r="http://schemas.openxmlformats.org/officeDocument/2006/relationships" r:embed="rId1"/>
        <a:stretch>
          <a:fillRect/>
        </a:stretch>
      </xdr:blipFill>
      <xdr:spPr>
        <a:xfrm>
          <a:off x="24362227" y="4191000"/>
          <a:ext cx="4428532" cy="1804068"/>
        </a:xfrm>
        <a:prstGeom prst="rect">
          <a:avLst/>
        </a:prstGeom>
      </xdr:spPr>
    </xdr:pic>
    <xdr:clientData/>
  </xdr:twoCellAnchor>
  <xdr:twoCellAnchor editAs="oneCell">
    <xdr:from>
      <xdr:col>24</xdr:col>
      <xdr:colOff>155201</xdr:colOff>
      <xdr:row>2</xdr:row>
      <xdr:rowOff>62753</xdr:rowOff>
    </xdr:from>
    <xdr:to>
      <xdr:col>30</xdr:col>
      <xdr:colOff>160782</xdr:colOff>
      <xdr:row>18</xdr:row>
      <xdr:rowOff>344802</xdr:rowOff>
    </xdr:to>
    <xdr:pic>
      <xdr:nvPicPr>
        <xdr:cNvPr id="10" name="Imagen 2">
          <a:extLst>
            <a:ext uri="{FF2B5EF4-FFF2-40B4-BE49-F238E27FC236}">
              <a16:creationId xmlns:a16="http://schemas.microsoft.com/office/drawing/2014/main" id="{2E02825E-943A-12CB-51BD-42FE213F472D}"/>
            </a:ext>
            <a:ext uri="{147F2762-F138-4A5C-976F-8EAC2B608ADB}">
              <a16:predDERef xmlns:a16="http://schemas.microsoft.com/office/drawing/2014/main" pred="{BB9E6634-B01B-1892-4ACD-26CCB6C56B84}"/>
            </a:ext>
          </a:extLst>
        </xdr:cNvPr>
        <xdr:cNvPicPr>
          <a:picLocks noChangeAspect="1"/>
        </xdr:cNvPicPr>
      </xdr:nvPicPr>
      <xdr:blipFill>
        <a:blip xmlns:r="http://schemas.openxmlformats.org/officeDocument/2006/relationships" r:embed="rId2"/>
        <a:stretch>
          <a:fillRect/>
        </a:stretch>
      </xdr:blipFill>
      <xdr:spPr>
        <a:xfrm>
          <a:off x="29144819" y="410135"/>
          <a:ext cx="4768081" cy="6344432"/>
        </a:xfrm>
        <a:prstGeom prst="rect">
          <a:avLst/>
        </a:prstGeom>
      </xdr:spPr>
    </xdr:pic>
    <xdr:clientData/>
  </xdr:twoCellAnchor>
  <xdr:oneCellAnchor>
    <xdr:from>
      <xdr:col>33</xdr:col>
      <xdr:colOff>549728</xdr:colOff>
      <xdr:row>14</xdr:row>
      <xdr:rowOff>32658</xdr:rowOff>
    </xdr:from>
    <xdr:ext cx="4456815" cy="1805668"/>
    <xdr:pic>
      <xdr:nvPicPr>
        <xdr:cNvPr id="3" name="Imagen 1">
          <a:extLst>
            <a:ext uri="{FF2B5EF4-FFF2-40B4-BE49-F238E27FC236}">
              <a16:creationId xmlns:a16="http://schemas.microsoft.com/office/drawing/2014/main" id="{76430212-B237-4836-8B31-179ECF47E5EB}"/>
            </a:ext>
          </a:extLst>
        </xdr:cNvPr>
        <xdr:cNvPicPr>
          <a:picLocks noChangeAspect="1"/>
        </xdr:cNvPicPr>
      </xdr:nvPicPr>
      <xdr:blipFill>
        <a:blip xmlns:r="http://schemas.openxmlformats.org/officeDocument/2006/relationships" r:embed="rId1"/>
        <a:stretch>
          <a:fillRect/>
        </a:stretch>
      </xdr:blipFill>
      <xdr:spPr>
        <a:xfrm>
          <a:off x="20946835" y="7911194"/>
          <a:ext cx="4456815" cy="180566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12</xdr:col>
      <xdr:colOff>1030943</xdr:colOff>
      <xdr:row>7</xdr:row>
      <xdr:rowOff>97492</xdr:rowOff>
    </xdr:from>
    <xdr:to>
      <xdr:col>18</xdr:col>
      <xdr:colOff>558865</xdr:colOff>
      <xdr:row>16</xdr:row>
      <xdr:rowOff>152775</xdr:rowOff>
    </xdr:to>
    <xdr:pic>
      <xdr:nvPicPr>
        <xdr:cNvPr id="3" name="Imagen 1">
          <a:extLst>
            <a:ext uri="{FF2B5EF4-FFF2-40B4-BE49-F238E27FC236}">
              <a16:creationId xmlns:a16="http://schemas.microsoft.com/office/drawing/2014/main" id="{58E7C4AE-D31E-409C-8684-409ADA9FF762}"/>
            </a:ext>
          </a:extLst>
        </xdr:cNvPr>
        <xdr:cNvPicPr>
          <a:picLocks noChangeAspect="1"/>
        </xdr:cNvPicPr>
      </xdr:nvPicPr>
      <xdr:blipFill>
        <a:blip xmlns:r="http://schemas.openxmlformats.org/officeDocument/2006/relationships" r:embed="rId1"/>
        <a:stretch>
          <a:fillRect/>
        </a:stretch>
      </xdr:blipFill>
      <xdr:spPr>
        <a:xfrm>
          <a:off x="12651443" y="1733551"/>
          <a:ext cx="5720676" cy="17473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38</xdr:col>
      <xdr:colOff>37193</xdr:colOff>
      <xdr:row>47</xdr:row>
      <xdr:rowOff>14873</xdr:rowOff>
    </xdr:from>
    <xdr:to>
      <xdr:col>43</xdr:col>
      <xdr:colOff>507092</xdr:colOff>
      <xdr:row>63</xdr:row>
      <xdr:rowOff>0</xdr:rowOff>
    </xdr:to>
    <xdr:graphicFrame macro="">
      <xdr:nvGraphicFramePr>
        <xdr:cNvPr id="10" name="Gráfico 9">
          <a:extLst>
            <a:ext uri="{FF2B5EF4-FFF2-40B4-BE49-F238E27FC236}">
              <a16:creationId xmlns:a16="http://schemas.microsoft.com/office/drawing/2014/main" id="{0D48DE07-2D2D-554F-64F8-F61EF11202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174910</xdr:colOff>
      <xdr:row>73</xdr:row>
      <xdr:rowOff>15509</xdr:rowOff>
    </xdr:from>
    <xdr:to>
      <xdr:col>43</xdr:col>
      <xdr:colOff>641390</xdr:colOff>
      <xdr:row>88</xdr:row>
      <xdr:rowOff>156124</xdr:rowOff>
    </xdr:to>
    <xdr:graphicFrame macro="">
      <xdr:nvGraphicFramePr>
        <xdr:cNvPr id="11" name="Gráfico 10">
          <a:extLst>
            <a:ext uri="{FF2B5EF4-FFF2-40B4-BE49-F238E27FC236}">
              <a16:creationId xmlns:a16="http://schemas.microsoft.com/office/drawing/2014/main" id="{16386A74-E78A-6DD7-D9FF-3CE9321D9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38</xdr:col>
      <xdr:colOff>205013</xdr:colOff>
      <xdr:row>97</xdr:row>
      <xdr:rowOff>125183</xdr:rowOff>
    </xdr:from>
    <xdr:to>
      <xdr:col>43</xdr:col>
      <xdr:colOff>671493</xdr:colOff>
      <xdr:row>113</xdr:row>
      <xdr:rowOff>111583</xdr:rowOff>
    </xdr:to>
    <xdr:graphicFrame macro="">
      <xdr:nvGraphicFramePr>
        <xdr:cNvPr id="12" name="Gráfico 11">
          <a:extLst>
            <a:ext uri="{FF2B5EF4-FFF2-40B4-BE49-F238E27FC236}">
              <a16:creationId xmlns:a16="http://schemas.microsoft.com/office/drawing/2014/main" id="{69E9D008-BC81-4B3D-F20C-FBD6818B2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100693</xdr:colOff>
      <xdr:row>47</xdr:row>
      <xdr:rowOff>0</xdr:rowOff>
    </xdr:from>
    <xdr:to>
      <xdr:col>37</xdr:col>
      <xdr:colOff>595293</xdr:colOff>
      <xdr:row>62</xdr:row>
      <xdr:rowOff>151500</xdr:rowOff>
    </xdr:to>
    <xdr:graphicFrame macro="">
      <xdr:nvGraphicFramePr>
        <xdr:cNvPr id="14" name="Gráfico 13">
          <a:extLst>
            <a:ext uri="{FF2B5EF4-FFF2-40B4-BE49-F238E27FC236}">
              <a16:creationId xmlns:a16="http://schemas.microsoft.com/office/drawing/2014/main" id="{4C52179A-2510-6F8A-FE69-3EC2A59D45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32</xdr:col>
      <xdr:colOff>268514</xdr:colOff>
      <xdr:row>97</xdr:row>
      <xdr:rowOff>150031</xdr:rowOff>
    </xdr:from>
    <xdr:to>
      <xdr:col>37</xdr:col>
      <xdr:colOff>760392</xdr:colOff>
      <xdr:row>113</xdr:row>
      <xdr:rowOff>136431</xdr:rowOff>
    </xdr:to>
    <xdr:graphicFrame macro="">
      <xdr:nvGraphicFramePr>
        <xdr:cNvPr id="15" name="Gráfico 14">
          <a:extLst>
            <a:ext uri="{FF2B5EF4-FFF2-40B4-BE49-F238E27FC236}">
              <a16:creationId xmlns:a16="http://schemas.microsoft.com/office/drawing/2014/main" id="{06FE1332-443C-ADE1-2362-C282666854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405492</xdr:colOff>
      <xdr:row>97</xdr:row>
      <xdr:rowOff>125183</xdr:rowOff>
    </xdr:from>
    <xdr:to>
      <xdr:col>32</xdr:col>
      <xdr:colOff>119042</xdr:colOff>
      <xdr:row>113</xdr:row>
      <xdr:rowOff>111583</xdr:rowOff>
    </xdr:to>
    <xdr:graphicFrame macro="">
      <xdr:nvGraphicFramePr>
        <xdr:cNvPr id="16" name="Gráfico 15">
          <a:extLst>
            <a:ext uri="{FF2B5EF4-FFF2-40B4-BE49-F238E27FC236}">
              <a16:creationId xmlns:a16="http://schemas.microsoft.com/office/drawing/2014/main" id="{37AE393C-EB5D-4E2E-153B-BAF947F204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32</xdr:col>
      <xdr:colOff>233587</xdr:colOff>
      <xdr:row>73</xdr:row>
      <xdr:rowOff>12705</xdr:rowOff>
    </xdr:from>
    <xdr:to>
      <xdr:col>37</xdr:col>
      <xdr:colOff>728640</xdr:colOff>
      <xdr:row>88</xdr:row>
      <xdr:rowOff>151506</xdr:rowOff>
    </xdr:to>
    <xdr:graphicFrame macro="">
      <xdr:nvGraphicFramePr>
        <xdr:cNvPr id="17" name="Gráfico 16">
          <a:extLst>
            <a:ext uri="{FF2B5EF4-FFF2-40B4-BE49-F238E27FC236}">
              <a16:creationId xmlns:a16="http://schemas.microsoft.com/office/drawing/2014/main" id="{EA516553-B574-6BC7-2EA1-CB15D01F1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359226</xdr:colOff>
      <xdr:row>73</xdr:row>
      <xdr:rowOff>5</xdr:rowOff>
    </xdr:from>
    <xdr:to>
      <xdr:col>32</xdr:col>
      <xdr:colOff>72776</xdr:colOff>
      <xdr:row>88</xdr:row>
      <xdr:rowOff>138806</xdr:rowOff>
    </xdr:to>
    <xdr:graphicFrame macro="">
      <xdr:nvGraphicFramePr>
        <xdr:cNvPr id="18" name="Gráfico 17">
          <a:extLst>
            <a:ext uri="{FF2B5EF4-FFF2-40B4-BE49-F238E27FC236}">
              <a16:creationId xmlns:a16="http://schemas.microsoft.com/office/drawing/2014/main" id="{50AE1BB9-2D81-3ABF-AEE4-F975F7FED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26</xdr:col>
      <xdr:colOff>227693</xdr:colOff>
      <xdr:row>47</xdr:row>
      <xdr:rowOff>0</xdr:rowOff>
    </xdr:from>
    <xdr:to>
      <xdr:col>31</xdr:col>
      <xdr:colOff>722293</xdr:colOff>
      <xdr:row>62</xdr:row>
      <xdr:rowOff>152400</xdr:rowOff>
    </xdr:to>
    <xdr:graphicFrame macro="">
      <xdr:nvGraphicFramePr>
        <xdr:cNvPr id="19" name="Gráfico 9">
          <a:extLst>
            <a:ext uri="{FF2B5EF4-FFF2-40B4-BE49-F238E27FC236}">
              <a16:creationId xmlns:a16="http://schemas.microsoft.com/office/drawing/2014/main" id="{EBF574AF-A45A-9357-F38A-ECEDAB54A0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298D-938E-4AE9-918F-91F8BB57A492}">
  <sheetPr>
    <tabColor theme="9" tint="-0.249977111117893"/>
  </sheetPr>
  <dimension ref="B5:L35"/>
  <sheetViews>
    <sheetView showGridLines="0" tabSelected="1" workbookViewId="0">
      <selection activeCell="K14" sqref="K14"/>
    </sheetView>
  </sheetViews>
  <sheetFormatPr defaultColWidth="11.42578125" defaultRowHeight="12.75"/>
  <cols>
    <col min="2" max="2" width="4.28515625" customWidth="1"/>
    <col min="3" max="3" width="5.5703125" customWidth="1"/>
    <col min="8" max="8" width="13.28515625" customWidth="1"/>
    <col min="9" max="9" width="4.28515625" customWidth="1"/>
  </cols>
  <sheetData>
    <row r="5" spans="2:12" ht="18" customHeight="1"/>
    <row r="6" spans="2:12" ht="13.5" thickBot="1"/>
    <row r="7" spans="2:12" ht="13.5" thickBot="1">
      <c r="B7" s="387"/>
      <c r="C7" s="388"/>
      <c r="D7" s="388"/>
      <c r="E7" s="388"/>
      <c r="F7" s="388"/>
      <c r="G7" s="388"/>
      <c r="H7" s="388"/>
      <c r="I7" s="381"/>
    </row>
    <row r="8" spans="2:12" ht="24.6" customHeight="1">
      <c r="B8" s="389"/>
      <c r="C8" s="446" t="s">
        <v>0</v>
      </c>
      <c r="D8" s="447"/>
      <c r="E8" s="447"/>
      <c r="F8" s="447"/>
      <c r="G8" s="447"/>
      <c r="H8" s="448"/>
      <c r="I8" s="382"/>
    </row>
    <row r="9" spans="2:12" ht="24.6" customHeight="1" thickBot="1">
      <c r="B9" s="389"/>
      <c r="C9" s="449"/>
      <c r="D9" s="450"/>
      <c r="E9" s="450"/>
      <c r="F9" s="450"/>
      <c r="G9" s="450"/>
      <c r="H9" s="451"/>
      <c r="I9" s="382"/>
    </row>
    <row r="10" spans="2:12">
      <c r="B10" s="389"/>
      <c r="C10" s="70"/>
      <c r="D10" s="70"/>
      <c r="E10" s="70"/>
      <c r="F10" s="70"/>
      <c r="G10" s="70"/>
      <c r="H10" s="70"/>
      <c r="I10" s="382"/>
    </row>
    <row r="11" spans="2:12">
      <c r="B11" s="389"/>
      <c r="C11" s="70" t="s">
        <v>1</v>
      </c>
      <c r="D11" s="70"/>
      <c r="E11" s="70"/>
      <c r="F11" s="70"/>
      <c r="G11" s="70"/>
      <c r="H11" s="70"/>
      <c r="I11" s="382"/>
    </row>
    <row r="12" spans="2:12">
      <c r="B12" s="389"/>
      <c r="C12" s="70" t="s">
        <v>2</v>
      </c>
      <c r="D12" s="70"/>
      <c r="E12" s="70"/>
      <c r="F12" s="70"/>
      <c r="G12" s="70"/>
      <c r="H12" s="70"/>
      <c r="I12" s="382"/>
    </row>
    <row r="13" spans="2:12">
      <c r="B13" s="389"/>
      <c r="C13" s="70"/>
      <c r="D13" s="70"/>
      <c r="E13" s="70"/>
      <c r="F13" s="70"/>
      <c r="G13" s="70"/>
      <c r="H13" s="70"/>
      <c r="I13" s="382"/>
    </row>
    <row r="14" spans="2:12">
      <c r="B14" s="389"/>
      <c r="C14" s="70"/>
      <c r="D14" s="454" t="s">
        <v>3</v>
      </c>
      <c r="E14" s="454"/>
      <c r="F14" s="454"/>
      <c r="G14" s="454"/>
      <c r="H14" s="70"/>
      <c r="I14" s="382"/>
      <c r="L14" s="2"/>
    </row>
    <row r="15" spans="2:12">
      <c r="B15" s="389"/>
      <c r="C15" s="70"/>
      <c r="D15" s="70"/>
      <c r="E15" s="70"/>
      <c r="F15" s="70"/>
      <c r="G15" s="70"/>
      <c r="H15" s="70"/>
      <c r="I15" s="382"/>
    </row>
    <row r="16" spans="2:12">
      <c r="B16" s="389"/>
      <c r="C16" s="70"/>
      <c r="D16" s="70"/>
      <c r="E16" s="70"/>
      <c r="F16" s="70"/>
      <c r="G16" s="70"/>
      <c r="H16" s="70"/>
      <c r="I16" s="382"/>
    </row>
    <row r="17" spans="2:9">
      <c r="B17" s="389"/>
      <c r="C17" s="77" t="s">
        <v>4</v>
      </c>
      <c r="D17" s="70" t="s">
        <v>5</v>
      </c>
      <c r="E17" s="70"/>
      <c r="F17" s="70"/>
      <c r="G17" s="70"/>
      <c r="H17" s="70"/>
      <c r="I17" s="382"/>
    </row>
    <row r="18" spans="2:9">
      <c r="B18" s="389"/>
      <c r="C18" s="77"/>
      <c r="D18" s="70"/>
      <c r="E18" s="70"/>
      <c r="F18" s="70"/>
      <c r="G18" s="70"/>
      <c r="H18" s="70"/>
      <c r="I18" s="382"/>
    </row>
    <row r="19" spans="2:9">
      <c r="B19" s="389"/>
      <c r="C19" s="77" t="s">
        <v>6</v>
      </c>
      <c r="D19" s="70" t="s">
        <v>7</v>
      </c>
      <c r="E19" s="70"/>
      <c r="F19" s="70"/>
      <c r="G19" s="70"/>
      <c r="H19" s="70"/>
      <c r="I19" s="382"/>
    </row>
    <row r="20" spans="2:9">
      <c r="B20" s="389"/>
      <c r="C20" s="77"/>
      <c r="D20" s="70"/>
      <c r="E20" s="70"/>
      <c r="F20" s="70"/>
      <c r="G20" s="70"/>
      <c r="H20" s="70"/>
      <c r="I20" s="382"/>
    </row>
    <row r="21" spans="2:9">
      <c r="B21" s="389"/>
      <c r="C21" s="77" t="s">
        <v>8</v>
      </c>
      <c r="D21" s="70" t="s">
        <v>9</v>
      </c>
      <c r="E21" s="70"/>
      <c r="F21" s="70"/>
      <c r="G21" s="70"/>
      <c r="H21" s="70"/>
      <c r="I21" s="382"/>
    </row>
    <row r="22" spans="2:9">
      <c r="B22" s="389"/>
      <c r="C22" s="77"/>
      <c r="D22" s="70"/>
      <c r="E22" s="70"/>
      <c r="F22" s="70"/>
      <c r="G22" s="70"/>
      <c r="H22" s="70"/>
      <c r="I22" s="382"/>
    </row>
    <row r="23" spans="2:9">
      <c r="B23" s="389"/>
      <c r="C23" s="77" t="s">
        <v>10</v>
      </c>
      <c r="D23" s="70" t="s">
        <v>11</v>
      </c>
      <c r="E23" s="70"/>
      <c r="F23" s="70"/>
      <c r="G23" s="70"/>
      <c r="H23" s="70"/>
      <c r="I23" s="382"/>
    </row>
    <row r="24" spans="2:9">
      <c r="B24" s="389"/>
      <c r="C24" s="77"/>
      <c r="D24" s="70"/>
      <c r="E24" s="70"/>
      <c r="F24" s="70"/>
      <c r="G24" s="70"/>
      <c r="H24" s="70"/>
      <c r="I24" s="382"/>
    </row>
    <row r="25" spans="2:9">
      <c r="B25" s="389"/>
      <c r="C25" s="77" t="s">
        <v>12</v>
      </c>
      <c r="D25" s="70" t="s">
        <v>13</v>
      </c>
      <c r="E25" s="70"/>
      <c r="F25" s="70"/>
      <c r="G25" s="70"/>
      <c r="H25" s="70"/>
      <c r="I25" s="382"/>
    </row>
    <row r="26" spans="2:9">
      <c r="B26" s="389"/>
      <c r="C26" s="77"/>
      <c r="D26" s="70"/>
      <c r="E26" s="70"/>
      <c r="F26" s="70"/>
      <c r="G26" s="70"/>
      <c r="H26" s="70"/>
      <c r="I26" s="382"/>
    </row>
    <row r="27" spans="2:9">
      <c r="B27" s="389"/>
      <c r="C27" s="77" t="s">
        <v>14</v>
      </c>
      <c r="D27" s="70" t="s">
        <v>15</v>
      </c>
      <c r="E27" s="70"/>
      <c r="F27" s="70"/>
      <c r="G27" s="70"/>
      <c r="H27" s="70"/>
      <c r="I27" s="382"/>
    </row>
    <row r="28" spans="2:9">
      <c r="B28" s="389"/>
      <c r="C28" s="77"/>
      <c r="D28" s="70"/>
      <c r="E28" s="70"/>
      <c r="F28" s="70"/>
      <c r="G28" s="70"/>
      <c r="H28" s="70"/>
      <c r="I28" s="382"/>
    </row>
    <row r="29" spans="2:9">
      <c r="B29" s="389"/>
      <c r="C29" s="77">
        <v>2</v>
      </c>
      <c r="D29" s="70" t="s">
        <v>16</v>
      </c>
      <c r="E29" s="70"/>
      <c r="F29" s="70"/>
      <c r="G29" s="70"/>
      <c r="H29" s="70"/>
      <c r="I29" s="382"/>
    </row>
    <row r="30" spans="2:9">
      <c r="B30" s="389"/>
      <c r="C30" s="77"/>
      <c r="D30" s="70"/>
      <c r="E30" s="70"/>
      <c r="F30" s="70"/>
      <c r="G30" s="70"/>
      <c r="H30" s="70"/>
      <c r="I30" s="382"/>
    </row>
    <row r="31" spans="2:9">
      <c r="B31" s="389"/>
      <c r="C31" s="77" t="s">
        <v>17</v>
      </c>
      <c r="D31" s="70" t="s">
        <v>18</v>
      </c>
      <c r="E31" s="70"/>
      <c r="F31" s="70"/>
      <c r="G31" s="70"/>
      <c r="H31" s="70"/>
      <c r="I31" s="382"/>
    </row>
    <row r="32" spans="2:9">
      <c r="B32" s="389"/>
      <c r="C32" s="77"/>
      <c r="D32" s="70"/>
      <c r="E32" s="70"/>
      <c r="F32" s="70"/>
      <c r="G32" s="70"/>
      <c r="H32" s="70"/>
      <c r="I32" s="382"/>
    </row>
    <row r="33" spans="2:9">
      <c r="B33" s="389"/>
      <c r="C33" s="452" t="s">
        <v>19</v>
      </c>
      <c r="D33" s="453" t="s">
        <v>20</v>
      </c>
      <c r="E33" s="453"/>
      <c r="F33" s="453"/>
      <c r="G33" s="453"/>
      <c r="H33" s="453"/>
      <c r="I33" s="383"/>
    </row>
    <row r="34" spans="2:9">
      <c r="B34" s="389"/>
      <c r="C34" s="452"/>
      <c r="D34" s="453"/>
      <c r="E34" s="453"/>
      <c r="F34" s="453"/>
      <c r="G34" s="453"/>
      <c r="H34" s="453"/>
      <c r="I34" s="383"/>
    </row>
    <row r="35" spans="2:9" ht="13.5" thickBot="1">
      <c r="B35" s="384"/>
      <c r="C35" s="385"/>
      <c r="D35" s="385"/>
      <c r="E35" s="385"/>
      <c r="F35" s="385"/>
      <c r="G35" s="385"/>
      <c r="H35" s="385"/>
      <c r="I35" s="386"/>
    </row>
  </sheetData>
  <mergeCells count="4">
    <mergeCell ref="C8:H9"/>
    <mergeCell ref="C33:C34"/>
    <mergeCell ref="D33:H34"/>
    <mergeCell ref="D14:G1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2851-EAB7-4E21-ABEB-A75221578B07}">
  <sheetPr>
    <tabColor theme="5" tint="0.79998168889431442"/>
  </sheetPr>
  <dimension ref="B2:V108"/>
  <sheetViews>
    <sheetView topLeftCell="E31" zoomScale="85" zoomScaleNormal="85" workbookViewId="0">
      <selection activeCell="P86" sqref="P86:T90"/>
    </sheetView>
  </sheetViews>
  <sheetFormatPr defaultColWidth="11.42578125" defaultRowHeight="15"/>
  <cols>
    <col min="1" max="1" width="11.42578125" style="157"/>
    <col min="2" max="2" width="6.28515625" style="159" customWidth="1"/>
    <col min="3" max="3" width="18.85546875" style="157" customWidth="1"/>
    <col min="4" max="4" width="11.5703125" style="159" bestFit="1" customWidth="1"/>
    <col min="5" max="5" width="10" style="159" customWidth="1"/>
    <col min="6" max="6" width="9.42578125" style="159" customWidth="1"/>
    <col min="7" max="7" width="6.7109375" style="157" customWidth="1"/>
    <col min="8" max="8" width="14" style="159" customWidth="1"/>
    <col min="9" max="9" width="14" style="157" customWidth="1"/>
    <col min="10" max="10" width="14" style="159" customWidth="1"/>
    <col min="11" max="15" width="14" style="157" customWidth="1"/>
    <col min="16" max="16" width="17" style="157" bestFit="1" customWidth="1"/>
    <col min="17" max="17" width="21.28515625" style="157" bestFit="1" customWidth="1"/>
    <col min="18" max="16384" width="11.42578125" style="157"/>
  </cols>
  <sheetData>
    <row r="2" spans="2:17">
      <c r="B2" s="158" t="s">
        <v>320</v>
      </c>
      <c r="H2" s="158" t="s">
        <v>321</v>
      </c>
      <c r="K2" s="158" t="s">
        <v>322</v>
      </c>
      <c r="M2" s="159"/>
      <c r="O2" s="159"/>
      <c r="Q2" s="159"/>
    </row>
    <row r="3" spans="2:17" ht="39">
      <c r="B3" s="520" t="s">
        <v>178</v>
      </c>
      <c r="C3" s="520"/>
      <c r="D3" s="278" t="s">
        <v>323</v>
      </c>
      <c r="E3" s="278" t="s">
        <v>324</v>
      </c>
      <c r="F3" s="278" t="s">
        <v>325</v>
      </c>
      <c r="H3" s="162" t="s">
        <v>178</v>
      </c>
      <c r="I3" s="161" t="s">
        <v>326</v>
      </c>
      <c r="K3" s="162" t="s">
        <v>178</v>
      </c>
      <c r="L3" s="161" t="s">
        <v>326</v>
      </c>
      <c r="M3" s="159"/>
      <c r="N3" s="72" t="s">
        <v>327</v>
      </c>
      <c r="O3" s="455" t="s">
        <v>328</v>
      </c>
      <c r="P3" s="455"/>
      <c r="Q3" s="455"/>
    </row>
    <row r="4" spans="2:17">
      <c r="B4" s="279" t="s">
        <v>51</v>
      </c>
      <c r="C4" s="275" t="s">
        <v>52</v>
      </c>
      <c r="D4" s="108">
        <v>5</v>
      </c>
      <c r="E4" s="108">
        <v>4</v>
      </c>
      <c r="F4" s="108">
        <v>4</v>
      </c>
      <c r="H4" s="158" t="s">
        <v>52</v>
      </c>
      <c r="I4" s="159">
        <v>4</v>
      </c>
      <c r="K4" s="158" t="s">
        <v>52</v>
      </c>
      <c r="L4" s="159">
        <v>4</v>
      </c>
      <c r="M4" s="159"/>
      <c r="N4" s="71" t="s">
        <v>329</v>
      </c>
      <c r="O4" s="71" t="s">
        <v>330</v>
      </c>
      <c r="Q4" s="159"/>
    </row>
    <row r="5" spans="2:17">
      <c r="B5" s="279" t="s">
        <v>57</v>
      </c>
      <c r="C5" s="71" t="s">
        <v>331</v>
      </c>
      <c r="D5" s="108">
        <v>2</v>
      </c>
      <c r="E5" s="108">
        <v>4</v>
      </c>
      <c r="F5" s="108">
        <v>3</v>
      </c>
      <c r="H5" s="157" t="s">
        <v>331</v>
      </c>
      <c r="I5" s="159">
        <v>4</v>
      </c>
      <c r="K5" s="157" t="s">
        <v>331</v>
      </c>
      <c r="L5" s="159">
        <v>3</v>
      </c>
      <c r="M5" s="159"/>
      <c r="N5" s="71" t="s">
        <v>332</v>
      </c>
      <c r="O5" s="71" t="s">
        <v>330</v>
      </c>
      <c r="Q5" s="159"/>
    </row>
    <row r="6" spans="2:17">
      <c r="B6" s="279" t="s">
        <v>63</v>
      </c>
      <c r="C6" s="71" t="s">
        <v>333</v>
      </c>
      <c r="D6" s="108">
        <v>4</v>
      </c>
      <c r="E6" s="108">
        <v>3</v>
      </c>
      <c r="F6" s="108">
        <v>3</v>
      </c>
      <c r="H6" s="157" t="s">
        <v>333</v>
      </c>
      <c r="I6" s="159">
        <v>3</v>
      </c>
      <c r="K6" s="157" t="s">
        <v>333</v>
      </c>
      <c r="L6" s="159">
        <v>3</v>
      </c>
      <c r="M6" s="159"/>
      <c r="N6" s="71" t="s">
        <v>334</v>
      </c>
      <c r="O6" s="71" t="s">
        <v>335</v>
      </c>
      <c r="Q6" s="159"/>
    </row>
    <row r="7" spans="2:17">
      <c r="B7" s="279" t="s">
        <v>53</v>
      </c>
      <c r="C7" s="275" t="s">
        <v>54</v>
      </c>
      <c r="D7" s="108">
        <v>3</v>
      </c>
      <c r="E7" s="108">
        <v>5</v>
      </c>
      <c r="F7" s="108">
        <v>3</v>
      </c>
      <c r="H7" s="158" t="s">
        <v>336</v>
      </c>
      <c r="I7" s="159">
        <v>5</v>
      </c>
      <c r="K7" s="158" t="s">
        <v>336</v>
      </c>
      <c r="L7" s="159">
        <v>3</v>
      </c>
      <c r="M7" s="159"/>
      <c r="N7" s="71" t="s">
        <v>337</v>
      </c>
      <c r="O7" s="71" t="s">
        <v>338</v>
      </c>
      <c r="Q7" s="159"/>
    </row>
    <row r="8" spans="2:17">
      <c r="B8" s="279" t="s">
        <v>59</v>
      </c>
      <c r="C8" s="71" t="s">
        <v>339</v>
      </c>
      <c r="D8" s="108">
        <v>3</v>
      </c>
      <c r="E8" s="108">
        <v>4</v>
      </c>
      <c r="F8" s="108">
        <v>4</v>
      </c>
      <c r="H8" s="157" t="s">
        <v>339</v>
      </c>
      <c r="I8" s="159">
        <v>4</v>
      </c>
      <c r="K8" s="157" t="s">
        <v>339</v>
      </c>
      <c r="L8" s="159">
        <v>4</v>
      </c>
      <c r="M8" s="159"/>
      <c r="O8" s="159"/>
      <c r="Q8" s="159"/>
    </row>
    <row r="9" spans="2:17" ht="13.5" customHeight="1">
      <c r="B9" s="279" t="s">
        <v>65</v>
      </c>
      <c r="C9" s="71" t="s">
        <v>165</v>
      </c>
      <c r="D9" s="108">
        <v>3</v>
      </c>
      <c r="E9" s="108">
        <v>3</v>
      </c>
      <c r="F9" s="108">
        <v>4</v>
      </c>
      <c r="H9" s="157" t="s">
        <v>165</v>
      </c>
      <c r="I9" s="159">
        <v>3</v>
      </c>
      <c r="K9" s="157" t="s">
        <v>165</v>
      </c>
      <c r="L9" s="159">
        <v>4</v>
      </c>
      <c r="M9" s="159"/>
      <c r="O9" s="159"/>
      <c r="Q9" s="159"/>
    </row>
    <row r="10" spans="2:17" ht="14.45" customHeight="1">
      <c r="B10" s="279" t="s">
        <v>69</v>
      </c>
      <c r="C10" s="229" t="s">
        <v>70</v>
      </c>
      <c r="D10" s="108">
        <v>3</v>
      </c>
      <c r="E10" s="108">
        <v>4</v>
      </c>
      <c r="F10" s="108">
        <v>4</v>
      </c>
      <c r="H10" s="157" t="s">
        <v>70</v>
      </c>
      <c r="I10" s="159">
        <v>4</v>
      </c>
      <c r="K10" s="157" t="s">
        <v>70</v>
      </c>
      <c r="L10" s="159">
        <v>4</v>
      </c>
      <c r="M10" s="159"/>
      <c r="O10" s="159"/>
      <c r="Q10" s="159"/>
    </row>
    <row r="11" spans="2:17">
      <c r="B11" s="279" t="s">
        <v>55</v>
      </c>
      <c r="C11" s="275" t="s">
        <v>56</v>
      </c>
      <c r="D11" s="108">
        <v>5</v>
      </c>
      <c r="E11" s="108">
        <v>5</v>
      </c>
      <c r="F11" s="108">
        <v>4</v>
      </c>
      <c r="H11" s="158" t="s">
        <v>340</v>
      </c>
      <c r="I11" s="159">
        <v>5</v>
      </c>
      <c r="K11" s="158" t="s">
        <v>340</v>
      </c>
      <c r="L11" s="159">
        <v>4</v>
      </c>
      <c r="M11" s="159"/>
      <c r="O11" s="159"/>
      <c r="Q11" s="159"/>
    </row>
    <row r="12" spans="2:17">
      <c r="B12" s="279" t="s">
        <v>61</v>
      </c>
      <c r="C12" s="71" t="s">
        <v>166</v>
      </c>
      <c r="D12" s="108">
        <v>1</v>
      </c>
      <c r="E12" s="108">
        <v>1</v>
      </c>
      <c r="F12" s="108">
        <v>5</v>
      </c>
      <c r="H12" s="157" t="s">
        <v>166</v>
      </c>
      <c r="I12" s="159">
        <v>1</v>
      </c>
      <c r="K12" s="157" t="s">
        <v>166</v>
      </c>
      <c r="L12" s="159">
        <v>5</v>
      </c>
      <c r="M12" s="159"/>
      <c r="O12" s="159"/>
      <c r="Q12" s="159"/>
    </row>
    <row r="13" spans="2:17">
      <c r="B13" s="279" t="s">
        <v>67</v>
      </c>
      <c r="C13" s="71" t="s">
        <v>68</v>
      </c>
      <c r="D13" s="108">
        <v>4</v>
      </c>
      <c r="E13" s="108">
        <v>3</v>
      </c>
      <c r="F13" s="108">
        <v>5</v>
      </c>
      <c r="H13" s="157" t="s">
        <v>68</v>
      </c>
      <c r="I13" s="159">
        <v>3</v>
      </c>
      <c r="J13" s="157"/>
      <c r="K13" s="157" t="s">
        <v>68</v>
      </c>
      <c r="L13" s="159">
        <v>5</v>
      </c>
      <c r="M13" s="159"/>
      <c r="O13" s="159"/>
      <c r="Q13" s="159"/>
    </row>
    <row r="14" spans="2:17">
      <c r="B14" s="279" t="s">
        <v>128</v>
      </c>
      <c r="C14" s="71" t="s">
        <v>167</v>
      </c>
      <c r="D14" s="108">
        <v>5</v>
      </c>
      <c r="E14" s="108">
        <v>5</v>
      </c>
      <c r="F14" s="108">
        <v>5</v>
      </c>
      <c r="H14" s="157" t="s">
        <v>167</v>
      </c>
      <c r="I14" s="159">
        <v>5</v>
      </c>
      <c r="J14" s="157"/>
      <c r="K14" s="157" t="s">
        <v>167</v>
      </c>
      <c r="L14" s="159">
        <v>5</v>
      </c>
      <c r="M14" s="159"/>
      <c r="O14" s="159"/>
      <c r="Q14" s="159"/>
    </row>
    <row r="15" spans="2:17">
      <c r="B15" s="280" t="s">
        <v>73</v>
      </c>
      <c r="C15" s="268" t="s">
        <v>168</v>
      </c>
      <c r="D15" s="265">
        <v>5</v>
      </c>
      <c r="E15" s="265">
        <v>5</v>
      </c>
      <c r="F15" s="265">
        <v>5</v>
      </c>
      <c r="H15" s="157" t="s">
        <v>168</v>
      </c>
      <c r="I15" s="159">
        <v>5</v>
      </c>
      <c r="K15" s="157" t="s">
        <v>168</v>
      </c>
      <c r="L15" s="159">
        <v>5</v>
      </c>
      <c r="M15" s="159"/>
      <c r="O15" s="159"/>
      <c r="Q15" s="159"/>
    </row>
    <row r="16" spans="2:17" ht="15.75" thickBot="1">
      <c r="M16" s="159"/>
      <c r="O16" s="159"/>
      <c r="Q16" s="159"/>
    </row>
    <row r="17" spans="2:22">
      <c r="B17" s="178" t="s">
        <v>119</v>
      </c>
      <c r="C17" s="169"/>
      <c r="D17" s="170"/>
      <c r="H17" s="157"/>
      <c r="J17" s="157"/>
      <c r="M17" s="159"/>
      <c r="O17" s="159"/>
      <c r="Q17" s="159"/>
    </row>
    <row r="18" spans="2:22" ht="29.25" customHeight="1">
      <c r="B18" s="171" t="s">
        <v>178</v>
      </c>
      <c r="C18" s="163"/>
      <c r="D18" s="172" t="s">
        <v>326</v>
      </c>
      <c r="E18" s="187"/>
      <c r="F18" s="187"/>
      <c r="H18" s="71" t="s">
        <v>341</v>
      </c>
      <c r="I18" s="157" t="s">
        <v>331</v>
      </c>
      <c r="J18" s="71"/>
      <c r="K18" s="71"/>
      <c r="L18" s="455" t="s">
        <v>342</v>
      </c>
      <c r="M18" s="455"/>
      <c r="N18" s="455"/>
      <c r="O18" s="518" t="s">
        <v>343</v>
      </c>
      <c r="Q18" s="159"/>
    </row>
    <row r="19" spans="2:22">
      <c r="B19" s="173" t="s">
        <v>51</v>
      </c>
      <c r="C19" s="158" t="s">
        <v>52</v>
      </c>
      <c r="D19" s="174">
        <f>+GEOMEAN(D4,I4,L4)</f>
        <v>4.3088693800637676</v>
      </c>
      <c r="E19" s="188"/>
      <c r="F19" s="188"/>
      <c r="H19" s="84"/>
      <c r="I19" s="78" t="s">
        <v>194</v>
      </c>
      <c r="J19" s="78" t="s">
        <v>344</v>
      </c>
      <c r="K19" s="78" t="s">
        <v>196</v>
      </c>
      <c r="L19" s="517"/>
      <c r="M19" s="517"/>
      <c r="N19" s="517"/>
      <c r="O19" s="519"/>
    </row>
    <row r="20" spans="2:22">
      <c r="B20" s="173" t="s">
        <v>57</v>
      </c>
      <c r="C20" s="157" t="s">
        <v>345</v>
      </c>
      <c r="D20" s="174">
        <f>+GEOMEAN(D5,I5,L5)</f>
        <v>2.8844991406148166</v>
      </c>
      <c r="E20" s="188"/>
      <c r="F20" s="188"/>
      <c r="H20" s="78" t="s">
        <v>194</v>
      </c>
      <c r="I20" s="164">
        <v>1</v>
      </c>
      <c r="J20" s="164">
        <f>+'2. CARACTERIZACIÓN'!J2/'2. CARACTERIZACIÓN'!L2</f>
        <v>0.6</v>
      </c>
      <c r="K20" s="164">
        <f>+'2. CARACTERIZACIÓN'!J2/'2. CARACTERIZACIÓN'!N2</f>
        <v>3</v>
      </c>
      <c r="L20" s="79">
        <f t="shared" ref="L20:N22" si="0">+I20/I$23</f>
        <v>0.33333333333333326</v>
      </c>
      <c r="M20" s="79">
        <f t="shared" si="0"/>
        <v>0.33333333333333331</v>
      </c>
      <c r="N20" s="79">
        <f t="shared" si="0"/>
        <v>0.33333333333333331</v>
      </c>
      <c r="O20" s="86">
        <f>AVERAGE(L20:N20)</f>
        <v>0.33333333333333326</v>
      </c>
      <c r="Q20" s="157" t="s">
        <v>346</v>
      </c>
      <c r="R20" s="159"/>
      <c r="T20" s="159"/>
      <c r="V20" s="159"/>
    </row>
    <row r="21" spans="2:22">
      <c r="B21" s="173" t="s">
        <v>63</v>
      </c>
      <c r="C21" s="157" t="s">
        <v>347</v>
      </c>
      <c r="D21" s="174">
        <f>+GEOMEAN(D6,I6,L6)</f>
        <v>3.3019272488946267</v>
      </c>
      <c r="E21" s="188"/>
      <c r="F21" s="188"/>
      <c r="H21" s="85" t="s">
        <v>344</v>
      </c>
      <c r="I21" s="86">
        <f>1/J20</f>
        <v>1.6666666666666667</v>
      </c>
      <c r="J21" s="86">
        <v>1</v>
      </c>
      <c r="K21" s="86">
        <f>+'2. CARACTERIZACIÓN'!L2/'2. CARACTERIZACIÓN'!N2</f>
        <v>5</v>
      </c>
      <c r="L21" s="86">
        <f t="shared" si="0"/>
        <v>0.55555555555555547</v>
      </c>
      <c r="M21" s="86">
        <f t="shared" si="0"/>
        <v>0.55555555555555558</v>
      </c>
      <c r="N21" s="86">
        <f t="shared" si="0"/>
        <v>0.55555555555555558</v>
      </c>
      <c r="O21" s="86">
        <f>AVERAGE(L21:N21)</f>
        <v>0.55555555555555558</v>
      </c>
      <c r="Q21" s="157" t="s">
        <v>348</v>
      </c>
      <c r="R21" s="159"/>
      <c r="S21" s="157" t="s">
        <v>336</v>
      </c>
      <c r="T21" s="159"/>
      <c r="U21" s="157" t="s">
        <v>340</v>
      </c>
      <c r="V21" s="159"/>
    </row>
    <row r="22" spans="2:22">
      <c r="B22" s="173"/>
      <c r="D22" s="174"/>
      <c r="E22" s="188"/>
      <c r="F22" s="188"/>
      <c r="H22" s="92" t="s">
        <v>196</v>
      </c>
      <c r="I22" s="122">
        <f>1/K20</f>
        <v>0.33333333333333331</v>
      </c>
      <c r="J22" s="122">
        <f>1/K21</f>
        <v>0.2</v>
      </c>
      <c r="K22" s="122">
        <v>1</v>
      </c>
      <c r="L22" s="115">
        <f t="shared" si="0"/>
        <v>0.11111111111111109</v>
      </c>
      <c r="M22" s="115">
        <f t="shared" si="0"/>
        <v>0.11111111111111112</v>
      </c>
      <c r="N22" s="115">
        <f t="shared" si="0"/>
        <v>0.1111111111111111</v>
      </c>
      <c r="O22" s="115">
        <f>AVERAGE(L22:N22)</f>
        <v>0.1111111111111111</v>
      </c>
      <c r="Q22" s="157" t="s">
        <v>331</v>
      </c>
      <c r="R22" s="159">
        <v>0.66666666666666663</v>
      </c>
      <c r="S22" s="157" t="s">
        <v>339</v>
      </c>
      <c r="T22" s="159">
        <v>1</v>
      </c>
      <c r="U22" s="157" t="s">
        <v>166</v>
      </c>
      <c r="V22" s="159">
        <v>0.36363636363636365</v>
      </c>
    </row>
    <row r="23" spans="2:22">
      <c r="B23" s="173" t="s">
        <v>53</v>
      </c>
      <c r="C23" s="158" t="s">
        <v>54</v>
      </c>
      <c r="D23" s="174">
        <f>+GEOMEAN(D7,I7,L7)</f>
        <v>3.556893304490063</v>
      </c>
      <c r="E23" s="188"/>
      <c r="F23" s="188"/>
      <c r="H23" s="85" t="s">
        <v>349</v>
      </c>
      <c r="I23" s="189">
        <f>+SUM(I20:I22)</f>
        <v>3.0000000000000004</v>
      </c>
      <c r="J23" s="189">
        <f>SUM(J20:J22)</f>
        <v>1.8</v>
      </c>
      <c r="K23" s="189">
        <f>SUM(K20:K22)</f>
        <v>9</v>
      </c>
      <c r="L23" s="71"/>
      <c r="M23" s="71"/>
      <c r="N23" s="71"/>
      <c r="O23" s="240">
        <f>+SUM(O20:O22)</f>
        <v>1</v>
      </c>
      <c r="Q23" s="157" t="s">
        <v>333</v>
      </c>
      <c r="R23" s="159">
        <v>1.3333333333333333</v>
      </c>
      <c r="S23" s="157" t="s">
        <v>165</v>
      </c>
      <c r="T23" s="159">
        <v>1</v>
      </c>
      <c r="U23" s="157" t="s">
        <v>68</v>
      </c>
      <c r="V23" s="159">
        <v>1.4545454545454546</v>
      </c>
    </row>
    <row r="24" spans="2:22">
      <c r="B24" s="173" t="s">
        <v>59</v>
      </c>
      <c r="C24" s="157" t="s">
        <v>339</v>
      </c>
      <c r="D24" s="174">
        <f>+GEOMEAN(D8,I8,L8)</f>
        <v>3.6342411856642793</v>
      </c>
      <c r="E24" s="188"/>
      <c r="F24" s="188"/>
      <c r="H24" s="71"/>
      <c r="I24" s="71"/>
      <c r="J24" s="71"/>
      <c r="K24" s="71"/>
      <c r="L24" s="71"/>
      <c r="M24" s="71"/>
      <c r="N24" s="71"/>
      <c r="O24" s="71"/>
      <c r="R24" s="159"/>
      <c r="S24" s="157" t="s">
        <v>70</v>
      </c>
      <c r="T24" s="159">
        <v>1</v>
      </c>
      <c r="U24" s="157" t="s">
        <v>167</v>
      </c>
      <c r="V24" s="159">
        <v>0.36363636363636365</v>
      </c>
    </row>
    <row r="25" spans="2:22" ht="15" customHeight="1">
      <c r="B25" s="173" t="s">
        <v>65</v>
      </c>
      <c r="C25" s="157" t="s">
        <v>165</v>
      </c>
      <c r="D25" s="174">
        <f>+GEOMEAN(D9,I9,L9)</f>
        <v>3.3019272488946267</v>
      </c>
      <c r="E25" s="188"/>
      <c r="F25" s="188"/>
      <c r="H25" s="71"/>
      <c r="I25" s="71"/>
      <c r="J25" s="71"/>
      <c r="K25" s="71"/>
      <c r="L25" s="71"/>
      <c r="M25" s="71"/>
      <c r="N25" s="71"/>
      <c r="O25" s="71"/>
      <c r="R25" s="159"/>
      <c r="T25" s="159"/>
      <c r="U25" s="157" t="s">
        <v>168</v>
      </c>
      <c r="V25" s="159">
        <v>1.8181818181818181</v>
      </c>
    </row>
    <row r="26" spans="2:22">
      <c r="B26" s="173" t="s">
        <v>69</v>
      </c>
      <c r="C26" s="157" t="s">
        <v>70</v>
      </c>
      <c r="D26" s="174">
        <f>+GEOMEAN(D10,I10,L10)</f>
        <v>3.6342411856642793</v>
      </c>
      <c r="E26" s="188"/>
      <c r="F26" s="188"/>
      <c r="H26" s="71" t="s">
        <v>341</v>
      </c>
      <c r="I26" s="157" t="s">
        <v>333</v>
      </c>
      <c r="J26" s="71"/>
      <c r="K26" s="71"/>
      <c r="L26" s="455" t="s">
        <v>342</v>
      </c>
      <c r="M26" s="455"/>
      <c r="N26" s="455"/>
      <c r="O26" s="518" t="s">
        <v>343</v>
      </c>
    </row>
    <row r="27" spans="2:22">
      <c r="B27" s="173"/>
      <c r="D27" s="174"/>
      <c r="E27" s="188"/>
      <c r="F27" s="188"/>
      <c r="H27" s="84"/>
      <c r="I27" s="78" t="s">
        <v>194</v>
      </c>
      <c r="J27" s="78" t="s">
        <v>344</v>
      </c>
      <c r="K27" s="78" t="s">
        <v>196</v>
      </c>
      <c r="L27" s="517"/>
      <c r="M27" s="517"/>
      <c r="N27" s="517"/>
      <c r="O27" s="519"/>
    </row>
    <row r="28" spans="2:22">
      <c r="B28" s="173" t="s">
        <v>55</v>
      </c>
      <c r="C28" s="158" t="s">
        <v>56</v>
      </c>
      <c r="D28" s="174">
        <f>+GEOMEAN(D11,I11,L11)</f>
        <v>4.6415888336127793</v>
      </c>
      <c r="E28" s="188"/>
      <c r="F28" s="188"/>
      <c r="H28" s="78" t="s">
        <v>194</v>
      </c>
      <c r="I28" s="164">
        <v>1</v>
      </c>
      <c r="J28" s="164">
        <f>+'2. CARACTERIZACIÓN'!J3/'2. CARACTERIZACIÓN'!L3</f>
        <v>1.6666666666666667</v>
      </c>
      <c r="K28" s="164">
        <f>+'2. CARACTERIZACIÓN'!J3/'2. CARACTERIZACIÓN'!N3</f>
        <v>1.6666666666666667</v>
      </c>
      <c r="L28" s="86">
        <f t="shared" ref="L28:N30" si="1">+I28/I$31</f>
        <v>0.45454545454545453</v>
      </c>
      <c r="M28" s="86">
        <f t="shared" si="1"/>
        <v>0.45454545454545453</v>
      </c>
      <c r="N28" s="86">
        <f t="shared" si="1"/>
        <v>0.45454545454545453</v>
      </c>
      <c r="O28" s="86">
        <f>AVERAGE(L28:N28)</f>
        <v>0.45454545454545453</v>
      </c>
    </row>
    <row r="29" spans="2:22">
      <c r="B29" s="173" t="s">
        <v>61</v>
      </c>
      <c r="C29" s="157" t="s">
        <v>166</v>
      </c>
      <c r="D29" s="174">
        <f>+GEOMEAN(D12,I12,L12)</f>
        <v>1.7099759466766968</v>
      </c>
      <c r="E29" s="188"/>
      <c r="F29" s="188"/>
      <c r="H29" s="85" t="s">
        <v>344</v>
      </c>
      <c r="I29" s="86">
        <f>1/J28</f>
        <v>0.6</v>
      </c>
      <c r="J29" s="86">
        <v>1</v>
      </c>
      <c r="K29" s="86">
        <f>+'2. CARACTERIZACIÓN'!L3/'2. CARACTERIZACIÓN'!N3</f>
        <v>1</v>
      </c>
      <c r="L29" s="86">
        <f t="shared" si="1"/>
        <v>0.27272727272727271</v>
      </c>
      <c r="M29" s="86">
        <f t="shared" si="1"/>
        <v>0.27272727272727271</v>
      </c>
      <c r="N29" s="86">
        <f t="shared" si="1"/>
        <v>0.27272727272727271</v>
      </c>
      <c r="O29" s="86">
        <f>AVERAGE(L29:N29)</f>
        <v>0.27272727272727271</v>
      </c>
    </row>
    <row r="30" spans="2:22">
      <c r="B30" s="173" t="s">
        <v>67</v>
      </c>
      <c r="C30" s="157" t="s">
        <v>68</v>
      </c>
      <c r="D30" s="174">
        <f>+GEOMEAN(D13,I13,L13)</f>
        <v>3.9148676411688634</v>
      </c>
      <c r="E30" s="188"/>
      <c r="F30" s="188"/>
      <c r="H30" s="92" t="s">
        <v>196</v>
      </c>
      <c r="I30" s="122">
        <f>1/K28</f>
        <v>0.6</v>
      </c>
      <c r="J30" s="122">
        <f>1/K29</f>
        <v>1</v>
      </c>
      <c r="K30" s="122">
        <v>1</v>
      </c>
      <c r="L30" s="86">
        <f t="shared" si="1"/>
        <v>0.27272727272727271</v>
      </c>
      <c r="M30" s="86">
        <f t="shared" si="1"/>
        <v>0.27272727272727271</v>
      </c>
      <c r="N30" s="86">
        <f t="shared" si="1"/>
        <v>0.27272727272727271</v>
      </c>
      <c r="O30" s="115">
        <f>AVERAGE(L30:N30)</f>
        <v>0.27272727272727271</v>
      </c>
    </row>
    <row r="31" spans="2:22">
      <c r="B31" s="173" t="s">
        <v>128</v>
      </c>
      <c r="C31" s="157" t="s">
        <v>167</v>
      </c>
      <c r="D31" s="174">
        <f>+GEOMEAN(D14,I14,L14)</f>
        <v>5</v>
      </c>
      <c r="E31" s="188"/>
      <c r="F31" s="188"/>
      <c r="H31" s="85" t="s">
        <v>349</v>
      </c>
      <c r="I31" s="189">
        <f>SUM(I28:I30)</f>
        <v>2.2000000000000002</v>
      </c>
      <c r="J31" s="189">
        <f>SUM(J28:J30)</f>
        <v>3.666666666666667</v>
      </c>
      <c r="K31" s="189">
        <f>SUM(K28:K30)</f>
        <v>3.666666666666667</v>
      </c>
      <c r="L31" s="71"/>
      <c r="M31" s="71"/>
      <c r="N31" s="71"/>
      <c r="O31" s="240">
        <f>+SUM(O28:O30)</f>
        <v>1</v>
      </c>
    </row>
    <row r="32" spans="2:22" ht="15" customHeight="1" thickBot="1">
      <c r="B32" s="175" t="s">
        <v>73</v>
      </c>
      <c r="C32" s="176" t="s">
        <v>168</v>
      </c>
      <c r="D32" s="177">
        <f>+GEOMEAN(D15,I15,L15)</f>
        <v>5</v>
      </c>
      <c r="E32" s="188"/>
      <c r="F32" s="188"/>
      <c r="H32" s="71"/>
      <c r="I32" s="71"/>
      <c r="J32" s="71"/>
      <c r="K32" s="71"/>
      <c r="L32" s="71"/>
      <c r="M32" s="71"/>
      <c r="N32" s="71"/>
      <c r="O32" s="71"/>
    </row>
    <row r="33" spans="2:15">
      <c r="B33" s="157"/>
      <c r="H33" s="71"/>
      <c r="I33" s="71"/>
      <c r="J33" s="71"/>
      <c r="K33" s="71"/>
      <c r="L33" s="71"/>
      <c r="M33" s="71"/>
      <c r="N33" s="71"/>
      <c r="O33" s="71"/>
    </row>
    <row r="34" spans="2:15">
      <c r="H34" s="71" t="s">
        <v>341</v>
      </c>
      <c r="I34" s="157" t="s">
        <v>60</v>
      </c>
      <c r="J34" s="71"/>
      <c r="K34" s="71"/>
      <c r="L34" s="455" t="s">
        <v>342</v>
      </c>
      <c r="M34" s="455"/>
      <c r="N34" s="455"/>
      <c r="O34" s="518" t="s">
        <v>343</v>
      </c>
    </row>
    <row r="35" spans="2:15">
      <c r="H35" s="84"/>
      <c r="I35" s="78" t="s">
        <v>194</v>
      </c>
      <c r="J35" s="78" t="s">
        <v>344</v>
      </c>
      <c r="K35" s="78" t="s">
        <v>196</v>
      </c>
      <c r="L35" s="517"/>
      <c r="M35" s="517"/>
      <c r="N35" s="517"/>
      <c r="O35" s="519"/>
    </row>
    <row r="36" spans="2:15">
      <c r="H36" s="78" t="s">
        <v>194</v>
      </c>
      <c r="I36" s="164">
        <v>1</v>
      </c>
      <c r="J36" s="164">
        <f>+'2. CARACTERIZACIÓN'!J4/'2. CARACTERIZACIÓN'!L4</f>
        <v>5</v>
      </c>
      <c r="K36" s="164">
        <f>+'2. CARACTERIZACIÓN'!J4/'2. CARACTERIZACIÓN'!N4</f>
        <v>1.6666666666666667</v>
      </c>
      <c r="L36" s="86">
        <f t="shared" ref="L36:N38" si="2">I36/I$39</f>
        <v>0.55555555555555558</v>
      </c>
      <c r="M36" s="86">
        <f t="shared" si="2"/>
        <v>0.55555555555555558</v>
      </c>
      <c r="N36" s="86">
        <f t="shared" si="2"/>
        <v>0.55555555555555558</v>
      </c>
      <c r="O36" s="86">
        <f>AVERAGE(L36:N36)</f>
        <v>0.55555555555555558</v>
      </c>
    </row>
    <row r="37" spans="2:15">
      <c r="H37" s="85" t="s">
        <v>344</v>
      </c>
      <c r="I37" s="86">
        <f>1/J36</f>
        <v>0.2</v>
      </c>
      <c r="J37" s="86">
        <v>1</v>
      </c>
      <c r="K37" s="86">
        <f>+'2. CARACTERIZACIÓN'!L4/'2. CARACTERIZACIÓN'!N4</f>
        <v>0.33333333333333331</v>
      </c>
      <c r="L37" s="86">
        <f t="shared" si="2"/>
        <v>0.11111111111111113</v>
      </c>
      <c r="M37" s="86">
        <f t="shared" si="2"/>
        <v>0.1111111111111111</v>
      </c>
      <c r="N37" s="86">
        <f t="shared" si="2"/>
        <v>0.1111111111111111</v>
      </c>
      <c r="O37" s="86">
        <f>AVERAGE(L37:N37)</f>
        <v>0.11111111111111112</v>
      </c>
    </row>
    <row r="38" spans="2:15">
      <c r="H38" s="92" t="s">
        <v>196</v>
      </c>
      <c r="I38" s="122">
        <f>1/K36</f>
        <v>0.6</v>
      </c>
      <c r="J38" s="122">
        <f>1/K37</f>
        <v>3</v>
      </c>
      <c r="K38" s="122">
        <v>1</v>
      </c>
      <c r="L38" s="86">
        <f t="shared" si="2"/>
        <v>0.33333333333333337</v>
      </c>
      <c r="M38" s="86">
        <f t="shared" si="2"/>
        <v>0.33333333333333331</v>
      </c>
      <c r="N38" s="86">
        <f t="shared" si="2"/>
        <v>0.33333333333333331</v>
      </c>
      <c r="O38" s="115">
        <f>AVERAGE(L38:N38)</f>
        <v>0.33333333333333331</v>
      </c>
    </row>
    <row r="39" spans="2:15">
      <c r="H39" s="85" t="s">
        <v>349</v>
      </c>
      <c r="I39" s="189">
        <f>SUM(I36:I38)</f>
        <v>1.7999999999999998</v>
      </c>
      <c r="J39" s="189">
        <f>SUM(J36:J38)</f>
        <v>9</v>
      </c>
      <c r="K39" s="189">
        <f>SUM(K36:K38)</f>
        <v>3</v>
      </c>
      <c r="L39" s="71"/>
      <c r="M39" s="71"/>
      <c r="N39" s="71"/>
      <c r="O39" s="240">
        <f>+SUM(O36:O38)</f>
        <v>1</v>
      </c>
    </row>
    <row r="41" spans="2:15">
      <c r="H41" s="71" t="s">
        <v>341</v>
      </c>
      <c r="I41" s="157" t="s">
        <v>165</v>
      </c>
      <c r="J41" s="71"/>
      <c r="K41" s="71"/>
      <c r="L41" s="455" t="s">
        <v>342</v>
      </c>
      <c r="M41" s="455"/>
      <c r="N41" s="455"/>
      <c r="O41" s="518" t="s">
        <v>343</v>
      </c>
    </row>
    <row r="42" spans="2:15">
      <c r="H42" s="84"/>
      <c r="I42" s="78" t="s">
        <v>194</v>
      </c>
      <c r="J42" s="78" t="s">
        <v>344</v>
      </c>
      <c r="K42" s="78" t="s">
        <v>196</v>
      </c>
      <c r="L42" s="517"/>
      <c r="M42" s="517"/>
      <c r="N42" s="517"/>
      <c r="O42" s="519"/>
    </row>
    <row r="43" spans="2:15">
      <c r="H43" s="78" t="s">
        <v>194</v>
      </c>
      <c r="I43" s="164">
        <v>1</v>
      </c>
      <c r="J43" s="164">
        <f>+'2. CARACTERIZACIÓN'!J5/'2. CARACTERIZACIÓN'!L5</f>
        <v>1.25</v>
      </c>
      <c r="K43" s="164">
        <f>+'2. CARACTERIZACIÓN'!J5/'2. CARACTERIZACIÓN'!N5</f>
        <v>1.25</v>
      </c>
      <c r="L43" s="86">
        <f t="shared" ref="L43:N45" si="3">I43/I$46</f>
        <v>0.38461538461538458</v>
      </c>
      <c r="M43" s="86">
        <f t="shared" si="3"/>
        <v>0.38461538461538464</v>
      </c>
      <c r="N43" s="86">
        <f t="shared" si="3"/>
        <v>0.38461538461538464</v>
      </c>
      <c r="O43" s="86">
        <f>AVERAGE(L43:N43)</f>
        <v>0.38461538461538458</v>
      </c>
    </row>
    <row r="44" spans="2:15">
      <c r="H44" s="85" t="s">
        <v>344</v>
      </c>
      <c r="I44" s="86">
        <f>1/J43</f>
        <v>0.8</v>
      </c>
      <c r="J44" s="86">
        <v>1</v>
      </c>
      <c r="K44" s="86">
        <f>+'2. CARACTERIZACIÓN'!L5/'2. CARACTERIZACIÓN'!N5</f>
        <v>1</v>
      </c>
      <c r="L44" s="86">
        <f t="shared" si="3"/>
        <v>0.30769230769230771</v>
      </c>
      <c r="M44" s="86">
        <f t="shared" si="3"/>
        <v>0.30769230769230771</v>
      </c>
      <c r="N44" s="86">
        <f t="shared" si="3"/>
        <v>0.30769230769230771</v>
      </c>
      <c r="O44" s="86">
        <f>AVERAGE(L44:N44)</f>
        <v>0.30769230769230771</v>
      </c>
    </row>
    <row r="45" spans="2:15">
      <c r="H45" s="92" t="s">
        <v>196</v>
      </c>
      <c r="I45" s="122">
        <f>1/K43</f>
        <v>0.8</v>
      </c>
      <c r="J45" s="122">
        <f>1/K44</f>
        <v>1</v>
      </c>
      <c r="K45" s="122">
        <v>1</v>
      </c>
      <c r="L45" s="86">
        <f t="shared" si="3"/>
        <v>0.30769230769230771</v>
      </c>
      <c r="M45" s="86">
        <f t="shared" si="3"/>
        <v>0.30769230769230771</v>
      </c>
      <c r="N45" s="86">
        <f t="shared" si="3"/>
        <v>0.30769230769230771</v>
      </c>
      <c r="O45" s="115">
        <f>AVERAGE(L45:N45)</f>
        <v>0.30769230769230771</v>
      </c>
    </row>
    <row r="46" spans="2:15">
      <c r="H46" s="85" t="s">
        <v>349</v>
      </c>
      <c r="I46" s="189">
        <f>SUM(I43:I45)</f>
        <v>2.6</v>
      </c>
      <c r="J46" s="189">
        <f>SUM(J43:J45)</f>
        <v>3.25</v>
      </c>
      <c r="K46" s="189">
        <f>SUM(K43:K45)</f>
        <v>3.25</v>
      </c>
      <c r="L46" s="71"/>
      <c r="M46" s="71"/>
      <c r="N46" s="71"/>
      <c r="O46" s="240">
        <f>+SUM(O43:O45)</f>
        <v>1</v>
      </c>
    </row>
    <row r="48" spans="2:15">
      <c r="H48" s="71" t="s">
        <v>341</v>
      </c>
      <c r="I48" s="157" t="s">
        <v>70</v>
      </c>
      <c r="J48" s="71"/>
      <c r="K48" s="71"/>
      <c r="L48" s="455" t="s">
        <v>342</v>
      </c>
      <c r="M48" s="455"/>
      <c r="N48" s="455"/>
      <c r="O48" s="518" t="s">
        <v>343</v>
      </c>
    </row>
    <row r="49" spans="8:15">
      <c r="H49" s="84"/>
      <c r="I49" s="78" t="s">
        <v>194</v>
      </c>
      <c r="J49" s="78" t="s">
        <v>344</v>
      </c>
      <c r="K49" s="78" t="s">
        <v>196</v>
      </c>
      <c r="L49" s="517"/>
      <c r="M49" s="517"/>
      <c r="N49" s="517"/>
      <c r="O49" s="519"/>
    </row>
    <row r="50" spans="8:15">
      <c r="H50" s="78" t="s">
        <v>194</v>
      </c>
      <c r="I50" s="164">
        <v>1</v>
      </c>
      <c r="J50" s="164">
        <f>+'2. CARACTERIZACIÓN'!J10/'2. CARACTERIZACIÓN'!L10</f>
        <v>2</v>
      </c>
      <c r="K50" s="164">
        <f>+'2. CARACTERIZACIÓN'!J10/'2. CARACTERIZACIÓN'!N10</f>
        <v>1</v>
      </c>
      <c r="L50" s="86">
        <f t="shared" ref="L50:N52" si="4">I50/I$53</f>
        <v>0.4</v>
      </c>
      <c r="M50" s="86">
        <f t="shared" si="4"/>
        <v>0.4</v>
      </c>
      <c r="N50" s="86">
        <f t="shared" si="4"/>
        <v>0.4</v>
      </c>
      <c r="O50" s="86">
        <f>AVERAGE(L50:N50)</f>
        <v>0.40000000000000008</v>
      </c>
    </row>
    <row r="51" spans="8:15">
      <c r="H51" s="85" t="s">
        <v>344</v>
      </c>
      <c r="I51" s="86">
        <f>1/J50</f>
        <v>0.5</v>
      </c>
      <c r="J51" s="86">
        <v>1</v>
      </c>
      <c r="K51" s="86">
        <f>+'2. CARACTERIZACIÓN'!L10/'2. CARACTERIZACIÓN'!N10</f>
        <v>0.5</v>
      </c>
      <c r="L51" s="86">
        <f t="shared" si="4"/>
        <v>0.2</v>
      </c>
      <c r="M51" s="86">
        <f t="shared" si="4"/>
        <v>0.2</v>
      </c>
      <c r="N51" s="86">
        <f t="shared" si="4"/>
        <v>0.2</v>
      </c>
      <c r="O51" s="86">
        <f>AVERAGE(L51:N51)</f>
        <v>0.20000000000000004</v>
      </c>
    </row>
    <row r="52" spans="8:15">
      <c r="H52" s="92" t="s">
        <v>196</v>
      </c>
      <c r="I52" s="122">
        <f>1/K50</f>
        <v>1</v>
      </c>
      <c r="J52" s="122">
        <f>1/K51</f>
        <v>2</v>
      </c>
      <c r="K52" s="122">
        <v>1</v>
      </c>
      <c r="L52" s="86">
        <f t="shared" si="4"/>
        <v>0.4</v>
      </c>
      <c r="M52" s="86">
        <f t="shared" si="4"/>
        <v>0.4</v>
      </c>
      <c r="N52" s="86">
        <f t="shared" si="4"/>
        <v>0.4</v>
      </c>
      <c r="O52" s="115">
        <f>AVERAGE(L52:N52)</f>
        <v>0.40000000000000008</v>
      </c>
    </row>
    <row r="53" spans="8:15">
      <c r="H53" s="85" t="s">
        <v>349</v>
      </c>
      <c r="I53" s="189">
        <f>SUM(I50:I52)</f>
        <v>2.5</v>
      </c>
      <c r="J53" s="189">
        <f>SUM(J50:J52)</f>
        <v>5</v>
      </c>
      <c r="K53" s="189">
        <f>SUM(K50:K52)</f>
        <v>2.5</v>
      </c>
      <c r="L53" s="71"/>
      <c r="M53" s="71"/>
      <c r="N53" s="71"/>
      <c r="O53" s="240">
        <f>+SUM(O50:O52)</f>
        <v>1.0000000000000002</v>
      </c>
    </row>
    <row r="55" spans="8:15">
      <c r="H55" s="71" t="s">
        <v>341</v>
      </c>
      <c r="I55" s="157" t="s">
        <v>166</v>
      </c>
      <c r="J55" s="71"/>
      <c r="K55" s="71"/>
      <c r="L55" s="455" t="s">
        <v>342</v>
      </c>
      <c r="M55" s="455"/>
      <c r="N55" s="455"/>
      <c r="O55" s="518" t="s">
        <v>343</v>
      </c>
    </row>
    <row r="56" spans="8:15">
      <c r="H56" s="84"/>
      <c r="I56" s="78" t="s">
        <v>194</v>
      </c>
      <c r="J56" s="78" t="s">
        <v>344</v>
      </c>
      <c r="K56" s="78" t="s">
        <v>196</v>
      </c>
      <c r="L56" s="517"/>
      <c r="M56" s="517"/>
      <c r="N56" s="517"/>
      <c r="O56" s="519"/>
    </row>
    <row r="57" spans="8:15">
      <c r="H57" s="78" t="s">
        <v>194</v>
      </c>
      <c r="I57" s="164">
        <v>1</v>
      </c>
      <c r="J57" s="164">
        <f>+'2. CARACTERIZACIÓN'!J16/'2. CARACTERIZACIÓN'!L16</f>
        <v>1</v>
      </c>
      <c r="K57" s="164">
        <f>+'2. CARACTERIZACIÓN'!J16/'2. CARACTERIZACIÓN'!N16</f>
        <v>2.5</v>
      </c>
      <c r="L57" s="86">
        <f t="shared" ref="L57:N59" si="5">I57/I$60</f>
        <v>0.41666666666666669</v>
      </c>
      <c r="M57" s="86">
        <f t="shared" si="5"/>
        <v>0.41666666666666669</v>
      </c>
      <c r="N57" s="86">
        <f t="shared" si="5"/>
        <v>0.41666666666666669</v>
      </c>
      <c r="O57" s="86">
        <f>AVERAGE(L57:N57)</f>
        <v>0.41666666666666669</v>
      </c>
    </row>
    <row r="58" spans="8:15">
      <c r="H58" s="85" t="s">
        <v>344</v>
      </c>
      <c r="I58" s="86">
        <f>1/J57</f>
        <v>1</v>
      </c>
      <c r="J58" s="86">
        <v>1</v>
      </c>
      <c r="K58" s="86">
        <f>+'2. CARACTERIZACIÓN'!L16/'2. CARACTERIZACIÓN'!N16</f>
        <v>2.5</v>
      </c>
      <c r="L58" s="86">
        <f t="shared" si="5"/>
        <v>0.41666666666666669</v>
      </c>
      <c r="M58" s="86">
        <f t="shared" si="5"/>
        <v>0.41666666666666669</v>
      </c>
      <c r="N58" s="86">
        <f t="shared" si="5"/>
        <v>0.41666666666666669</v>
      </c>
      <c r="O58" s="86">
        <f>AVERAGE(L58:N58)</f>
        <v>0.41666666666666669</v>
      </c>
    </row>
    <row r="59" spans="8:15">
      <c r="H59" s="92" t="s">
        <v>196</v>
      </c>
      <c r="I59" s="122">
        <f>1/K57</f>
        <v>0.4</v>
      </c>
      <c r="J59" s="122">
        <f>1/K58</f>
        <v>0.4</v>
      </c>
      <c r="K59" s="122">
        <v>1</v>
      </c>
      <c r="L59" s="86">
        <f t="shared" si="5"/>
        <v>0.16666666666666669</v>
      </c>
      <c r="M59" s="86">
        <f t="shared" si="5"/>
        <v>0.16666666666666669</v>
      </c>
      <c r="N59" s="86">
        <f t="shared" si="5"/>
        <v>0.16666666666666666</v>
      </c>
      <c r="O59" s="115">
        <f>AVERAGE(L59:N59)</f>
        <v>0.16666666666666666</v>
      </c>
    </row>
    <row r="60" spans="8:15">
      <c r="H60" s="85" t="s">
        <v>349</v>
      </c>
      <c r="I60" s="189">
        <f>SUM(I57:I59)</f>
        <v>2.4</v>
      </c>
      <c r="J60" s="189">
        <f>SUM(J57:J59)</f>
        <v>2.4</v>
      </c>
      <c r="K60" s="189">
        <f>SUM(K57:K59)</f>
        <v>6</v>
      </c>
      <c r="L60" s="71"/>
      <c r="M60" s="71"/>
      <c r="N60" s="71"/>
      <c r="O60" s="240">
        <f>+SUM(O57:O59)</f>
        <v>1</v>
      </c>
    </row>
    <row r="62" spans="8:15">
      <c r="H62" s="71" t="s">
        <v>341</v>
      </c>
      <c r="I62" s="157" t="s">
        <v>68</v>
      </c>
      <c r="J62" s="71"/>
      <c r="K62" s="71"/>
      <c r="L62" s="455" t="s">
        <v>342</v>
      </c>
      <c r="M62" s="455"/>
      <c r="N62" s="455"/>
      <c r="O62" s="518" t="s">
        <v>343</v>
      </c>
    </row>
    <row r="63" spans="8:15">
      <c r="H63" s="84"/>
      <c r="I63" s="78" t="s">
        <v>194</v>
      </c>
      <c r="J63" s="78" t="s">
        <v>344</v>
      </c>
      <c r="K63" s="78" t="s">
        <v>196</v>
      </c>
      <c r="L63" s="517"/>
      <c r="M63" s="517"/>
      <c r="N63" s="517"/>
      <c r="O63" s="519"/>
    </row>
    <row r="64" spans="8:15">
      <c r="H64" s="78" t="s">
        <v>194</v>
      </c>
      <c r="I64" s="164">
        <v>1</v>
      </c>
      <c r="J64" s="164">
        <f>+'2. CARACTERIZACIÓN'!J17/'2. CARACTERIZACIÓN'!L17</f>
        <v>2.5</v>
      </c>
      <c r="K64" s="164">
        <f>+'2. CARACTERIZACIÓN'!J17/'2. CARACTERIZACIÓN'!N17</f>
        <v>1.6666666666666667</v>
      </c>
      <c r="L64" s="86">
        <f t="shared" ref="L64:N66" si="6">I64/I$67</f>
        <v>0.5</v>
      </c>
      <c r="M64" s="86">
        <f t="shared" si="6"/>
        <v>0.5</v>
      </c>
      <c r="N64" s="86">
        <f t="shared" si="6"/>
        <v>0.5</v>
      </c>
      <c r="O64" s="86">
        <f>AVERAGE(L64:N64)</f>
        <v>0.5</v>
      </c>
    </row>
    <row r="65" spans="8:15">
      <c r="H65" s="85" t="s">
        <v>344</v>
      </c>
      <c r="I65" s="86">
        <f>1/J64</f>
        <v>0.4</v>
      </c>
      <c r="J65" s="86">
        <v>1</v>
      </c>
      <c r="K65" s="86">
        <f>+'2. CARACTERIZACIÓN'!L17/'2. CARACTERIZACIÓN'!N17</f>
        <v>0.66666666666666663</v>
      </c>
      <c r="L65" s="86">
        <f t="shared" si="6"/>
        <v>0.2</v>
      </c>
      <c r="M65" s="86">
        <f t="shared" si="6"/>
        <v>0.2</v>
      </c>
      <c r="N65" s="86">
        <f t="shared" si="6"/>
        <v>0.19999999999999998</v>
      </c>
      <c r="O65" s="86">
        <f>AVERAGE(L65:N65)</f>
        <v>0.19999999999999998</v>
      </c>
    </row>
    <row r="66" spans="8:15">
      <c r="H66" s="92" t="s">
        <v>196</v>
      </c>
      <c r="I66" s="122">
        <f>1/K64</f>
        <v>0.6</v>
      </c>
      <c r="J66" s="122">
        <f>1/K65</f>
        <v>1.5</v>
      </c>
      <c r="K66" s="122">
        <v>1</v>
      </c>
      <c r="L66" s="86">
        <f t="shared" si="6"/>
        <v>0.3</v>
      </c>
      <c r="M66" s="86">
        <f t="shared" si="6"/>
        <v>0.3</v>
      </c>
      <c r="N66" s="86">
        <f t="shared" si="6"/>
        <v>0.3</v>
      </c>
      <c r="O66" s="115">
        <f>AVERAGE(L66:N66)</f>
        <v>0.3</v>
      </c>
    </row>
    <row r="67" spans="8:15">
      <c r="H67" s="85" t="s">
        <v>349</v>
      </c>
      <c r="I67" s="189">
        <f>SUM(I64:I66)</f>
        <v>2</v>
      </c>
      <c r="J67" s="189">
        <f>SUM(J64:J66)</f>
        <v>5</v>
      </c>
      <c r="K67" s="189">
        <f>SUM(K64:K66)</f>
        <v>3.3333333333333335</v>
      </c>
      <c r="L67" s="71"/>
      <c r="M67" s="71"/>
      <c r="N67" s="71"/>
      <c r="O67" s="240">
        <f>+SUM(O64:O66)</f>
        <v>1</v>
      </c>
    </row>
    <row r="69" spans="8:15">
      <c r="H69" s="71" t="s">
        <v>341</v>
      </c>
      <c r="I69" s="157" t="s">
        <v>167</v>
      </c>
      <c r="J69" s="71"/>
      <c r="K69" s="71"/>
      <c r="L69" s="455" t="s">
        <v>342</v>
      </c>
      <c r="M69" s="455"/>
      <c r="N69" s="455"/>
      <c r="O69" s="518" t="s">
        <v>343</v>
      </c>
    </row>
    <row r="70" spans="8:15">
      <c r="H70" s="84"/>
      <c r="I70" s="78" t="s">
        <v>194</v>
      </c>
      <c r="J70" s="78" t="s">
        <v>344</v>
      </c>
      <c r="K70" s="78" t="s">
        <v>196</v>
      </c>
      <c r="L70" s="517"/>
      <c r="M70" s="517"/>
      <c r="N70" s="517"/>
      <c r="O70" s="519"/>
    </row>
    <row r="71" spans="8:15">
      <c r="H71" s="78" t="s">
        <v>194</v>
      </c>
      <c r="I71" s="164">
        <v>1</v>
      </c>
      <c r="J71" s="164">
        <f>+'2. CARACTERIZACIÓN'!J18/'2. CARACTERIZACIÓN'!L18</f>
        <v>0.33333333333333331</v>
      </c>
      <c r="K71" s="164">
        <f>+'2. CARACTERIZACIÓN'!J18/'2. CARACTERIZACIÓN'!N18</f>
        <v>0.25</v>
      </c>
      <c r="L71" s="86">
        <f t="shared" ref="L71:N73" si="7">I71/I$74</f>
        <v>0.125</v>
      </c>
      <c r="M71" s="86">
        <f t="shared" si="7"/>
        <v>0.125</v>
      </c>
      <c r="N71" s="86">
        <f t="shared" si="7"/>
        <v>0.125</v>
      </c>
      <c r="O71" s="86">
        <f>AVERAGE(L71:N71)</f>
        <v>0.125</v>
      </c>
    </row>
    <row r="72" spans="8:15">
      <c r="H72" s="85" t="s">
        <v>344</v>
      </c>
      <c r="I72" s="86">
        <f>1/J71</f>
        <v>3</v>
      </c>
      <c r="J72" s="86">
        <v>1</v>
      </c>
      <c r="K72" s="86">
        <f>+'2. CARACTERIZACIÓN'!L18/'2. CARACTERIZACIÓN'!N18</f>
        <v>0.75</v>
      </c>
      <c r="L72" s="86">
        <f t="shared" si="7"/>
        <v>0.375</v>
      </c>
      <c r="M72" s="86">
        <f t="shared" si="7"/>
        <v>0.375</v>
      </c>
      <c r="N72" s="86">
        <f t="shared" si="7"/>
        <v>0.375</v>
      </c>
      <c r="O72" s="86">
        <f>AVERAGE(L72:N72)</f>
        <v>0.375</v>
      </c>
    </row>
    <row r="73" spans="8:15">
      <c r="H73" s="92" t="s">
        <v>196</v>
      </c>
      <c r="I73" s="122">
        <f>1/K71</f>
        <v>4</v>
      </c>
      <c r="J73" s="122">
        <f>1/K72</f>
        <v>1.3333333333333333</v>
      </c>
      <c r="K73" s="122">
        <v>1</v>
      </c>
      <c r="L73" s="86">
        <f t="shared" si="7"/>
        <v>0.5</v>
      </c>
      <c r="M73" s="86">
        <f t="shared" si="7"/>
        <v>0.5</v>
      </c>
      <c r="N73" s="86">
        <f t="shared" si="7"/>
        <v>0.5</v>
      </c>
      <c r="O73" s="115">
        <f>AVERAGE(L73:N73)</f>
        <v>0.5</v>
      </c>
    </row>
    <row r="74" spans="8:15">
      <c r="H74" s="85" t="s">
        <v>349</v>
      </c>
      <c r="I74" s="189">
        <f>SUM(I71:I73)</f>
        <v>8</v>
      </c>
      <c r="J74" s="189">
        <f>SUM(J71:J73)</f>
        <v>2.6666666666666665</v>
      </c>
      <c r="K74" s="189">
        <f>SUM(K71:K73)</f>
        <v>2</v>
      </c>
      <c r="L74" s="71"/>
      <c r="M74" s="71"/>
      <c r="N74" s="71"/>
      <c r="O74" s="240">
        <f>+SUM(O71:O73)</f>
        <v>1</v>
      </c>
    </row>
    <row r="76" spans="8:15">
      <c r="H76" s="71" t="s">
        <v>341</v>
      </c>
      <c r="I76" s="157" t="s">
        <v>168</v>
      </c>
      <c r="J76" s="71"/>
      <c r="K76" s="71"/>
      <c r="L76" s="455" t="s">
        <v>342</v>
      </c>
      <c r="M76" s="455"/>
      <c r="N76" s="455"/>
      <c r="O76" s="518" t="s">
        <v>343</v>
      </c>
    </row>
    <row r="77" spans="8:15">
      <c r="H77" s="84"/>
      <c r="I77" s="78" t="s">
        <v>194</v>
      </c>
      <c r="J77" s="78" t="s">
        <v>344</v>
      </c>
      <c r="K77" s="78" t="s">
        <v>196</v>
      </c>
      <c r="L77" s="517"/>
      <c r="M77" s="517"/>
      <c r="N77" s="517"/>
      <c r="O77" s="519"/>
    </row>
    <row r="78" spans="8:15">
      <c r="H78" s="78" t="s">
        <v>194</v>
      </c>
      <c r="I78" s="164">
        <v>1</v>
      </c>
      <c r="J78" s="164">
        <f>+'2. CARACTERIZACIÓN'!J19/'2. CARACTERIZACIÓN'!L19</f>
        <v>0.75</v>
      </c>
      <c r="K78" s="164">
        <f>+'2. CARACTERIZACIÓN'!J19/'2. CARACTERIZACIÓN'!N19</f>
        <v>0.6</v>
      </c>
      <c r="L78" s="86">
        <f t="shared" ref="L78:N80" si="8">I78/I$81</f>
        <v>0.25</v>
      </c>
      <c r="M78" s="86">
        <f t="shared" si="8"/>
        <v>0.25</v>
      </c>
      <c r="N78" s="86">
        <f t="shared" si="8"/>
        <v>0.25</v>
      </c>
      <c r="O78" s="86">
        <f>AVERAGE(L78:N78)</f>
        <v>0.25</v>
      </c>
    </row>
    <row r="79" spans="8:15">
      <c r="H79" s="85" t="s">
        <v>344</v>
      </c>
      <c r="I79" s="86">
        <f>1/J78</f>
        <v>1.3333333333333333</v>
      </c>
      <c r="J79" s="86">
        <v>1</v>
      </c>
      <c r="K79" s="86">
        <f>+'2. CARACTERIZACIÓN'!L19/'2. CARACTERIZACIÓN'!N19</f>
        <v>0.8</v>
      </c>
      <c r="L79" s="86">
        <f t="shared" si="8"/>
        <v>0.33333333333333331</v>
      </c>
      <c r="M79" s="86">
        <f t="shared" si="8"/>
        <v>0.33333333333333331</v>
      </c>
      <c r="N79" s="86">
        <f t="shared" si="8"/>
        <v>0.33333333333333337</v>
      </c>
      <c r="O79" s="86">
        <f>AVERAGE(L79:N79)</f>
        <v>0.33333333333333331</v>
      </c>
    </row>
    <row r="80" spans="8:15">
      <c r="H80" s="92" t="s">
        <v>196</v>
      </c>
      <c r="I80" s="122">
        <f>1/K78</f>
        <v>1.6666666666666667</v>
      </c>
      <c r="J80" s="122">
        <f>1/K79</f>
        <v>1.25</v>
      </c>
      <c r="K80" s="122">
        <v>1</v>
      </c>
      <c r="L80" s="86">
        <f t="shared" si="8"/>
        <v>0.41666666666666669</v>
      </c>
      <c r="M80" s="86">
        <f t="shared" si="8"/>
        <v>0.41666666666666669</v>
      </c>
      <c r="N80" s="86">
        <f t="shared" si="8"/>
        <v>0.41666666666666669</v>
      </c>
      <c r="O80" s="115">
        <f>AVERAGE(L80:N80)</f>
        <v>0.41666666666666669</v>
      </c>
    </row>
    <row r="81" spans="3:20">
      <c r="H81" s="85" t="s">
        <v>349</v>
      </c>
      <c r="I81" s="189">
        <f>SUM(I78:I80)</f>
        <v>4</v>
      </c>
      <c r="J81" s="189">
        <f>SUM(J78:J80)</f>
        <v>3</v>
      </c>
      <c r="K81" s="189">
        <f>SUM(K78:K80)</f>
        <v>2.4</v>
      </c>
      <c r="L81" s="71"/>
      <c r="M81" s="71"/>
      <c r="N81" s="71"/>
      <c r="O81" s="240">
        <f>+SUM(O78:O80)</f>
        <v>1</v>
      </c>
    </row>
    <row r="84" spans="3:20" ht="28.5">
      <c r="C84" s="158" t="s">
        <v>52</v>
      </c>
      <c r="H84" s="334" t="s">
        <v>350</v>
      </c>
      <c r="I84" s="336" t="s">
        <v>345</v>
      </c>
      <c r="J84" s="336" t="s">
        <v>347</v>
      </c>
      <c r="K84" s="336" t="s">
        <v>351</v>
      </c>
      <c r="L84" s="336" t="s">
        <v>352</v>
      </c>
      <c r="M84" s="159"/>
      <c r="N84" s="159"/>
    </row>
    <row r="85" spans="3:20" ht="15.75" thickBot="1">
      <c r="C85" s="157" t="s">
        <v>345</v>
      </c>
      <c r="H85" s="332" t="s">
        <v>194</v>
      </c>
      <c r="I85" s="333">
        <f>+O20</f>
        <v>0.33333333333333326</v>
      </c>
      <c r="J85" s="166">
        <f>+O28</f>
        <v>0.45454545454545453</v>
      </c>
      <c r="K85" s="168">
        <f>+SUMPRODUCT(I85:J85,$I$88:$J$88)</f>
        <v>0.39451174402099631</v>
      </c>
      <c r="L85" s="168">
        <f>+K85*'1.4 RESULTADOS'!Y9</f>
        <v>0.17111356289393853</v>
      </c>
      <c r="M85" s="168"/>
      <c r="N85" s="168"/>
      <c r="P85" s="158"/>
    </row>
    <row r="86" spans="3:20" ht="15.75" thickTop="1">
      <c r="C86" s="157" t="s">
        <v>347</v>
      </c>
      <c r="H86" s="332" t="s">
        <v>344</v>
      </c>
      <c r="I86" s="333">
        <f>+O21</f>
        <v>0.55555555555555558</v>
      </c>
      <c r="J86" s="166">
        <f>+O29</f>
        <v>0.27272727272727271</v>
      </c>
      <c r="K86" s="168">
        <f>+SUMPRODUCT(I86:J86,$I$88:$J$88)</f>
        <v>0.41280593061767523</v>
      </c>
      <c r="L86" s="168">
        <f>+K86*'1.4 RESULTADOS'!Y9</f>
        <v>0.17904839245540696</v>
      </c>
      <c r="M86" s="168"/>
      <c r="N86" s="168"/>
      <c r="P86" s="181" t="s">
        <v>192</v>
      </c>
      <c r="Q86" s="182" t="s">
        <v>52</v>
      </c>
      <c r="R86" s="182" t="s">
        <v>54</v>
      </c>
      <c r="S86" s="182" t="s">
        <v>56</v>
      </c>
      <c r="T86" s="183" t="s">
        <v>353</v>
      </c>
    </row>
    <row r="87" spans="3:20">
      <c r="H87" s="332" t="s">
        <v>196</v>
      </c>
      <c r="I87" s="333">
        <f>+O22</f>
        <v>0.1111111111111111</v>
      </c>
      <c r="J87" s="166">
        <f>+O30</f>
        <v>0.27272727272727271</v>
      </c>
      <c r="K87" s="168">
        <f>+SUMPRODUCT(I87:J87,$I$88:$J$88)</f>
        <v>0.19268232536132845</v>
      </c>
      <c r="L87" s="168">
        <f>+K87*'1.4 RESULTADOS'!Y9</f>
        <v>8.3573074056602178E-2</v>
      </c>
      <c r="M87" s="168"/>
      <c r="N87" s="168"/>
      <c r="P87" s="185" t="s">
        <v>194</v>
      </c>
      <c r="Q87" s="166">
        <f>+K85</f>
        <v>0.39451174402099631</v>
      </c>
      <c r="R87" s="166">
        <f>+L93</f>
        <v>0.44658397506674713</v>
      </c>
      <c r="S87" s="166">
        <f>+M101</f>
        <v>0.34434909490415744</v>
      </c>
      <c r="T87" s="186">
        <f>+SUMPRODUCT(Q87:S87,$Q$90:$S$90)</f>
        <v>0.40387233114741267</v>
      </c>
    </row>
    <row r="88" spans="3:20" ht="29.25">
      <c r="C88" s="158" t="s">
        <v>54</v>
      </c>
      <c r="H88" s="337" t="s">
        <v>354</v>
      </c>
      <c r="I88" s="338">
        <f>+'1.4 RESULTADOS'!Y14</f>
        <v>0.49527811182678017</v>
      </c>
      <c r="J88" s="338">
        <f>+'1.4 RESULTADOS'!Y15</f>
        <v>0.50472188817321983</v>
      </c>
      <c r="K88" s="339">
        <f>+SUM(K85:K87)</f>
        <v>1</v>
      </c>
      <c r="L88" s="339">
        <f>+SUM(L85:L87)</f>
        <v>0.43373502940594766</v>
      </c>
      <c r="M88" s="168"/>
      <c r="N88" s="168"/>
      <c r="P88" s="185" t="s">
        <v>344</v>
      </c>
      <c r="Q88" s="166">
        <f>+K86</f>
        <v>0.41280593061767523</v>
      </c>
      <c r="R88" s="166">
        <f>+L94</f>
        <v>0.21723413241574885</v>
      </c>
      <c r="S88" s="166">
        <f>+M102</f>
        <v>0.30873679104555929</v>
      </c>
      <c r="T88" s="186">
        <f>+SUMPRODUCT(Q88:S88,$Q$90:$S$90)</f>
        <v>0.32007380603918228</v>
      </c>
    </row>
    <row r="89" spans="3:20">
      <c r="C89" s="157" t="s">
        <v>339</v>
      </c>
      <c r="H89" s="157"/>
      <c r="I89" s="168"/>
      <c r="J89" s="168"/>
      <c r="K89" s="168"/>
      <c r="L89" s="168"/>
      <c r="M89" s="168"/>
      <c r="N89" s="168"/>
      <c r="P89" s="185" t="s">
        <v>196</v>
      </c>
      <c r="Q89" s="166">
        <f>+K87</f>
        <v>0.19268232536132845</v>
      </c>
      <c r="R89" s="166">
        <f>+L95</f>
        <v>0.33618189251750408</v>
      </c>
      <c r="S89" s="166">
        <f>+M103</f>
        <v>0.34691411405028316</v>
      </c>
      <c r="T89" s="186">
        <f>+SUMPRODUCT(Q89:S89,$Q$90:$S$90)</f>
        <v>0.2760538628134051</v>
      </c>
    </row>
    <row r="90" spans="3:20" ht="15.75" thickBot="1">
      <c r="C90" s="157" t="s">
        <v>165</v>
      </c>
      <c r="H90" s="157"/>
      <c r="I90" s="521"/>
      <c r="J90" s="521"/>
      <c r="K90" s="168"/>
      <c r="L90" s="168"/>
      <c r="M90" s="168"/>
      <c r="N90" s="168"/>
      <c r="P90" s="184" t="s">
        <v>355</v>
      </c>
      <c r="Q90" s="179">
        <f>+'1.4 RESULTADOS'!Y9</f>
        <v>0.43373502940594766</v>
      </c>
      <c r="R90" s="179">
        <f>+'1.4 RESULTADOS'!Y10</f>
        <v>0.36940365258336122</v>
      </c>
      <c r="S90" s="179">
        <f>+'1.4 RESULTADOS'!Y11</f>
        <v>0.19686131801069118</v>
      </c>
      <c r="T90" s="180">
        <f>+SUM(T87:T89)</f>
        <v>1</v>
      </c>
    </row>
    <row r="91" spans="3:20" ht="15.75" thickTop="1">
      <c r="C91" s="157" t="s">
        <v>70</v>
      </c>
      <c r="H91" s="157"/>
      <c r="I91" s="168"/>
      <c r="J91" s="168"/>
      <c r="K91" s="168"/>
      <c r="L91" s="168"/>
      <c r="M91" s="168"/>
      <c r="N91" s="168"/>
      <c r="P91" s="167"/>
    </row>
    <row r="92" spans="3:20" ht="28.5">
      <c r="H92" s="334" t="s">
        <v>350</v>
      </c>
      <c r="I92" s="335" t="s">
        <v>339</v>
      </c>
      <c r="J92" s="335" t="s">
        <v>165</v>
      </c>
      <c r="K92" s="335" t="s">
        <v>70</v>
      </c>
      <c r="L92" s="335" t="s">
        <v>351</v>
      </c>
      <c r="M92" s="335" t="s">
        <v>352</v>
      </c>
      <c r="N92" s="168"/>
    </row>
    <row r="93" spans="3:20">
      <c r="C93" s="158" t="s">
        <v>56</v>
      </c>
      <c r="H93" s="332" t="s">
        <v>194</v>
      </c>
      <c r="I93" s="166">
        <f>+O36</f>
        <v>0.55555555555555558</v>
      </c>
      <c r="J93" s="166">
        <f>+O43</f>
        <v>0.38461538461538458</v>
      </c>
      <c r="K93" s="166">
        <f>+O50</f>
        <v>0.40000000000000008</v>
      </c>
      <c r="L93" s="168">
        <f>+SUMPRODUCT(I93:K93,$I$96:$K$96)</f>
        <v>0.44658397506674713</v>
      </c>
      <c r="M93" s="168">
        <f>+L93*'1.4 RESULTADOS'!Y10</f>
        <v>0.16496975157485311</v>
      </c>
      <c r="N93" s="168"/>
    </row>
    <row r="94" spans="3:20">
      <c r="C94" s="157" t="s">
        <v>166</v>
      </c>
      <c r="H94" s="332" t="s">
        <v>344</v>
      </c>
      <c r="I94" s="166">
        <f>+O37</f>
        <v>0.11111111111111112</v>
      </c>
      <c r="J94" s="166">
        <f>+O44</f>
        <v>0.30769230769230771</v>
      </c>
      <c r="K94" s="166">
        <f>+O51</f>
        <v>0.20000000000000004</v>
      </c>
      <c r="L94" s="168">
        <f>+SUMPRODUCT(I94:K94,$I$96:$K$96)</f>
        <v>0.21723413241574885</v>
      </c>
      <c r="M94" s="168">
        <f>+L94*'1.4 RESULTADOS'!Y10</f>
        <v>8.0247081980155177E-2</v>
      </c>
      <c r="N94" s="168"/>
    </row>
    <row r="95" spans="3:20">
      <c r="C95" s="157" t="s">
        <v>68</v>
      </c>
      <c r="H95" s="332" t="s">
        <v>196</v>
      </c>
      <c r="I95" s="166">
        <f>+O38</f>
        <v>0.33333333333333331</v>
      </c>
      <c r="J95" s="166">
        <f>+O45</f>
        <v>0.30769230769230771</v>
      </c>
      <c r="K95" s="166">
        <f>+O52</f>
        <v>0.40000000000000008</v>
      </c>
      <c r="L95" s="168">
        <f>+SUMPRODUCT(I95:K95,$I$96:$K$96)</f>
        <v>0.33618189251750408</v>
      </c>
      <c r="M95" s="168">
        <f>+L95*'1.4 RESULTADOS'!Y10</f>
        <v>0.12418681902835296</v>
      </c>
      <c r="N95" s="168"/>
    </row>
    <row r="96" spans="3:20">
      <c r="C96" s="157" t="s">
        <v>167</v>
      </c>
      <c r="H96" s="340" t="s">
        <v>119</v>
      </c>
      <c r="I96" s="338">
        <f>+'1.4 RESULTADOS'!Y16</f>
        <v>0.34332195788297865</v>
      </c>
      <c r="J96" s="338">
        <f>+'1.4 RESULTADOS'!Y17</f>
        <v>0.44340808370044354</v>
      </c>
      <c r="K96" s="338">
        <f>+'1.4 RESULTADOS'!Y18</f>
        <v>0.21326995841657778</v>
      </c>
      <c r="L96" s="339">
        <f>+SUM(L93:L95)</f>
        <v>1</v>
      </c>
      <c r="M96" s="339">
        <f>+SUM(M93:M95)</f>
        <v>0.36940365258336127</v>
      </c>
      <c r="N96" s="168"/>
    </row>
    <row r="97" spans="3:14">
      <c r="C97" s="157" t="s">
        <v>168</v>
      </c>
      <c r="H97" s="157"/>
      <c r="I97" s="168"/>
      <c r="J97" s="168"/>
      <c r="K97" s="168"/>
      <c r="L97" s="168"/>
      <c r="M97" s="168"/>
      <c r="N97" s="168"/>
    </row>
    <row r="98" spans="3:14">
      <c r="H98" s="157"/>
      <c r="I98" s="521"/>
      <c r="J98" s="521"/>
      <c r="K98" s="521"/>
      <c r="L98" s="168"/>
      <c r="M98" s="168"/>
      <c r="N98" s="168"/>
    </row>
    <row r="99" spans="3:14">
      <c r="H99" s="157"/>
      <c r="I99" s="168"/>
      <c r="J99" s="168"/>
      <c r="K99" s="168"/>
      <c r="L99" s="168"/>
      <c r="M99" s="168"/>
      <c r="N99" s="168"/>
    </row>
    <row r="100" spans="3:14" ht="28.5">
      <c r="H100" s="334" t="s">
        <v>350</v>
      </c>
      <c r="I100" s="335" t="s">
        <v>166</v>
      </c>
      <c r="J100" s="335" t="s">
        <v>68</v>
      </c>
      <c r="K100" s="335" t="s">
        <v>167</v>
      </c>
      <c r="L100" s="335" t="s">
        <v>168</v>
      </c>
      <c r="M100" s="335" t="s">
        <v>351</v>
      </c>
      <c r="N100" s="335" t="s">
        <v>352</v>
      </c>
    </row>
    <row r="101" spans="3:14">
      <c r="H101" s="332" t="s">
        <v>194</v>
      </c>
      <c r="I101" s="166">
        <f>+O57</f>
        <v>0.41666666666666669</v>
      </c>
      <c r="J101" s="166">
        <f>+O64</f>
        <v>0.5</v>
      </c>
      <c r="K101" s="166">
        <f>+O71</f>
        <v>0.125</v>
      </c>
      <c r="L101" s="166">
        <f>+O78</f>
        <v>0.25</v>
      </c>
      <c r="M101" s="168">
        <f>+SUMPRODUCT(I101:L101,$I$104:$L$104)</f>
        <v>0.34434909490415744</v>
      </c>
      <c r="N101" s="168">
        <f>+M101*'1.4 RESULTADOS'!$Y$11</f>
        <v>6.7789016678621014E-2</v>
      </c>
    </row>
    <row r="102" spans="3:14">
      <c r="H102" s="332" t="s">
        <v>344</v>
      </c>
      <c r="I102" s="166">
        <f>+O58</f>
        <v>0.41666666666666669</v>
      </c>
      <c r="J102" s="166">
        <f>+O65</f>
        <v>0.19999999999999998</v>
      </c>
      <c r="K102" s="166">
        <f>+O72</f>
        <v>0.375</v>
      </c>
      <c r="L102" s="166">
        <f>+O79</f>
        <v>0.33333333333333331</v>
      </c>
      <c r="M102" s="168">
        <f>+SUMPRODUCT(I102:L102,$I$104:$L$104)</f>
        <v>0.30873679104555929</v>
      </c>
      <c r="N102" s="168">
        <f>+M102*'1.4 RESULTADOS'!Y11</f>
        <v>6.0778331603620159E-2</v>
      </c>
    </row>
    <row r="103" spans="3:14">
      <c r="H103" s="332" t="s">
        <v>196</v>
      </c>
      <c r="I103" s="166">
        <f>+O59</f>
        <v>0.16666666666666666</v>
      </c>
      <c r="J103" s="166">
        <f>+O66</f>
        <v>0.3</v>
      </c>
      <c r="K103" s="166">
        <f>+O73</f>
        <v>0.5</v>
      </c>
      <c r="L103" s="166">
        <f>+O80</f>
        <v>0.41666666666666669</v>
      </c>
      <c r="M103" s="168">
        <f>+SUMPRODUCT(I103:L103,$I$104:$L$104)</f>
        <v>0.34691411405028316</v>
      </c>
      <c r="N103" s="168">
        <f>+M103*'1.4 RESULTADOS'!Y11</f>
        <v>6.8293969728449977E-2</v>
      </c>
    </row>
    <row r="104" spans="3:14">
      <c r="H104" s="340" t="s">
        <v>119</v>
      </c>
      <c r="I104" s="338">
        <f>+'1.4 RESULTADOS'!Y19</f>
        <v>0.18391191499475304</v>
      </c>
      <c r="J104" s="338">
        <f>+'1.4 RESULTADOS'!Y20</f>
        <v>0.37380331026874447</v>
      </c>
      <c r="K104" s="338">
        <f>+'1.4 RESULTADOS'!Y21</f>
        <v>0.23802974796390003</v>
      </c>
      <c r="L104" s="338">
        <f>+'1.4 RESULTADOS'!Y22</f>
        <v>0.20425502677260243</v>
      </c>
      <c r="M104" s="339">
        <f>+SUM(M101:M103)</f>
        <v>0.99999999999999989</v>
      </c>
      <c r="N104" s="339">
        <f ca="1">+SUM(N101:N104)</f>
        <v>0.22662039108203846</v>
      </c>
    </row>
    <row r="105" spans="3:14">
      <c r="H105" s="167"/>
      <c r="I105" s="168"/>
      <c r="J105" s="168"/>
      <c r="K105" s="168"/>
      <c r="L105" s="168"/>
      <c r="M105" s="168"/>
      <c r="N105" s="168"/>
    </row>
    <row r="108" spans="3:14">
      <c r="J108" s="168"/>
    </row>
  </sheetData>
  <mergeCells count="22">
    <mergeCell ref="I90:J90"/>
    <mergeCell ref="I98:K98"/>
    <mergeCell ref="L62:N63"/>
    <mergeCell ref="O62:O63"/>
    <mergeCell ref="L69:N70"/>
    <mergeCell ref="O69:O70"/>
    <mergeCell ref="L76:N77"/>
    <mergeCell ref="O76:O77"/>
    <mergeCell ref="L41:N42"/>
    <mergeCell ref="O41:O42"/>
    <mergeCell ref="L48:N49"/>
    <mergeCell ref="O48:O49"/>
    <mergeCell ref="L55:N56"/>
    <mergeCell ref="O55:O56"/>
    <mergeCell ref="L26:N27"/>
    <mergeCell ref="O26:O27"/>
    <mergeCell ref="L34:N35"/>
    <mergeCell ref="O34:O35"/>
    <mergeCell ref="B3:C3"/>
    <mergeCell ref="L18:N19"/>
    <mergeCell ref="O18:O19"/>
    <mergeCell ref="O3:Q3"/>
  </mergeCells>
  <conditionalFormatting sqref="T87:T89">
    <cfRule type="dataBar" priority="1">
      <dataBar>
        <cfvo type="min"/>
        <cfvo type="max"/>
        <color rgb="FFFF555A"/>
      </dataBar>
      <extLst>
        <ext xmlns:x14="http://schemas.microsoft.com/office/spreadsheetml/2009/9/main" uri="{B025F937-C7B1-47D3-B67F-A62EFF666E3E}">
          <x14:id>{F45ECE7A-B2DF-4ACC-869E-0EA4C55A85E9}</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45ECE7A-B2DF-4ACC-869E-0EA4C55A85E9}">
            <x14:dataBar minLength="0" maxLength="100" border="1" negativeBarBorderColorSameAsPositive="0">
              <x14:cfvo type="autoMin"/>
              <x14:cfvo type="autoMax"/>
              <x14:borderColor rgb="FFFF555A"/>
              <x14:negativeFillColor rgb="FFFF0000"/>
              <x14:negativeBorderColor rgb="FFFF0000"/>
              <x14:axisColor rgb="FF000000"/>
            </x14:dataBar>
          </x14:cfRule>
          <xm:sqref>T87:T89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F61D1-A318-486A-80AB-68102850D47B}">
  <sheetPr>
    <tabColor theme="5" tint="0.79998168889431442"/>
  </sheetPr>
  <dimension ref="B2:AJ208"/>
  <sheetViews>
    <sheetView showGridLines="0" zoomScale="40" zoomScaleNormal="40" workbookViewId="0">
      <selection activeCell="Z101" sqref="Z101:Z110"/>
    </sheetView>
  </sheetViews>
  <sheetFormatPr defaultColWidth="11.42578125" defaultRowHeight="12.75"/>
  <cols>
    <col min="1" max="1" width="13.42578125" style="8" customWidth="1"/>
    <col min="2" max="2" width="1.85546875" style="8" customWidth="1"/>
    <col min="3" max="3" width="5.7109375" style="8" customWidth="1"/>
    <col min="4" max="5" width="9.42578125" style="8" customWidth="1"/>
    <col min="6" max="6" width="9.5703125" style="8" customWidth="1"/>
    <col min="7" max="7" width="9.5703125" style="14" customWidth="1"/>
    <col min="8" max="8" width="4.140625" style="8" customWidth="1"/>
    <col min="9" max="9" width="4.28515625" style="8" customWidth="1"/>
    <col min="10" max="10" width="5.7109375" style="14" customWidth="1"/>
    <col min="11" max="11" width="9.42578125" style="8" customWidth="1"/>
    <col min="12" max="12" width="8.42578125" style="8" customWidth="1"/>
    <col min="13" max="13" width="9.28515625" style="14" customWidth="1"/>
    <col min="14" max="14" width="5.140625" style="8" customWidth="1"/>
    <col min="15" max="15" width="5.7109375" style="8" customWidth="1"/>
    <col min="16" max="16" width="5.140625" style="8" customWidth="1"/>
    <col min="17" max="17" width="5.7109375" style="8" customWidth="1"/>
    <col min="18" max="18" width="9.42578125" style="8" customWidth="1"/>
    <col min="19" max="19" width="10.5703125" style="8" customWidth="1"/>
    <col min="20" max="20" width="7.5703125" style="8" customWidth="1"/>
    <col min="21" max="21" width="6.42578125" style="8" customWidth="1"/>
    <col min="22" max="22" width="4.85546875" style="8" customWidth="1"/>
    <col min="23" max="24" width="2.5703125" style="8" customWidth="1"/>
    <col min="25" max="25" width="5.28515625" style="8" customWidth="1"/>
    <col min="26" max="26" width="6.140625" style="8" customWidth="1"/>
    <col min="27" max="16384" width="11.42578125" style="8"/>
  </cols>
  <sheetData>
    <row r="2" spans="4:20" ht="15">
      <c r="D2" s="158" t="s">
        <v>320</v>
      </c>
      <c r="E2" s="157"/>
      <c r="F2" s="159"/>
      <c r="G2" s="165"/>
      <c r="H2" s="158" t="s">
        <v>321</v>
      </c>
      <c r="I2" s="157"/>
      <c r="J2" s="165"/>
      <c r="K2" s="158" t="s">
        <v>356</v>
      </c>
      <c r="L2" s="157"/>
    </row>
    <row r="3" spans="4:20" ht="100.5" thickBot="1">
      <c r="D3" s="524" t="s">
        <v>178</v>
      </c>
      <c r="E3" s="524"/>
      <c r="F3" s="161" t="s">
        <v>326</v>
      </c>
      <c r="G3" s="165"/>
      <c r="H3" s="162" t="s">
        <v>178</v>
      </c>
      <c r="I3" s="161" t="s">
        <v>326</v>
      </c>
      <c r="J3" s="165"/>
      <c r="K3" s="162" t="s">
        <v>178</v>
      </c>
      <c r="L3" s="161" t="s">
        <v>326</v>
      </c>
      <c r="N3" s="259" t="s">
        <v>178</v>
      </c>
      <c r="O3" s="45" t="s">
        <v>194</v>
      </c>
      <c r="P3" s="45" t="s">
        <v>195</v>
      </c>
      <c r="Q3" s="45" t="s">
        <v>196</v>
      </c>
      <c r="R3" t="s">
        <v>357</v>
      </c>
      <c r="S3" s="8" t="s">
        <v>358</v>
      </c>
      <c r="T3" t="s">
        <v>359</v>
      </c>
    </row>
    <row r="4" spans="4:20" ht="15.75" thickBot="1">
      <c r="D4" s="160" t="s">
        <v>51</v>
      </c>
      <c r="E4" s="158" t="s">
        <v>52</v>
      </c>
      <c r="F4" s="159">
        <v>5</v>
      </c>
      <c r="G4" s="165"/>
      <c r="H4" s="158" t="s">
        <v>52</v>
      </c>
      <c r="I4" s="159">
        <v>4</v>
      </c>
      <c r="J4" s="165"/>
      <c r="K4" s="158" t="s">
        <v>52</v>
      </c>
      <c r="L4" s="159">
        <v>4</v>
      </c>
      <c r="M4" s="165"/>
      <c r="N4" s="260" t="s">
        <v>52</v>
      </c>
      <c r="O4" s="261">
        <f>+AVERAGE(O5:O6)</f>
        <v>4</v>
      </c>
      <c r="P4" s="261">
        <f>+AVERAGE(P5:P6)</f>
        <v>4</v>
      </c>
      <c r="Q4" s="262">
        <f>+AVERAGE(Q5:Q6)</f>
        <v>2</v>
      </c>
      <c r="R4" s="525" t="s">
        <v>360</v>
      </c>
      <c r="S4" s="522" t="s">
        <v>360</v>
      </c>
      <c r="T4" s="522" t="s">
        <v>360</v>
      </c>
    </row>
    <row r="5" spans="4:20" ht="15">
      <c r="D5" s="160" t="s">
        <v>57</v>
      </c>
      <c r="E5" s="157" t="s">
        <v>331</v>
      </c>
      <c r="F5" s="159">
        <v>2</v>
      </c>
      <c r="G5" s="165">
        <f>+AVERAGE(F5:F6)</f>
        <v>3</v>
      </c>
      <c r="H5" s="157" t="s">
        <v>331</v>
      </c>
      <c r="I5" s="159">
        <v>4</v>
      </c>
      <c r="J5" s="165">
        <f>+AVERAGE(I4:I6)</f>
        <v>3.6666666666666665</v>
      </c>
      <c r="K5" s="157" t="s">
        <v>331</v>
      </c>
      <c r="L5" s="159">
        <v>3</v>
      </c>
      <c r="M5" s="165">
        <f>+AVERAGE(L4:L6)</f>
        <v>3.3333333333333335</v>
      </c>
      <c r="N5" s="157" t="s">
        <v>331</v>
      </c>
      <c r="O5" s="14">
        <f>+'2. CARACTERIZACIÓN'!J2</f>
        <v>3</v>
      </c>
      <c r="P5" s="14">
        <f>+'2. CARACTERIZACIÓN'!L2</f>
        <v>5</v>
      </c>
      <c r="Q5" s="14">
        <f>+'2. CARACTERIZACIÓN'!N2</f>
        <v>1</v>
      </c>
      <c r="R5" s="523"/>
      <c r="S5" s="523"/>
      <c r="T5" s="523"/>
    </row>
    <row r="6" spans="4:20" ht="15.75" thickBot="1">
      <c r="D6" s="160" t="s">
        <v>63</v>
      </c>
      <c r="E6" s="157" t="s">
        <v>333</v>
      </c>
      <c r="F6" s="159">
        <v>4</v>
      </c>
      <c r="G6" s="165"/>
      <c r="H6" s="157" t="s">
        <v>333</v>
      </c>
      <c r="I6" s="159">
        <v>3</v>
      </c>
      <c r="J6" s="165"/>
      <c r="K6" s="157" t="s">
        <v>333</v>
      </c>
      <c r="L6" s="159">
        <v>3</v>
      </c>
      <c r="M6" s="165"/>
      <c r="N6" s="157" t="s">
        <v>333</v>
      </c>
      <c r="O6" s="14">
        <f>+'2. CARACTERIZACIÓN'!J3</f>
        <v>5</v>
      </c>
      <c r="P6" s="14">
        <f>+'2. CARACTERIZACIÓN'!L3</f>
        <v>3</v>
      </c>
      <c r="Q6" s="14">
        <f>+'2. CARACTERIZACIÓN'!N3</f>
        <v>3</v>
      </c>
      <c r="R6" s="523"/>
      <c r="S6" s="523"/>
      <c r="T6" s="523"/>
    </row>
    <row r="7" spans="4:20" ht="15.75" thickBot="1">
      <c r="D7" s="160" t="s">
        <v>53</v>
      </c>
      <c r="E7" s="158" t="s">
        <v>54</v>
      </c>
      <c r="F7" s="159">
        <v>3</v>
      </c>
      <c r="G7" s="165">
        <f>+AVERAGE(F7:F10)</f>
        <v>3</v>
      </c>
      <c r="H7" s="158" t="s">
        <v>336</v>
      </c>
      <c r="I7" s="159">
        <v>5</v>
      </c>
      <c r="J7" s="165">
        <f>+AVERAGE(I7:I10)</f>
        <v>4</v>
      </c>
      <c r="K7" s="158" t="s">
        <v>336</v>
      </c>
      <c r="L7" s="159">
        <v>3</v>
      </c>
      <c r="M7" s="165">
        <f>+AVERAGE(L7:L10)</f>
        <v>3.75</v>
      </c>
      <c r="N7" s="260" t="s">
        <v>336</v>
      </c>
      <c r="O7" s="261">
        <f>+AVERAGE(O8:O10)</f>
        <v>5</v>
      </c>
      <c r="P7" s="261">
        <f>+AVERAGE(P8:P10)</f>
        <v>2.5</v>
      </c>
      <c r="Q7" s="262">
        <f>+AVERAGE(Q8:Q10)</f>
        <v>4</v>
      </c>
      <c r="R7" s="525" t="s">
        <v>361</v>
      </c>
      <c r="S7" s="523" t="s">
        <v>196</v>
      </c>
      <c r="T7" s="523" t="s">
        <v>196</v>
      </c>
    </row>
    <row r="8" spans="4:20" ht="15">
      <c r="D8" s="160" t="s">
        <v>59</v>
      </c>
      <c r="E8" s="157" t="s">
        <v>339</v>
      </c>
      <c r="F8" s="159">
        <v>3</v>
      </c>
      <c r="G8" s="165"/>
      <c r="H8" s="157" t="s">
        <v>339</v>
      </c>
      <c r="I8" s="159">
        <v>4</v>
      </c>
      <c r="J8" s="165"/>
      <c r="K8" s="157" t="s">
        <v>339</v>
      </c>
      <c r="L8" s="159">
        <v>4</v>
      </c>
      <c r="M8" s="165"/>
      <c r="N8" s="157" t="s">
        <v>339</v>
      </c>
      <c r="O8" s="14">
        <f>+'2. CARACTERIZACIÓN'!J4</f>
        <v>5</v>
      </c>
      <c r="P8" s="14">
        <f>+'2. CARACTERIZACIÓN'!L4</f>
        <v>1</v>
      </c>
      <c r="Q8" s="14">
        <f>+'2. CARACTERIZACIÓN'!N4</f>
        <v>3</v>
      </c>
      <c r="R8" s="523"/>
      <c r="S8" s="523"/>
      <c r="T8" s="523"/>
    </row>
    <row r="9" spans="4:20" ht="15">
      <c r="D9" s="160" t="s">
        <v>65</v>
      </c>
      <c r="E9" s="157" t="s">
        <v>165</v>
      </c>
      <c r="F9" s="159">
        <v>3</v>
      </c>
      <c r="G9" s="165"/>
      <c r="H9" s="157" t="s">
        <v>165</v>
      </c>
      <c r="I9" s="159">
        <v>3</v>
      </c>
      <c r="J9" s="165"/>
      <c r="K9" s="157" t="s">
        <v>165</v>
      </c>
      <c r="L9" s="159">
        <v>4</v>
      </c>
      <c r="M9" s="165"/>
      <c r="N9" s="157" t="s">
        <v>165</v>
      </c>
      <c r="O9" s="14">
        <f>+'2. CARACTERIZACIÓN'!J5</f>
        <v>5</v>
      </c>
      <c r="P9" s="14">
        <f>+'2. CARACTERIZACIÓN'!L5</f>
        <v>4</v>
      </c>
      <c r="Q9" s="14">
        <f>+'2. CARACTERIZACIÓN'!N5</f>
        <v>4</v>
      </c>
      <c r="R9" s="523"/>
      <c r="S9" s="523"/>
      <c r="T9" s="523"/>
    </row>
    <row r="10" spans="4:20" ht="15.75" thickBot="1">
      <c r="D10" s="160" t="s">
        <v>69</v>
      </c>
      <c r="E10" s="157" t="s">
        <v>70</v>
      </c>
      <c r="F10" s="159">
        <v>3</v>
      </c>
      <c r="G10" s="165"/>
      <c r="H10" s="157" t="s">
        <v>70</v>
      </c>
      <c r="I10" s="159">
        <v>4</v>
      </c>
      <c r="J10" s="165"/>
      <c r="K10" s="157" t="s">
        <v>70</v>
      </c>
      <c r="L10" s="159">
        <v>4</v>
      </c>
      <c r="M10" s="165"/>
      <c r="N10" s="157" t="s">
        <v>70</v>
      </c>
      <c r="O10" s="14">
        <f>+'2. CARACTERIZACIÓN'!J10</f>
        <v>5</v>
      </c>
      <c r="P10" s="14">
        <f>+'2. CARACTERIZACIÓN'!L10</f>
        <v>2.5</v>
      </c>
      <c r="Q10" s="14">
        <f>+'2. CARACTERIZACIÓN'!N10</f>
        <v>5</v>
      </c>
      <c r="R10" s="523"/>
      <c r="S10" s="523"/>
      <c r="T10" s="523"/>
    </row>
    <row r="11" spans="4:20" ht="15.75" thickBot="1">
      <c r="D11" s="160" t="s">
        <v>55</v>
      </c>
      <c r="E11" s="158" t="s">
        <v>56</v>
      </c>
      <c r="F11" s="159">
        <v>5</v>
      </c>
      <c r="G11" s="165">
        <f>+AVERAGE(F12:F15)</f>
        <v>3.75</v>
      </c>
      <c r="H11" s="158" t="s">
        <v>340</v>
      </c>
      <c r="I11" s="159">
        <v>5</v>
      </c>
      <c r="J11" s="165">
        <f>+AVERAGE(I11:I15)</f>
        <v>3.8</v>
      </c>
      <c r="K11" s="158" t="s">
        <v>340</v>
      </c>
      <c r="L11" s="159">
        <v>4</v>
      </c>
      <c r="M11" s="165">
        <f>+AVERAGE(L11:L15)</f>
        <v>4.8</v>
      </c>
      <c r="N11" s="260" t="s">
        <v>340</v>
      </c>
      <c r="O11" s="261">
        <f>+AVERAGE(O12:O15)</f>
        <v>3.5</v>
      </c>
      <c r="P11" s="261">
        <f>+AVERAGE(P12:P15)</f>
        <v>3.5</v>
      </c>
      <c r="Q11" s="262">
        <f>+AVERAGE(Q12:Q15)</f>
        <v>3.5</v>
      </c>
      <c r="R11" s="525" t="s">
        <v>361</v>
      </c>
      <c r="S11" s="523" t="s">
        <v>196</v>
      </c>
      <c r="T11" s="523" t="s">
        <v>196</v>
      </c>
    </row>
    <row r="12" spans="4:20" ht="15">
      <c r="D12" s="160" t="s">
        <v>61</v>
      </c>
      <c r="E12" s="157" t="s">
        <v>166</v>
      </c>
      <c r="F12" s="159">
        <v>1</v>
      </c>
      <c r="G12" s="165"/>
      <c r="H12" s="157" t="s">
        <v>166</v>
      </c>
      <c r="I12" s="159">
        <v>1</v>
      </c>
      <c r="J12" s="165"/>
      <c r="K12" s="157" t="s">
        <v>166</v>
      </c>
      <c r="L12" s="159">
        <v>5</v>
      </c>
      <c r="M12" s="165"/>
      <c r="N12" s="157" t="s">
        <v>166</v>
      </c>
      <c r="O12" s="14">
        <f>+'2. CARACTERIZACIÓN'!J16</f>
        <v>5</v>
      </c>
      <c r="P12" s="14">
        <f>+'2. CARACTERIZACIÓN'!L16</f>
        <v>5</v>
      </c>
      <c r="Q12" s="14">
        <f>+'2. CARACTERIZACIÓN'!N16</f>
        <v>2</v>
      </c>
      <c r="R12" s="523"/>
      <c r="S12" s="523"/>
      <c r="T12" s="523"/>
    </row>
    <row r="13" spans="4:20" ht="15">
      <c r="D13" s="160" t="s">
        <v>67</v>
      </c>
      <c r="E13" s="157" t="s">
        <v>68</v>
      </c>
      <c r="F13" s="159">
        <v>4</v>
      </c>
      <c r="G13" s="165"/>
      <c r="H13" s="157" t="s">
        <v>68</v>
      </c>
      <c r="I13" s="159">
        <v>3</v>
      </c>
      <c r="J13" s="165"/>
      <c r="K13" s="157" t="s">
        <v>68</v>
      </c>
      <c r="L13" s="159">
        <v>5</v>
      </c>
      <c r="M13" s="165"/>
      <c r="N13" s="157" t="s">
        <v>68</v>
      </c>
      <c r="O13" s="14">
        <f>+'2. CARACTERIZACIÓN'!J17</f>
        <v>5</v>
      </c>
      <c r="P13" s="14">
        <f>+'2. CARACTERIZACIÓN'!L17</f>
        <v>2</v>
      </c>
      <c r="Q13" s="14">
        <f>+'2. CARACTERIZACIÓN'!N17</f>
        <v>3</v>
      </c>
      <c r="R13" s="523"/>
      <c r="S13" s="523"/>
      <c r="T13" s="523"/>
    </row>
    <row r="14" spans="4:20" ht="15">
      <c r="D14" s="160" t="s">
        <v>128</v>
      </c>
      <c r="E14" s="157" t="s">
        <v>167</v>
      </c>
      <c r="F14" s="159">
        <v>5</v>
      </c>
      <c r="G14" s="165"/>
      <c r="H14" s="157" t="s">
        <v>167</v>
      </c>
      <c r="I14" s="159">
        <v>5</v>
      </c>
      <c r="J14" s="165"/>
      <c r="K14" s="157" t="s">
        <v>167</v>
      </c>
      <c r="L14" s="159">
        <v>5</v>
      </c>
      <c r="M14" s="165"/>
      <c r="N14" s="157" t="s">
        <v>167</v>
      </c>
      <c r="O14" s="14">
        <f>+'2. CARACTERIZACIÓN'!J18</f>
        <v>1</v>
      </c>
      <c r="P14" s="14">
        <f>+'2. CARACTERIZACIÓN'!L18</f>
        <v>3</v>
      </c>
      <c r="Q14" s="14">
        <f>+'2. CARACTERIZACIÓN'!N18</f>
        <v>4</v>
      </c>
      <c r="R14" s="523"/>
      <c r="S14" s="523"/>
      <c r="T14" s="523"/>
    </row>
    <row r="15" spans="4:20" ht="15">
      <c r="D15" s="160" t="s">
        <v>73</v>
      </c>
      <c r="E15" s="157" t="s">
        <v>168</v>
      </c>
      <c r="F15" s="159">
        <v>5</v>
      </c>
      <c r="G15" s="165"/>
      <c r="H15" s="157" t="s">
        <v>168</v>
      </c>
      <c r="I15" s="159">
        <v>5</v>
      </c>
      <c r="J15" s="165"/>
      <c r="K15" s="157" t="s">
        <v>168</v>
      </c>
      <c r="L15" s="159">
        <v>5</v>
      </c>
      <c r="M15" s="165"/>
      <c r="N15" s="157" t="s">
        <v>168</v>
      </c>
      <c r="O15" s="14">
        <f>+'2. CARACTERIZACIÓN'!J19</f>
        <v>3</v>
      </c>
      <c r="P15" s="14">
        <f>+'2. CARACTERIZACIÓN'!L19</f>
        <v>4</v>
      </c>
      <c r="Q15" s="14">
        <f>+'2. CARACTERIZACIÓN'!N19</f>
        <v>5</v>
      </c>
      <c r="R15" s="523"/>
      <c r="S15" s="523"/>
      <c r="T15" s="523"/>
    </row>
    <row r="16" spans="4:20">
      <c r="E16" s="441" t="s">
        <v>362</v>
      </c>
      <c r="F16" s="284">
        <f>+AVERAGE(F4:F15)</f>
        <v>3.5833333333333335</v>
      </c>
      <c r="H16" s="257" t="s">
        <v>362</v>
      </c>
      <c r="I16" s="14">
        <f>+AVERAGE(I4:I15)</f>
        <v>3.8333333333333335</v>
      </c>
      <c r="K16" s="257" t="s">
        <v>362</v>
      </c>
      <c r="L16" s="14">
        <f>+AVERAGE(L4:L15)</f>
        <v>4.083333333333333</v>
      </c>
      <c r="N16" s="257" t="s">
        <v>362</v>
      </c>
      <c r="O16" s="256">
        <f>+AVERAGE(O4:O15)</f>
        <v>4.125</v>
      </c>
      <c r="P16" s="256">
        <f>+AVERAGE(P4:P15)</f>
        <v>3.2916666666666665</v>
      </c>
      <c r="Q16" s="256">
        <f>+AVERAGE(Q4:Q15)</f>
        <v>3.2916666666666665</v>
      </c>
      <c r="R16" s="523"/>
      <c r="S16" s="523"/>
      <c r="T16" s="523"/>
    </row>
    <row r="20" spans="3:36">
      <c r="AA20" s="8" t="s">
        <v>363</v>
      </c>
      <c r="AC20" s="258"/>
    </row>
    <row r="21" spans="3:36">
      <c r="AC21" s="258"/>
    </row>
    <row r="22" spans="3:36">
      <c r="E22" s="8" t="s">
        <v>363</v>
      </c>
      <c r="AA22" t="s">
        <v>359</v>
      </c>
      <c r="AC22" s="258"/>
    </row>
    <row r="23" spans="3:36">
      <c r="AC23" s="258"/>
    </row>
    <row r="24" spans="3:36">
      <c r="E24" s="8" t="s">
        <v>357</v>
      </c>
      <c r="O24" s="8" t="s">
        <v>364</v>
      </c>
      <c r="Q24" s="258"/>
      <c r="Z24" s="8" t="s">
        <v>365</v>
      </c>
      <c r="AC24" s="258"/>
    </row>
    <row r="25" spans="3:36">
      <c r="Q25" s="258"/>
      <c r="AC25" s="258"/>
      <c r="AD25" s="8" t="s">
        <v>366</v>
      </c>
      <c r="AE25" s="41">
        <f>AB40/Y38</f>
        <v>2.6041666666666665</v>
      </c>
      <c r="AF25" s="8" t="s">
        <v>367</v>
      </c>
      <c r="AG25" s="8">
        <f>SQRT(AE25)</f>
        <v>1.6137430609197569</v>
      </c>
      <c r="AJ25" s="8" t="s">
        <v>368</v>
      </c>
    </row>
    <row r="26" spans="3:36">
      <c r="D26" s="8" t="s">
        <v>365</v>
      </c>
      <c r="N26" s="8" t="s">
        <v>365</v>
      </c>
      <c r="Q26" s="258"/>
      <c r="Y26" s="14" t="s">
        <v>96</v>
      </c>
      <c r="Z26" s="14" t="s">
        <v>369</v>
      </c>
      <c r="AA26" s="14" t="s">
        <v>370</v>
      </c>
      <c r="AB26" s="14" t="s">
        <v>371</v>
      </c>
      <c r="AC26" s="14"/>
      <c r="AJ26" s="8" t="s">
        <v>161</v>
      </c>
    </row>
    <row r="27" spans="3:36" ht="15">
      <c r="H27" s="8" t="s">
        <v>366</v>
      </c>
      <c r="I27" s="41">
        <f>F42/C40</f>
        <v>4.854166666666667</v>
      </c>
      <c r="J27" s="14" t="s">
        <v>367</v>
      </c>
      <c r="K27" s="8">
        <f>SQRT(I27)</f>
        <v>2.2032173444003811</v>
      </c>
      <c r="Q27" s="258"/>
      <c r="R27" s="8" t="s">
        <v>366</v>
      </c>
      <c r="S27" s="41">
        <f>P42/M40</f>
        <v>4.4375</v>
      </c>
      <c r="T27" s="8" t="s">
        <v>367</v>
      </c>
      <c r="U27" s="8">
        <f>SQRT(S27)</f>
        <v>2.1065374432940898</v>
      </c>
      <c r="Y27" s="14">
        <v>1</v>
      </c>
      <c r="Z27" s="165">
        <f t="shared" ref="Z27:Z38" si="0">+L4</f>
        <v>4</v>
      </c>
      <c r="AA27" s="14">
        <v>4</v>
      </c>
      <c r="AB27" s="14">
        <f t="shared" ref="AB27:AB38" si="1">(Z27-AA27)^2</f>
        <v>0</v>
      </c>
      <c r="AC27" s="14"/>
      <c r="AJ27" s="8" t="s">
        <v>169</v>
      </c>
    </row>
    <row r="28" spans="3:36" ht="15">
      <c r="C28" s="14" t="s">
        <v>96</v>
      </c>
      <c r="D28" s="14" t="s">
        <v>369</v>
      </c>
      <c r="E28" s="14" t="s">
        <v>370</v>
      </c>
      <c r="F28" s="14" t="s">
        <v>371</v>
      </c>
      <c r="M28" s="14" t="s">
        <v>96</v>
      </c>
      <c r="N28" s="14" t="s">
        <v>369</v>
      </c>
      <c r="O28" s="14" t="s">
        <v>370</v>
      </c>
      <c r="P28" s="14" t="s">
        <v>371</v>
      </c>
      <c r="Q28" s="14"/>
      <c r="Y28" s="14">
        <v>2</v>
      </c>
      <c r="Z28" s="165">
        <f t="shared" si="0"/>
        <v>3</v>
      </c>
      <c r="AA28" s="14">
        <v>3</v>
      </c>
      <c r="AB28" s="14">
        <f t="shared" si="1"/>
        <v>0</v>
      </c>
      <c r="AC28" s="14"/>
      <c r="AJ28" s="8" t="s">
        <v>170</v>
      </c>
    </row>
    <row r="29" spans="3:36" ht="15">
      <c r="C29" s="14">
        <v>1</v>
      </c>
      <c r="D29" s="165">
        <f t="shared" ref="D29:D40" si="2">+F4</f>
        <v>5</v>
      </c>
      <c r="E29" s="14">
        <v>4</v>
      </c>
      <c r="F29" s="14">
        <f>(D29-E29)^2</f>
        <v>1</v>
      </c>
      <c r="M29" s="14">
        <v>1</v>
      </c>
      <c r="N29" s="165">
        <v>4</v>
      </c>
      <c r="O29" s="14">
        <v>4</v>
      </c>
      <c r="P29" s="14">
        <f>(N29-O29)^2</f>
        <v>0</v>
      </c>
      <c r="Q29" s="14"/>
      <c r="Y29" s="14">
        <v>3</v>
      </c>
      <c r="Z29" s="165">
        <f t="shared" si="0"/>
        <v>3</v>
      </c>
      <c r="AA29" s="14">
        <v>5</v>
      </c>
      <c r="AB29" s="14">
        <f t="shared" si="1"/>
        <v>4</v>
      </c>
      <c r="AC29" s="14"/>
      <c r="AJ29" s="8" t="s">
        <v>171</v>
      </c>
    </row>
    <row r="30" spans="3:36" ht="15">
      <c r="C30" s="14">
        <v>2</v>
      </c>
      <c r="D30" s="165">
        <f t="shared" si="2"/>
        <v>2</v>
      </c>
      <c r="E30" s="14">
        <v>3</v>
      </c>
      <c r="F30" s="14">
        <f t="shared" ref="F30:F40" si="3">(D30-E30)^2</f>
        <v>1</v>
      </c>
      <c r="H30" t="s">
        <v>54</v>
      </c>
      <c r="I30" s="41"/>
      <c r="J30" s="14" t="s">
        <v>367</v>
      </c>
      <c r="K30" s="8">
        <f>SQRT(I30)</f>
        <v>0</v>
      </c>
      <c r="M30" s="14">
        <v>2</v>
      </c>
      <c r="N30" s="165">
        <v>4</v>
      </c>
      <c r="O30" s="14">
        <v>3</v>
      </c>
      <c r="P30" s="14">
        <f t="shared" ref="P30:P40" si="4">(N30-O30)^2</f>
        <v>1</v>
      </c>
      <c r="Q30" s="14"/>
      <c r="Y30" s="14">
        <v>4</v>
      </c>
      <c r="Z30" s="165">
        <f t="shared" si="0"/>
        <v>3</v>
      </c>
      <c r="AA30" s="14">
        <v>5</v>
      </c>
      <c r="AB30" s="14">
        <f t="shared" si="1"/>
        <v>4</v>
      </c>
      <c r="AC30" s="14"/>
      <c r="AJ30" s="8" t="s">
        <v>172</v>
      </c>
    </row>
    <row r="31" spans="3:36" ht="15">
      <c r="C31" s="14">
        <v>3</v>
      </c>
      <c r="D31" s="165">
        <f t="shared" si="2"/>
        <v>4</v>
      </c>
      <c r="E31" s="14">
        <v>5</v>
      </c>
      <c r="F31" s="14">
        <f t="shared" si="3"/>
        <v>1</v>
      </c>
      <c r="H31" t="s">
        <v>52</v>
      </c>
      <c r="I31" s="41"/>
      <c r="J31" s="14" t="s">
        <v>367</v>
      </c>
      <c r="K31" s="8">
        <f>SQRT(I31)</f>
        <v>0</v>
      </c>
      <c r="M31" s="14">
        <v>3</v>
      </c>
      <c r="N31" s="165">
        <v>3</v>
      </c>
      <c r="O31" s="14">
        <v>5</v>
      </c>
      <c r="P31" s="14">
        <f t="shared" si="4"/>
        <v>4</v>
      </c>
      <c r="Q31" s="14"/>
      <c r="Y31" s="14">
        <v>5</v>
      </c>
      <c r="Z31" s="165">
        <f t="shared" si="0"/>
        <v>4</v>
      </c>
      <c r="AA31" s="14">
        <v>5</v>
      </c>
      <c r="AB31" s="14">
        <f t="shared" si="1"/>
        <v>1</v>
      </c>
      <c r="AC31" s="14"/>
      <c r="AJ31" s="8" t="s">
        <v>174</v>
      </c>
    </row>
    <row r="32" spans="3:36" ht="15">
      <c r="C32" s="14">
        <v>4</v>
      </c>
      <c r="D32" s="165">
        <f t="shared" si="2"/>
        <v>3</v>
      </c>
      <c r="E32" s="14">
        <v>5</v>
      </c>
      <c r="F32" s="14">
        <f t="shared" si="3"/>
        <v>4</v>
      </c>
      <c r="H32" t="s">
        <v>56</v>
      </c>
      <c r="I32" s="41"/>
      <c r="J32" s="14" t="s">
        <v>367</v>
      </c>
      <c r="K32" s="8">
        <f>SQRT(I32)</f>
        <v>0</v>
      </c>
      <c r="M32" s="14">
        <v>4</v>
      </c>
      <c r="N32" s="165">
        <v>5</v>
      </c>
      <c r="O32" s="14">
        <v>5</v>
      </c>
      <c r="P32" s="14">
        <f t="shared" si="4"/>
        <v>0</v>
      </c>
      <c r="Q32" s="14"/>
      <c r="Y32" s="14">
        <v>6</v>
      </c>
      <c r="Z32" s="165">
        <f t="shared" si="0"/>
        <v>4</v>
      </c>
      <c r="AA32" s="14">
        <v>5</v>
      </c>
      <c r="AB32" s="14">
        <f t="shared" si="1"/>
        <v>1</v>
      </c>
      <c r="AC32" s="14"/>
      <c r="AJ32" s="8" t="s">
        <v>175</v>
      </c>
    </row>
    <row r="33" spans="2:36" ht="15">
      <c r="C33" s="14">
        <v>5</v>
      </c>
      <c r="D33" s="165">
        <f t="shared" si="2"/>
        <v>3</v>
      </c>
      <c r="E33" s="14">
        <v>5</v>
      </c>
      <c r="F33" s="14">
        <f t="shared" si="3"/>
        <v>4</v>
      </c>
      <c r="M33" s="14">
        <v>5</v>
      </c>
      <c r="N33" s="165">
        <v>4</v>
      </c>
      <c r="O33" s="14">
        <v>5</v>
      </c>
      <c r="P33" s="14">
        <f t="shared" si="4"/>
        <v>1</v>
      </c>
      <c r="Q33" s="14"/>
      <c r="Y33" s="14">
        <v>7</v>
      </c>
      <c r="Z33" s="165">
        <f t="shared" si="0"/>
        <v>4</v>
      </c>
      <c r="AA33" s="14">
        <v>5</v>
      </c>
      <c r="AB33" s="14">
        <f t="shared" si="1"/>
        <v>1</v>
      </c>
      <c r="AC33" s="14"/>
      <c r="AJ33" s="8" t="s">
        <v>176</v>
      </c>
    </row>
    <row r="34" spans="2:36" ht="15">
      <c r="C34" s="14">
        <v>6</v>
      </c>
      <c r="D34" s="165">
        <f t="shared" si="2"/>
        <v>3</v>
      </c>
      <c r="E34" s="14">
        <v>5</v>
      </c>
      <c r="F34" s="14">
        <f t="shared" si="3"/>
        <v>4</v>
      </c>
      <c r="M34" s="14">
        <v>6</v>
      </c>
      <c r="N34" s="165">
        <v>3</v>
      </c>
      <c r="O34" s="14">
        <v>5</v>
      </c>
      <c r="P34" s="14">
        <f t="shared" si="4"/>
        <v>4</v>
      </c>
      <c r="Q34" s="14"/>
      <c r="Y34" s="14">
        <v>8</v>
      </c>
      <c r="Z34" s="165">
        <f t="shared" si="0"/>
        <v>4</v>
      </c>
      <c r="AA34" s="14">
        <v>3.5</v>
      </c>
      <c r="AB34" s="14">
        <f t="shared" si="1"/>
        <v>0.25</v>
      </c>
      <c r="AC34" s="14"/>
      <c r="AJ34" s="8" t="s">
        <v>177</v>
      </c>
    </row>
    <row r="35" spans="2:36" ht="15">
      <c r="C35" s="14">
        <v>7</v>
      </c>
      <c r="D35" s="165">
        <f t="shared" si="2"/>
        <v>3</v>
      </c>
      <c r="E35" s="14">
        <v>5</v>
      </c>
      <c r="F35" s="14">
        <f t="shared" si="3"/>
        <v>4</v>
      </c>
      <c r="M35" s="14">
        <v>7</v>
      </c>
      <c r="N35" s="165">
        <v>4</v>
      </c>
      <c r="O35" s="14">
        <v>5</v>
      </c>
      <c r="P35" s="14">
        <f t="shared" si="4"/>
        <v>1</v>
      </c>
      <c r="Q35" s="14"/>
      <c r="Y35" s="14">
        <v>9</v>
      </c>
      <c r="Z35" s="165">
        <f t="shared" si="0"/>
        <v>5</v>
      </c>
      <c r="AA35" s="14">
        <v>5</v>
      </c>
      <c r="AB35" s="14">
        <f t="shared" si="1"/>
        <v>0</v>
      </c>
      <c r="AC35" s="14"/>
    </row>
    <row r="36" spans="2:36" ht="15">
      <c r="C36" s="14">
        <v>8</v>
      </c>
      <c r="D36" s="165">
        <f t="shared" si="2"/>
        <v>5</v>
      </c>
      <c r="E36" s="14">
        <v>3.5</v>
      </c>
      <c r="F36" s="14">
        <f t="shared" si="3"/>
        <v>2.25</v>
      </c>
      <c r="M36" s="14">
        <v>8</v>
      </c>
      <c r="N36" s="165">
        <v>5</v>
      </c>
      <c r="O36" s="14">
        <v>3.5</v>
      </c>
      <c r="P36" s="14">
        <f t="shared" si="4"/>
        <v>2.25</v>
      </c>
      <c r="Q36" s="14"/>
      <c r="Y36" s="14">
        <v>10</v>
      </c>
      <c r="Z36" s="165">
        <f t="shared" si="0"/>
        <v>5</v>
      </c>
      <c r="AA36" s="14">
        <v>5</v>
      </c>
      <c r="AB36" s="14">
        <f t="shared" si="1"/>
        <v>0</v>
      </c>
      <c r="AC36" s="14"/>
    </row>
    <row r="37" spans="2:36" ht="15">
      <c r="C37" s="14">
        <v>9</v>
      </c>
      <c r="D37" s="165">
        <f t="shared" si="2"/>
        <v>1</v>
      </c>
      <c r="E37" s="14">
        <v>5</v>
      </c>
      <c r="F37" s="14">
        <f t="shared" si="3"/>
        <v>16</v>
      </c>
      <c r="M37" s="14">
        <v>9</v>
      </c>
      <c r="N37" s="165">
        <v>1</v>
      </c>
      <c r="O37" s="14">
        <v>5</v>
      </c>
      <c r="P37" s="14">
        <f t="shared" si="4"/>
        <v>16</v>
      </c>
      <c r="Q37" s="14"/>
      <c r="Y37" s="14">
        <v>11</v>
      </c>
      <c r="Z37" s="165">
        <f t="shared" si="0"/>
        <v>5</v>
      </c>
      <c r="AA37" s="14">
        <v>1</v>
      </c>
      <c r="AB37" s="14">
        <f t="shared" si="1"/>
        <v>16</v>
      </c>
      <c r="AC37" s="14"/>
    </row>
    <row r="38" spans="2:36" ht="15">
      <c r="C38" s="14">
        <v>10</v>
      </c>
      <c r="D38" s="165">
        <f t="shared" si="2"/>
        <v>4</v>
      </c>
      <c r="E38" s="14">
        <v>5</v>
      </c>
      <c r="F38" s="14">
        <f t="shared" si="3"/>
        <v>1</v>
      </c>
      <c r="M38" s="14">
        <v>10</v>
      </c>
      <c r="N38" s="165">
        <v>3</v>
      </c>
      <c r="O38" s="14">
        <v>5</v>
      </c>
      <c r="P38" s="14">
        <f t="shared" si="4"/>
        <v>4</v>
      </c>
      <c r="Q38" s="14"/>
      <c r="Y38" s="14">
        <v>12</v>
      </c>
      <c r="Z38" s="165">
        <f t="shared" si="0"/>
        <v>5</v>
      </c>
      <c r="AA38" s="14">
        <v>3</v>
      </c>
      <c r="AB38" s="14">
        <f t="shared" si="1"/>
        <v>4</v>
      </c>
      <c r="AC38" s="14"/>
    </row>
    <row r="39" spans="2:36" ht="15">
      <c r="C39" s="14">
        <v>11</v>
      </c>
      <c r="D39" s="165">
        <f t="shared" si="2"/>
        <v>5</v>
      </c>
      <c r="E39" s="14">
        <v>1</v>
      </c>
      <c r="F39" s="14">
        <f t="shared" si="3"/>
        <v>16</v>
      </c>
      <c r="M39" s="14">
        <v>11</v>
      </c>
      <c r="N39" s="165">
        <v>5</v>
      </c>
      <c r="O39" s="14">
        <v>1</v>
      </c>
      <c r="P39" s="14">
        <f t="shared" si="4"/>
        <v>16</v>
      </c>
      <c r="Q39" s="14"/>
      <c r="Y39" s="14"/>
      <c r="Z39" s="14"/>
      <c r="AA39" s="14"/>
      <c r="AB39" s="14"/>
      <c r="AC39" s="14"/>
    </row>
    <row r="40" spans="2:36" ht="15">
      <c r="C40" s="14">
        <v>12</v>
      </c>
      <c r="D40" s="165">
        <f t="shared" si="2"/>
        <v>5</v>
      </c>
      <c r="E40" s="14">
        <v>3</v>
      </c>
      <c r="F40" s="14">
        <f t="shared" si="3"/>
        <v>4</v>
      </c>
      <c r="M40" s="14">
        <v>12</v>
      </c>
      <c r="N40" s="165">
        <v>5</v>
      </c>
      <c r="O40" s="14">
        <v>3</v>
      </c>
      <c r="P40" s="14">
        <f t="shared" si="4"/>
        <v>4</v>
      </c>
      <c r="Q40" s="14"/>
      <c r="Y40" s="14"/>
      <c r="Z40" s="14"/>
      <c r="AA40" s="14" t="s">
        <v>372</v>
      </c>
      <c r="AB40" s="14">
        <f>SUM(AB27:AB38)</f>
        <v>31.25</v>
      </c>
      <c r="AC40" s="14"/>
    </row>
    <row r="41" spans="2:36">
      <c r="C41" s="14"/>
      <c r="D41" s="14"/>
      <c r="E41" s="14"/>
      <c r="F41" s="14"/>
      <c r="N41" s="14"/>
      <c r="O41" s="14"/>
      <c r="P41" s="14"/>
      <c r="Q41" s="14"/>
      <c r="AC41" s="258"/>
    </row>
    <row r="42" spans="2:36">
      <c r="C42" s="14"/>
      <c r="D42" s="14"/>
      <c r="E42" s="14" t="s">
        <v>372</v>
      </c>
      <c r="F42" s="14">
        <f>SUM(F29:F40)</f>
        <v>58.25</v>
      </c>
      <c r="N42" s="14"/>
      <c r="O42" s="14" t="s">
        <v>372</v>
      </c>
      <c r="P42" s="14">
        <f>SUM(P29:P40)</f>
        <v>53.25</v>
      </c>
      <c r="Q42" s="14"/>
      <c r="AC42" s="258"/>
    </row>
    <row r="43" spans="2:36" ht="13.5" thickBot="1">
      <c r="C43" s="14"/>
      <c r="D43" s="14"/>
      <c r="E43" s="14"/>
      <c r="F43" s="14"/>
      <c r="N43" s="14"/>
      <c r="O43" s="14"/>
      <c r="P43" s="14"/>
      <c r="Q43" s="14"/>
      <c r="AC43" s="258"/>
    </row>
    <row r="44" spans="2:36">
      <c r="B44" s="356"/>
      <c r="C44" s="354" t="s">
        <v>357</v>
      </c>
      <c r="D44" s="341"/>
      <c r="E44" s="341"/>
      <c r="F44" s="341"/>
      <c r="G44" s="341"/>
      <c r="H44" s="342"/>
      <c r="I44" s="342"/>
      <c r="J44" s="341"/>
      <c r="K44" s="342"/>
      <c r="L44" s="342"/>
      <c r="M44" s="341"/>
      <c r="N44" s="341"/>
      <c r="O44" s="341"/>
      <c r="P44" s="341"/>
      <c r="Q44" s="341"/>
      <c r="R44" s="342"/>
      <c r="S44" s="342"/>
      <c r="T44" s="342"/>
      <c r="U44" s="342"/>
      <c r="V44" s="342"/>
      <c r="W44" s="343"/>
      <c r="AC44" s="258"/>
    </row>
    <row r="45" spans="2:36">
      <c r="B45" s="344"/>
      <c r="D45" s="267" t="s">
        <v>52</v>
      </c>
      <c r="E45" s="268"/>
      <c r="F45" s="268"/>
      <c r="G45" s="268"/>
      <c r="H45" s="269"/>
      <c r="J45" s="8"/>
      <c r="K45" s="267" t="s">
        <v>52</v>
      </c>
      <c r="L45" s="268"/>
      <c r="M45" s="268"/>
      <c r="N45" s="268"/>
      <c r="O45" s="269"/>
      <c r="P45" s="14"/>
      <c r="R45" s="267" t="s">
        <v>52</v>
      </c>
      <c r="S45" s="268"/>
      <c r="T45" s="268"/>
      <c r="U45" s="268"/>
      <c r="V45" s="269"/>
      <c r="W45" s="345"/>
      <c r="AC45" s="258"/>
    </row>
    <row r="46" spans="2:36">
      <c r="B46" s="344"/>
      <c r="C46" s="270" t="s">
        <v>96</v>
      </c>
      <c r="D46" s="271">
        <v>2</v>
      </c>
      <c r="E46" s="271"/>
      <c r="F46" s="271"/>
      <c r="G46" s="71"/>
      <c r="H46" s="71"/>
      <c r="J46" s="270" t="s">
        <v>96</v>
      </c>
      <c r="K46" s="271">
        <v>2</v>
      </c>
      <c r="L46" s="271"/>
      <c r="M46" s="271"/>
      <c r="N46" s="71"/>
      <c r="O46" s="71"/>
      <c r="P46" s="14"/>
      <c r="Q46" s="270" t="s">
        <v>96</v>
      </c>
      <c r="R46" s="271">
        <v>2</v>
      </c>
      <c r="S46" s="271"/>
      <c r="T46" s="271"/>
      <c r="U46" s="71"/>
      <c r="V46" s="71"/>
      <c r="W46" s="345"/>
      <c r="AC46" s="258"/>
    </row>
    <row r="47" spans="2:36">
      <c r="B47" s="344"/>
      <c r="D47" s="111" t="s">
        <v>373</v>
      </c>
      <c r="E47" s="111" t="s">
        <v>370</v>
      </c>
      <c r="F47" s="111" t="s">
        <v>371</v>
      </c>
      <c r="G47" s="111" t="s">
        <v>366</v>
      </c>
      <c r="H47" s="272">
        <f>F50/D46</f>
        <v>1</v>
      </c>
      <c r="J47" s="270"/>
      <c r="K47" s="111" t="s">
        <v>373</v>
      </c>
      <c r="L47" s="111" t="s">
        <v>374</v>
      </c>
      <c r="M47" s="111" t="s">
        <v>371</v>
      </c>
      <c r="N47" s="111" t="s">
        <v>366</v>
      </c>
      <c r="O47" s="272">
        <f>M50/K46</f>
        <v>5</v>
      </c>
      <c r="P47" s="14"/>
      <c r="Q47" s="270"/>
      <c r="R47" s="111" t="s">
        <v>373</v>
      </c>
      <c r="S47" s="111" t="s">
        <v>196</v>
      </c>
      <c r="T47" s="111" t="s">
        <v>371</v>
      </c>
      <c r="U47" s="111" t="s">
        <v>366</v>
      </c>
      <c r="V47" s="272">
        <f>T50/R46</f>
        <v>1</v>
      </c>
      <c r="W47" s="345"/>
      <c r="AC47" s="258"/>
    </row>
    <row r="48" spans="2:36">
      <c r="B48" s="344"/>
      <c r="C48" s="77" t="s">
        <v>375</v>
      </c>
      <c r="D48" s="108">
        <v>2</v>
      </c>
      <c r="E48" s="108">
        <v>3</v>
      </c>
      <c r="F48" s="108">
        <f>(D48-E48)^2</f>
        <v>1</v>
      </c>
      <c r="G48" s="72"/>
      <c r="H48" s="357"/>
      <c r="J48" s="77" t="s">
        <v>375</v>
      </c>
      <c r="K48" s="108">
        <v>2</v>
      </c>
      <c r="L48" s="108">
        <v>5</v>
      </c>
      <c r="M48" s="108">
        <f>(K48-L48)^2</f>
        <v>9</v>
      </c>
      <c r="N48" s="72"/>
      <c r="O48" s="357"/>
      <c r="P48" s="14"/>
      <c r="Q48" s="77" t="s">
        <v>375</v>
      </c>
      <c r="R48" s="108">
        <v>2</v>
      </c>
      <c r="S48" s="108">
        <v>1</v>
      </c>
      <c r="T48" s="108">
        <f>(R48-S48)^2</f>
        <v>1</v>
      </c>
      <c r="U48" s="72"/>
      <c r="V48" s="357"/>
      <c r="W48" s="345"/>
      <c r="AC48" s="258"/>
    </row>
    <row r="49" spans="2:29" ht="13.5" thickBot="1">
      <c r="B49" s="344"/>
      <c r="C49" s="273" t="s">
        <v>376</v>
      </c>
      <c r="D49" s="265">
        <v>4</v>
      </c>
      <c r="E49" s="265">
        <v>5</v>
      </c>
      <c r="F49" s="265">
        <f>(D49-E49)^2</f>
        <v>1</v>
      </c>
      <c r="G49" s="266"/>
      <c r="H49" s="274"/>
      <c r="J49" s="273" t="s">
        <v>376</v>
      </c>
      <c r="K49" s="265">
        <v>4</v>
      </c>
      <c r="L49" s="265">
        <v>3</v>
      </c>
      <c r="M49" s="265">
        <f>(K49-L49)^2</f>
        <v>1</v>
      </c>
      <c r="N49" s="266"/>
      <c r="O49" s="274"/>
      <c r="P49" s="14"/>
      <c r="Q49" s="273" t="s">
        <v>376</v>
      </c>
      <c r="R49" s="265">
        <v>4</v>
      </c>
      <c r="S49" s="265">
        <v>3</v>
      </c>
      <c r="T49" s="265">
        <f>(R49-S49)^2</f>
        <v>1</v>
      </c>
      <c r="U49" s="266"/>
      <c r="V49" s="274"/>
      <c r="W49" s="345"/>
      <c r="AC49" s="258"/>
    </row>
    <row r="50" spans="2:29" ht="13.5" thickBot="1">
      <c r="B50" s="344"/>
      <c r="C50" s="273"/>
      <c r="D50" s="265"/>
      <c r="E50" s="266" t="s">
        <v>372</v>
      </c>
      <c r="F50" s="266">
        <f>SUM(F48:F49)</f>
        <v>2</v>
      </c>
      <c r="G50" s="266"/>
      <c r="H50" s="274"/>
      <c r="J50" s="273"/>
      <c r="K50" s="265"/>
      <c r="L50" s="266" t="s">
        <v>372</v>
      </c>
      <c r="M50" s="266">
        <f>SUM(M48:M49)</f>
        <v>10</v>
      </c>
      <c r="N50" s="266"/>
      <c r="O50" s="274"/>
      <c r="P50" s="14"/>
      <c r="Q50" s="273"/>
      <c r="R50" s="265"/>
      <c r="S50" s="266" t="s">
        <v>372</v>
      </c>
      <c r="T50" s="266">
        <f>SUM(T48:T49)</f>
        <v>2</v>
      </c>
      <c r="U50" s="266"/>
      <c r="V50" s="274"/>
      <c r="W50" s="345"/>
      <c r="Z50" s="442" t="s">
        <v>377</v>
      </c>
      <c r="AC50" s="258"/>
    </row>
    <row r="51" spans="2:29">
      <c r="B51" s="344"/>
      <c r="C51" s="77"/>
      <c r="D51" s="71"/>
      <c r="E51" s="71"/>
      <c r="F51" s="71"/>
      <c r="G51" s="275"/>
      <c r="H51" s="357"/>
      <c r="J51" s="77"/>
      <c r="K51" s="71"/>
      <c r="L51" s="71"/>
      <c r="M51" s="71"/>
      <c r="N51" s="275"/>
      <c r="O51" s="357"/>
      <c r="P51" s="14"/>
      <c r="Q51" s="77"/>
      <c r="R51" s="71"/>
      <c r="S51" s="71"/>
      <c r="T51" s="71"/>
      <c r="U51" s="275"/>
      <c r="V51" s="357"/>
      <c r="W51" s="345"/>
      <c r="Z51" s="443" t="s">
        <v>378</v>
      </c>
      <c r="AC51" s="258"/>
    </row>
    <row r="52" spans="2:29">
      <c r="B52" s="344"/>
      <c r="C52" s="352"/>
      <c r="D52" s="267" t="s">
        <v>54</v>
      </c>
      <c r="E52" s="268"/>
      <c r="F52" s="268"/>
      <c r="G52" s="276"/>
      <c r="H52" s="274"/>
      <c r="J52" s="352"/>
      <c r="K52" s="267" t="s">
        <v>54</v>
      </c>
      <c r="L52" s="268"/>
      <c r="M52" s="268"/>
      <c r="N52" s="276"/>
      <c r="O52" s="274"/>
      <c r="P52" s="14"/>
      <c r="Q52" s="352"/>
      <c r="R52" s="267" t="s">
        <v>54</v>
      </c>
      <c r="S52" s="268"/>
      <c r="T52" s="268"/>
      <c r="U52" s="276"/>
      <c r="V52" s="274"/>
      <c r="W52" s="345"/>
      <c r="Z52" s="444" t="s">
        <v>379</v>
      </c>
      <c r="AC52" s="258"/>
    </row>
    <row r="53" spans="2:29">
      <c r="B53" s="344"/>
      <c r="C53" s="273" t="s">
        <v>96</v>
      </c>
      <c r="D53" s="265">
        <v>3</v>
      </c>
      <c r="E53" s="265"/>
      <c r="F53" s="265"/>
      <c r="G53" s="266"/>
      <c r="H53" s="274"/>
      <c r="J53" s="273" t="s">
        <v>96</v>
      </c>
      <c r="K53" s="265">
        <v>3</v>
      </c>
      <c r="L53" s="265"/>
      <c r="M53" s="265"/>
      <c r="N53" s="266"/>
      <c r="O53" s="274"/>
      <c r="P53" s="14"/>
      <c r="Q53" s="273" t="s">
        <v>96</v>
      </c>
      <c r="R53" s="265">
        <v>3</v>
      </c>
      <c r="S53" s="265"/>
      <c r="T53" s="265"/>
      <c r="U53" s="266"/>
      <c r="V53" s="274"/>
      <c r="W53" s="345"/>
      <c r="Z53" s="444" t="s">
        <v>380</v>
      </c>
      <c r="AC53" s="258"/>
    </row>
    <row r="54" spans="2:29">
      <c r="B54" s="344"/>
      <c r="C54" s="77"/>
      <c r="D54" s="355" t="s">
        <v>373</v>
      </c>
      <c r="E54" s="111" t="s">
        <v>370</v>
      </c>
      <c r="F54" s="111" t="s">
        <v>371</v>
      </c>
      <c r="G54" s="111" t="s">
        <v>366</v>
      </c>
      <c r="H54" s="277">
        <f>F58/D53</f>
        <v>4</v>
      </c>
      <c r="J54" s="270"/>
      <c r="K54" s="111" t="s">
        <v>373</v>
      </c>
      <c r="L54" s="111" t="s">
        <v>374</v>
      </c>
      <c r="M54" s="111" t="s">
        <v>371</v>
      </c>
      <c r="N54" s="111" t="s">
        <v>366</v>
      </c>
      <c r="O54" s="277">
        <f>M58/K53</f>
        <v>1.75</v>
      </c>
      <c r="P54" s="14"/>
      <c r="Q54" s="270"/>
      <c r="R54" s="111" t="s">
        <v>373</v>
      </c>
      <c r="S54" s="111" t="s">
        <v>196</v>
      </c>
      <c r="T54" s="111" t="s">
        <v>371</v>
      </c>
      <c r="U54" s="111" t="s">
        <v>366</v>
      </c>
      <c r="V54" s="277">
        <f>T58/R53</f>
        <v>1.6666666666666667</v>
      </c>
      <c r="W54" s="345"/>
      <c r="Z54" s="444" t="s">
        <v>381</v>
      </c>
      <c r="AC54" s="258"/>
    </row>
    <row r="55" spans="2:29">
      <c r="B55" s="344"/>
      <c r="C55" s="77" t="s">
        <v>382</v>
      </c>
      <c r="D55" s="108">
        <v>3</v>
      </c>
      <c r="E55" s="108">
        <v>5</v>
      </c>
      <c r="F55" s="108">
        <f>(D55-E55)^2</f>
        <v>4</v>
      </c>
      <c r="G55" s="72"/>
      <c r="H55" s="357"/>
      <c r="J55" s="77" t="s">
        <v>382</v>
      </c>
      <c r="K55" s="108">
        <v>3</v>
      </c>
      <c r="L55" s="108">
        <v>1</v>
      </c>
      <c r="M55" s="108">
        <f>(K55-L55)^2</f>
        <v>4</v>
      </c>
      <c r="N55" s="72"/>
      <c r="O55" s="357"/>
      <c r="P55" s="14"/>
      <c r="Q55" s="77" t="s">
        <v>382</v>
      </c>
      <c r="R55" s="108">
        <v>3</v>
      </c>
      <c r="S55" s="108">
        <v>3</v>
      </c>
      <c r="T55" s="108">
        <f>(R55-S55)^2</f>
        <v>0</v>
      </c>
      <c r="U55" s="72"/>
      <c r="V55" s="357"/>
      <c r="W55" s="345"/>
      <c r="Z55" s="444" t="s">
        <v>383</v>
      </c>
      <c r="AC55" s="258"/>
    </row>
    <row r="56" spans="2:29">
      <c r="B56" s="344"/>
      <c r="C56" s="77" t="s">
        <v>384</v>
      </c>
      <c r="D56" s="108">
        <v>3</v>
      </c>
      <c r="E56" s="108">
        <v>5</v>
      </c>
      <c r="F56" s="108">
        <f>(D56-E56)^2</f>
        <v>4</v>
      </c>
      <c r="G56" s="72"/>
      <c r="H56" s="357"/>
      <c r="J56" s="77" t="s">
        <v>384</v>
      </c>
      <c r="K56" s="108">
        <v>3</v>
      </c>
      <c r="L56" s="108">
        <v>4</v>
      </c>
      <c r="M56" s="108">
        <f>(K56-L56)^2</f>
        <v>1</v>
      </c>
      <c r="N56" s="72"/>
      <c r="O56" s="357"/>
      <c r="P56" s="14"/>
      <c r="Q56" s="77" t="s">
        <v>384</v>
      </c>
      <c r="R56" s="108">
        <v>3</v>
      </c>
      <c r="S56" s="108">
        <v>4</v>
      </c>
      <c r="T56" s="108">
        <f>(R56-S56)^2</f>
        <v>1</v>
      </c>
      <c r="U56" s="72"/>
      <c r="V56" s="357"/>
      <c r="W56" s="345"/>
      <c r="Z56" s="444" t="s">
        <v>385</v>
      </c>
      <c r="AC56" s="258"/>
    </row>
    <row r="57" spans="2:29">
      <c r="B57" s="344"/>
      <c r="C57" s="273" t="s">
        <v>386</v>
      </c>
      <c r="D57" s="265">
        <v>3</v>
      </c>
      <c r="E57" s="265">
        <v>5</v>
      </c>
      <c r="F57" s="265">
        <f>(D57-E57)^2</f>
        <v>4</v>
      </c>
      <c r="G57" s="266"/>
      <c r="H57" s="274"/>
      <c r="J57" s="273" t="s">
        <v>386</v>
      </c>
      <c r="K57" s="265">
        <v>3</v>
      </c>
      <c r="L57" s="265">
        <v>2.5</v>
      </c>
      <c r="M57" s="265">
        <f>(K57-L57)^2</f>
        <v>0.25</v>
      </c>
      <c r="N57" s="266"/>
      <c r="O57" s="274"/>
      <c r="P57" s="14"/>
      <c r="Q57" s="273" t="s">
        <v>386</v>
      </c>
      <c r="R57" s="265">
        <v>3</v>
      </c>
      <c r="S57" s="265">
        <v>5</v>
      </c>
      <c r="T57" s="265">
        <f>(R57-S57)^2</f>
        <v>4</v>
      </c>
      <c r="U57" s="266"/>
      <c r="V57" s="274"/>
      <c r="W57" s="345"/>
      <c r="Z57" s="444" t="s">
        <v>387</v>
      </c>
      <c r="AC57" s="258"/>
    </row>
    <row r="58" spans="2:29">
      <c r="B58" s="344"/>
      <c r="C58" s="273"/>
      <c r="D58" s="265"/>
      <c r="E58" s="266" t="s">
        <v>372</v>
      </c>
      <c r="F58" s="266">
        <f>SUM(F55:F57)</f>
        <v>12</v>
      </c>
      <c r="G58" s="266"/>
      <c r="H58" s="274"/>
      <c r="J58" s="273"/>
      <c r="K58" s="265"/>
      <c r="L58" s="266" t="s">
        <v>372</v>
      </c>
      <c r="M58" s="266">
        <f>SUM(M55:M57)</f>
        <v>5.25</v>
      </c>
      <c r="N58" s="266"/>
      <c r="O58" s="274"/>
      <c r="P58" s="14"/>
      <c r="Q58" s="273"/>
      <c r="R58" s="265"/>
      <c r="S58" s="266" t="s">
        <v>372</v>
      </c>
      <c r="T58" s="266">
        <f>SUM(T55:T57)</f>
        <v>5</v>
      </c>
      <c r="U58" s="266"/>
      <c r="V58" s="274"/>
      <c r="W58" s="345"/>
      <c r="Z58" s="444" t="s">
        <v>388</v>
      </c>
      <c r="AC58" s="258"/>
    </row>
    <row r="59" spans="2:29" ht="13.5" thickBot="1">
      <c r="B59" s="344"/>
      <c r="C59" s="77"/>
      <c r="D59" s="71"/>
      <c r="E59" s="71"/>
      <c r="F59" s="71"/>
      <c r="G59" s="275"/>
      <c r="H59" s="357"/>
      <c r="J59" s="77"/>
      <c r="K59" s="71"/>
      <c r="L59" s="71"/>
      <c r="M59" s="71"/>
      <c r="N59" s="275"/>
      <c r="O59" s="357"/>
      <c r="P59" s="14"/>
      <c r="Q59" s="77"/>
      <c r="R59" s="71"/>
      <c r="S59" s="71"/>
      <c r="T59" s="71"/>
      <c r="U59" s="275"/>
      <c r="V59" s="357"/>
      <c r="W59" s="345"/>
      <c r="Z59" s="445" t="s">
        <v>389</v>
      </c>
      <c r="AC59" s="258"/>
    </row>
    <row r="60" spans="2:29">
      <c r="B60" s="344"/>
      <c r="C60" s="352"/>
      <c r="D60" s="267" t="s">
        <v>56</v>
      </c>
      <c r="E60" s="268"/>
      <c r="F60" s="268"/>
      <c r="G60" s="276"/>
      <c r="H60" s="274"/>
      <c r="J60" s="352"/>
      <c r="K60" s="267" t="s">
        <v>56</v>
      </c>
      <c r="L60" s="268"/>
      <c r="M60" s="268"/>
      <c r="N60" s="276"/>
      <c r="O60" s="274"/>
      <c r="P60" s="14"/>
      <c r="Q60" s="352"/>
      <c r="R60" s="267" t="s">
        <v>56</v>
      </c>
      <c r="S60" s="268"/>
      <c r="T60" s="268"/>
      <c r="U60" s="276"/>
      <c r="V60" s="274"/>
      <c r="W60" s="345"/>
      <c r="AC60" s="258"/>
    </row>
    <row r="61" spans="2:29">
      <c r="B61" s="344"/>
      <c r="C61" s="273" t="s">
        <v>96</v>
      </c>
      <c r="D61" s="265">
        <v>4</v>
      </c>
      <c r="E61" s="265"/>
      <c r="F61" s="265"/>
      <c r="G61" s="266"/>
      <c r="H61" s="274"/>
      <c r="J61" s="273" t="s">
        <v>96</v>
      </c>
      <c r="K61" s="265">
        <v>4</v>
      </c>
      <c r="L61" s="265"/>
      <c r="M61" s="265"/>
      <c r="N61" s="266"/>
      <c r="O61" s="274"/>
      <c r="P61" s="14"/>
      <c r="Q61" s="273" t="s">
        <v>96</v>
      </c>
      <c r="R61" s="265">
        <v>4</v>
      </c>
      <c r="S61" s="265"/>
      <c r="T61" s="265"/>
      <c r="U61" s="266"/>
      <c r="V61" s="274"/>
      <c r="W61" s="345"/>
      <c r="AC61" s="258"/>
    </row>
    <row r="62" spans="2:29">
      <c r="B62" s="344"/>
      <c r="C62" s="271"/>
      <c r="D62" s="111" t="s">
        <v>373</v>
      </c>
      <c r="E62" s="111" t="s">
        <v>370</v>
      </c>
      <c r="F62" s="111" t="s">
        <v>371</v>
      </c>
      <c r="G62" s="111" t="s">
        <v>366</v>
      </c>
      <c r="H62" s="272">
        <f>F67/D61</f>
        <v>9.25</v>
      </c>
      <c r="J62" s="271"/>
      <c r="K62" s="111" t="s">
        <v>373</v>
      </c>
      <c r="L62" s="111" t="s">
        <v>374</v>
      </c>
      <c r="M62" s="111" t="s">
        <v>371</v>
      </c>
      <c r="N62" s="111" t="s">
        <v>366</v>
      </c>
      <c r="O62" s="272">
        <f>M67/K61</f>
        <v>6.25</v>
      </c>
      <c r="P62" s="14"/>
      <c r="Q62" s="271"/>
      <c r="R62" s="111" t="s">
        <v>373</v>
      </c>
      <c r="S62" s="111" t="s">
        <v>196</v>
      </c>
      <c r="T62" s="111" t="s">
        <v>371</v>
      </c>
      <c r="U62" s="111" t="s">
        <v>366</v>
      </c>
      <c r="V62" s="272">
        <f>T67/R61</f>
        <v>0.75</v>
      </c>
      <c r="W62" s="345"/>
      <c r="AC62" s="258"/>
    </row>
    <row r="63" spans="2:29">
      <c r="B63" s="344"/>
      <c r="C63" s="108" t="s">
        <v>390</v>
      </c>
      <c r="D63" s="108">
        <v>1</v>
      </c>
      <c r="E63" s="108">
        <v>5</v>
      </c>
      <c r="F63" s="108">
        <f>(D63-E63)^2</f>
        <v>16</v>
      </c>
      <c r="G63" s="108"/>
      <c r="H63" s="70"/>
      <c r="J63" s="108" t="s">
        <v>390</v>
      </c>
      <c r="K63" s="108">
        <v>1</v>
      </c>
      <c r="L63" s="108">
        <v>5</v>
      </c>
      <c r="M63" s="108">
        <f>(K63-L63)^2</f>
        <v>16</v>
      </c>
      <c r="N63" s="108"/>
      <c r="O63" s="70"/>
      <c r="P63" s="14"/>
      <c r="Q63" s="108" t="s">
        <v>390</v>
      </c>
      <c r="R63" s="108">
        <v>1</v>
      </c>
      <c r="S63" s="108">
        <v>2</v>
      </c>
      <c r="T63" s="108">
        <f>(R63-S63)^2</f>
        <v>1</v>
      </c>
      <c r="U63" s="108"/>
      <c r="V63" s="70"/>
      <c r="W63" s="345"/>
      <c r="AC63" s="258"/>
    </row>
    <row r="64" spans="2:29">
      <c r="B64" s="344"/>
      <c r="C64" s="108" t="s">
        <v>391</v>
      </c>
      <c r="D64" s="108">
        <v>4</v>
      </c>
      <c r="E64" s="108">
        <v>5</v>
      </c>
      <c r="F64" s="108">
        <f>(D64-E64)^2</f>
        <v>1</v>
      </c>
      <c r="G64" s="108"/>
      <c r="H64" s="71"/>
      <c r="J64" s="108" t="s">
        <v>391</v>
      </c>
      <c r="K64" s="108">
        <v>4</v>
      </c>
      <c r="L64" s="108">
        <v>2</v>
      </c>
      <c r="M64" s="108">
        <f>(K64-L64)^2</f>
        <v>4</v>
      </c>
      <c r="N64" s="108"/>
      <c r="O64" s="71"/>
      <c r="P64" s="14"/>
      <c r="Q64" s="108" t="s">
        <v>391</v>
      </c>
      <c r="R64" s="108">
        <v>4</v>
      </c>
      <c r="S64" s="108">
        <v>3</v>
      </c>
      <c r="T64" s="108">
        <f>(R64-S64)^2</f>
        <v>1</v>
      </c>
      <c r="U64" s="108"/>
      <c r="V64" s="71"/>
      <c r="W64" s="345"/>
      <c r="AC64" s="258"/>
    </row>
    <row r="65" spans="2:29">
      <c r="B65" s="344"/>
      <c r="C65" s="108" t="s">
        <v>392</v>
      </c>
      <c r="D65" s="108">
        <v>5</v>
      </c>
      <c r="E65" s="108">
        <v>1</v>
      </c>
      <c r="F65" s="108">
        <f>(D65-E65)^2</f>
        <v>16</v>
      </c>
      <c r="G65" s="108"/>
      <c r="H65" s="71"/>
      <c r="J65" s="108" t="s">
        <v>392</v>
      </c>
      <c r="K65" s="108">
        <v>5</v>
      </c>
      <c r="L65" s="108">
        <v>3</v>
      </c>
      <c r="M65" s="108">
        <f>(K65-L65)^2</f>
        <v>4</v>
      </c>
      <c r="N65" s="108"/>
      <c r="O65" s="71"/>
      <c r="P65" s="14"/>
      <c r="Q65" s="108" t="s">
        <v>392</v>
      </c>
      <c r="R65" s="108">
        <v>5</v>
      </c>
      <c r="S65" s="108">
        <v>4</v>
      </c>
      <c r="T65" s="108">
        <f>(R65-S65)^2</f>
        <v>1</v>
      </c>
      <c r="U65" s="108"/>
      <c r="V65" s="71"/>
      <c r="W65" s="345"/>
      <c r="AC65" s="258"/>
    </row>
    <row r="66" spans="2:29">
      <c r="B66" s="344"/>
      <c r="C66" s="265" t="s">
        <v>393</v>
      </c>
      <c r="D66" s="265">
        <v>5</v>
      </c>
      <c r="E66" s="265">
        <v>3</v>
      </c>
      <c r="F66" s="265">
        <f>(D66-E66)^2</f>
        <v>4</v>
      </c>
      <c r="G66" s="265"/>
      <c r="H66" s="268"/>
      <c r="J66" s="265" t="s">
        <v>393</v>
      </c>
      <c r="K66" s="265">
        <v>5</v>
      </c>
      <c r="L66" s="265">
        <v>4</v>
      </c>
      <c r="M66" s="265">
        <f>(K66-L66)^2</f>
        <v>1</v>
      </c>
      <c r="N66" s="265"/>
      <c r="O66" s="268"/>
      <c r="P66" s="14"/>
      <c r="Q66" s="265" t="s">
        <v>393</v>
      </c>
      <c r="R66" s="265">
        <v>5</v>
      </c>
      <c r="S66" s="265">
        <v>5</v>
      </c>
      <c r="T66" s="265">
        <f>(R66-S66)^2</f>
        <v>0</v>
      </c>
      <c r="U66" s="265"/>
      <c r="V66" s="268"/>
      <c r="W66" s="345"/>
      <c r="AC66" s="258"/>
    </row>
    <row r="67" spans="2:29" ht="13.5" thickBot="1">
      <c r="B67" s="358"/>
      <c r="C67" s="346"/>
      <c r="D67" s="346"/>
      <c r="E67" s="347" t="s">
        <v>372</v>
      </c>
      <c r="F67" s="347">
        <f>SUM(F63:F66)</f>
        <v>37</v>
      </c>
      <c r="G67" s="346"/>
      <c r="H67" s="348"/>
      <c r="I67" s="349"/>
      <c r="J67" s="346"/>
      <c r="K67" s="346"/>
      <c r="L67" s="347" t="s">
        <v>372</v>
      </c>
      <c r="M67" s="347">
        <f>SUM(M63:M66)</f>
        <v>25</v>
      </c>
      <c r="N67" s="346"/>
      <c r="O67" s="348"/>
      <c r="P67" s="350"/>
      <c r="Q67" s="346"/>
      <c r="R67" s="346"/>
      <c r="S67" s="347" t="s">
        <v>372</v>
      </c>
      <c r="T67" s="347">
        <f>SUM(T63:T66)</f>
        <v>3</v>
      </c>
      <c r="U67" s="346"/>
      <c r="V67" s="348"/>
      <c r="W67" s="351"/>
      <c r="AC67" s="258"/>
    </row>
    <row r="68" spans="2:29" ht="13.5" thickBot="1">
      <c r="C68" s="14"/>
      <c r="D68" s="14"/>
      <c r="E68" s="14"/>
      <c r="F68" s="14"/>
      <c r="N68" s="14"/>
      <c r="O68" s="14"/>
      <c r="P68" s="14"/>
      <c r="Q68" s="14"/>
      <c r="AC68" s="258"/>
    </row>
    <row r="69" spans="2:29">
      <c r="B69" s="361"/>
      <c r="C69" s="362" t="s">
        <v>364</v>
      </c>
      <c r="D69" s="363"/>
      <c r="E69" s="363"/>
      <c r="F69" s="363"/>
      <c r="G69" s="363"/>
      <c r="H69" s="364"/>
      <c r="I69" s="364"/>
      <c r="J69" s="363"/>
      <c r="K69" s="364"/>
      <c r="L69" s="364"/>
      <c r="M69" s="363"/>
      <c r="N69" s="363"/>
      <c r="O69" s="363"/>
      <c r="P69" s="363"/>
      <c r="Q69" s="363"/>
      <c r="R69" s="364"/>
      <c r="S69" s="364"/>
      <c r="T69" s="364"/>
      <c r="U69" s="364"/>
      <c r="V69" s="364"/>
      <c r="W69" s="365"/>
      <c r="X69" s="39"/>
      <c r="AC69" s="258"/>
    </row>
    <row r="70" spans="2:29">
      <c r="B70" s="366"/>
      <c r="C70" s="39"/>
      <c r="D70" s="267" t="s">
        <v>52</v>
      </c>
      <c r="E70" s="276"/>
      <c r="F70" s="276"/>
      <c r="G70" s="276"/>
      <c r="H70" s="274"/>
      <c r="I70" s="39"/>
      <c r="J70" s="39"/>
      <c r="K70" s="267" t="s">
        <v>52</v>
      </c>
      <c r="L70" s="276"/>
      <c r="M70" s="276"/>
      <c r="N70" s="276"/>
      <c r="O70" s="274"/>
      <c r="P70" s="45"/>
      <c r="Q70" s="39"/>
      <c r="R70" s="267" t="s">
        <v>52</v>
      </c>
      <c r="S70" s="276"/>
      <c r="T70" s="276"/>
      <c r="U70" s="276"/>
      <c r="V70" s="274"/>
      <c r="W70" s="367"/>
      <c r="X70" s="39"/>
      <c r="AC70" s="258"/>
    </row>
    <row r="71" spans="2:29">
      <c r="B71" s="366"/>
      <c r="C71" s="355" t="s">
        <v>96</v>
      </c>
      <c r="D71" s="111">
        <v>2</v>
      </c>
      <c r="E71" s="111"/>
      <c r="F71" s="111"/>
      <c r="G71" s="275" t="s">
        <v>366</v>
      </c>
      <c r="H71" s="275">
        <f>F75/D71</f>
        <v>2.5</v>
      </c>
      <c r="I71" s="39"/>
      <c r="J71" s="355" t="s">
        <v>96</v>
      </c>
      <c r="K71" s="111">
        <v>2</v>
      </c>
      <c r="L71" s="111"/>
      <c r="M71" s="111"/>
      <c r="N71" s="275" t="s">
        <v>366</v>
      </c>
      <c r="O71" s="275">
        <f>M75/K71</f>
        <v>0.5</v>
      </c>
      <c r="P71" s="45"/>
      <c r="Q71" s="355" t="s">
        <v>96</v>
      </c>
      <c r="R71" s="111">
        <v>2</v>
      </c>
      <c r="S71" s="111"/>
      <c r="T71" s="111"/>
      <c r="U71" s="275"/>
      <c r="V71" s="275"/>
      <c r="W71" s="367"/>
      <c r="X71" s="39"/>
      <c r="AC71" s="258"/>
    </row>
    <row r="72" spans="2:29">
      <c r="B72" s="366"/>
      <c r="C72" s="359"/>
      <c r="D72" s="111" t="s">
        <v>394</v>
      </c>
      <c r="E72" s="111" t="s">
        <v>370</v>
      </c>
      <c r="F72" s="111" t="s">
        <v>371</v>
      </c>
      <c r="G72" s="111"/>
      <c r="H72" s="272"/>
      <c r="I72" s="39"/>
      <c r="J72" s="355"/>
      <c r="K72" s="111" t="s">
        <v>394</v>
      </c>
      <c r="L72" s="111" t="s">
        <v>374</v>
      </c>
      <c r="M72" s="111" t="s">
        <v>371</v>
      </c>
      <c r="N72" s="111"/>
      <c r="O72" s="272"/>
      <c r="P72" s="45"/>
      <c r="Q72" s="355"/>
      <c r="R72" s="111" t="s">
        <v>394</v>
      </c>
      <c r="S72" s="111" t="s">
        <v>196</v>
      </c>
      <c r="T72" s="111" t="s">
        <v>371</v>
      </c>
      <c r="U72" s="111" t="s">
        <v>366</v>
      </c>
      <c r="V72" s="272">
        <f>T75/R71</f>
        <v>4.5</v>
      </c>
      <c r="W72" s="367"/>
      <c r="X72" s="39"/>
      <c r="AC72" s="258"/>
    </row>
    <row r="73" spans="2:29">
      <c r="B73" s="366"/>
      <c r="C73" s="77" t="s">
        <v>375</v>
      </c>
      <c r="D73" s="72">
        <v>4</v>
      </c>
      <c r="E73" s="72">
        <v>3</v>
      </c>
      <c r="F73" s="72">
        <f>(D73-E73)^2</f>
        <v>1</v>
      </c>
      <c r="G73" s="72"/>
      <c r="H73" s="357"/>
      <c r="I73" s="39"/>
      <c r="J73" s="77" t="s">
        <v>375</v>
      </c>
      <c r="K73" s="72">
        <v>4</v>
      </c>
      <c r="L73" s="72">
        <v>5</v>
      </c>
      <c r="M73" s="72">
        <f>(K73-L73)^2</f>
        <v>1</v>
      </c>
      <c r="N73" s="72"/>
      <c r="O73" s="357"/>
      <c r="P73" s="45"/>
      <c r="Q73" s="77" t="s">
        <v>375</v>
      </c>
      <c r="R73" s="72">
        <v>4</v>
      </c>
      <c r="S73" s="72">
        <v>1</v>
      </c>
      <c r="T73" s="72">
        <f>(R73-S73)^2</f>
        <v>9</v>
      </c>
      <c r="U73" s="72"/>
      <c r="V73" s="357"/>
      <c r="W73" s="367"/>
      <c r="X73" s="39"/>
      <c r="AC73" s="258"/>
    </row>
    <row r="74" spans="2:29">
      <c r="B74" s="366"/>
      <c r="C74" s="273" t="s">
        <v>376</v>
      </c>
      <c r="D74" s="266">
        <v>3</v>
      </c>
      <c r="E74" s="266">
        <v>5</v>
      </c>
      <c r="F74" s="266">
        <f>(D74-E74)^2</f>
        <v>4</v>
      </c>
      <c r="G74" s="266"/>
      <c r="H74" s="274"/>
      <c r="I74" s="39"/>
      <c r="J74" s="273" t="s">
        <v>376</v>
      </c>
      <c r="K74" s="266">
        <v>3</v>
      </c>
      <c r="L74" s="266">
        <v>3</v>
      </c>
      <c r="M74" s="266">
        <f>(K74-L74)^2</f>
        <v>0</v>
      </c>
      <c r="N74" s="266"/>
      <c r="O74" s="274"/>
      <c r="P74" s="45"/>
      <c r="Q74" s="273" t="s">
        <v>376</v>
      </c>
      <c r="R74" s="266">
        <v>3</v>
      </c>
      <c r="S74" s="266">
        <v>3</v>
      </c>
      <c r="T74" s="266">
        <f>(R74-S74)^2</f>
        <v>0</v>
      </c>
      <c r="U74" s="266"/>
      <c r="V74" s="274"/>
      <c r="W74" s="367"/>
      <c r="X74" s="39"/>
      <c r="AC74" s="258"/>
    </row>
    <row r="75" spans="2:29">
      <c r="B75" s="366"/>
      <c r="C75" s="267"/>
      <c r="D75" s="266"/>
      <c r="E75" s="266" t="s">
        <v>372</v>
      </c>
      <c r="F75" s="266">
        <f>SUM(F73:F74)</f>
        <v>5</v>
      </c>
      <c r="G75" s="266"/>
      <c r="H75" s="274"/>
      <c r="I75" s="39"/>
      <c r="J75" s="267"/>
      <c r="K75" s="266"/>
      <c r="L75" s="266" t="s">
        <v>372</v>
      </c>
      <c r="M75" s="266">
        <f>SUM(M73:M74)</f>
        <v>1</v>
      </c>
      <c r="N75" s="266"/>
      <c r="O75" s="274"/>
      <c r="P75" s="45"/>
      <c r="Q75" s="267"/>
      <c r="R75" s="266"/>
      <c r="S75" s="266" t="s">
        <v>372</v>
      </c>
      <c r="T75" s="266">
        <f>SUM(T73:T74)</f>
        <v>9</v>
      </c>
      <c r="U75" s="266"/>
      <c r="V75" s="274"/>
      <c r="W75" s="367"/>
      <c r="X75" s="39"/>
      <c r="AC75" s="258"/>
    </row>
    <row r="76" spans="2:29" ht="13.5" thickBot="1">
      <c r="B76" s="366"/>
      <c r="C76" s="359"/>
      <c r="D76" s="275"/>
      <c r="E76" s="275"/>
      <c r="F76" s="275"/>
      <c r="G76" s="275"/>
      <c r="H76" s="357"/>
      <c r="I76" s="39"/>
      <c r="J76" s="359"/>
      <c r="K76" s="275"/>
      <c r="L76" s="275"/>
      <c r="M76" s="275"/>
      <c r="N76" s="275"/>
      <c r="O76" s="357"/>
      <c r="P76" s="45"/>
      <c r="Q76" s="359"/>
      <c r="R76" s="275"/>
      <c r="S76" s="275"/>
      <c r="T76" s="275"/>
      <c r="U76" s="275"/>
      <c r="V76" s="357"/>
      <c r="W76" s="367"/>
      <c r="X76" s="39"/>
      <c r="AC76" s="258"/>
    </row>
    <row r="77" spans="2:29" ht="13.5" thickBot="1">
      <c r="B77" s="366"/>
      <c r="C77" s="353"/>
      <c r="D77" s="267" t="s">
        <v>54</v>
      </c>
      <c r="E77" s="276"/>
      <c r="F77" s="276"/>
      <c r="G77" s="276"/>
      <c r="H77" s="274"/>
      <c r="I77" s="39"/>
      <c r="J77" s="353"/>
      <c r="K77" s="267" t="s">
        <v>54</v>
      </c>
      <c r="L77" s="276"/>
      <c r="M77" s="276"/>
      <c r="N77" s="276"/>
      <c r="O77" s="274"/>
      <c r="P77" s="45"/>
      <c r="Q77" s="39"/>
      <c r="R77" s="267" t="s">
        <v>54</v>
      </c>
      <c r="S77" s="276"/>
      <c r="T77" s="276"/>
      <c r="U77" s="276"/>
      <c r="V77" s="274"/>
      <c r="W77" s="367"/>
      <c r="X77" s="39"/>
      <c r="Z77" s="442" t="s">
        <v>377</v>
      </c>
      <c r="AC77" s="258"/>
    </row>
    <row r="78" spans="2:29">
      <c r="B78" s="366"/>
      <c r="C78" s="267" t="s">
        <v>96</v>
      </c>
      <c r="D78" s="266">
        <v>3</v>
      </c>
      <c r="E78" s="266"/>
      <c r="F78" s="266"/>
      <c r="G78" s="266"/>
      <c r="H78" s="274"/>
      <c r="I78" s="39"/>
      <c r="J78" s="267" t="s">
        <v>96</v>
      </c>
      <c r="K78" s="266">
        <v>3</v>
      </c>
      <c r="L78" s="266"/>
      <c r="M78" s="266"/>
      <c r="N78" s="266"/>
      <c r="O78" s="274"/>
      <c r="P78" s="45"/>
      <c r="Q78" s="267" t="s">
        <v>96</v>
      </c>
      <c r="R78" s="266">
        <v>3</v>
      </c>
      <c r="S78" s="266"/>
      <c r="T78" s="266"/>
      <c r="U78" s="266"/>
      <c r="V78" s="274"/>
      <c r="W78" s="367"/>
      <c r="X78" s="39"/>
      <c r="Z78" s="443" t="s">
        <v>378</v>
      </c>
      <c r="AC78" s="258"/>
    </row>
    <row r="79" spans="2:29">
      <c r="B79" s="366"/>
      <c r="C79" s="359"/>
      <c r="D79" s="355" t="s">
        <v>394</v>
      </c>
      <c r="E79" s="111" t="s">
        <v>370</v>
      </c>
      <c r="F79" s="111" t="s">
        <v>371</v>
      </c>
      <c r="G79" s="111" t="s">
        <v>366</v>
      </c>
      <c r="H79" s="277">
        <f>F83/D78</f>
        <v>2</v>
      </c>
      <c r="I79" s="39"/>
      <c r="J79" s="355"/>
      <c r="K79" s="111" t="s">
        <v>394</v>
      </c>
      <c r="L79" s="111" t="s">
        <v>374</v>
      </c>
      <c r="M79" s="111" t="s">
        <v>371</v>
      </c>
      <c r="N79" s="111" t="s">
        <v>366</v>
      </c>
      <c r="O79" s="277">
        <f>M83/K78</f>
        <v>4.083333333333333</v>
      </c>
      <c r="P79" s="45"/>
      <c r="Q79" s="355"/>
      <c r="R79" s="111" t="s">
        <v>394</v>
      </c>
      <c r="S79" s="111" t="s">
        <v>196</v>
      </c>
      <c r="T79" s="111" t="s">
        <v>371</v>
      </c>
      <c r="U79" s="111" t="s">
        <v>366</v>
      </c>
      <c r="V79" s="277">
        <f>T83/R78</f>
        <v>1</v>
      </c>
      <c r="W79" s="367"/>
      <c r="X79" s="39"/>
      <c r="Z79" s="444" t="s">
        <v>379</v>
      </c>
      <c r="AC79" s="258"/>
    </row>
    <row r="80" spans="2:29">
      <c r="B80" s="366"/>
      <c r="C80" s="77" t="s">
        <v>382</v>
      </c>
      <c r="D80" s="72">
        <v>4</v>
      </c>
      <c r="E80" s="72">
        <v>5</v>
      </c>
      <c r="F80" s="72">
        <f>(D80-E80)^2</f>
        <v>1</v>
      </c>
      <c r="G80" s="72"/>
      <c r="H80" s="357"/>
      <c r="I80" s="39"/>
      <c r="J80" s="77" t="s">
        <v>382</v>
      </c>
      <c r="K80" s="72">
        <v>4</v>
      </c>
      <c r="L80" s="108">
        <v>1</v>
      </c>
      <c r="M80" s="108">
        <f>(K80-L80)^2</f>
        <v>9</v>
      </c>
      <c r="N80" s="72"/>
      <c r="O80" s="357"/>
      <c r="P80" s="45"/>
      <c r="Q80" s="77" t="s">
        <v>382</v>
      </c>
      <c r="R80" s="72">
        <v>4</v>
      </c>
      <c r="S80" s="72">
        <v>3</v>
      </c>
      <c r="T80" s="72">
        <f>(R80-S80)^2</f>
        <v>1</v>
      </c>
      <c r="U80" s="72"/>
      <c r="V80" s="357"/>
      <c r="W80" s="367"/>
      <c r="X80" s="39"/>
      <c r="Z80" s="444" t="s">
        <v>380</v>
      </c>
      <c r="AC80" s="258"/>
    </row>
    <row r="81" spans="2:29">
      <c r="B81" s="366"/>
      <c r="C81" s="77" t="s">
        <v>384</v>
      </c>
      <c r="D81" s="72">
        <v>3</v>
      </c>
      <c r="E81" s="72">
        <v>5</v>
      </c>
      <c r="F81" s="72">
        <f>(D81-E81)^2</f>
        <v>4</v>
      </c>
      <c r="G81" s="72"/>
      <c r="H81" s="357"/>
      <c r="I81" s="39"/>
      <c r="J81" s="77" t="s">
        <v>384</v>
      </c>
      <c r="K81" s="72">
        <v>3</v>
      </c>
      <c r="L81" s="108">
        <v>4</v>
      </c>
      <c r="M81" s="108">
        <f>(K81-L81)^2</f>
        <v>1</v>
      </c>
      <c r="N81" s="72"/>
      <c r="O81" s="357"/>
      <c r="P81" s="45"/>
      <c r="Q81" s="77" t="s">
        <v>384</v>
      </c>
      <c r="R81" s="72">
        <v>3</v>
      </c>
      <c r="S81" s="72">
        <v>4</v>
      </c>
      <c r="T81" s="72">
        <f>(R81-S81)^2</f>
        <v>1</v>
      </c>
      <c r="U81" s="72"/>
      <c r="V81" s="357"/>
      <c r="W81" s="367"/>
      <c r="X81" s="39"/>
      <c r="Z81" s="444" t="s">
        <v>381</v>
      </c>
      <c r="AC81" s="258"/>
    </row>
    <row r="82" spans="2:29">
      <c r="B82" s="366"/>
      <c r="C82" s="273" t="s">
        <v>386</v>
      </c>
      <c r="D82" s="266">
        <v>4</v>
      </c>
      <c r="E82" s="266">
        <v>5</v>
      </c>
      <c r="F82" s="266">
        <f>(D82-E82)^2</f>
        <v>1</v>
      </c>
      <c r="G82" s="266"/>
      <c r="H82" s="274"/>
      <c r="I82" s="39"/>
      <c r="J82" s="273" t="s">
        <v>386</v>
      </c>
      <c r="K82" s="266">
        <v>4</v>
      </c>
      <c r="L82" s="265">
        <v>2.5</v>
      </c>
      <c r="M82" s="265">
        <f>(K82-L82)^2</f>
        <v>2.25</v>
      </c>
      <c r="N82" s="266"/>
      <c r="O82" s="274"/>
      <c r="P82" s="45"/>
      <c r="Q82" s="273" t="s">
        <v>386</v>
      </c>
      <c r="R82" s="266">
        <v>4</v>
      </c>
      <c r="S82" s="266">
        <v>5</v>
      </c>
      <c r="T82" s="266">
        <f>(R82-S82)^2</f>
        <v>1</v>
      </c>
      <c r="U82" s="266"/>
      <c r="V82" s="274"/>
      <c r="W82" s="367"/>
      <c r="X82" s="39"/>
      <c r="Z82" s="444" t="s">
        <v>383</v>
      </c>
      <c r="AC82" s="258"/>
    </row>
    <row r="83" spans="2:29">
      <c r="B83" s="366"/>
      <c r="C83" s="267"/>
      <c r="D83" s="266"/>
      <c r="E83" s="266" t="s">
        <v>372</v>
      </c>
      <c r="F83" s="266">
        <f>SUM(F80:F82)</f>
        <v>6</v>
      </c>
      <c r="G83" s="266"/>
      <c r="H83" s="274"/>
      <c r="I83" s="39"/>
      <c r="J83" s="267"/>
      <c r="K83" s="266"/>
      <c r="L83" s="266" t="s">
        <v>372</v>
      </c>
      <c r="M83" s="266">
        <f>SUM(M80:M82)</f>
        <v>12.25</v>
      </c>
      <c r="N83" s="266"/>
      <c r="O83" s="274"/>
      <c r="P83" s="45"/>
      <c r="Q83" s="267"/>
      <c r="R83" s="266"/>
      <c r="S83" s="266" t="s">
        <v>372</v>
      </c>
      <c r="T83" s="266">
        <f>SUM(T80:T82)</f>
        <v>3</v>
      </c>
      <c r="U83" s="266"/>
      <c r="V83" s="274"/>
      <c r="W83" s="367"/>
      <c r="X83" s="39"/>
      <c r="Z83" s="444" t="s">
        <v>385</v>
      </c>
      <c r="AC83" s="258"/>
    </row>
    <row r="84" spans="2:29">
      <c r="B84" s="366"/>
      <c r="C84" s="359"/>
      <c r="D84" s="275"/>
      <c r="E84" s="275"/>
      <c r="F84" s="275"/>
      <c r="G84" s="275"/>
      <c r="H84" s="357"/>
      <c r="I84" s="39"/>
      <c r="J84" s="359"/>
      <c r="K84" s="275"/>
      <c r="L84" s="275"/>
      <c r="M84" s="275"/>
      <c r="N84" s="275"/>
      <c r="O84" s="357"/>
      <c r="P84" s="45"/>
      <c r="Q84" s="359"/>
      <c r="R84" s="275"/>
      <c r="S84" s="275"/>
      <c r="T84" s="275"/>
      <c r="U84" s="275"/>
      <c r="V84" s="357"/>
      <c r="W84" s="367"/>
      <c r="X84" s="39"/>
      <c r="Z84" s="444" t="s">
        <v>387</v>
      </c>
      <c r="AC84" s="258"/>
    </row>
    <row r="85" spans="2:29">
      <c r="B85" s="366"/>
      <c r="C85" s="353"/>
      <c r="D85" s="267" t="s">
        <v>56</v>
      </c>
      <c r="E85" s="276"/>
      <c r="F85" s="276"/>
      <c r="G85" s="276"/>
      <c r="H85" s="274"/>
      <c r="I85" s="39"/>
      <c r="J85" s="353"/>
      <c r="K85" s="267" t="s">
        <v>56</v>
      </c>
      <c r="L85" s="276"/>
      <c r="M85" s="276"/>
      <c r="N85" s="276"/>
      <c r="O85" s="274"/>
      <c r="P85" s="45"/>
      <c r="Q85" s="39"/>
      <c r="R85" s="267" t="s">
        <v>56</v>
      </c>
      <c r="S85" s="276"/>
      <c r="T85" s="276"/>
      <c r="U85" s="276"/>
      <c r="V85" s="274"/>
      <c r="W85" s="367"/>
      <c r="X85" s="39"/>
      <c r="Z85" s="444" t="s">
        <v>388</v>
      </c>
      <c r="AC85" s="258"/>
    </row>
    <row r="86" spans="2:29" ht="13.5" thickBot="1">
      <c r="B86" s="366"/>
      <c r="C86" s="267" t="s">
        <v>96</v>
      </c>
      <c r="D86" s="266">
        <v>4</v>
      </c>
      <c r="E86" s="266"/>
      <c r="F86" s="266"/>
      <c r="G86" s="266"/>
      <c r="H86" s="274"/>
      <c r="I86" s="39"/>
      <c r="J86" s="267" t="s">
        <v>96</v>
      </c>
      <c r="K86" s="266">
        <v>4</v>
      </c>
      <c r="L86" s="266"/>
      <c r="M86" s="266"/>
      <c r="N86" s="266"/>
      <c r="O86" s="274"/>
      <c r="P86" s="45"/>
      <c r="Q86" s="267" t="s">
        <v>96</v>
      </c>
      <c r="R86" s="266">
        <v>4</v>
      </c>
      <c r="S86" s="266"/>
      <c r="T86" s="266"/>
      <c r="U86" s="266"/>
      <c r="V86" s="274"/>
      <c r="W86" s="367"/>
      <c r="X86" s="39"/>
      <c r="Z86" s="445" t="s">
        <v>389</v>
      </c>
      <c r="AC86" s="258"/>
    </row>
    <row r="87" spans="2:29">
      <c r="B87" s="366"/>
      <c r="C87" s="111"/>
      <c r="D87" s="111" t="s">
        <v>394</v>
      </c>
      <c r="E87" s="111" t="s">
        <v>370</v>
      </c>
      <c r="F87" s="111" t="s">
        <v>371</v>
      </c>
      <c r="G87" s="111" t="s">
        <v>366</v>
      </c>
      <c r="H87" s="272">
        <f>F92/D86</f>
        <v>10</v>
      </c>
      <c r="I87" s="39"/>
      <c r="J87" s="111"/>
      <c r="K87" s="111" t="s">
        <v>394</v>
      </c>
      <c r="L87" s="111" t="s">
        <v>374</v>
      </c>
      <c r="M87" s="111" t="s">
        <v>371</v>
      </c>
      <c r="N87" s="111" t="s">
        <v>366</v>
      </c>
      <c r="O87" s="272">
        <f>M92/K86</f>
        <v>5.5</v>
      </c>
      <c r="P87" s="45"/>
      <c r="Q87" s="111"/>
      <c r="R87" s="111" t="s">
        <v>394</v>
      </c>
      <c r="S87" s="111" t="s">
        <v>196</v>
      </c>
      <c r="T87" s="111" t="s">
        <v>371</v>
      </c>
      <c r="U87" s="111" t="s">
        <v>366</v>
      </c>
      <c r="V87" s="272">
        <f>T92/R86</f>
        <v>0.5</v>
      </c>
      <c r="W87" s="367"/>
      <c r="X87" s="39"/>
      <c r="AC87" s="258"/>
    </row>
    <row r="88" spans="2:29">
      <c r="B88" s="366"/>
      <c r="C88" s="108" t="s">
        <v>390</v>
      </c>
      <c r="D88" s="72">
        <v>1</v>
      </c>
      <c r="E88" s="72">
        <v>5</v>
      </c>
      <c r="F88" s="72">
        <f>(D88-E88)^2</f>
        <v>16</v>
      </c>
      <c r="G88" s="72"/>
      <c r="H88" s="357"/>
      <c r="I88" s="39"/>
      <c r="J88" s="108" t="s">
        <v>390</v>
      </c>
      <c r="K88" s="72">
        <v>1</v>
      </c>
      <c r="L88" s="72">
        <v>5</v>
      </c>
      <c r="M88" s="72">
        <f>(K88-L88)^2</f>
        <v>16</v>
      </c>
      <c r="N88" s="72"/>
      <c r="O88" s="357"/>
      <c r="P88" s="45"/>
      <c r="Q88" s="108" t="s">
        <v>390</v>
      </c>
      <c r="R88" s="72">
        <v>1</v>
      </c>
      <c r="S88" s="72">
        <v>2</v>
      </c>
      <c r="T88" s="72">
        <f>(R88-S88)^2</f>
        <v>1</v>
      </c>
      <c r="U88" s="72"/>
      <c r="V88" s="357"/>
      <c r="W88" s="367"/>
      <c r="X88" s="39"/>
      <c r="AC88" s="258"/>
    </row>
    <row r="89" spans="2:29">
      <c r="B89" s="366"/>
      <c r="C89" s="108" t="s">
        <v>391</v>
      </c>
      <c r="D89" s="72">
        <v>3</v>
      </c>
      <c r="E89" s="72">
        <v>5</v>
      </c>
      <c r="F89" s="72">
        <f>(D89-E89)^2</f>
        <v>4</v>
      </c>
      <c r="G89" s="72"/>
      <c r="H89" s="275"/>
      <c r="I89" s="39"/>
      <c r="J89" s="108" t="s">
        <v>391</v>
      </c>
      <c r="K89" s="72">
        <v>3</v>
      </c>
      <c r="L89" s="72">
        <v>2</v>
      </c>
      <c r="M89" s="72">
        <f>(K89-L89)^2</f>
        <v>1</v>
      </c>
      <c r="N89" s="72"/>
      <c r="O89" s="275"/>
      <c r="P89" s="45"/>
      <c r="Q89" s="108" t="s">
        <v>391</v>
      </c>
      <c r="R89" s="72">
        <v>3</v>
      </c>
      <c r="S89" s="72">
        <v>3</v>
      </c>
      <c r="T89" s="72">
        <f>(R89-S89)^2</f>
        <v>0</v>
      </c>
      <c r="U89" s="72"/>
      <c r="V89" s="275"/>
      <c r="W89" s="367"/>
      <c r="X89" s="39"/>
      <c r="AC89" s="258"/>
    </row>
    <row r="90" spans="2:29">
      <c r="B90" s="366"/>
      <c r="C90" s="108" t="s">
        <v>392</v>
      </c>
      <c r="D90" s="72">
        <v>5</v>
      </c>
      <c r="E90" s="72">
        <v>1</v>
      </c>
      <c r="F90" s="72">
        <f>(D90-E90)^2</f>
        <v>16</v>
      </c>
      <c r="G90" s="72"/>
      <c r="H90" s="275"/>
      <c r="I90" s="39"/>
      <c r="J90" s="108" t="s">
        <v>392</v>
      </c>
      <c r="K90" s="72">
        <v>5</v>
      </c>
      <c r="L90" s="72">
        <v>3</v>
      </c>
      <c r="M90" s="72">
        <f>(K90-L90)^2</f>
        <v>4</v>
      </c>
      <c r="N90" s="72"/>
      <c r="O90" s="275"/>
      <c r="P90" s="45"/>
      <c r="Q90" s="108" t="s">
        <v>392</v>
      </c>
      <c r="R90" s="72">
        <v>5</v>
      </c>
      <c r="S90" s="72">
        <v>4</v>
      </c>
      <c r="T90" s="72">
        <f>(R90-S90)^2</f>
        <v>1</v>
      </c>
      <c r="U90" s="72"/>
      <c r="V90" s="275"/>
      <c r="W90" s="367"/>
      <c r="X90" s="39"/>
      <c r="AC90" s="258"/>
    </row>
    <row r="91" spans="2:29">
      <c r="B91" s="366"/>
      <c r="C91" s="265" t="s">
        <v>393</v>
      </c>
      <c r="D91" s="266">
        <v>5</v>
      </c>
      <c r="E91" s="266">
        <v>3</v>
      </c>
      <c r="F91" s="266">
        <f>(D91-E91)^2</f>
        <v>4</v>
      </c>
      <c r="G91" s="266"/>
      <c r="H91" s="276"/>
      <c r="I91" s="39"/>
      <c r="J91" s="265" t="s">
        <v>393</v>
      </c>
      <c r="K91" s="266">
        <v>5</v>
      </c>
      <c r="L91" s="266">
        <v>4</v>
      </c>
      <c r="M91" s="266">
        <f>(K91-L91)^2</f>
        <v>1</v>
      </c>
      <c r="N91" s="266"/>
      <c r="O91" s="276"/>
      <c r="P91" s="45"/>
      <c r="Q91" s="265" t="s">
        <v>393</v>
      </c>
      <c r="R91" s="266">
        <v>5</v>
      </c>
      <c r="S91" s="266">
        <v>5</v>
      </c>
      <c r="T91" s="266">
        <f>(R91-S91)^2</f>
        <v>0</v>
      </c>
      <c r="U91" s="266"/>
      <c r="V91" s="276"/>
      <c r="W91" s="367"/>
      <c r="X91" s="39"/>
      <c r="AC91" s="258"/>
    </row>
    <row r="92" spans="2:29" ht="13.5" thickBot="1">
      <c r="B92" s="368"/>
      <c r="C92" s="347"/>
      <c r="D92" s="347"/>
      <c r="E92" s="347" t="s">
        <v>372</v>
      </c>
      <c r="F92" s="347">
        <f>SUM(F88:F91)</f>
        <v>40</v>
      </c>
      <c r="G92" s="347"/>
      <c r="H92" s="360"/>
      <c r="I92" s="370"/>
      <c r="J92" s="347"/>
      <c r="K92" s="347"/>
      <c r="L92" s="347" t="s">
        <v>372</v>
      </c>
      <c r="M92" s="347">
        <f>SUM(M88:M91)</f>
        <v>22</v>
      </c>
      <c r="N92" s="347"/>
      <c r="O92" s="360"/>
      <c r="P92" s="369"/>
      <c r="Q92" s="347"/>
      <c r="R92" s="347"/>
      <c r="S92" s="347" t="s">
        <v>372</v>
      </c>
      <c r="T92" s="347">
        <f>SUM(T88:T91)</f>
        <v>2</v>
      </c>
      <c r="U92" s="347"/>
      <c r="V92" s="360"/>
      <c r="W92" s="371"/>
      <c r="X92" s="39"/>
      <c r="AC92" s="258"/>
    </row>
    <row r="93" spans="2:29" ht="13.5" thickBot="1">
      <c r="B93" s="368"/>
      <c r="C93" s="369"/>
      <c r="D93" s="369"/>
      <c r="E93" s="369"/>
      <c r="F93" s="369"/>
      <c r="G93" s="369"/>
      <c r="H93" s="370"/>
      <c r="I93" s="370"/>
      <c r="J93" s="369"/>
      <c r="K93" s="370"/>
      <c r="L93" s="370"/>
      <c r="M93" s="369"/>
      <c r="N93" s="369"/>
      <c r="O93" s="369"/>
      <c r="P93" s="369"/>
      <c r="Q93" s="369"/>
      <c r="R93" s="370"/>
      <c r="S93" s="370"/>
      <c r="T93" s="370"/>
      <c r="U93" s="370"/>
      <c r="V93" s="370"/>
      <c r="W93" s="371"/>
      <c r="X93" s="39"/>
      <c r="AC93" s="258"/>
    </row>
    <row r="94" spans="2:29" ht="13.5" thickBot="1">
      <c r="C94" s="14"/>
      <c r="D94" s="14"/>
      <c r="E94" s="14"/>
      <c r="F94" s="14"/>
      <c r="N94" s="14"/>
      <c r="O94" s="14"/>
      <c r="P94" s="14"/>
      <c r="Q94" s="14"/>
      <c r="AC94" s="258"/>
    </row>
    <row r="95" spans="2:29">
      <c r="B95" s="356"/>
      <c r="C95" s="354" t="s">
        <v>359</v>
      </c>
      <c r="D95" s="341"/>
      <c r="E95" s="341"/>
      <c r="F95" s="341"/>
      <c r="G95" s="341"/>
      <c r="H95" s="342"/>
      <c r="I95" s="342"/>
      <c r="J95" s="341"/>
      <c r="K95" s="342"/>
      <c r="L95" s="342"/>
      <c r="M95" s="341"/>
      <c r="N95" s="341"/>
      <c r="O95" s="341"/>
      <c r="P95" s="341"/>
      <c r="Q95" s="341"/>
      <c r="R95" s="342"/>
      <c r="S95" s="342"/>
      <c r="T95" s="342"/>
      <c r="U95" s="342"/>
      <c r="V95" s="342"/>
      <c r="W95" s="343"/>
      <c r="AC95" s="258"/>
    </row>
    <row r="96" spans="2:29">
      <c r="B96" s="344"/>
      <c r="D96" s="267" t="s">
        <v>52</v>
      </c>
      <c r="E96" s="268"/>
      <c r="F96" s="268"/>
      <c r="G96" s="268"/>
      <c r="H96" s="269"/>
      <c r="J96" s="8"/>
      <c r="K96" s="267" t="s">
        <v>52</v>
      </c>
      <c r="L96" s="268"/>
      <c r="M96" s="268"/>
      <c r="N96" s="268"/>
      <c r="O96" s="269"/>
      <c r="P96" s="14"/>
      <c r="R96" s="267" t="s">
        <v>52</v>
      </c>
      <c r="S96" s="268"/>
      <c r="T96" s="268"/>
      <c r="U96" s="268"/>
      <c r="V96" s="269"/>
      <c r="W96" s="345"/>
      <c r="AC96" s="258"/>
    </row>
    <row r="97" spans="2:29">
      <c r="B97" s="344"/>
      <c r="C97" s="270" t="s">
        <v>96</v>
      </c>
      <c r="D97" s="271">
        <v>2</v>
      </c>
      <c r="E97" s="271"/>
      <c r="F97" s="271"/>
      <c r="G97" s="71" t="s">
        <v>366</v>
      </c>
      <c r="H97" s="71">
        <f>F101/D97</f>
        <v>2</v>
      </c>
      <c r="J97" s="270" t="s">
        <v>96</v>
      </c>
      <c r="K97" s="271">
        <v>2</v>
      </c>
      <c r="L97" s="271"/>
      <c r="M97" s="271"/>
      <c r="N97" s="71" t="s">
        <v>366</v>
      </c>
      <c r="O97" s="71">
        <f>M101/K97</f>
        <v>2</v>
      </c>
      <c r="P97" s="14"/>
      <c r="Q97" s="270" t="s">
        <v>96</v>
      </c>
      <c r="R97" s="271">
        <v>2</v>
      </c>
      <c r="S97" s="271"/>
      <c r="T97" s="271"/>
      <c r="U97" s="71"/>
      <c r="V97" s="71"/>
      <c r="W97" s="345"/>
      <c r="AC97" s="258"/>
    </row>
    <row r="98" spans="2:29">
      <c r="B98" s="344"/>
      <c r="C98" s="77"/>
      <c r="D98" s="111" t="s">
        <v>394</v>
      </c>
      <c r="E98" s="111" t="s">
        <v>370</v>
      </c>
      <c r="F98" s="111" t="s">
        <v>371</v>
      </c>
      <c r="G98" s="111"/>
      <c r="H98" s="272"/>
      <c r="J98" s="270"/>
      <c r="K98" s="111" t="s">
        <v>394</v>
      </c>
      <c r="L98" s="111" t="s">
        <v>374</v>
      </c>
      <c r="M98" s="111" t="s">
        <v>371</v>
      </c>
      <c r="N98" s="111"/>
      <c r="O98" s="272"/>
      <c r="P98" s="14"/>
      <c r="Q98" s="270"/>
      <c r="R98" s="111" t="s">
        <v>394</v>
      </c>
      <c r="S98" s="111" t="s">
        <v>196</v>
      </c>
      <c r="T98" s="111" t="s">
        <v>371</v>
      </c>
      <c r="U98" s="111" t="s">
        <v>366</v>
      </c>
      <c r="V98" s="272">
        <f>T101/R97</f>
        <v>2</v>
      </c>
      <c r="W98" s="345"/>
      <c r="AC98" s="258"/>
    </row>
    <row r="99" spans="2:29">
      <c r="B99" s="344"/>
      <c r="C99" s="77" t="s">
        <v>375</v>
      </c>
      <c r="D99" s="108">
        <v>3</v>
      </c>
      <c r="E99" s="108">
        <v>3</v>
      </c>
      <c r="F99" s="108">
        <f>(D99-E99)^2</f>
        <v>0</v>
      </c>
      <c r="G99" s="72"/>
      <c r="H99" s="357"/>
      <c r="J99" s="77" t="s">
        <v>375</v>
      </c>
      <c r="K99" s="108">
        <v>3</v>
      </c>
      <c r="L99" s="108">
        <v>5</v>
      </c>
      <c r="M99" s="108">
        <f>(K99-L99)^2</f>
        <v>4</v>
      </c>
      <c r="N99" s="72"/>
      <c r="O99" s="357"/>
      <c r="P99" s="14"/>
      <c r="Q99" s="77" t="s">
        <v>375</v>
      </c>
      <c r="R99" s="108">
        <v>3</v>
      </c>
      <c r="S99" s="108">
        <v>1</v>
      </c>
      <c r="T99" s="108">
        <f>(R99-S99)^2</f>
        <v>4</v>
      </c>
      <c r="U99" s="72"/>
      <c r="V99" s="357"/>
      <c r="W99" s="345"/>
      <c r="AC99" s="258"/>
    </row>
    <row r="100" spans="2:29" ht="13.5" thickBot="1">
      <c r="B100" s="344"/>
      <c r="C100" s="273" t="s">
        <v>376</v>
      </c>
      <c r="D100" s="265">
        <v>3</v>
      </c>
      <c r="E100" s="265">
        <v>5</v>
      </c>
      <c r="F100" s="265">
        <f>(D100-E100)^2</f>
        <v>4</v>
      </c>
      <c r="G100" s="266"/>
      <c r="H100" s="274"/>
      <c r="J100" s="273" t="s">
        <v>376</v>
      </c>
      <c r="K100" s="265">
        <v>3</v>
      </c>
      <c r="L100" s="265">
        <v>3</v>
      </c>
      <c r="M100" s="265">
        <f>(K100-L100)^2</f>
        <v>0</v>
      </c>
      <c r="N100" s="266"/>
      <c r="O100" s="274"/>
      <c r="P100" s="14"/>
      <c r="Q100" s="273" t="s">
        <v>376</v>
      </c>
      <c r="R100" s="265">
        <v>3</v>
      </c>
      <c r="S100" s="265">
        <v>3</v>
      </c>
      <c r="T100" s="265">
        <f>(R100-S100)^2</f>
        <v>0</v>
      </c>
      <c r="U100" s="266"/>
      <c r="V100" s="274"/>
      <c r="W100" s="345"/>
      <c r="AC100" s="258"/>
    </row>
    <row r="101" spans="2:29" ht="13.5" thickBot="1">
      <c r="B101" s="344"/>
      <c r="C101" s="273"/>
      <c r="D101" s="265"/>
      <c r="E101" s="266" t="s">
        <v>372</v>
      </c>
      <c r="F101" s="266">
        <f>SUM(F99:F100)</f>
        <v>4</v>
      </c>
      <c r="G101" s="266"/>
      <c r="H101" s="274"/>
      <c r="J101" s="273"/>
      <c r="K101" s="265"/>
      <c r="L101" s="266" t="s">
        <v>372</v>
      </c>
      <c r="M101" s="266">
        <f>SUM(M99:M100)</f>
        <v>4</v>
      </c>
      <c r="N101" s="266"/>
      <c r="O101" s="274"/>
      <c r="P101" s="14"/>
      <c r="Q101" s="273"/>
      <c r="R101" s="265"/>
      <c r="S101" s="266" t="s">
        <v>372</v>
      </c>
      <c r="T101" s="266">
        <f>SUM(T99:T100)</f>
        <v>4</v>
      </c>
      <c r="U101" s="266"/>
      <c r="V101" s="274"/>
      <c r="W101" s="345"/>
      <c r="Z101" s="442" t="s">
        <v>377</v>
      </c>
      <c r="AC101" s="258"/>
    </row>
    <row r="102" spans="2:29">
      <c r="B102" s="344"/>
      <c r="C102" s="77"/>
      <c r="D102" s="71"/>
      <c r="E102" s="71"/>
      <c r="F102" s="71"/>
      <c r="G102" s="275"/>
      <c r="H102" s="357"/>
      <c r="J102" s="77"/>
      <c r="K102" s="71"/>
      <c r="L102" s="71"/>
      <c r="M102" s="71"/>
      <c r="N102" s="275"/>
      <c r="O102" s="357"/>
      <c r="P102" s="14"/>
      <c r="Q102" s="77"/>
      <c r="R102" s="71"/>
      <c r="S102" s="71"/>
      <c r="T102" s="71"/>
      <c r="U102" s="275"/>
      <c r="V102" s="357"/>
      <c r="W102" s="345"/>
      <c r="Z102" s="443" t="s">
        <v>378</v>
      </c>
      <c r="AC102" s="258"/>
    </row>
    <row r="103" spans="2:29">
      <c r="B103" s="344"/>
      <c r="C103" s="352"/>
      <c r="D103" s="267" t="s">
        <v>54</v>
      </c>
      <c r="E103" s="268"/>
      <c r="F103" s="268"/>
      <c r="G103" s="276"/>
      <c r="H103" s="274"/>
      <c r="J103" s="352"/>
      <c r="K103" s="267" t="s">
        <v>54</v>
      </c>
      <c r="L103" s="268"/>
      <c r="M103" s="268"/>
      <c r="N103" s="276"/>
      <c r="O103" s="274"/>
      <c r="P103" s="14"/>
      <c r="R103" s="267" t="s">
        <v>54</v>
      </c>
      <c r="S103" s="268"/>
      <c r="T103" s="268"/>
      <c r="U103" s="276"/>
      <c r="V103" s="274"/>
      <c r="W103" s="345"/>
      <c r="Z103" s="444" t="s">
        <v>379</v>
      </c>
      <c r="AC103" s="258"/>
    </row>
    <row r="104" spans="2:29">
      <c r="B104" s="344"/>
      <c r="C104" s="273" t="s">
        <v>96</v>
      </c>
      <c r="D104" s="265">
        <v>3</v>
      </c>
      <c r="E104" s="265"/>
      <c r="F104" s="265"/>
      <c r="G104" s="266"/>
      <c r="H104" s="274"/>
      <c r="J104" s="273" t="s">
        <v>96</v>
      </c>
      <c r="K104" s="265">
        <v>3</v>
      </c>
      <c r="L104" s="265"/>
      <c r="M104" s="265"/>
      <c r="N104" s="266"/>
      <c r="O104" s="274"/>
      <c r="P104" s="14"/>
      <c r="Q104" s="273" t="s">
        <v>96</v>
      </c>
      <c r="R104" s="265">
        <v>3</v>
      </c>
      <c r="S104" s="265"/>
      <c r="T104" s="265"/>
      <c r="U104" s="266"/>
      <c r="V104" s="274"/>
      <c r="W104" s="345"/>
      <c r="Z104" s="444" t="s">
        <v>380</v>
      </c>
      <c r="AC104" s="258"/>
    </row>
    <row r="105" spans="2:29">
      <c r="B105" s="344"/>
      <c r="C105" s="77"/>
      <c r="D105" s="355" t="s">
        <v>394</v>
      </c>
      <c r="E105" s="111" t="s">
        <v>370</v>
      </c>
      <c r="F105" s="111" t="s">
        <v>371</v>
      </c>
      <c r="G105" s="111" t="s">
        <v>366</v>
      </c>
      <c r="H105" s="277">
        <f>F109/D104</f>
        <v>1</v>
      </c>
      <c r="J105" s="270"/>
      <c r="K105" s="111" t="s">
        <v>394</v>
      </c>
      <c r="L105" s="111" t="s">
        <v>374</v>
      </c>
      <c r="M105" s="111" t="s">
        <v>371</v>
      </c>
      <c r="N105" s="111" t="s">
        <v>366</v>
      </c>
      <c r="O105" s="277">
        <f>M109/K104</f>
        <v>3.75</v>
      </c>
      <c r="P105" s="14"/>
      <c r="Q105" s="270"/>
      <c r="R105" s="111" t="s">
        <v>394</v>
      </c>
      <c r="S105" s="111" t="s">
        <v>196</v>
      </c>
      <c r="T105" s="111" t="s">
        <v>371</v>
      </c>
      <c r="U105" s="111" t="s">
        <v>366</v>
      </c>
      <c r="V105" s="277">
        <f>T109/R104</f>
        <v>0.66666666666666663</v>
      </c>
      <c r="W105" s="345"/>
      <c r="Z105" s="444" t="s">
        <v>381</v>
      </c>
      <c r="AC105" s="258"/>
    </row>
    <row r="106" spans="2:29">
      <c r="B106" s="344"/>
      <c r="C106" s="77" t="s">
        <v>382</v>
      </c>
      <c r="D106" s="108">
        <v>4</v>
      </c>
      <c r="E106" s="108">
        <v>5</v>
      </c>
      <c r="F106" s="108">
        <f>(D106-E106)^2</f>
        <v>1</v>
      </c>
      <c r="G106" s="72"/>
      <c r="H106" s="357"/>
      <c r="J106" s="77" t="s">
        <v>382</v>
      </c>
      <c r="K106" s="108">
        <v>4</v>
      </c>
      <c r="L106" s="108">
        <v>1</v>
      </c>
      <c r="M106" s="108">
        <f>(K106-L106)^2</f>
        <v>9</v>
      </c>
      <c r="N106" s="72"/>
      <c r="O106" s="357"/>
      <c r="P106" s="14"/>
      <c r="Q106" s="77" t="s">
        <v>382</v>
      </c>
      <c r="R106" s="108">
        <v>4</v>
      </c>
      <c r="S106" s="108">
        <v>3</v>
      </c>
      <c r="T106" s="108">
        <f>(R106-S106)^2</f>
        <v>1</v>
      </c>
      <c r="U106" s="72"/>
      <c r="V106" s="357"/>
      <c r="W106" s="345"/>
      <c r="Z106" s="444" t="s">
        <v>383</v>
      </c>
      <c r="AC106" s="258"/>
    </row>
    <row r="107" spans="2:29">
      <c r="B107" s="344"/>
      <c r="C107" s="77" t="s">
        <v>384</v>
      </c>
      <c r="D107" s="108">
        <v>4</v>
      </c>
      <c r="E107" s="108">
        <v>5</v>
      </c>
      <c r="F107" s="108">
        <f>(D107-E107)^2</f>
        <v>1</v>
      </c>
      <c r="G107" s="72"/>
      <c r="H107" s="357"/>
      <c r="J107" s="77" t="s">
        <v>384</v>
      </c>
      <c r="K107" s="108">
        <v>4</v>
      </c>
      <c r="L107" s="108">
        <v>4</v>
      </c>
      <c r="M107" s="108">
        <f>(K107-L107)^2</f>
        <v>0</v>
      </c>
      <c r="N107" s="72"/>
      <c r="O107" s="357"/>
      <c r="P107" s="14"/>
      <c r="Q107" s="77" t="s">
        <v>384</v>
      </c>
      <c r="R107" s="108">
        <v>4</v>
      </c>
      <c r="S107" s="108">
        <v>4</v>
      </c>
      <c r="T107" s="108">
        <f>(R107-S107)^2</f>
        <v>0</v>
      </c>
      <c r="U107" s="72"/>
      <c r="V107" s="357"/>
      <c r="W107" s="345"/>
      <c r="Z107" s="444" t="s">
        <v>385</v>
      </c>
      <c r="AC107" s="258"/>
    </row>
    <row r="108" spans="2:29">
      <c r="B108" s="344"/>
      <c r="C108" s="273" t="s">
        <v>386</v>
      </c>
      <c r="D108" s="265">
        <v>4</v>
      </c>
      <c r="E108" s="265">
        <v>5</v>
      </c>
      <c r="F108" s="265">
        <f>(D108-E108)^2</f>
        <v>1</v>
      </c>
      <c r="G108" s="266"/>
      <c r="H108" s="274"/>
      <c r="J108" s="273" t="s">
        <v>386</v>
      </c>
      <c r="K108" s="265">
        <v>4</v>
      </c>
      <c r="L108" s="265">
        <v>2.5</v>
      </c>
      <c r="M108" s="265">
        <f>(K108-L108)^2</f>
        <v>2.25</v>
      </c>
      <c r="N108" s="266"/>
      <c r="O108" s="274"/>
      <c r="P108" s="14"/>
      <c r="Q108" s="273" t="s">
        <v>386</v>
      </c>
      <c r="R108" s="265">
        <v>4</v>
      </c>
      <c r="S108" s="265">
        <v>5</v>
      </c>
      <c r="T108" s="265">
        <f>(R108-S108)^2</f>
        <v>1</v>
      </c>
      <c r="U108" s="266"/>
      <c r="V108" s="274"/>
      <c r="W108" s="345"/>
      <c r="Z108" s="444" t="s">
        <v>387</v>
      </c>
      <c r="AC108" s="258"/>
    </row>
    <row r="109" spans="2:29">
      <c r="B109" s="344"/>
      <c r="C109" s="273"/>
      <c r="D109" s="265"/>
      <c r="E109" s="266" t="s">
        <v>372</v>
      </c>
      <c r="F109" s="266">
        <f>SUM(F106:F108)</f>
        <v>3</v>
      </c>
      <c r="G109" s="266"/>
      <c r="H109" s="274"/>
      <c r="J109" s="273"/>
      <c r="K109" s="265"/>
      <c r="L109" s="266" t="s">
        <v>372</v>
      </c>
      <c r="M109" s="266">
        <f>SUM(M106:M108)</f>
        <v>11.25</v>
      </c>
      <c r="N109" s="266"/>
      <c r="O109" s="274"/>
      <c r="P109" s="14"/>
      <c r="Q109" s="273"/>
      <c r="R109" s="265"/>
      <c r="S109" s="266" t="s">
        <v>372</v>
      </c>
      <c r="T109" s="266">
        <f>SUM(T106:T108)</f>
        <v>2</v>
      </c>
      <c r="U109" s="266"/>
      <c r="V109" s="274"/>
      <c r="W109" s="345"/>
      <c r="Z109" s="444" t="s">
        <v>388</v>
      </c>
      <c r="AC109" s="258"/>
    </row>
    <row r="110" spans="2:29" ht="13.5" thickBot="1">
      <c r="B110" s="344"/>
      <c r="C110" s="77"/>
      <c r="D110" s="71"/>
      <c r="E110" s="71"/>
      <c r="F110" s="71"/>
      <c r="G110" s="275"/>
      <c r="H110" s="357"/>
      <c r="J110" s="77"/>
      <c r="K110" s="71"/>
      <c r="L110" s="71"/>
      <c r="M110" s="71"/>
      <c r="N110" s="275"/>
      <c r="O110" s="357"/>
      <c r="P110" s="14"/>
      <c r="Q110" s="77"/>
      <c r="R110" s="71"/>
      <c r="S110" s="71"/>
      <c r="T110" s="71"/>
      <c r="U110" s="275"/>
      <c r="V110" s="357"/>
      <c r="W110" s="345"/>
      <c r="Z110" s="445" t="s">
        <v>389</v>
      </c>
      <c r="AC110" s="258"/>
    </row>
    <row r="111" spans="2:29">
      <c r="B111" s="344"/>
      <c r="C111" s="352"/>
      <c r="D111" s="267" t="s">
        <v>56</v>
      </c>
      <c r="E111" s="268"/>
      <c r="F111" s="268"/>
      <c r="G111" s="276"/>
      <c r="H111" s="274"/>
      <c r="J111" s="352"/>
      <c r="K111" s="267" t="s">
        <v>56</v>
      </c>
      <c r="L111" s="268"/>
      <c r="M111" s="268"/>
      <c r="N111" s="276"/>
      <c r="O111" s="274"/>
      <c r="P111" s="14"/>
      <c r="R111" s="267" t="s">
        <v>56</v>
      </c>
      <c r="S111" s="268"/>
      <c r="T111" s="268"/>
      <c r="U111" s="276"/>
      <c r="V111" s="274"/>
      <c r="W111" s="345"/>
      <c r="AC111" s="258"/>
    </row>
    <row r="112" spans="2:29">
      <c r="B112" s="344"/>
      <c r="C112" s="273" t="s">
        <v>96</v>
      </c>
      <c r="D112" s="265">
        <v>4</v>
      </c>
      <c r="E112" s="265"/>
      <c r="F112" s="265"/>
      <c r="G112" s="266"/>
      <c r="H112" s="274"/>
      <c r="J112" s="273" t="s">
        <v>96</v>
      </c>
      <c r="K112" s="265">
        <v>4</v>
      </c>
      <c r="L112" s="265"/>
      <c r="M112" s="265"/>
      <c r="N112" s="266"/>
      <c r="O112" s="274"/>
      <c r="P112" s="14"/>
      <c r="Q112" s="273" t="s">
        <v>96</v>
      </c>
      <c r="R112" s="265">
        <v>4</v>
      </c>
      <c r="S112" s="265"/>
      <c r="T112" s="265"/>
      <c r="U112" s="266"/>
      <c r="V112" s="274"/>
      <c r="W112" s="345"/>
      <c r="AC112" s="258"/>
    </row>
    <row r="113" spans="2:33">
      <c r="B113" s="344"/>
      <c r="C113" s="271"/>
      <c r="D113" s="111" t="s">
        <v>394</v>
      </c>
      <c r="E113" s="111" t="s">
        <v>370</v>
      </c>
      <c r="F113" s="111" t="s">
        <v>371</v>
      </c>
      <c r="G113" s="111" t="s">
        <v>366</v>
      </c>
      <c r="H113" s="272">
        <f>F118/D112</f>
        <v>5</v>
      </c>
      <c r="J113" s="271"/>
      <c r="K113" s="111" t="s">
        <v>394</v>
      </c>
      <c r="L113" s="111" t="s">
        <v>374</v>
      </c>
      <c r="M113" s="111" t="s">
        <v>371</v>
      </c>
      <c r="N113" s="111" t="s">
        <v>366</v>
      </c>
      <c r="O113" s="272">
        <f>M118/K112</f>
        <v>3.5</v>
      </c>
      <c r="P113" s="14"/>
      <c r="Q113" s="271"/>
      <c r="R113" s="111" t="s">
        <v>394</v>
      </c>
      <c r="S113" s="111" t="s">
        <v>196</v>
      </c>
      <c r="T113" s="111" t="s">
        <v>371</v>
      </c>
      <c r="U113" s="111" t="s">
        <v>366</v>
      </c>
      <c r="V113" s="272">
        <f>T118/R112</f>
        <v>3.5</v>
      </c>
      <c r="W113" s="345"/>
      <c r="AC113" s="258"/>
    </row>
    <row r="114" spans="2:33">
      <c r="B114" s="344"/>
      <c r="C114" s="108" t="s">
        <v>390</v>
      </c>
      <c r="D114" s="108">
        <v>5</v>
      </c>
      <c r="E114" s="108">
        <v>5</v>
      </c>
      <c r="F114" s="108">
        <f>(D114-E114)^2</f>
        <v>0</v>
      </c>
      <c r="G114" s="108"/>
      <c r="H114" s="70"/>
      <c r="J114" s="108" t="s">
        <v>390</v>
      </c>
      <c r="K114" s="108">
        <v>5</v>
      </c>
      <c r="L114" s="108">
        <v>5</v>
      </c>
      <c r="M114" s="108">
        <f>(K114-L114)^2</f>
        <v>0</v>
      </c>
      <c r="N114" s="108"/>
      <c r="O114" s="70"/>
      <c r="P114" s="14"/>
      <c r="Q114" s="108" t="s">
        <v>390</v>
      </c>
      <c r="R114" s="108">
        <v>5</v>
      </c>
      <c r="S114" s="108">
        <v>2</v>
      </c>
      <c r="T114" s="108">
        <f>(R114-S114)^2</f>
        <v>9</v>
      </c>
      <c r="U114" s="108"/>
      <c r="V114" s="70"/>
      <c r="W114" s="345"/>
      <c r="AC114" s="258"/>
    </row>
    <row r="115" spans="2:33">
      <c r="B115" s="344"/>
      <c r="C115" s="108" t="s">
        <v>391</v>
      </c>
      <c r="D115" s="108">
        <v>5</v>
      </c>
      <c r="E115" s="108">
        <v>5</v>
      </c>
      <c r="F115" s="108">
        <f>(D115-E115)^2</f>
        <v>0</v>
      </c>
      <c r="G115" s="108"/>
      <c r="H115" s="71"/>
      <c r="J115" s="108" t="s">
        <v>391</v>
      </c>
      <c r="K115" s="108">
        <v>5</v>
      </c>
      <c r="L115" s="108">
        <v>2</v>
      </c>
      <c r="M115" s="108">
        <f>(K115-L115)^2</f>
        <v>9</v>
      </c>
      <c r="N115" s="108"/>
      <c r="O115" s="71"/>
      <c r="P115" s="14"/>
      <c r="Q115" s="108" t="s">
        <v>391</v>
      </c>
      <c r="R115" s="108">
        <v>5</v>
      </c>
      <c r="S115" s="108">
        <v>3</v>
      </c>
      <c r="T115" s="108">
        <f>(R115-S115)^2</f>
        <v>4</v>
      </c>
      <c r="U115" s="108"/>
      <c r="V115" s="71"/>
      <c r="W115" s="345"/>
      <c r="AC115" s="258"/>
    </row>
    <row r="116" spans="2:33">
      <c r="B116" s="344"/>
      <c r="C116" s="108" t="s">
        <v>392</v>
      </c>
      <c r="D116" s="108">
        <v>5</v>
      </c>
      <c r="E116" s="108">
        <v>1</v>
      </c>
      <c r="F116" s="108">
        <f>(D116-E116)^2</f>
        <v>16</v>
      </c>
      <c r="G116" s="108"/>
      <c r="H116" s="71"/>
      <c r="J116" s="108" t="s">
        <v>392</v>
      </c>
      <c r="K116" s="108">
        <v>5</v>
      </c>
      <c r="L116" s="108">
        <v>3</v>
      </c>
      <c r="M116" s="108">
        <f>(K116-L116)^2</f>
        <v>4</v>
      </c>
      <c r="N116" s="108"/>
      <c r="O116" s="71"/>
      <c r="P116" s="14"/>
      <c r="Q116" s="108" t="s">
        <v>392</v>
      </c>
      <c r="R116" s="108">
        <v>5</v>
      </c>
      <c r="S116" s="108">
        <v>4</v>
      </c>
      <c r="T116" s="108">
        <f>(R116-S116)^2</f>
        <v>1</v>
      </c>
      <c r="U116" s="108"/>
      <c r="V116" s="71"/>
      <c r="W116" s="345"/>
      <c r="AC116" s="258"/>
    </row>
    <row r="117" spans="2:33">
      <c r="B117" s="344"/>
      <c r="C117" s="265" t="s">
        <v>393</v>
      </c>
      <c r="D117" s="265">
        <v>5</v>
      </c>
      <c r="E117" s="265">
        <v>3</v>
      </c>
      <c r="F117" s="265">
        <f>(D117-E117)^2</f>
        <v>4</v>
      </c>
      <c r="G117" s="265"/>
      <c r="H117" s="268"/>
      <c r="J117" s="265" t="s">
        <v>393</v>
      </c>
      <c r="K117" s="265">
        <v>5</v>
      </c>
      <c r="L117" s="265">
        <v>4</v>
      </c>
      <c r="M117" s="265">
        <f>(K117-L117)^2</f>
        <v>1</v>
      </c>
      <c r="N117" s="265"/>
      <c r="O117" s="268"/>
      <c r="P117" s="14"/>
      <c r="Q117" s="265" t="s">
        <v>393</v>
      </c>
      <c r="R117" s="265">
        <v>5</v>
      </c>
      <c r="S117" s="265">
        <v>5</v>
      </c>
      <c r="T117" s="265">
        <f>(R117-S117)^2</f>
        <v>0</v>
      </c>
      <c r="U117" s="265"/>
      <c r="V117" s="268"/>
      <c r="W117" s="345"/>
      <c r="AC117" s="258"/>
    </row>
    <row r="118" spans="2:33" ht="13.5" thickBot="1">
      <c r="B118" s="344"/>
      <c r="C118" s="346"/>
      <c r="D118" s="346"/>
      <c r="E118" s="347" t="s">
        <v>372</v>
      </c>
      <c r="F118" s="347">
        <f>SUM(F114:F117)</f>
        <v>20</v>
      </c>
      <c r="G118" s="346"/>
      <c r="H118" s="348"/>
      <c r="J118" s="346"/>
      <c r="K118" s="346"/>
      <c r="L118" s="347" t="s">
        <v>372</v>
      </c>
      <c r="M118" s="347">
        <f>SUM(M114:M117)</f>
        <v>14</v>
      </c>
      <c r="N118" s="346"/>
      <c r="O118" s="348"/>
      <c r="P118" s="14"/>
      <c r="Q118" s="265"/>
      <c r="R118" s="265"/>
      <c r="S118" s="266" t="s">
        <v>372</v>
      </c>
      <c r="T118" s="266">
        <f>SUM(T114:T117)</f>
        <v>14</v>
      </c>
      <c r="U118" s="265"/>
      <c r="V118" s="268"/>
      <c r="W118" s="345"/>
      <c r="AC118" s="258"/>
    </row>
    <row r="119" spans="2:33" ht="13.5" thickBot="1">
      <c r="B119" s="358"/>
      <c r="C119" s="350"/>
      <c r="D119" s="350"/>
      <c r="E119" s="350"/>
      <c r="F119" s="350"/>
      <c r="G119" s="350"/>
      <c r="H119" s="349"/>
      <c r="I119" s="349"/>
      <c r="J119" s="350"/>
      <c r="K119" s="349"/>
      <c r="L119" s="349"/>
      <c r="M119" s="350"/>
      <c r="N119" s="350"/>
      <c r="O119" s="350"/>
      <c r="P119" s="350"/>
      <c r="Q119" s="350"/>
      <c r="R119" s="349"/>
      <c r="S119" s="349"/>
      <c r="T119" s="349"/>
      <c r="U119" s="349"/>
      <c r="V119" s="349"/>
      <c r="W119" s="351"/>
      <c r="AC119" s="258"/>
    </row>
    <row r="120" spans="2:33">
      <c r="Q120" s="258"/>
      <c r="Z120" s="8" t="s">
        <v>395</v>
      </c>
      <c r="AC120" s="258"/>
    </row>
    <row r="121" spans="2:33">
      <c r="Q121" s="258"/>
      <c r="AC121" s="258"/>
      <c r="AD121" s="8" t="s">
        <v>366</v>
      </c>
      <c r="AE121" s="41">
        <f>AB136/Y134</f>
        <v>2.4791666666666665</v>
      </c>
      <c r="AF121" s="8" t="s">
        <v>367</v>
      </c>
      <c r="AG121" s="8">
        <f>SQRT(AE121)</f>
        <v>1.5745369689742652</v>
      </c>
    </row>
    <row r="122" spans="2:33">
      <c r="D122" s="8" t="s">
        <v>395</v>
      </c>
      <c r="N122" s="8" t="s">
        <v>395</v>
      </c>
      <c r="Q122" s="258"/>
      <c r="Y122" s="14" t="s">
        <v>96</v>
      </c>
      <c r="Z122" s="14" t="s">
        <v>369</v>
      </c>
      <c r="AA122" s="14" t="s">
        <v>396</v>
      </c>
      <c r="AB122" s="14" t="s">
        <v>371</v>
      </c>
      <c r="AC122" s="258"/>
    </row>
    <row r="123" spans="2:33" ht="15">
      <c r="H123" s="8" t="s">
        <v>366</v>
      </c>
      <c r="I123" s="41">
        <f>F138/C136</f>
        <v>3.6458333333333335</v>
      </c>
      <c r="J123" s="14" t="s">
        <v>367</v>
      </c>
      <c r="K123" s="8">
        <f>SQRT(I123)</f>
        <v>1.9094065395649333</v>
      </c>
      <c r="Q123" s="258"/>
      <c r="R123" s="8" t="s">
        <v>366</v>
      </c>
      <c r="S123" s="41">
        <f>P138/M136</f>
        <v>3.6458333333333335</v>
      </c>
      <c r="T123" s="8" t="s">
        <v>367</v>
      </c>
      <c r="U123" s="8">
        <f>SQRT(S123)</f>
        <v>1.9094065395649333</v>
      </c>
      <c r="Y123" s="14">
        <v>1</v>
      </c>
      <c r="Z123" s="165">
        <f t="shared" ref="Z123:Z134" si="5">+L4</f>
        <v>4</v>
      </c>
      <c r="AA123" s="14">
        <v>4</v>
      </c>
      <c r="AB123" s="14">
        <f t="shared" ref="AB123:AB134" si="6">(Z123-AA123)^2</f>
        <v>0</v>
      </c>
      <c r="AC123" s="258"/>
    </row>
    <row r="124" spans="2:33" ht="15">
      <c r="C124" s="14" t="s">
        <v>96</v>
      </c>
      <c r="D124" s="14" t="s">
        <v>369</v>
      </c>
      <c r="E124" s="14" t="s">
        <v>396</v>
      </c>
      <c r="F124" s="14" t="s">
        <v>371</v>
      </c>
      <c r="M124" s="14" t="s">
        <v>96</v>
      </c>
      <c r="N124" s="14" t="s">
        <v>369</v>
      </c>
      <c r="O124" s="14" t="s">
        <v>396</v>
      </c>
      <c r="P124" s="14" t="s">
        <v>371</v>
      </c>
      <c r="Q124" s="258"/>
      <c r="Y124" s="14">
        <v>2</v>
      </c>
      <c r="Z124" s="165">
        <f t="shared" si="5"/>
        <v>3</v>
      </c>
      <c r="AA124" s="14">
        <v>5</v>
      </c>
      <c r="AB124" s="14">
        <f t="shared" si="6"/>
        <v>4</v>
      </c>
      <c r="AC124" s="258"/>
    </row>
    <row r="125" spans="2:33" ht="15">
      <c r="C125" s="14">
        <v>1</v>
      </c>
      <c r="D125" s="165">
        <f t="shared" ref="D125:D136" si="7">+F4</f>
        <v>5</v>
      </c>
      <c r="E125" s="14">
        <v>4</v>
      </c>
      <c r="F125" s="14">
        <f>(D125-E125)^2</f>
        <v>1</v>
      </c>
      <c r="M125" s="14">
        <v>1</v>
      </c>
      <c r="N125" s="165">
        <v>4</v>
      </c>
      <c r="O125" s="14">
        <v>4</v>
      </c>
      <c r="P125" s="14">
        <f>(N125-O125)^2</f>
        <v>0</v>
      </c>
      <c r="Q125" s="258"/>
      <c r="Y125" s="14">
        <v>3</v>
      </c>
      <c r="Z125" s="165">
        <f t="shared" si="5"/>
        <v>3</v>
      </c>
      <c r="AA125" s="14">
        <v>3</v>
      </c>
      <c r="AB125" s="14">
        <f t="shared" si="6"/>
        <v>0</v>
      </c>
      <c r="AC125" s="258"/>
    </row>
    <row r="126" spans="2:33" ht="15">
      <c r="C126" s="14">
        <v>2</v>
      </c>
      <c r="D126" s="165">
        <f t="shared" si="7"/>
        <v>2</v>
      </c>
      <c r="E126" s="14">
        <v>5</v>
      </c>
      <c r="F126" s="14">
        <f t="shared" ref="F126:F136" si="8">(D126-E126)^2</f>
        <v>9</v>
      </c>
      <c r="M126" s="14">
        <v>2</v>
      </c>
      <c r="N126" s="165">
        <v>4</v>
      </c>
      <c r="O126" s="14">
        <v>5</v>
      </c>
      <c r="P126" s="14">
        <f t="shared" ref="P126:P136" si="9">(N126-O126)^2</f>
        <v>1</v>
      </c>
      <c r="Q126" s="258"/>
      <c r="Y126" s="14">
        <v>4</v>
      </c>
      <c r="Z126" s="165">
        <f t="shared" si="5"/>
        <v>3</v>
      </c>
      <c r="AA126" s="14">
        <v>2.5</v>
      </c>
      <c r="AB126" s="14">
        <f t="shared" si="6"/>
        <v>0.25</v>
      </c>
      <c r="AC126" s="258"/>
    </row>
    <row r="127" spans="2:33" ht="15">
      <c r="C127" s="14">
        <v>3</v>
      </c>
      <c r="D127" s="165">
        <f t="shared" si="7"/>
        <v>4</v>
      </c>
      <c r="E127" s="14">
        <v>3</v>
      </c>
      <c r="F127" s="14">
        <f t="shared" si="8"/>
        <v>1</v>
      </c>
      <c r="M127" s="14">
        <v>3</v>
      </c>
      <c r="N127" s="165">
        <v>3</v>
      </c>
      <c r="O127" s="14">
        <v>3</v>
      </c>
      <c r="P127" s="14">
        <f t="shared" si="9"/>
        <v>0</v>
      </c>
      <c r="Q127" s="258"/>
      <c r="Y127" s="14">
        <v>5</v>
      </c>
      <c r="Z127" s="165">
        <f t="shared" si="5"/>
        <v>4</v>
      </c>
      <c r="AA127" s="14">
        <v>1</v>
      </c>
      <c r="AB127" s="14">
        <f t="shared" si="6"/>
        <v>9</v>
      </c>
      <c r="AC127" s="258"/>
    </row>
    <row r="128" spans="2:33" ht="15">
      <c r="C128" s="14">
        <v>4</v>
      </c>
      <c r="D128" s="165">
        <f t="shared" si="7"/>
        <v>3</v>
      </c>
      <c r="E128" s="14">
        <v>2.5</v>
      </c>
      <c r="F128" s="14">
        <f t="shared" si="8"/>
        <v>0.25</v>
      </c>
      <c r="M128" s="14">
        <v>4</v>
      </c>
      <c r="N128" s="165">
        <v>5</v>
      </c>
      <c r="O128" s="14">
        <v>2.5</v>
      </c>
      <c r="P128" s="14">
        <f t="shared" si="9"/>
        <v>6.25</v>
      </c>
      <c r="Q128" s="258"/>
      <c r="Y128" s="14">
        <v>6</v>
      </c>
      <c r="Z128" s="165">
        <f t="shared" si="5"/>
        <v>4</v>
      </c>
      <c r="AA128" s="14">
        <v>4</v>
      </c>
      <c r="AB128" s="14">
        <f t="shared" si="6"/>
        <v>0</v>
      </c>
      <c r="AC128" s="258"/>
    </row>
    <row r="129" spans="3:31" ht="15">
      <c r="C129" s="14">
        <v>5</v>
      </c>
      <c r="D129" s="165">
        <f t="shared" si="7"/>
        <v>3</v>
      </c>
      <c r="E129" s="14">
        <v>1</v>
      </c>
      <c r="F129" s="14">
        <f t="shared" si="8"/>
        <v>4</v>
      </c>
      <c r="M129" s="14">
        <v>5</v>
      </c>
      <c r="N129" s="165">
        <v>4</v>
      </c>
      <c r="O129" s="14">
        <v>1</v>
      </c>
      <c r="P129" s="14">
        <f t="shared" si="9"/>
        <v>9</v>
      </c>
      <c r="Q129" s="258"/>
      <c r="Y129" s="14">
        <v>7</v>
      </c>
      <c r="Z129" s="165">
        <f t="shared" si="5"/>
        <v>4</v>
      </c>
      <c r="AA129" s="14">
        <v>2.5</v>
      </c>
      <c r="AB129" s="14">
        <f t="shared" si="6"/>
        <v>2.25</v>
      </c>
      <c r="AC129" s="258"/>
    </row>
    <row r="130" spans="3:31" ht="15">
      <c r="C130" s="14">
        <v>6</v>
      </c>
      <c r="D130" s="165">
        <f t="shared" si="7"/>
        <v>3</v>
      </c>
      <c r="E130" s="14">
        <v>4</v>
      </c>
      <c r="F130" s="14">
        <f t="shared" si="8"/>
        <v>1</v>
      </c>
      <c r="M130" s="14">
        <v>6</v>
      </c>
      <c r="N130" s="165">
        <v>3</v>
      </c>
      <c r="O130" s="14">
        <v>4</v>
      </c>
      <c r="P130" s="14">
        <f t="shared" si="9"/>
        <v>1</v>
      </c>
      <c r="Q130" s="258"/>
      <c r="Y130" s="14">
        <v>8</v>
      </c>
      <c r="Z130" s="165">
        <f t="shared" si="5"/>
        <v>4</v>
      </c>
      <c r="AA130" s="14">
        <v>3.5</v>
      </c>
      <c r="AB130" s="14">
        <f t="shared" si="6"/>
        <v>0.25</v>
      </c>
      <c r="AC130" s="258"/>
    </row>
    <row r="131" spans="3:31" ht="15">
      <c r="C131" s="14">
        <v>7</v>
      </c>
      <c r="D131" s="165">
        <f t="shared" si="7"/>
        <v>3</v>
      </c>
      <c r="E131" s="14">
        <v>2.5</v>
      </c>
      <c r="F131" s="14">
        <f t="shared" si="8"/>
        <v>0.25</v>
      </c>
      <c r="M131" s="14">
        <v>7</v>
      </c>
      <c r="N131" s="165">
        <v>4</v>
      </c>
      <c r="O131" s="14">
        <v>2.5</v>
      </c>
      <c r="P131" s="14">
        <f t="shared" si="9"/>
        <v>2.25</v>
      </c>
      <c r="Q131" s="258"/>
      <c r="Y131" s="14">
        <v>9</v>
      </c>
      <c r="Z131" s="165">
        <f t="shared" si="5"/>
        <v>5</v>
      </c>
      <c r="AA131" s="14">
        <v>5</v>
      </c>
      <c r="AB131" s="14">
        <f t="shared" si="6"/>
        <v>0</v>
      </c>
      <c r="AC131" s="258"/>
    </row>
    <row r="132" spans="3:31" ht="15">
      <c r="C132" s="14">
        <v>8</v>
      </c>
      <c r="D132" s="165">
        <f t="shared" si="7"/>
        <v>5</v>
      </c>
      <c r="E132" s="14">
        <v>3.5</v>
      </c>
      <c r="F132" s="14">
        <f t="shared" si="8"/>
        <v>2.25</v>
      </c>
      <c r="M132" s="14">
        <v>8</v>
      </c>
      <c r="N132" s="165">
        <v>5</v>
      </c>
      <c r="O132" s="14">
        <v>3.5</v>
      </c>
      <c r="P132" s="14">
        <f t="shared" si="9"/>
        <v>2.25</v>
      </c>
      <c r="Q132" s="258"/>
      <c r="Y132" s="14">
        <v>10</v>
      </c>
      <c r="Z132" s="165">
        <f t="shared" si="5"/>
        <v>5</v>
      </c>
      <c r="AA132" s="14">
        <v>2</v>
      </c>
      <c r="AB132" s="14">
        <f t="shared" si="6"/>
        <v>9</v>
      </c>
      <c r="AC132" s="258"/>
    </row>
    <row r="133" spans="3:31" ht="15">
      <c r="C133" s="14">
        <v>9</v>
      </c>
      <c r="D133" s="165">
        <f t="shared" si="7"/>
        <v>1</v>
      </c>
      <c r="E133" s="14">
        <v>5</v>
      </c>
      <c r="F133" s="14">
        <f t="shared" si="8"/>
        <v>16</v>
      </c>
      <c r="M133" s="14">
        <v>9</v>
      </c>
      <c r="N133" s="165">
        <v>1</v>
      </c>
      <c r="O133" s="14">
        <v>5</v>
      </c>
      <c r="P133" s="14">
        <f t="shared" si="9"/>
        <v>16</v>
      </c>
      <c r="Q133" s="258"/>
      <c r="Y133" s="14">
        <v>11</v>
      </c>
      <c r="Z133" s="165">
        <f t="shared" si="5"/>
        <v>5</v>
      </c>
      <c r="AA133" s="14">
        <v>3</v>
      </c>
      <c r="AB133" s="14">
        <f t="shared" si="6"/>
        <v>4</v>
      </c>
      <c r="AC133" s="258"/>
    </row>
    <row r="134" spans="3:31" ht="15">
      <c r="C134" s="14">
        <v>10</v>
      </c>
      <c r="D134" s="165">
        <f t="shared" si="7"/>
        <v>4</v>
      </c>
      <c r="E134" s="14">
        <v>2</v>
      </c>
      <c r="F134" s="14">
        <f t="shared" si="8"/>
        <v>4</v>
      </c>
      <c r="M134" s="14">
        <v>10</v>
      </c>
      <c r="N134" s="165">
        <v>3</v>
      </c>
      <c r="O134" s="14">
        <v>2</v>
      </c>
      <c r="P134" s="14">
        <f t="shared" si="9"/>
        <v>1</v>
      </c>
      <c r="Q134" s="258"/>
      <c r="Y134" s="14">
        <v>12</v>
      </c>
      <c r="Z134" s="165">
        <f t="shared" si="5"/>
        <v>5</v>
      </c>
      <c r="AA134" s="14">
        <v>4</v>
      </c>
      <c r="AB134" s="14">
        <f t="shared" si="6"/>
        <v>1</v>
      </c>
      <c r="AC134" s="258"/>
    </row>
    <row r="135" spans="3:31" ht="15">
      <c r="C135" s="14">
        <v>11</v>
      </c>
      <c r="D135" s="165">
        <f t="shared" si="7"/>
        <v>5</v>
      </c>
      <c r="E135" s="14">
        <v>3</v>
      </c>
      <c r="F135" s="14">
        <f t="shared" si="8"/>
        <v>4</v>
      </c>
      <c r="M135" s="14">
        <v>11</v>
      </c>
      <c r="N135" s="165">
        <v>5</v>
      </c>
      <c r="O135" s="14">
        <v>3</v>
      </c>
      <c r="P135" s="14">
        <f t="shared" si="9"/>
        <v>4</v>
      </c>
      <c r="Q135" s="258"/>
      <c r="AC135" s="258"/>
    </row>
    <row r="136" spans="3:31" ht="15">
      <c r="C136" s="14">
        <v>12</v>
      </c>
      <c r="D136" s="165">
        <f t="shared" si="7"/>
        <v>5</v>
      </c>
      <c r="E136" s="14">
        <v>4</v>
      </c>
      <c r="F136" s="14">
        <f t="shared" si="8"/>
        <v>1</v>
      </c>
      <c r="M136" s="14">
        <v>12</v>
      </c>
      <c r="N136" s="165">
        <v>5</v>
      </c>
      <c r="O136" s="14">
        <v>4</v>
      </c>
      <c r="P136" s="14">
        <f t="shared" si="9"/>
        <v>1</v>
      </c>
      <c r="Q136" s="258"/>
      <c r="AA136" s="8" t="s">
        <v>372</v>
      </c>
      <c r="AB136" s="8">
        <f>SUM(AB123:AB134)</f>
        <v>29.75</v>
      </c>
      <c r="AC136" s="258"/>
    </row>
    <row r="137" spans="3:31">
      <c r="Q137" s="258"/>
      <c r="AC137" s="258"/>
    </row>
    <row r="138" spans="3:31">
      <c r="E138" s="8" t="s">
        <v>372</v>
      </c>
      <c r="F138" s="8">
        <f>SUM(F125:F136)</f>
        <v>43.75</v>
      </c>
      <c r="O138" s="8" t="s">
        <v>372</v>
      </c>
      <c r="P138" s="8">
        <f>SUM(P125:P136)</f>
        <v>43.75</v>
      </c>
      <c r="Q138" s="258"/>
      <c r="Z138" s="8" t="s">
        <v>397</v>
      </c>
      <c r="AC138" s="258"/>
    </row>
    <row r="139" spans="3:31">
      <c r="Q139" s="258"/>
      <c r="AC139" s="258"/>
      <c r="AD139" s="8" t="s">
        <v>366</v>
      </c>
      <c r="AE139" s="41">
        <f>AB154/Y152</f>
        <v>2.1041666666666665</v>
      </c>
    </row>
    <row r="140" spans="3:31">
      <c r="D140" s="8" t="s">
        <v>397</v>
      </c>
      <c r="N140" s="8" t="s">
        <v>397</v>
      </c>
      <c r="Q140" s="258"/>
      <c r="Y140" s="14" t="s">
        <v>96</v>
      </c>
      <c r="Z140" s="14" t="s">
        <v>369</v>
      </c>
      <c r="AA140" s="14" t="s">
        <v>196</v>
      </c>
      <c r="AB140" s="14" t="s">
        <v>371</v>
      </c>
      <c r="AC140" s="258"/>
    </row>
    <row r="141" spans="3:31" ht="15">
      <c r="H141" s="8" t="s">
        <v>366</v>
      </c>
      <c r="I141" s="41">
        <f>F156/C154</f>
        <v>1.8541666666666667</v>
      </c>
      <c r="J141" s="14" t="s">
        <v>367</v>
      </c>
      <c r="K141" s="8">
        <f>SQRT(I141)</f>
        <v>1.3616778865306827</v>
      </c>
      <c r="Q141" s="258"/>
      <c r="R141" s="8" t="s">
        <v>366</v>
      </c>
      <c r="S141" s="41">
        <f>P156/M154</f>
        <v>1.7708333333333333</v>
      </c>
      <c r="T141" s="8" t="s">
        <v>367</v>
      </c>
      <c r="U141" s="8">
        <f>SQRT(S141)</f>
        <v>1.3307266185559425</v>
      </c>
      <c r="Y141" s="14">
        <v>1</v>
      </c>
      <c r="Z141" s="165">
        <f t="shared" ref="Z141:Z152" si="10">+L4</f>
        <v>4</v>
      </c>
      <c r="AA141" s="14">
        <v>2</v>
      </c>
      <c r="AB141" s="14">
        <f t="shared" ref="AB141:AB152" si="11">(Z141-AA141)^2</f>
        <v>4</v>
      </c>
      <c r="AC141" s="258"/>
    </row>
    <row r="142" spans="3:31" ht="15">
      <c r="C142" s="14" t="s">
        <v>96</v>
      </c>
      <c r="D142" s="14" t="s">
        <v>369</v>
      </c>
      <c r="E142" s="14" t="s">
        <v>196</v>
      </c>
      <c r="F142" s="14" t="s">
        <v>371</v>
      </c>
      <c r="M142" s="14" t="s">
        <v>96</v>
      </c>
      <c r="N142" s="14" t="s">
        <v>369</v>
      </c>
      <c r="O142" s="14" t="s">
        <v>196</v>
      </c>
      <c r="P142" s="14" t="s">
        <v>371</v>
      </c>
      <c r="Q142" s="258"/>
      <c r="Y142" s="14">
        <v>2</v>
      </c>
      <c r="Z142" s="165">
        <f t="shared" si="10"/>
        <v>3</v>
      </c>
      <c r="AA142" s="14">
        <v>1</v>
      </c>
      <c r="AB142" s="14">
        <f t="shared" si="11"/>
        <v>4</v>
      </c>
      <c r="AC142" s="258"/>
    </row>
    <row r="143" spans="3:31" ht="15">
      <c r="C143" s="14">
        <v>1</v>
      </c>
      <c r="D143" s="165">
        <f t="shared" ref="D143:D154" si="12">+F4</f>
        <v>5</v>
      </c>
      <c r="E143" s="14">
        <v>2</v>
      </c>
      <c r="F143" s="14">
        <f>(D143-E143)^2</f>
        <v>9</v>
      </c>
      <c r="M143" s="14">
        <v>1</v>
      </c>
      <c r="N143" s="165">
        <v>4</v>
      </c>
      <c r="O143" s="14">
        <v>2</v>
      </c>
      <c r="P143" s="14">
        <f>(N143-O143)^2</f>
        <v>4</v>
      </c>
      <c r="Q143" s="258"/>
      <c r="Y143" s="14">
        <v>3</v>
      </c>
      <c r="Z143" s="165">
        <f t="shared" si="10"/>
        <v>3</v>
      </c>
      <c r="AA143" s="14">
        <v>3</v>
      </c>
      <c r="AB143" s="14">
        <f t="shared" si="11"/>
        <v>0</v>
      </c>
      <c r="AC143" s="258"/>
    </row>
    <row r="144" spans="3:31" ht="15">
      <c r="C144" s="14">
        <v>2</v>
      </c>
      <c r="D144" s="165">
        <f t="shared" si="12"/>
        <v>2</v>
      </c>
      <c r="E144" s="14">
        <v>1</v>
      </c>
      <c r="F144" s="14">
        <f>(D144-E144)^2</f>
        <v>1</v>
      </c>
      <c r="M144" s="14">
        <v>2</v>
      </c>
      <c r="N144" s="165">
        <v>4</v>
      </c>
      <c r="O144" s="14">
        <v>1</v>
      </c>
      <c r="P144" s="14">
        <f>(N144-O144)^2</f>
        <v>9</v>
      </c>
      <c r="Q144" s="258"/>
      <c r="Y144" s="14">
        <v>4</v>
      </c>
      <c r="Z144" s="165">
        <f t="shared" si="10"/>
        <v>3</v>
      </c>
      <c r="AA144" s="14">
        <v>4</v>
      </c>
      <c r="AB144" s="14">
        <f t="shared" si="11"/>
        <v>1</v>
      </c>
      <c r="AC144" s="258"/>
    </row>
    <row r="145" spans="3:29" ht="15">
      <c r="C145" s="14">
        <v>3</v>
      </c>
      <c r="D145" s="165">
        <f t="shared" si="12"/>
        <v>4</v>
      </c>
      <c r="E145" s="14">
        <v>3</v>
      </c>
      <c r="F145" s="14">
        <f>(D145-E145)^2</f>
        <v>1</v>
      </c>
      <c r="M145" s="14">
        <v>3</v>
      </c>
      <c r="N145" s="165">
        <v>3</v>
      </c>
      <c r="O145" s="14">
        <v>3</v>
      </c>
      <c r="P145" s="14">
        <f>(N145-O145)^2</f>
        <v>0</v>
      </c>
      <c r="Q145" s="258"/>
      <c r="Y145" s="14">
        <v>5</v>
      </c>
      <c r="Z145" s="165">
        <f t="shared" si="10"/>
        <v>4</v>
      </c>
      <c r="AA145" s="14">
        <v>3</v>
      </c>
      <c r="AB145" s="14">
        <f t="shared" si="11"/>
        <v>1</v>
      </c>
      <c r="AC145" s="258"/>
    </row>
    <row r="146" spans="3:29" ht="15">
      <c r="C146" s="14">
        <v>4</v>
      </c>
      <c r="D146" s="165">
        <f t="shared" si="12"/>
        <v>3</v>
      </c>
      <c r="E146" s="14">
        <v>4</v>
      </c>
      <c r="F146" s="14">
        <f>(D146-E146)^2</f>
        <v>1</v>
      </c>
      <c r="M146" s="14">
        <v>4</v>
      </c>
      <c r="N146" s="165">
        <v>5</v>
      </c>
      <c r="O146" s="14">
        <v>4</v>
      </c>
      <c r="P146" s="14">
        <f>(N146-O146)^2</f>
        <v>1</v>
      </c>
      <c r="Q146" s="258"/>
      <c r="Y146" s="14">
        <v>6</v>
      </c>
      <c r="Z146" s="165">
        <f t="shared" si="10"/>
        <v>4</v>
      </c>
      <c r="AA146" s="14">
        <v>4</v>
      </c>
      <c r="AB146" s="14">
        <f t="shared" si="11"/>
        <v>0</v>
      </c>
      <c r="AC146" s="258"/>
    </row>
    <row r="147" spans="3:29" ht="15">
      <c r="C147" s="14">
        <v>5</v>
      </c>
      <c r="D147" s="165">
        <f t="shared" si="12"/>
        <v>3</v>
      </c>
      <c r="E147" s="14">
        <v>3</v>
      </c>
      <c r="F147" s="14">
        <f t="shared" ref="F147:F154" si="13">(D147-E147)^2</f>
        <v>0</v>
      </c>
      <c r="M147" s="14">
        <v>5</v>
      </c>
      <c r="N147" s="165">
        <v>4</v>
      </c>
      <c r="O147" s="14">
        <v>3</v>
      </c>
      <c r="P147" s="14">
        <f t="shared" ref="P147:P154" si="14">(N147-O147)^2</f>
        <v>1</v>
      </c>
      <c r="Q147" s="258"/>
      <c r="Y147" s="14">
        <v>7</v>
      </c>
      <c r="Z147" s="165">
        <f t="shared" si="10"/>
        <v>4</v>
      </c>
      <c r="AA147" s="14">
        <v>5</v>
      </c>
      <c r="AB147" s="14">
        <f t="shared" si="11"/>
        <v>1</v>
      </c>
      <c r="AC147" s="258"/>
    </row>
    <row r="148" spans="3:29" ht="15">
      <c r="C148" s="14">
        <v>6</v>
      </c>
      <c r="D148" s="165">
        <f t="shared" si="12"/>
        <v>3</v>
      </c>
      <c r="E148" s="14">
        <v>4</v>
      </c>
      <c r="F148" s="14">
        <f t="shared" si="13"/>
        <v>1</v>
      </c>
      <c r="M148" s="14">
        <v>6</v>
      </c>
      <c r="N148" s="165">
        <v>3</v>
      </c>
      <c r="O148" s="14">
        <v>4</v>
      </c>
      <c r="P148" s="14">
        <f t="shared" si="14"/>
        <v>1</v>
      </c>
      <c r="Q148" s="258"/>
      <c r="Y148" s="14">
        <v>8</v>
      </c>
      <c r="Z148" s="165">
        <f t="shared" si="10"/>
        <v>4</v>
      </c>
      <c r="AA148" s="14">
        <v>3.5</v>
      </c>
      <c r="AB148" s="14">
        <f t="shared" si="11"/>
        <v>0.25</v>
      </c>
      <c r="AC148" s="258"/>
    </row>
    <row r="149" spans="3:29" ht="15">
      <c r="C149" s="14">
        <v>7</v>
      </c>
      <c r="D149" s="165">
        <f t="shared" si="12"/>
        <v>3</v>
      </c>
      <c r="E149" s="14">
        <v>5</v>
      </c>
      <c r="F149" s="14">
        <f t="shared" si="13"/>
        <v>4</v>
      </c>
      <c r="M149" s="14">
        <v>7</v>
      </c>
      <c r="N149" s="165">
        <v>4</v>
      </c>
      <c r="O149" s="14">
        <v>5</v>
      </c>
      <c r="P149" s="14">
        <f t="shared" si="14"/>
        <v>1</v>
      </c>
      <c r="Q149" s="258"/>
      <c r="Y149" s="14">
        <v>9</v>
      </c>
      <c r="Z149" s="165">
        <f t="shared" si="10"/>
        <v>5</v>
      </c>
      <c r="AA149" s="14">
        <v>2</v>
      </c>
      <c r="AB149" s="14">
        <f t="shared" si="11"/>
        <v>9</v>
      </c>
      <c r="AC149" s="258"/>
    </row>
    <row r="150" spans="3:29" ht="15">
      <c r="C150" s="14">
        <v>8</v>
      </c>
      <c r="D150" s="165">
        <f t="shared" si="12"/>
        <v>5</v>
      </c>
      <c r="E150" s="14">
        <v>3.5</v>
      </c>
      <c r="F150" s="14">
        <f t="shared" si="13"/>
        <v>2.25</v>
      </c>
      <c r="M150" s="14">
        <v>8</v>
      </c>
      <c r="N150" s="165">
        <v>5</v>
      </c>
      <c r="O150" s="14">
        <v>3.5</v>
      </c>
      <c r="P150" s="14">
        <f t="shared" si="14"/>
        <v>2.25</v>
      </c>
      <c r="Q150" s="258"/>
      <c r="Y150" s="14">
        <v>10</v>
      </c>
      <c r="Z150" s="165">
        <f t="shared" si="10"/>
        <v>5</v>
      </c>
      <c r="AA150" s="14">
        <v>3</v>
      </c>
      <c r="AB150" s="14">
        <f t="shared" si="11"/>
        <v>4</v>
      </c>
      <c r="AC150" s="258"/>
    </row>
    <row r="151" spans="3:29" ht="15">
      <c r="C151" s="14">
        <v>9</v>
      </c>
      <c r="D151" s="165">
        <f t="shared" si="12"/>
        <v>1</v>
      </c>
      <c r="E151" s="14">
        <v>2</v>
      </c>
      <c r="F151" s="14">
        <f t="shared" si="13"/>
        <v>1</v>
      </c>
      <c r="M151" s="14">
        <v>9</v>
      </c>
      <c r="N151" s="165">
        <v>1</v>
      </c>
      <c r="O151" s="14">
        <v>2</v>
      </c>
      <c r="P151" s="14">
        <f t="shared" si="14"/>
        <v>1</v>
      </c>
      <c r="Q151" s="258"/>
      <c r="Y151" s="14">
        <v>11</v>
      </c>
      <c r="Z151" s="165">
        <f t="shared" si="10"/>
        <v>5</v>
      </c>
      <c r="AA151" s="14">
        <v>4</v>
      </c>
      <c r="AB151" s="14">
        <f t="shared" si="11"/>
        <v>1</v>
      </c>
      <c r="AC151" s="258"/>
    </row>
    <row r="152" spans="3:29" ht="15">
      <c r="C152" s="14">
        <v>10</v>
      </c>
      <c r="D152" s="165">
        <f t="shared" si="12"/>
        <v>4</v>
      </c>
      <c r="E152" s="14">
        <v>3</v>
      </c>
      <c r="F152" s="14">
        <f t="shared" si="13"/>
        <v>1</v>
      </c>
      <c r="M152" s="14">
        <v>10</v>
      </c>
      <c r="N152" s="165">
        <v>3</v>
      </c>
      <c r="O152" s="14">
        <v>3</v>
      </c>
      <c r="P152" s="14">
        <f t="shared" si="14"/>
        <v>0</v>
      </c>
      <c r="Q152" s="258"/>
      <c r="Y152" s="14">
        <v>12</v>
      </c>
      <c r="Z152" s="165">
        <f t="shared" si="10"/>
        <v>5</v>
      </c>
      <c r="AA152" s="14">
        <v>5</v>
      </c>
      <c r="AB152" s="14">
        <f t="shared" si="11"/>
        <v>0</v>
      </c>
      <c r="AC152" s="258"/>
    </row>
    <row r="153" spans="3:29" ht="15">
      <c r="C153" s="14">
        <v>11</v>
      </c>
      <c r="D153" s="165">
        <f t="shared" si="12"/>
        <v>5</v>
      </c>
      <c r="E153" s="14">
        <v>4</v>
      </c>
      <c r="F153" s="14">
        <f t="shared" si="13"/>
        <v>1</v>
      </c>
      <c r="M153" s="14">
        <v>11</v>
      </c>
      <c r="N153" s="165">
        <v>5</v>
      </c>
      <c r="O153" s="14">
        <v>4</v>
      </c>
      <c r="P153" s="14">
        <f t="shared" si="14"/>
        <v>1</v>
      </c>
      <c r="Q153" s="258"/>
      <c r="AC153" s="258"/>
    </row>
    <row r="154" spans="3:29" ht="15">
      <c r="C154" s="14">
        <v>12</v>
      </c>
      <c r="D154" s="165">
        <f t="shared" si="12"/>
        <v>5</v>
      </c>
      <c r="E154" s="14">
        <v>5</v>
      </c>
      <c r="F154" s="14">
        <f t="shared" si="13"/>
        <v>0</v>
      </c>
      <c r="M154" s="14">
        <v>12</v>
      </c>
      <c r="N154" s="165">
        <v>5</v>
      </c>
      <c r="O154" s="14">
        <v>5</v>
      </c>
      <c r="P154" s="14">
        <f t="shared" si="14"/>
        <v>0</v>
      </c>
      <c r="Q154" s="258"/>
      <c r="AA154" s="8" t="s">
        <v>372</v>
      </c>
      <c r="AB154" s="8">
        <f>SUM(AB141:AB152)</f>
        <v>25.25</v>
      </c>
      <c r="AC154" s="258"/>
    </row>
    <row r="155" spans="3:29">
      <c r="Q155" s="258"/>
    </row>
    <row r="156" spans="3:29">
      <c r="E156" s="8" t="s">
        <v>372</v>
      </c>
      <c r="F156" s="8">
        <f>SUM(F143:F154)</f>
        <v>22.25</v>
      </c>
      <c r="O156" s="8" t="s">
        <v>372</v>
      </c>
      <c r="P156" s="8">
        <f>SUM(P143:P154)</f>
        <v>21.25</v>
      </c>
      <c r="Q156" s="258"/>
    </row>
    <row r="157" spans="3:29">
      <c r="Q157" s="258"/>
    </row>
    <row r="161" spans="3:19">
      <c r="C161" s="8" t="s">
        <v>398</v>
      </c>
    </row>
    <row r="163" spans="3:19">
      <c r="C163" s="8" t="s">
        <v>399</v>
      </c>
      <c r="D163" s="8" t="s">
        <v>400</v>
      </c>
      <c r="E163" s="8">
        <f>SUM(D143:D154)/C154</f>
        <v>3.5833333333333335</v>
      </c>
      <c r="G163" s="14" t="s">
        <v>370</v>
      </c>
      <c r="H163" s="8" t="s">
        <v>400</v>
      </c>
      <c r="I163" s="8">
        <f>SUM(O4:O15)/12</f>
        <v>4.125</v>
      </c>
      <c r="K163" s="258" t="s">
        <v>344</v>
      </c>
      <c r="L163" s="8" t="s">
        <v>400</v>
      </c>
      <c r="M163" s="14">
        <f t="array" ref="M163">SUM(K165:K176/12)</f>
        <v>3.2916666666666661</v>
      </c>
      <c r="O163" s="258" t="s">
        <v>196</v>
      </c>
      <c r="P163" s="8" t="s">
        <v>400</v>
      </c>
      <c r="Q163" s="8">
        <f t="array" ref="Q163">SUM(O165:O176/12)</f>
        <v>3.2916666666666665</v>
      </c>
    </row>
    <row r="164" spans="3:19">
      <c r="D164" s="8" t="s">
        <v>401</v>
      </c>
      <c r="H164" s="8" t="s">
        <v>401</v>
      </c>
      <c r="K164" s="258"/>
      <c r="L164" s="8" t="s">
        <v>401</v>
      </c>
      <c r="O164" s="258"/>
      <c r="P164" s="8" t="s">
        <v>401</v>
      </c>
    </row>
    <row r="165" spans="3:19">
      <c r="C165" s="14">
        <v>5</v>
      </c>
      <c r="D165" s="8">
        <f>ABS(C165-$E$163)</f>
        <v>1.4166666666666665</v>
      </c>
      <c r="G165" s="14">
        <v>4</v>
      </c>
      <c r="H165" s="8">
        <f>ABS(G165-$I$163)</f>
        <v>0.125</v>
      </c>
      <c r="K165" s="14">
        <v>4</v>
      </c>
      <c r="L165" s="8">
        <f>ABS(K165-$M$163)</f>
        <v>0.70833333333333393</v>
      </c>
      <c r="O165" s="14">
        <v>2</v>
      </c>
      <c r="P165" s="8">
        <f>ABS(O165-$Q$163)</f>
        <v>1.2916666666666665</v>
      </c>
    </row>
    <row r="166" spans="3:19">
      <c r="C166" s="14">
        <v>2</v>
      </c>
      <c r="D166" s="8">
        <f t="shared" ref="D166:D176" si="15">ABS(C166-$E$163)</f>
        <v>1.5833333333333335</v>
      </c>
      <c r="G166" s="14">
        <v>3</v>
      </c>
      <c r="H166" s="8">
        <f t="shared" ref="H166:H176" si="16">ABS(G166-$I$163)</f>
        <v>1.125</v>
      </c>
      <c r="K166" s="14">
        <v>5</v>
      </c>
      <c r="L166" s="8">
        <f>ABS(K166-$M$163)</f>
        <v>1.7083333333333339</v>
      </c>
      <c r="O166" s="14">
        <v>1</v>
      </c>
      <c r="P166" s="8">
        <f t="shared" ref="P166:P176" si="17">ABS(O166-$Q$163)</f>
        <v>2.2916666666666665</v>
      </c>
    </row>
    <row r="167" spans="3:19">
      <c r="C167" s="14">
        <v>4</v>
      </c>
      <c r="D167" s="8">
        <f t="shared" si="15"/>
        <v>0.41666666666666652</v>
      </c>
      <c r="G167" s="14">
        <v>5</v>
      </c>
      <c r="H167" s="8">
        <f t="shared" si="16"/>
        <v>0.875</v>
      </c>
      <c r="K167" s="14">
        <v>3</v>
      </c>
      <c r="L167" s="8">
        <f t="shared" ref="L167:L176" si="18">ABS(K167-$M$163)</f>
        <v>0.29166666666666607</v>
      </c>
      <c r="O167" s="14">
        <v>3</v>
      </c>
      <c r="P167" s="8">
        <f t="shared" si="17"/>
        <v>0.29166666666666652</v>
      </c>
    </row>
    <row r="168" spans="3:19">
      <c r="C168" s="14">
        <v>3</v>
      </c>
      <c r="D168" s="8">
        <f t="shared" si="15"/>
        <v>0.58333333333333348</v>
      </c>
      <c r="G168" s="14">
        <v>5</v>
      </c>
      <c r="H168" s="8">
        <f t="shared" si="16"/>
        <v>0.875</v>
      </c>
      <c r="K168" s="14">
        <v>2.5</v>
      </c>
      <c r="L168" s="8">
        <f t="shared" si="18"/>
        <v>0.79166666666666607</v>
      </c>
      <c r="O168" s="14">
        <v>4</v>
      </c>
      <c r="P168" s="8">
        <f t="shared" si="17"/>
        <v>0.70833333333333348</v>
      </c>
    </row>
    <row r="169" spans="3:19">
      <c r="C169" s="14">
        <v>3</v>
      </c>
      <c r="D169" s="8">
        <f t="shared" si="15"/>
        <v>0.58333333333333348</v>
      </c>
      <c r="G169" s="14">
        <v>5</v>
      </c>
      <c r="H169" s="8">
        <f>ABS(G169-$I$163)</f>
        <v>0.875</v>
      </c>
      <c r="K169" s="14">
        <v>1</v>
      </c>
      <c r="L169" s="8">
        <f t="shared" si="18"/>
        <v>2.2916666666666661</v>
      </c>
      <c r="O169" s="14">
        <v>3</v>
      </c>
      <c r="P169" s="8">
        <f t="shared" si="17"/>
        <v>0.29166666666666652</v>
      </c>
    </row>
    <row r="170" spans="3:19">
      <c r="C170" s="14">
        <v>3</v>
      </c>
      <c r="D170" s="8">
        <f t="shared" si="15"/>
        <v>0.58333333333333348</v>
      </c>
      <c r="G170" s="14">
        <v>5</v>
      </c>
      <c r="H170" s="8">
        <f t="shared" si="16"/>
        <v>0.875</v>
      </c>
      <c r="K170" s="14">
        <v>4</v>
      </c>
      <c r="L170" s="8">
        <f t="shared" si="18"/>
        <v>0.70833333333333393</v>
      </c>
      <c r="O170" s="14">
        <v>4</v>
      </c>
      <c r="P170" s="8">
        <f t="shared" si="17"/>
        <v>0.70833333333333348</v>
      </c>
    </row>
    <row r="171" spans="3:19">
      <c r="C171" s="14">
        <v>3</v>
      </c>
      <c r="D171" s="8">
        <f t="shared" si="15"/>
        <v>0.58333333333333348</v>
      </c>
      <c r="G171" s="14">
        <v>5</v>
      </c>
      <c r="H171" s="8">
        <f t="shared" si="16"/>
        <v>0.875</v>
      </c>
      <c r="K171" s="14">
        <v>2.5</v>
      </c>
      <c r="L171" s="8">
        <f t="shared" si="18"/>
        <v>0.79166666666666607</v>
      </c>
      <c r="O171" s="14">
        <v>5</v>
      </c>
      <c r="P171" s="8">
        <f t="shared" si="17"/>
        <v>1.7083333333333335</v>
      </c>
      <c r="S171" s="8">
        <f>SUM(K165:K176)</f>
        <v>39.5</v>
      </c>
    </row>
    <row r="172" spans="3:19">
      <c r="C172" s="14">
        <v>5</v>
      </c>
      <c r="D172" s="8">
        <f t="shared" si="15"/>
        <v>1.4166666666666665</v>
      </c>
      <c r="G172" s="14">
        <v>3.5</v>
      </c>
      <c r="H172" s="8">
        <f t="shared" si="16"/>
        <v>0.625</v>
      </c>
      <c r="K172" s="14">
        <v>3.5</v>
      </c>
      <c r="L172" s="8">
        <f t="shared" si="18"/>
        <v>0.20833333333333393</v>
      </c>
      <c r="O172" s="14">
        <v>3.5</v>
      </c>
      <c r="P172" s="8">
        <f t="shared" si="17"/>
        <v>0.20833333333333348</v>
      </c>
    </row>
    <row r="173" spans="3:19">
      <c r="C173" s="14">
        <v>1</v>
      </c>
      <c r="D173" s="8">
        <f t="shared" si="15"/>
        <v>2.5833333333333335</v>
      </c>
      <c r="G173" s="14">
        <v>5</v>
      </c>
      <c r="H173" s="8">
        <f t="shared" si="16"/>
        <v>0.875</v>
      </c>
      <c r="K173" s="14">
        <v>5</v>
      </c>
      <c r="L173" s="8">
        <f t="shared" si="18"/>
        <v>1.7083333333333339</v>
      </c>
      <c r="O173" s="14">
        <v>2</v>
      </c>
      <c r="P173" s="8">
        <f t="shared" si="17"/>
        <v>1.2916666666666665</v>
      </c>
    </row>
    <row r="174" spans="3:19">
      <c r="C174" s="14">
        <v>4</v>
      </c>
      <c r="D174" s="8">
        <f t="shared" si="15"/>
        <v>0.41666666666666652</v>
      </c>
      <c r="G174" s="14">
        <v>5</v>
      </c>
      <c r="H174" s="8">
        <f t="shared" si="16"/>
        <v>0.875</v>
      </c>
      <c r="K174" s="14">
        <v>2</v>
      </c>
      <c r="L174" s="8">
        <f t="shared" si="18"/>
        <v>1.2916666666666661</v>
      </c>
      <c r="O174" s="14">
        <v>3</v>
      </c>
      <c r="P174" s="8">
        <f t="shared" si="17"/>
        <v>0.29166666666666652</v>
      </c>
    </row>
    <row r="175" spans="3:19">
      <c r="C175" s="14">
        <v>5</v>
      </c>
      <c r="D175" s="8">
        <f t="shared" si="15"/>
        <v>1.4166666666666665</v>
      </c>
      <c r="G175" s="14">
        <v>1</v>
      </c>
      <c r="H175" s="8">
        <f t="shared" si="16"/>
        <v>3.125</v>
      </c>
      <c r="K175" s="14">
        <v>3</v>
      </c>
      <c r="L175" s="8">
        <f t="shared" si="18"/>
        <v>0.29166666666666607</v>
      </c>
      <c r="O175" s="14">
        <v>4</v>
      </c>
      <c r="P175" s="8">
        <f t="shared" si="17"/>
        <v>0.70833333333333348</v>
      </c>
    </row>
    <row r="176" spans="3:19">
      <c r="C176" s="14">
        <v>5</v>
      </c>
      <c r="D176" s="8">
        <f t="shared" si="15"/>
        <v>1.4166666666666665</v>
      </c>
      <c r="G176" s="14">
        <v>3</v>
      </c>
      <c r="H176" s="8">
        <f t="shared" si="16"/>
        <v>1.125</v>
      </c>
      <c r="K176" s="14">
        <v>4</v>
      </c>
      <c r="L176" s="8">
        <f t="shared" si="18"/>
        <v>0.70833333333333393</v>
      </c>
      <c r="O176" s="14">
        <v>5</v>
      </c>
      <c r="P176" s="8">
        <f t="shared" si="17"/>
        <v>1.7083333333333335</v>
      </c>
    </row>
    <row r="177" spans="3:16">
      <c r="K177" s="258"/>
      <c r="O177" s="258"/>
    </row>
    <row r="178" spans="3:16">
      <c r="C178" s="8" t="s">
        <v>402</v>
      </c>
      <c r="D178" s="8">
        <f>SUM(D165:D176)</f>
        <v>13</v>
      </c>
      <c r="G178" s="14" t="s">
        <v>372</v>
      </c>
      <c r="H178" s="8">
        <f>SUM(H165:H176)</f>
        <v>12.25</v>
      </c>
      <c r="K178" s="258" t="s">
        <v>372</v>
      </c>
      <c r="L178" s="8">
        <f>SUM(L165:L176)</f>
        <v>11.5</v>
      </c>
      <c r="O178" s="258" t="s">
        <v>372</v>
      </c>
      <c r="P178" s="8">
        <f>SUM(P165:P176)</f>
        <v>11.500000000000002</v>
      </c>
    </row>
    <row r="179" spans="3:16">
      <c r="C179" s="8" t="s">
        <v>403</v>
      </c>
      <c r="D179" s="41">
        <f>D178/C154</f>
        <v>1.0833333333333333</v>
      </c>
      <c r="G179" s="14" t="s">
        <v>403</v>
      </c>
      <c r="H179" s="41">
        <f>H178/12</f>
        <v>1.0208333333333333</v>
      </c>
      <c r="K179" s="258" t="s">
        <v>403</v>
      </c>
      <c r="L179" s="41">
        <f>L178/12</f>
        <v>0.95833333333333337</v>
      </c>
      <c r="O179" s="258" t="s">
        <v>403</v>
      </c>
      <c r="P179" s="41">
        <f>P178/12</f>
        <v>0.95833333333333348</v>
      </c>
    </row>
    <row r="181" spans="3:16">
      <c r="C181" s="8" t="s">
        <v>357</v>
      </c>
    </row>
    <row r="182" spans="3:16">
      <c r="C182" s="8" t="s">
        <v>194</v>
      </c>
      <c r="D182" s="8">
        <f>D179-H179</f>
        <v>6.25E-2</v>
      </c>
    </row>
    <row r="183" spans="3:16">
      <c r="C183" s="8" t="s">
        <v>344</v>
      </c>
      <c r="D183" s="8">
        <f>D179-L179</f>
        <v>0.12499999999999989</v>
      </c>
    </row>
    <row r="184" spans="3:16">
      <c r="C184" s="8" t="s">
        <v>196</v>
      </c>
      <c r="D184" s="8">
        <f>D179-P179</f>
        <v>0.12499999999999978</v>
      </c>
    </row>
    <row r="187" spans="3:16">
      <c r="C187" s="8" t="s">
        <v>399</v>
      </c>
      <c r="D187" s="8" t="s">
        <v>400</v>
      </c>
      <c r="E187" s="8">
        <f>SUM(C189:C200)/12</f>
        <v>3.8333333333333335</v>
      </c>
      <c r="G187" s="14" t="s">
        <v>399</v>
      </c>
      <c r="H187" s="8" t="s">
        <v>400</v>
      </c>
      <c r="I187" s="8">
        <f>SUM(G189:G200)/12</f>
        <v>4.083333333333333</v>
      </c>
    </row>
    <row r="188" spans="3:16">
      <c r="D188" s="8" t="s">
        <v>401</v>
      </c>
      <c r="H188" s="8" t="s">
        <v>401</v>
      </c>
    </row>
    <row r="189" spans="3:16" ht="15">
      <c r="C189" s="165">
        <v>4</v>
      </c>
      <c r="D189" s="263">
        <f>ABS(C189-$E$187)</f>
        <v>0.16666666666666652</v>
      </c>
      <c r="G189" s="165">
        <v>4</v>
      </c>
      <c r="H189" s="263">
        <f>ABS(G189-$I$187)</f>
        <v>8.3333333333333037E-2</v>
      </c>
    </row>
    <row r="190" spans="3:16" ht="15">
      <c r="C190" s="165">
        <v>4</v>
      </c>
      <c r="D190" s="263">
        <f t="shared" ref="D190:D200" si="19">ABS(C190-$E$187)</f>
        <v>0.16666666666666652</v>
      </c>
      <c r="G190" s="165">
        <v>3</v>
      </c>
      <c r="H190" s="263">
        <f t="shared" ref="H190:H200" si="20">ABS(G190-$I$187)</f>
        <v>1.083333333333333</v>
      </c>
    </row>
    <row r="191" spans="3:16" ht="15">
      <c r="C191" s="165">
        <v>3</v>
      </c>
      <c r="D191" s="263">
        <f t="shared" si="19"/>
        <v>0.83333333333333348</v>
      </c>
      <c r="F191" s="264"/>
      <c r="G191" s="165">
        <v>3</v>
      </c>
      <c r="H191" s="263">
        <f t="shared" si="20"/>
        <v>1.083333333333333</v>
      </c>
    </row>
    <row r="192" spans="3:16" ht="15">
      <c r="C192" s="165">
        <v>5</v>
      </c>
      <c r="D192" s="263">
        <f t="shared" si="19"/>
        <v>1.1666666666666665</v>
      </c>
      <c r="G192" s="165">
        <v>3</v>
      </c>
      <c r="H192" s="263">
        <f t="shared" si="20"/>
        <v>1.083333333333333</v>
      </c>
    </row>
    <row r="193" spans="3:8" ht="15">
      <c r="C193" s="165">
        <v>4</v>
      </c>
      <c r="D193" s="263">
        <f t="shared" si="19"/>
        <v>0.16666666666666652</v>
      </c>
      <c r="G193" s="165">
        <v>4</v>
      </c>
      <c r="H193" s="263">
        <f t="shared" si="20"/>
        <v>8.3333333333333037E-2</v>
      </c>
    </row>
    <row r="194" spans="3:8" ht="15">
      <c r="C194" s="165">
        <v>3</v>
      </c>
      <c r="D194" s="263">
        <f t="shared" si="19"/>
        <v>0.83333333333333348</v>
      </c>
      <c r="G194" s="165">
        <v>4</v>
      </c>
      <c r="H194" s="263">
        <f t="shared" si="20"/>
        <v>8.3333333333333037E-2</v>
      </c>
    </row>
    <row r="195" spans="3:8" ht="15">
      <c r="C195" s="165">
        <v>4</v>
      </c>
      <c r="D195" s="263">
        <f t="shared" si="19"/>
        <v>0.16666666666666652</v>
      </c>
      <c r="G195" s="165">
        <v>4</v>
      </c>
      <c r="H195" s="263">
        <f t="shared" si="20"/>
        <v>8.3333333333333037E-2</v>
      </c>
    </row>
    <row r="196" spans="3:8" ht="15">
      <c r="C196" s="165">
        <v>5</v>
      </c>
      <c r="D196" s="263">
        <f t="shared" si="19"/>
        <v>1.1666666666666665</v>
      </c>
      <c r="G196" s="165">
        <v>4</v>
      </c>
      <c r="H196" s="263">
        <f t="shared" si="20"/>
        <v>8.3333333333333037E-2</v>
      </c>
    </row>
    <row r="197" spans="3:8" ht="15">
      <c r="C197" s="165">
        <v>1</v>
      </c>
      <c r="D197" s="263">
        <f t="shared" si="19"/>
        <v>2.8333333333333335</v>
      </c>
      <c r="G197" s="165">
        <v>5</v>
      </c>
      <c r="H197" s="263">
        <f t="shared" si="20"/>
        <v>0.91666666666666696</v>
      </c>
    </row>
    <row r="198" spans="3:8" ht="15">
      <c r="C198" s="165">
        <v>3</v>
      </c>
      <c r="D198" s="263">
        <f t="shared" si="19"/>
        <v>0.83333333333333348</v>
      </c>
      <c r="G198" s="165">
        <v>5</v>
      </c>
      <c r="H198" s="263">
        <f t="shared" si="20"/>
        <v>0.91666666666666696</v>
      </c>
    </row>
    <row r="199" spans="3:8" ht="15">
      <c r="C199" s="165">
        <v>5</v>
      </c>
      <c r="D199" s="263">
        <f t="shared" si="19"/>
        <v>1.1666666666666665</v>
      </c>
      <c r="G199" s="165">
        <v>5</v>
      </c>
      <c r="H199" s="263">
        <f t="shared" si="20"/>
        <v>0.91666666666666696</v>
      </c>
    </row>
    <row r="200" spans="3:8" ht="15">
      <c r="C200" s="165">
        <v>5</v>
      </c>
      <c r="D200" s="263">
        <f t="shared" si="19"/>
        <v>1.1666666666666665</v>
      </c>
      <c r="G200" s="165">
        <v>5</v>
      </c>
      <c r="H200" s="263">
        <f t="shared" si="20"/>
        <v>0.91666666666666696</v>
      </c>
    </row>
    <row r="202" spans="3:8">
      <c r="C202" s="8" t="s">
        <v>402</v>
      </c>
      <c r="D202" s="8">
        <f>SUM(D189:D200)</f>
        <v>10.666666666666666</v>
      </c>
      <c r="G202" s="14" t="s">
        <v>402</v>
      </c>
      <c r="H202" s="8">
        <f>SUM(H189:H200)</f>
        <v>7.3333333333333321</v>
      </c>
    </row>
    <row r="203" spans="3:8">
      <c r="C203" s="8" t="s">
        <v>403</v>
      </c>
      <c r="D203" s="41">
        <f>D202/12</f>
        <v>0.88888888888888884</v>
      </c>
      <c r="G203" s="14" t="s">
        <v>403</v>
      </c>
      <c r="H203" s="41">
        <f>H202/12</f>
        <v>0.61111111111111105</v>
      </c>
    </row>
    <row r="205" spans="3:8">
      <c r="C205" s="8" t="s">
        <v>364</v>
      </c>
      <c r="G205" s="14" t="s">
        <v>359</v>
      </c>
    </row>
    <row r="206" spans="3:8">
      <c r="C206" s="8" t="s">
        <v>194</v>
      </c>
      <c r="D206" s="8">
        <f>ABS(D203-H179)</f>
        <v>0.13194444444444442</v>
      </c>
      <c r="G206" s="14" t="s">
        <v>194</v>
      </c>
      <c r="H206" s="8">
        <f>ABS(H203-H179)</f>
        <v>0.40972222222222221</v>
      </c>
    </row>
    <row r="207" spans="3:8">
      <c r="C207" s="8" t="s">
        <v>344</v>
      </c>
      <c r="D207" s="8">
        <f>ABS(D204-L179)</f>
        <v>0.95833333333333337</v>
      </c>
      <c r="G207" s="14" t="s">
        <v>344</v>
      </c>
      <c r="H207" s="8">
        <f>ABS(H203-L179)</f>
        <v>0.34722222222222232</v>
      </c>
    </row>
    <row r="208" spans="3:8">
      <c r="C208" s="8" t="s">
        <v>196</v>
      </c>
      <c r="D208" s="8">
        <f>ABS(D205-P179)</f>
        <v>0.95833333333333348</v>
      </c>
      <c r="G208" s="14" t="s">
        <v>196</v>
      </c>
      <c r="H208" s="8">
        <f>ABS(H203-P179)</f>
        <v>0.34722222222222243</v>
      </c>
    </row>
  </sheetData>
  <mergeCells count="10">
    <mergeCell ref="T4:T6"/>
    <mergeCell ref="T7:T10"/>
    <mergeCell ref="T11:T16"/>
    <mergeCell ref="D3:E3"/>
    <mergeCell ref="R11:R16"/>
    <mergeCell ref="R7:R10"/>
    <mergeCell ref="R4:R6"/>
    <mergeCell ref="S4:S6"/>
    <mergeCell ref="S7:S10"/>
    <mergeCell ref="S11:S1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D61F3-3799-4F41-922C-FDC8A937C32A}">
  <dimension ref="B1:AK39"/>
  <sheetViews>
    <sheetView topLeftCell="M1" zoomScale="90" zoomScaleNormal="90" workbookViewId="0">
      <selection activeCell="AI29" sqref="AI29"/>
    </sheetView>
  </sheetViews>
  <sheetFormatPr defaultColWidth="9.140625" defaultRowHeight="12.75"/>
  <cols>
    <col min="1" max="1" width="4" customWidth="1"/>
    <col min="2" max="2" width="3.7109375" bestFit="1" customWidth="1"/>
    <col min="3" max="3" width="6.28515625" customWidth="1"/>
    <col min="5" max="5" width="27.5703125" customWidth="1"/>
    <col min="6" max="6" width="31.42578125" customWidth="1"/>
    <col min="7" max="7" width="25.5703125" customWidth="1"/>
    <col min="9" max="9" width="5.42578125" customWidth="1"/>
    <col min="10" max="10" width="11" customWidth="1"/>
    <col min="11" max="11" width="5.85546875" customWidth="1"/>
    <col min="12" max="12" width="14.5703125" customWidth="1"/>
    <col min="13" max="13" width="6.42578125" customWidth="1"/>
    <col min="14" max="14" width="3.85546875" customWidth="1"/>
    <col min="15" max="15" width="8.7109375" customWidth="1"/>
    <col min="16" max="16" width="9.85546875" customWidth="1"/>
    <col min="17" max="17" width="7.42578125" customWidth="1"/>
    <col min="18" max="18" width="4.140625" customWidth="1"/>
    <col min="19" max="19" width="6.85546875" style="392" customWidth="1"/>
    <col min="20" max="20" width="7" style="392" customWidth="1"/>
    <col min="21" max="21" width="7.42578125" style="392" customWidth="1"/>
    <col min="22" max="22" width="3.7109375" customWidth="1"/>
    <col min="23" max="23" width="7.42578125" customWidth="1"/>
    <col min="24" max="25" width="7.140625" customWidth="1"/>
    <col min="26" max="26" width="3" customWidth="1"/>
    <col min="30" max="30" width="3" customWidth="1"/>
    <col min="34" max="34" width="3.85546875" customWidth="1"/>
    <col min="35" max="37" width="9.140625" style="1"/>
  </cols>
  <sheetData>
    <row r="1" spans="2:37" ht="13.5" thickBot="1"/>
    <row r="2" spans="2:37" ht="13.5" thickBot="1">
      <c r="O2" s="526" t="s">
        <v>404</v>
      </c>
      <c r="P2" s="527"/>
      <c r="Q2" s="528"/>
      <c r="S2" s="537" t="s">
        <v>405</v>
      </c>
      <c r="T2" s="538"/>
      <c r="U2" s="538"/>
      <c r="V2" s="538"/>
      <c r="W2" s="538"/>
      <c r="X2" s="538"/>
      <c r="Y2" s="539"/>
      <c r="AA2" s="526" t="s">
        <v>194</v>
      </c>
      <c r="AB2" s="527"/>
      <c r="AC2" s="528"/>
      <c r="AE2" s="526" t="s">
        <v>344</v>
      </c>
      <c r="AF2" s="527"/>
      <c r="AG2" s="528"/>
      <c r="AI2" s="546" t="s">
        <v>196</v>
      </c>
      <c r="AJ2" s="547"/>
      <c r="AK2" s="548"/>
    </row>
    <row r="3" spans="2:37">
      <c r="B3" s="532" t="s">
        <v>192</v>
      </c>
      <c r="C3" s="502"/>
      <c r="D3" s="502"/>
      <c r="E3" s="502"/>
      <c r="F3" s="390" t="s">
        <v>193</v>
      </c>
      <c r="G3" s="502" t="s">
        <v>194</v>
      </c>
      <c r="H3" s="502"/>
      <c r="I3" s="502"/>
      <c r="J3" s="502" t="s">
        <v>195</v>
      </c>
      <c r="K3" s="502"/>
      <c r="L3" s="502" t="s">
        <v>196</v>
      </c>
      <c r="M3" s="503"/>
      <c r="N3" s="218"/>
      <c r="O3" s="391" t="s">
        <v>194</v>
      </c>
      <c r="P3" s="218" t="s">
        <v>195</v>
      </c>
      <c r="Q3" s="406" t="s">
        <v>196</v>
      </c>
      <c r="S3" s="393" t="s">
        <v>406</v>
      </c>
      <c r="T3" s="299" t="s">
        <v>407</v>
      </c>
      <c r="U3" s="299" t="s">
        <v>359</v>
      </c>
      <c r="V3" s="394"/>
      <c r="W3" s="399" t="s">
        <v>406</v>
      </c>
      <c r="X3" s="399" t="s">
        <v>407</v>
      </c>
      <c r="Y3" s="400" t="s">
        <v>359</v>
      </c>
      <c r="AA3" s="413" t="s">
        <v>406</v>
      </c>
      <c r="AB3" s="436" t="s">
        <v>407</v>
      </c>
      <c r="AC3" s="414" t="s">
        <v>359</v>
      </c>
      <c r="AE3" s="413" t="s">
        <v>406</v>
      </c>
      <c r="AF3" s="436" t="s">
        <v>407</v>
      </c>
      <c r="AG3" s="414" t="s">
        <v>359</v>
      </c>
      <c r="AI3" s="413" t="s">
        <v>406</v>
      </c>
      <c r="AJ3" s="436" t="s">
        <v>407</v>
      </c>
      <c r="AK3" s="414" t="s">
        <v>359</v>
      </c>
    </row>
    <row r="4" spans="2:37" ht="30">
      <c r="B4" s="513" t="s">
        <v>198</v>
      </c>
      <c r="C4" s="479" t="s">
        <v>52</v>
      </c>
      <c r="D4" s="223" t="s">
        <v>57</v>
      </c>
      <c r="E4" s="236" t="s">
        <v>58</v>
      </c>
      <c r="F4" s="281" t="s">
        <v>199</v>
      </c>
      <c r="G4" s="488" t="s">
        <v>200</v>
      </c>
      <c r="H4" s="488"/>
      <c r="I4" s="223">
        <v>3</v>
      </c>
      <c r="J4" s="227" t="s">
        <v>201</v>
      </c>
      <c r="K4" s="223">
        <v>5</v>
      </c>
      <c r="L4" s="290" t="s">
        <v>202</v>
      </c>
      <c r="M4" s="405">
        <v>1</v>
      </c>
      <c r="N4" s="218"/>
      <c r="O4" s="428">
        <f>$I4/5</f>
        <v>0.6</v>
      </c>
      <c r="P4" s="429">
        <f>$K4/5</f>
        <v>1</v>
      </c>
      <c r="Q4" s="432">
        <f>$M4/5</f>
        <v>0.2</v>
      </c>
      <c r="S4" s="395">
        <v>2</v>
      </c>
      <c r="T4" s="1">
        <v>4</v>
      </c>
      <c r="U4" s="1">
        <v>3</v>
      </c>
      <c r="V4" s="394"/>
      <c r="W4" s="401">
        <f>S4/5</f>
        <v>0.4</v>
      </c>
      <c r="X4" s="401">
        <f t="shared" ref="X4:Y19" si="0">T4/5</f>
        <v>0.8</v>
      </c>
      <c r="Y4" s="402">
        <f t="shared" si="0"/>
        <v>0.6</v>
      </c>
      <c r="AA4" s="415">
        <f>$O4*$W4</f>
        <v>0.24</v>
      </c>
      <c r="AB4" s="434">
        <f>$X4*$O4</f>
        <v>0.48</v>
      </c>
      <c r="AC4" s="416">
        <f>$Y4*$O4</f>
        <v>0.36</v>
      </c>
      <c r="AD4" s="417"/>
      <c r="AE4" s="415">
        <f>$P4*$W4</f>
        <v>0.4</v>
      </c>
      <c r="AF4" s="434">
        <f>$P4*$X4</f>
        <v>0.8</v>
      </c>
      <c r="AG4" s="416">
        <f>$P4*$Y4</f>
        <v>0.6</v>
      </c>
      <c r="AH4" s="417"/>
      <c r="AI4" s="415">
        <f>$Q4*$W4</f>
        <v>8.0000000000000016E-2</v>
      </c>
      <c r="AJ4" s="434">
        <f>$Q4*$X4</f>
        <v>0.16000000000000003</v>
      </c>
      <c r="AK4" s="416">
        <f>$Q4*$Y4</f>
        <v>0.12</v>
      </c>
    </row>
    <row r="5" spans="2:37" ht="30">
      <c r="B5" s="514"/>
      <c r="C5" s="481"/>
      <c r="D5" s="222" t="s">
        <v>63</v>
      </c>
      <c r="E5" s="238" t="s">
        <v>64</v>
      </c>
      <c r="F5" s="282" t="s">
        <v>204</v>
      </c>
      <c r="G5" s="453" t="s">
        <v>205</v>
      </c>
      <c r="H5" s="453"/>
      <c r="I5" s="218">
        <v>5</v>
      </c>
      <c r="J5" s="217" t="s">
        <v>206</v>
      </c>
      <c r="K5" s="218">
        <v>3</v>
      </c>
      <c r="L5" s="216" t="s">
        <v>206</v>
      </c>
      <c r="M5" s="406">
        <v>3</v>
      </c>
      <c r="N5" s="218"/>
      <c r="O5" s="428">
        <f t="shared" ref="O5:O21" si="1">$I5/5</f>
        <v>1</v>
      </c>
      <c r="P5" s="429">
        <f t="shared" ref="P5:P21" si="2">$K5/5</f>
        <v>0.6</v>
      </c>
      <c r="Q5" s="432">
        <f t="shared" ref="Q5:Q21" si="3">$M5/5</f>
        <v>0.6</v>
      </c>
      <c r="S5" s="395">
        <v>4</v>
      </c>
      <c r="T5" s="1">
        <v>3</v>
      </c>
      <c r="U5" s="1">
        <v>3</v>
      </c>
      <c r="V5" s="394"/>
      <c r="W5" s="401">
        <f t="shared" ref="W5:Y21" si="4">S5/5</f>
        <v>0.8</v>
      </c>
      <c r="X5" s="401">
        <f t="shared" si="0"/>
        <v>0.6</v>
      </c>
      <c r="Y5" s="402">
        <f t="shared" si="0"/>
        <v>0.6</v>
      </c>
      <c r="AA5" s="415">
        <f>$O5*$W5</f>
        <v>0.8</v>
      </c>
      <c r="AB5" s="434">
        <f>$X5*$O5</f>
        <v>0.6</v>
      </c>
      <c r="AC5" s="416">
        <f>$Y5*$O5</f>
        <v>0.6</v>
      </c>
      <c r="AD5" s="417"/>
      <c r="AE5" s="415">
        <f t="shared" ref="AE5:AE6" si="5">$P5*$W5</f>
        <v>0.48</v>
      </c>
      <c r="AF5" s="434">
        <f t="shared" ref="AF5:AF6" si="6">$P5*$X5</f>
        <v>0.36</v>
      </c>
      <c r="AG5" s="416">
        <f t="shared" ref="AG5:AG6" si="7">$P5*$Y5</f>
        <v>0.36</v>
      </c>
      <c r="AH5" s="417"/>
      <c r="AI5" s="415">
        <f t="shared" ref="AI5:AI6" si="8">$Q5*$W5</f>
        <v>0.48</v>
      </c>
      <c r="AJ5" s="434">
        <f t="shared" ref="AJ5:AJ6" si="9">$Q5*$X5</f>
        <v>0.36</v>
      </c>
      <c r="AK5" s="416">
        <f>$Q5*$Y5</f>
        <v>0.36</v>
      </c>
    </row>
    <row r="6" spans="2:37" ht="45">
      <c r="B6" s="513" t="s">
        <v>208</v>
      </c>
      <c r="C6" s="479" t="s">
        <v>54</v>
      </c>
      <c r="D6" s="223" t="s">
        <v>59</v>
      </c>
      <c r="E6" s="236" t="s">
        <v>60</v>
      </c>
      <c r="F6" s="281" t="s">
        <v>209</v>
      </c>
      <c r="G6" s="483" t="s">
        <v>210</v>
      </c>
      <c r="H6" s="483"/>
      <c r="I6" s="224">
        <v>5</v>
      </c>
      <c r="J6" s="226" t="s">
        <v>211</v>
      </c>
      <c r="K6" s="224">
        <v>1</v>
      </c>
      <c r="L6" s="226" t="s">
        <v>212</v>
      </c>
      <c r="M6" s="407">
        <v>3</v>
      </c>
      <c r="N6" s="218"/>
      <c r="O6" s="428">
        <f t="shared" si="1"/>
        <v>1</v>
      </c>
      <c r="P6" s="429">
        <f t="shared" si="2"/>
        <v>0.2</v>
      </c>
      <c r="Q6" s="432">
        <f t="shared" si="3"/>
        <v>0.6</v>
      </c>
      <c r="S6" s="395">
        <v>3</v>
      </c>
      <c r="T6" s="1">
        <v>4</v>
      </c>
      <c r="U6" s="1">
        <v>4</v>
      </c>
      <c r="V6" s="394"/>
      <c r="W6" s="401">
        <f t="shared" si="4"/>
        <v>0.6</v>
      </c>
      <c r="X6" s="401">
        <f t="shared" si="0"/>
        <v>0.8</v>
      </c>
      <c r="Y6" s="402">
        <f t="shared" si="0"/>
        <v>0.8</v>
      </c>
      <c r="AA6" s="415">
        <f>$O6*$W6</f>
        <v>0.6</v>
      </c>
      <c r="AB6" s="434">
        <f>$X6*$O6</f>
        <v>0.8</v>
      </c>
      <c r="AC6" s="416">
        <f>$Y6*$O6</f>
        <v>0.8</v>
      </c>
      <c r="AD6" s="417"/>
      <c r="AE6" s="415">
        <f t="shared" si="5"/>
        <v>0.12</v>
      </c>
      <c r="AF6" s="434">
        <f t="shared" si="6"/>
        <v>0.16000000000000003</v>
      </c>
      <c r="AG6" s="416">
        <f t="shared" si="7"/>
        <v>0.16000000000000003</v>
      </c>
      <c r="AH6" s="417"/>
      <c r="AI6" s="415">
        <f t="shared" si="8"/>
        <v>0.36</v>
      </c>
      <c r="AJ6" s="434">
        <f t="shared" si="9"/>
        <v>0.48</v>
      </c>
      <c r="AK6" s="416">
        <f t="shared" ref="AK6" si="10">$Q6*$Y6</f>
        <v>0.48</v>
      </c>
    </row>
    <row r="7" spans="2:37" ht="15">
      <c r="B7" s="515"/>
      <c r="C7" s="480"/>
      <c r="D7" s="477" t="s">
        <v>65</v>
      </c>
      <c r="E7" s="487" t="s">
        <v>66</v>
      </c>
      <c r="F7" s="487" t="s">
        <v>214</v>
      </c>
      <c r="G7" s="190" t="s">
        <v>215</v>
      </c>
      <c r="H7" s="292" t="s">
        <v>216</v>
      </c>
      <c r="I7" s="476">
        <f>5*5/5</f>
        <v>5</v>
      </c>
      <c r="J7" s="292" t="s">
        <v>216</v>
      </c>
      <c r="K7" s="476">
        <f>5*4/5</f>
        <v>4</v>
      </c>
      <c r="L7" s="292" t="s">
        <v>216</v>
      </c>
      <c r="M7" s="533">
        <f>5*4/5</f>
        <v>4</v>
      </c>
      <c r="N7" s="218"/>
      <c r="O7" s="529">
        <f t="shared" si="1"/>
        <v>1</v>
      </c>
      <c r="P7" s="530">
        <f t="shared" si="2"/>
        <v>0.8</v>
      </c>
      <c r="Q7" s="531">
        <f t="shared" si="3"/>
        <v>0.8</v>
      </c>
      <c r="S7" s="540">
        <v>3</v>
      </c>
      <c r="T7" s="525">
        <v>3</v>
      </c>
      <c r="U7" s="525">
        <v>4</v>
      </c>
      <c r="V7" s="394"/>
      <c r="W7" s="541">
        <f t="shared" si="4"/>
        <v>0.6</v>
      </c>
      <c r="X7" s="541">
        <f t="shared" si="0"/>
        <v>0.6</v>
      </c>
      <c r="Y7" s="542">
        <f t="shared" si="0"/>
        <v>0.8</v>
      </c>
      <c r="AA7" s="543">
        <f>O7*W7</f>
        <v>0.6</v>
      </c>
      <c r="AB7" s="544">
        <f>O7*X7</f>
        <v>0.6</v>
      </c>
      <c r="AC7" s="545">
        <f>O7*Y7</f>
        <v>0.8</v>
      </c>
      <c r="AD7" s="417"/>
      <c r="AE7" s="543">
        <f>P7*W7</f>
        <v>0.48</v>
      </c>
      <c r="AF7" s="544">
        <f>P7*X7</f>
        <v>0.48</v>
      </c>
      <c r="AG7" s="545">
        <f>P7*Y7</f>
        <v>0.64000000000000012</v>
      </c>
      <c r="AH7" s="417"/>
      <c r="AI7" s="543">
        <f>Q7*W7</f>
        <v>0.48</v>
      </c>
      <c r="AJ7" s="544">
        <f>Q7*X7</f>
        <v>0.48</v>
      </c>
      <c r="AK7" s="545">
        <f>Q7*Y7</f>
        <v>0.64000000000000012</v>
      </c>
    </row>
    <row r="8" spans="2:37" ht="15">
      <c r="B8" s="515"/>
      <c r="C8" s="480"/>
      <c r="D8" s="477"/>
      <c r="E8" s="487"/>
      <c r="F8" s="487"/>
      <c r="G8" s="220" t="s">
        <v>217</v>
      </c>
      <c r="H8" s="288" t="s">
        <v>216</v>
      </c>
      <c r="I8" s="477"/>
      <c r="J8" s="288" t="s">
        <v>216</v>
      </c>
      <c r="K8" s="477"/>
      <c r="L8" s="288" t="s">
        <v>216</v>
      </c>
      <c r="M8" s="534"/>
      <c r="N8" s="218"/>
      <c r="O8" s="529"/>
      <c r="P8" s="530"/>
      <c r="Q8" s="531"/>
      <c r="S8" s="540"/>
      <c r="T8" s="525"/>
      <c r="U8" s="525"/>
      <c r="V8" s="394"/>
      <c r="W8" s="541"/>
      <c r="X8" s="541"/>
      <c r="Y8" s="542"/>
      <c r="AA8" s="543"/>
      <c r="AB8" s="544"/>
      <c r="AC8" s="545"/>
      <c r="AD8" s="417"/>
      <c r="AE8" s="543"/>
      <c r="AF8" s="544"/>
      <c r="AG8" s="545"/>
      <c r="AH8" s="417"/>
      <c r="AI8" s="543"/>
      <c r="AJ8" s="544"/>
      <c r="AK8" s="545"/>
    </row>
    <row r="9" spans="2:37" ht="15">
      <c r="B9" s="515"/>
      <c r="C9" s="480"/>
      <c r="D9" s="477"/>
      <c r="E9" s="487"/>
      <c r="F9" s="487"/>
      <c r="G9" s="220" t="s">
        <v>218</v>
      </c>
      <c r="H9" s="288" t="s">
        <v>216</v>
      </c>
      <c r="I9" s="477"/>
      <c r="J9" s="288" t="s">
        <v>216</v>
      </c>
      <c r="K9" s="477"/>
      <c r="L9" s="289"/>
      <c r="M9" s="534"/>
      <c r="N9" s="218"/>
      <c r="O9" s="529"/>
      <c r="P9" s="530"/>
      <c r="Q9" s="531"/>
      <c r="S9" s="540"/>
      <c r="T9" s="525"/>
      <c r="U9" s="525"/>
      <c r="V9" s="394"/>
      <c r="W9" s="541"/>
      <c r="X9" s="541"/>
      <c r="Y9" s="542"/>
      <c r="AA9" s="543"/>
      <c r="AB9" s="544"/>
      <c r="AC9" s="545"/>
      <c r="AD9" s="417"/>
      <c r="AE9" s="543"/>
      <c r="AF9" s="544"/>
      <c r="AG9" s="545"/>
      <c r="AH9" s="417"/>
      <c r="AI9" s="543"/>
      <c r="AJ9" s="544"/>
      <c r="AK9" s="545"/>
    </row>
    <row r="10" spans="2:37" ht="15">
      <c r="B10" s="515"/>
      <c r="C10" s="480"/>
      <c r="D10" s="477"/>
      <c r="E10" s="487"/>
      <c r="F10" s="487"/>
      <c r="G10" s="220" t="s">
        <v>221</v>
      </c>
      <c r="H10" s="288" t="s">
        <v>216</v>
      </c>
      <c r="I10" s="477"/>
      <c r="J10" s="288" t="s">
        <v>216</v>
      </c>
      <c r="K10" s="477"/>
      <c r="L10" s="288" t="s">
        <v>216</v>
      </c>
      <c r="M10" s="534"/>
      <c r="N10" s="218"/>
      <c r="O10" s="529"/>
      <c r="P10" s="530"/>
      <c r="Q10" s="531"/>
      <c r="S10" s="540"/>
      <c r="T10" s="525"/>
      <c r="U10" s="525"/>
      <c r="V10" s="394"/>
      <c r="W10" s="541"/>
      <c r="X10" s="541"/>
      <c r="Y10" s="542"/>
      <c r="AA10" s="543"/>
      <c r="AB10" s="544"/>
      <c r="AC10" s="545"/>
      <c r="AD10" s="417"/>
      <c r="AE10" s="543"/>
      <c r="AF10" s="544"/>
      <c r="AG10" s="545"/>
      <c r="AH10" s="417"/>
      <c r="AI10" s="543"/>
      <c r="AJ10" s="544"/>
      <c r="AK10" s="545"/>
    </row>
    <row r="11" spans="2:37" ht="15">
      <c r="B11" s="515"/>
      <c r="C11" s="480"/>
      <c r="D11" s="477"/>
      <c r="E11" s="487"/>
      <c r="F11" s="487"/>
      <c r="G11" s="283" t="s">
        <v>222</v>
      </c>
      <c r="H11" s="291" t="s">
        <v>216</v>
      </c>
      <c r="I11" s="478"/>
      <c r="J11" s="293"/>
      <c r="K11" s="478"/>
      <c r="L11" s="291" t="s">
        <v>216</v>
      </c>
      <c r="M11" s="535"/>
      <c r="N11" s="218"/>
      <c r="O11" s="529"/>
      <c r="P11" s="530"/>
      <c r="Q11" s="531"/>
      <c r="S11" s="540"/>
      <c r="T11" s="525"/>
      <c r="U11" s="525"/>
      <c r="V11" s="394"/>
      <c r="W11" s="541"/>
      <c r="X11" s="541"/>
      <c r="Y11" s="542"/>
      <c r="AA11" s="543"/>
      <c r="AB11" s="544"/>
      <c r="AC11" s="545"/>
      <c r="AD11" s="417"/>
      <c r="AE11" s="543"/>
      <c r="AF11" s="544"/>
      <c r="AG11" s="545"/>
      <c r="AH11" s="417"/>
      <c r="AI11" s="543"/>
      <c r="AJ11" s="544"/>
      <c r="AK11" s="545"/>
    </row>
    <row r="12" spans="2:37" ht="15">
      <c r="B12" s="515"/>
      <c r="C12" s="480"/>
      <c r="D12" s="477" t="s">
        <v>69</v>
      </c>
      <c r="E12" s="474" t="s">
        <v>70</v>
      </c>
      <c r="F12" s="474" t="s">
        <v>223</v>
      </c>
      <c r="G12" s="190" t="s">
        <v>224</v>
      </c>
      <c r="H12" s="292" t="s">
        <v>216</v>
      </c>
      <c r="I12" s="476">
        <f>6*5/6</f>
        <v>5</v>
      </c>
      <c r="J12" s="234"/>
      <c r="K12" s="484">
        <f>3*5/6</f>
        <v>2.5</v>
      </c>
      <c r="L12" s="292" t="s">
        <v>216</v>
      </c>
      <c r="M12" s="533">
        <f>6*5/6</f>
        <v>5</v>
      </c>
      <c r="N12" s="218"/>
      <c r="O12" s="529">
        <f t="shared" si="1"/>
        <v>1</v>
      </c>
      <c r="P12" s="530">
        <f t="shared" si="2"/>
        <v>0.5</v>
      </c>
      <c r="Q12" s="531">
        <f t="shared" si="3"/>
        <v>1</v>
      </c>
      <c r="S12" s="540">
        <v>3</v>
      </c>
      <c r="T12" s="525">
        <v>4</v>
      </c>
      <c r="U12" s="525">
        <v>4</v>
      </c>
      <c r="V12" s="394"/>
      <c r="W12" s="541">
        <f t="shared" si="4"/>
        <v>0.6</v>
      </c>
      <c r="X12" s="541">
        <f t="shared" si="0"/>
        <v>0.8</v>
      </c>
      <c r="Y12" s="542">
        <f t="shared" si="0"/>
        <v>0.8</v>
      </c>
      <c r="AA12" s="543">
        <f>O12*W12</f>
        <v>0.6</v>
      </c>
      <c r="AB12" s="544">
        <f>O12*X12</f>
        <v>0.8</v>
      </c>
      <c r="AC12" s="545">
        <f>O12*Y12</f>
        <v>0.8</v>
      </c>
      <c r="AD12" s="417"/>
      <c r="AE12" s="543">
        <f>P12*W12</f>
        <v>0.3</v>
      </c>
      <c r="AF12" s="544">
        <f>P12*X12</f>
        <v>0.4</v>
      </c>
      <c r="AG12" s="545">
        <f>P12*Y12</f>
        <v>0.4</v>
      </c>
      <c r="AH12" s="417"/>
      <c r="AI12" s="543">
        <f>Q12*W12</f>
        <v>0.6</v>
      </c>
      <c r="AJ12" s="544">
        <f>Q12*X12</f>
        <v>0.8</v>
      </c>
      <c r="AK12" s="545">
        <f>Q12*Y12</f>
        <v>0.8</v>
      </c>
    </row>
    <row r="13" spans="2:37" ht="15">
      <c r="B13" s="515"/>
      <c r="C13" s="480"/>
      <c r="D13" s="477"/>
      <c r="E13" s="474"/>
      <c r="F13" s="474"/>
      <c r="G13" s="220" t="s">
        <v>225</v>
      </c>
      <c r="H13" s="288" t="s">
        <v>216</v>
      </c>
      <c r="I13" s="477"/>
      <c r="J13" s="288" t="s">
        <v>216</v>
      </c>
      <c r="K13" s="485"/>
      <c r="L13" s="288" t="s">
        <v>216</v>
      </c>
      <c r="M13" s="534"/>
      <c r="N13" s="218"/>
      <c r="O13" s="529"/>
      <c r="P13" s="530"/>
      <c r="Q13" s="531"/>
      <c r="S13" s="540"/>
      <c r="T13" s="525"/>
      <c r="U13" s="525"/>
      <c r="V13" s="394"/>
      <c r="W13" s="541"/>
      <c r="X13" s="541"/>
      <c r="Y13" s="542"/>
      <c r="AA13" s="543"/>
      <c r="AB13" s="544"/>
      <c r="AC13" s="545"/>
      <c r="AD13" s="417"/>
      <c r="AE13" s="543"/>
      <c r="AF13" s="544"/>
      <c r="AG13" s="545"/>
      <c r="AH13" s="417"/>
      <c r="AI13" s="543"/>
      <c r="AJ13" s="544"/>
      <c r="AK13" s="545"/>
    </row>
    <row r="14" spans="2:37" ht="15">
      <c r="B14" s="515"/>
      <c r="C14" s="480"/>
      <c r="D14" s="477"/>
      <c r="E14" s="474"/>
      <c r="F14" s="474"/>
      <c r="G14" s="220" t="s">
        <v>226</v>
      </c>
      <c r="H14" s="288" t="s">
        <v>216</v>
      </c>
      <c r="I14" s="477"/>
      <c r="J14" s="288" t="s">
        <v>216</v>
      </c>
      <c r="K14" s="485"/>
      <c r="L14" s="288" t="s">
        <v>216</v>
      </c>
      <c r="M14" s="534"/>
      <c r="N14" s="218"/>
      <c r="O14" s="529"/>
      <c r="P14" s="530"/>
      <c r="Q14" s="531"/>
      <c r="S14" s="540"/>
      <c r="T14" s="525"/>
      <c r="U14" s="525"/>
      <c r="V14" s="394"/>
      <c r="W14" s="541"/>
      <c r="X14" s="541"/>
      <c r="Y14" s="542"/>
      <c r="AA14" s="543"/>
      <c r="AB14" s="544"/>
      <c r="AC14" s="545"/>
      <c r="AD14" s="417"/>
      <c r="AE14" s="543"/>
      <c r="AF14" s="544"/>
      <c r="AG14" s="545"/>
      <c r="AH14" s="417"/>
      <c r="AI14" s="543"/>
      <c r="AJ14" s="544"/>
      <c r="AK14" s="545"/>
    </row>
    <row r="15" spans="2:37" ht="15">
      <c r="B15" s="515"/>
      <c r="C15" s="480"/>
      <c r="D15" s="477"/>
      <c r="E15" s="474"/>
      <c r="F15" s="474"/>
      <c r="G15" s="220" t="s">
        <v>228</v>
      </c>
      <c r="H15" s="288" t="s">
        <v>216</v>
      </c>
      <c r="I15" s="477"/>
      <c r="J15" s="289"/>
      <c r="K15" s="485"/>
      <c r="L15" s="288" t="s">
        <v>216</v>
      </c>
      <c r="M15" s="534"/>
      <c r="N15" s="218"/>
      <c r="O15" s="529"/>
      <c r="P15" s="530"/>
      <c r="Q15" s="531"/>
      <c r="S15" s="540"/>
      <c r="T15" s="525"/>
      <c r="U15" s="525"/>
      <c r="V15" s="394"/>
      <c r="W15" s="541"/>
      <c r="X15" s="541"/>
      <c r="Y15" s="542"/>
      <c r="AA15" s="543"/>
      <c r="AB15" s="544"/>
      <c r="AC15" s="545"/>
      <c r="AD15" s="417"/>
      <c r="AE15" s="543"/>
      <c r="AF15" s="544"/>
      <c r="AG15" s="545"/>
      <c r="AH15" s="417"/>
      <c r="AI15" s="543"/>
      <c r="AJ15" s="544"/>
      <c r="AK15" s="545"/>
    </row>
    <row r="16" spans="2:37" ht="15">
      <c r="B16" s="515"/>
      <c r="C16" s="480"/>
      <c r="D16" s="477"/>
      <c r="E16" s="474"/>
      <c r="F16" s="474"/>
      <c r="G16" s="220" t="s">
        <v>229</v>
      </c>
      <c r="H16" s="288" t="s">
        <v>216</v>
      </c>
      <c r="I16" s="477"/>
      <c r="J16" s="289"/>
      <c r="K16" s="485"/>
      <c r="L16" s="288" t="s">
        <v>216</v>
      </c>
      <c r="M16" s="534"/>
      <c r="N16" s="218"/>
      <c r="O16" s="529"/>
      <c r="P16" s="530"/>
      <c r="Q16" s="531"/>
      <c r="S16" s="540"/>
      <c r="T16" s="525"/>
      <c r="U16" s="525"/>
      <c r="V16" s="394"/>
      <c r="W16" s="541"/>
      <c r="X16" s="541"/>
      <c r="Y16" s="542"/>
      <c r="AA16" s="543"/>
      <c r="AB16" s="544"/>
      <c r="AC16" s="545"/>
      <c r="AD16" s="417"/>
      <c r="AE16" s="543"/>
      <c r="AF16" s="544"/>
      <c r="AG16" s="545"/>
      <c r="AH16" s="417"/>
      <c r="AI16" s="543"/>
      <c r="AJ16" s="544"/>
      <c r="AK16" s="545"/>
    </row>
    <row r="17" spans="2:37" ht="15">
      <c r="B17" s="514"/>
      <c r="C17" s="481"/>
      <c r="D17" s="478"/>
      <c r="E17" s="475"/>
      <c r="F17" s="475"/>
      <c r="G17" s="283" t="s">
        <v>230</v>
      </c>
      <c r="H17" s="291" t="s">
        <v>216</v>
      </c>
      <c r="I17" s="478"/>
      <c r="J17" s="291" t="s">
        <v>216</v>
      </c>
      <c r="K17" s="486"/>
      <c r="L17" s="291" t="s">
        <v>216</v>
      </c>
      <c r="M17" s="535"/>
      <c r="N17" s="218"/>
      <c r="O17" s="529"/>
      <c r="P17" s="530"/>
      <c r="Q17" s="531"/>
      <c r="S17" s="540"/>
      <c r="T17" s="525"/>
      <c r="U17" s="525"/>
      <c r="V17" s="394"/>
      <c r="W17" s="541"/>
      <c r="X17" s="541"/>
      <c r="Y17" s="542"/>
      <c r="AA17" s="543"/>
      <c r="AB17" s="544"/>
      <c r="AC17" s="545"/>
      <c r="AD17" s="417"/>
      <c r="AE17" s="543"/>
      <c r="AF17" s="544"/>
      <c r="AG17" s="545"/>
      <c r="AH17" s="417"/>
      <c r="AI17" s="543"/>
      <c r="AJ17" s="544"/>
      <c r="AK17" s="545"/>
    </row>
    <row r="18" spans="2:37" ht="38.25">
      <c r="B18" s="513" t="s">
        <v>231</v>
      </c>
      <c r="C18" s="479" t="s">
        <v>56</v>
      </c>
      <c r="D18" s="223" t="s">
        <v>61</v>
      </c>
      <c r="E18" s="236" t="s">
        <v>173</v>
      </c>
      <c r="F18" s="281" t="s">
        <v>232</v>
      </c>
      <c r="G18" s="453" t="s">
        <v>251</v>
      </c>
      <c r="H18" s="453"/>
      <c r="I18" s="218">
        <v>5</v>
      </c>
      <c r="J18" s="217" t="s">
        <v>251</v>
      </c>
      <c r="K18" s="218">
        <v>5</v>
      </c>
      <c r="L18" s="217" t="s">
        <v>252</v>
      </c>
      <c r="M18" s="406">
        <v>2</v>
      </c>
      <c r="N18" s="218"/>
      <c r="O18" s="428">
        <f t="shared" si="1"/>
        <v>1</v>
      </c>
      <c r="P18" s="429">
        <f t="shared" si="2"/>
        <v>1</v>
      </c>
      <c r="Q18" s="432">
        <f t="shared" si="3"/>
        <v>0.4</v>
      </c>
      <c r="S18" s="395">
        <v>1</v>
      </c>
      <c r="T18" s="1">
        <v>1</v>
      </c>
      <c r="U18" s="1">
        <v>5</v>
      </c>
      <c r="V18" s="394"/>
      <c r="W18" s="401">
        <f t="shared" si="4"/>
        <v>0.2</v>
      </c>
      <c r="X18" s="401">
        <f t="shared" si="0"/>
        <v>0.2</v>
      </c>
      <c r="Y18" s="402">
        <f t="shared" si="0"/>
        <v>1</v>
      </c>
      <c r="AA18" s="415">
        <f>$O18*$W18</f>
        <v>0.2</v>
      </c>
      <c r="AB18" s="434">
        <f>$X18*$O18</f>
        <v>0.2</v>
      </c>
      <c r="AC18" s="416">
        <f>$Y18*$O18</f>
        <v>1</v>
      </c>
      <c r="AD18" s="417"/>
      <c r="AE18" s="415">
        <f>$P18*$W18</f>
        <v>0.2</v>
      </c>
      <c r="AF18" s="434">
        <f t="shared" ref="AF18:AF21" si="11">$P18*$X18</f>
        <v>0.2</v>
      </c>
      <c r="AG18" s="416">
        <f t="shared" ref="AG18:AG21" si="12">$P18*$Y18</f>
        <v>1</v>
      </c>
      <c r="AH18" s="417"/>
      <c r="AI18" s="415">
        <f>$Q18*$W18</f>
        <v>8.0000000000000016E-2</v>
      </c>
      <c r="AJ18" s="434">
        <f>$Q18*$X18</f>
        <v>8.0000000000000016E-2</v>
      </c>
      <c r="AK18" s="416">
        <f>$Q18*$Y18</f>
        <v>0.4</v>
      </c>
    </row>
    <row r="19" spans="2:37" ht="15">
      <c r="B19" s="515"/>
      <c r="C19" s="480"/>
      <c r="D19" s="218" t="s">
        <v>67</v>
      </c>
      <c r="E19" s="287" t="s">
        <v>68</v>
      </c>
      <c r="F19" s="219" t="s">
        <v>236</v>
      </c>
      <c r="G19" s="453" t="s">
        <v>253</v>
      </c>
      <c r="H19" s="453"/>
      <c r="I19" s="218">
        <v>5</v>
      </c>
      <c r="J19" s="217" t="s">
        <v>254</v>
      </c>
      <c r="K19" s="218">
        <v>2</v>
      </c>
      <c r="L19" s="217" t="s">
        <v>255</v>
      </c>
      <c r="M19" s="406">
        <v>3</v>
      </c>
      <c r="N19" s="218"/>
      <c r="O19" s="428">
        <f t="shared" si="1"/>
        <v>1</v>
      </c>
      <c r="P19" s="429">
        <f t="shared" si="2"/>
        <v>0.4</v>
      </c>
      <c r="Q19" s="432">
        <f t="shared" si="3"/>
        <v>0.6</v>
      </c>
      <c r="S19" s="395">
        <v>4</v>
      </c>
      <c r="T19" s="1">
        <v>3</v>
      </c>
      <c r="U19" s="1">
        <v>5</v>
      </c>
      <c r="V19" s="394"/>
      <c r="W19" s="401">
        <f t="shared" si="4"/>
        <v>0.8</v>
      </c>
      <c r="X19" s="401">
        <f t="shared" si="0"/>
        <v>0.6</v>
      </c>
      <c r="Y19" s="402">
        <f t="shared" si="0"/>
        <v>1</v>
      </c>
      <c r="AA19" s="415">
        <f>$O19*$W19</f>
        <v>0.8</v>
      </c>
      <c r="AB19" s="434">
        <f>$X19*$O19</f>
        <v>0.6</v>
      </c>
      <c r="AC19" s="416">
        <f>$Y19*$O19</f>
        <v>1</v>
      </c>
      <c r="AD19" s="417"/>
      <c r="AE19" s="415">
        <f>$P19*$W19</f>
        <v>0.32000000000000006</v>
      </c>
      <c r="AF19" s="434">
        <f t="shared" si="11"/>
        <v>0.24</v>
      </c>
      <c r="AG19" s="416">
        <f t="shared" si="12"/>
        <v>0.4</v>
      </c>
      <c r="AH19" s="417"/>
      <c r="AI19" s="415">
        <f t="shared" ref="AI19:AI21" si="13">$Q19*$W19</f>
        <v>0.48</v>
      </c>
      <c r="AJ19" s="434">
        <f t="shared" ref="AJ19:AJ21" si="14">$Q19*$X19</f>
        <v>0.36</v>
      </c>
      <c r="AK19" s="416">
        <f t="shared" ref="AK19:AK21" si="15">$Q19*$Y19</f>
        <v>0.6</v>
      </c>
    </row>
    <row r="20" spans="2:37" ht="25.5">
      <c r="B20" s="515"/>
      <c r="C20" s="480"/>
      <c r="D20" s="218" t="s">
        <v>71</v>
      </c>
      <c r="E20" s="216" t="s">
        <v>72</v>
      </c>
      <c r="F20" s="217" t="s">
        <v>241</v>
      </c>
      <c r="G20" s="453" t="s">
        <v>253</v>
      </c>
      <c r="H20" s="453"/>
      <c r="I20" s="218">
        <v>1</v>
      </c>
      <c r="J20" s="217" t="s">
        <v>256</v>
      </c>
      <c r="K20" s="218">
        <v>3</v>
      </c>
      <c r="L20" s="217" t="s">
        <v>255</v>
      </c>
      <c r="M20" s="406">
        <v>4</v>
      </c>
      <c r="N20" s="218"/>
      <c r="O20" s="428">
        <f t="shared" si="1"/>
        <v>0.2</v>
      </c>
      <c r="P20" s="429">
        <f t="shared" si="2"/>
        <v>0.6</v>
      </c>
      <c r="Q20" s="432">
        <f t="shared" si="3"/>
        <v>0.8</v>
      </c>
      <c r="S20" s="395">
        <v>5</v>
      </c>
      <c r="T20" s="1">
        <v>5</v>
      </c>
      <c r="U20" s="1">
        <v>5</v>
      </c>
      <c r="V20" s="394"/>
      <c r="W20" s="401">
        <f t="shared" si="4"/>
        <v>1</v>
      </c>
      <c r="X20" s="401">
        <f t="shared" si="4"/>
        <v>1</v>
      </c>
      <c r="Y20" s="402">
        <f t="shared" si="4"/>
        <v>1</v>
      </c>
      <c r="AA20" s="415">
        <f>$O20*$W20</f>
        <v>0.2</v>
      </c>
      <c r="AB20" s="434">
        <f>$X20*$O20</f>
        <v>0.2</v>
      </c>
      <c r="AC20" s="416">
        <f>$Y20*$O20</f>
        <v>0.2</v>
      </c>
      <c r="AD20" s="417"/>
      <c r="AE20" s="415">
        <f>$P20*$W20</f>
        <v>0.6</v>
      </c>
      <c r="AF20" s="434">
        <f t="shared" si="11"/>
        <v>0.6</v>
      </c>
      <c r="AG20" s="416">
        <f t="shared" si="12"/>
        <v>0.6</v>
      </c>
      <c r="AH20" s="417"/>
      <c r="AI20" s="415">
        <f t="shared" si="13"/>
        <v>0.8</v>
      </c>
      <c r="AJ20" s="434">
        <f t="shared" si="14"/>
        <v>0.8</v>
      </c>
      <c r="AK20" s="416">
        <f t="shared" si="15"/>
        <v>0.8</v>
      </c>
    </row>
    <row r="21" spans="2:37" ht="39" thickBot="1">
      <c r="B21" s="516"/>
      <c r="C21" s="512"/>
      <c r="D21" s="408" t="s">
        <v>73</v>
      </c>
      <c r="E21" s="409" t="s">
        <v>74</v>
      </c>
      <c r="F21" s="410" t="s">
        <v>246</v>
      </c>
      <c r="G21" s="536" t="s">
        <v>256</v>
      </c>
      <c r="H21" s="536"/>
      <c r="I21" s="408">
        <v>3</v>
      </c>
      <c r="J21" s="410" t="s">
        <v>257</v>
      </c>
      <c r="K21" s="408">
        <v>4</v>
      </c>
      <c r="L21" s="410" t="s">
        <v>258</v>
      </c>
      <c r="M21" s="411">
        <v>5</v>
      </c>
      <c r="N21" s="218"/>
      <c r="O21" s="430">
        <f t="shared" si="1"/>
        <v>0.6</v>
      </c>
      <c r="P21" s="431">
        <f t="shared" si="2"/>
        <v>0.8</v>
      </c>
      <c r="Q21" s="433">
        <f t="shared" si="3"/>
        <v>1</v>
      </c>
      <c r="S21" s="396">
        <v>5</v>
      </c>
      <c r="T21" s="397">
        <v>5</v>
      </c>
      <c r="U21" s="397">
        <v>5</v>
      </c>
      <c r="V21" s="398"/>
      <c r="W21" s="403">
        <f t="shared" si="4"/>
        <v>1</v>
      </c>
      <c r="X21" s="403">
        <f t="shared" si="4"/>
        <v>1</v>
      </c>
      <c r="Y21" s="404">
        <f t="shared" si="4"/>
        <v>1</v>
      </c>
      <c r="AA21" s="418">
        <f>$O21*$W21</f>
        <v>0.6</v>
      </c>
      <c r="AB21" s="419">
        <f>$X21*$O21</f>
        <v>0.6</v>
      </c>
      <c r="AC21" s="420">
        <f>$Y21*$O21</f>
        <v>0.6</v>
      </c>
      <c r="AD21" s="417"/>
      <c r="AE21" s="418">
        <f>$P21*$W21</f>
        <v>0.8</v>
      </c>
      <c r="AF21" s="419">
        <f t="shared" si="11"/>
        <v>0.8</v>
      </c>
      <c r="AG21" s="420">
        <f t="shared" si="12"/>
        <v>0.8</v>
      </c>
      <c r="AH21" s="417"/>
      <c r="AI21" s="418">
        <f t="shared" si="13"/>
        <v>1</v>
      </c>
      <c r="AJ21" s="419">
        <f t="shared" si="14"/>
        <v>1</v>
      </c>
      <c r="AK21" s="420">
        <f t="shared" si="15"/>
        <v>1</v>
      </c>
    </row>
    <row r="23" spans="2:37">
      <c r="N23" s="412"/>
      <c r="O23" s="412"/>
      <c r="P23" s="412"/>
      <c r="Q23" s="412"/>
      <c r="R23" s="412"/>
      <c r="W23" s="434"/>
      <c r="X23" s="434"/>
      <c r="Z23" s="412" t="s">
        <v>52</v>
      </c>
      <c r="AA23" s="421">
        <f>SUM(AA4:AA5)</f>
        <v>1.04</v>
      </c>
      <c r="AB23" s="440">
        <f t="shared" ref="AB23:AC23" si="16">SUM(AB4:AB5)</f>
        <v>1.08</v>
      </c>
      <c r="AC23" s="422">
        <f t="shared" si="16"/>
        <v>0.96</v>
      </c>
      <c r="AD23" s="417"/>
      <c r="AE23" s="437">
        <f>SUM(AE4:AE5)</f>
        <v>0.88</v>
      </c>
      <c r="AF23" s="423">
        <f t="shared" ref="AF23:AG23" si="17">SUM(AF4:AF5)</f>
        <v>1.1600000000000001</v>
      </c>
      <c r="AG23" s="422">
        <f t="shared" si="17"/>
        <v>0.96</v>
      </c>
      <c r="AH23" s="417"/>
      <c r="AI23" s="434">
        <f>SUM(AI4:AI5)</f>
        <v>0.56000000000000005</v>
      </c>
      <c r="AJ23" s="434">
        <f t="shared" ref="AJ23:AK23" si="18">SUM(AJ4:AJ5)</f>
        <v>0.52</v>
      </c>
      <c r="AK23" s="434">
        <f t="shared" si="18"/>
        <v>0.48</v>
      </c>
    </row>
    <row r="24" spans="2:37">
      <c r="W24" s="435"/>
      <c r="X24" s="435"/>
      <c r="AA24" s="417"/>
      <c r="AB24" s="417"/>
      <c r="AC24" s="417"/>
      <c r="AD24" s="417"/>
      <c r="AE24" s="417"/>
      <c r="AF24" s="417"/>
      <c r="AG24" s="417"/>
      <c r="AH24" s="417"/>
      <c r="AI24" s="434"/>
      <c r="AJ24" s="434"/>
      <c r="AK24" s="434"/>
    </row>
    <row r="25" spans="2:37">
      <c r="N25" s="412"/>
      <c r="O25" s="412"/>
      <c r="P25" s="412"/>
      <c r="Q25" s="412"/>
      <c r="W25" s="435"/>
      <c r="X25" s="435"/>
      <c r="Z25" s="412" t="s">
        <v>54</v>
      </c>
      <c r="AA25" s="424">
        <f>SUM(AA6,AA7,AA12)</f>
        <v>1.7999999999999998</v>
      </c>
      <c r="AB25" s="427">
        <f t="shared" ref="AB25:AC25" si="19">SUM(AB6,AB7,AB12)</f>
        <v>2.2000000000000002</v>
      </c>
      <c r="AC25" s="426">
        <f t="shared" si="19"/>
        <v>2.4000000000000004</v>
      </c>
      <c r="AD25" s="417"/>
      <c r="AE25" s="435">
        <f>SUM(AE6,AE7,AE12)</f>
        <v>0.89999999999999991</v>
      </c>
      <c r="AF25" s="435">
        <f t="shared" ref="AF25:AG25" si="20">SUM(AF6,AF7,AF12)</f>
        <v>1.04</v>
      </c>
      <c r="AG25" s="435">
        <f t="shared" si="20"/>
        <v>1.2000000000000002</v>
      </c>
      <c r="AH25" s="417"/>
      <c r="AI25" s="435">
        <f>SUM(AI6,AI7,AI12)</f>
        <v>1.44</v>
      </c>
      <c r="AJ25" s="435">
        <f t="shared" ref="AJ25:AK25" si="21">SUM(AJ6,AJ7,AJ12)</f>
        <v>1.76</v>
      </c>
      <c r="AK25" s="435">
        <f t="shared" si="21"/>
        <v>1.9200000000000002</v>
      </c>
    </row>
    <row r="26" spans="2:37">
      <c r="W26" s="435"/>
      <c r="X26" s="435"/>
      <c r="AA26" s="417"/>
      <c r="AB26" s="417"/>
      <c r="AC26" s="417"/>
      <c r="AD26" s="417"/>
      <c r="AE26" s="417"/>
      <c r="AF26" s="417"/>
      <c r="AG26" s="417"/>
      <c r="AH26" s="417"/>
      <c r="AI26" s="434"/>
      <c r="AJ26" s="434"/>
      <c r="AK26" s="434"/>
    </row>
    <row r="27" spans="2:37">
      <c r="N27" s="412"/>
      <c r="O27" s="412"/>
      <c r="P27" s="412"/>
      <c r="Q27" s="412"/>
      <c r="W27" s="435"/>
      <c r="X27" s="435"/>
      <c r="Z27" s="412" t="s">
        <v>56</v>
      </c>
      <c r="AA27" s="435">
        <f>SUM(AA18:AA21)</f>
        <v>1.7999999999999998</v>
      </c>
      <c r="AB27" s="435">
        <f t="shared" ref="AB27:AC27" si="22">SUM(AB18:AB21)</f>
        <v>1.6</v>
      </c>
      <c r="AC27" s="426">
        <f t="shared" si="22"/>
        <v>2.8000000000000003</v>
      </c>
      <c r="AD27" s="417"/>
      <c r="AE27" s="435">
        <f>SUM(AE18:AE21)</f>
        <v>1.9200000000000002</v>
      </c>
      <c r="AF27" s="435">
        <f t="shared" ref="AF27:AG27" si="23">SUM(AF18:AF21)</f>
        <v>1.84</v>
      </c>
      <c r="AG27" s="426">
        <f t="shared" si="23"/>
        <v>2.8</v>
      </c>
      <c r="AH27" s="417"/>
      <c r="AI27" s="424">
        <f>SUM(AI18:AI21)</f>
        <v>2.3600000000000003</v>
      </c>
      <c r="AJ27" s="425">
        <f t="shared" ref="AJ27:AK27" si="24">SUM(AJ18:AJ21)</f>
        <v>2.2400000000000002</v>
      </c>
      <c r="AK27" s="426">
        <f t="shared" si="24"/>
        <v>2.8</v>
      </c>
    </row>
    <row r="29" spans="2:37">
      <c r="Z29" s="412" t="s">
        <v>408</v>
      </c>
      <c r="AA29" s="424">
        <f>SUM(AA4:AA21)</f>
        <v>4.6400000000000006</v>
      </c>
      <c r="AB29" s="427">
        <f t="shared" ref="AB29:AC29" si="25">SUM(AB4:AB21)</f>
        <v>4.88</v>
      </c>
      <c r="AC29" s="426">
        <f t="shared" si="25"/>
        <v>6.16</v>
      </c>
      <c r="AE29" s="435">
        <f>SUM(AE4:AE21)</f>
        <v>3.7</v>
      </c>
      <c r="AF29" s="435">
        <f t="shared" ref="AF29:AG29" si="26">SUM(AF4:AF21)</f>
        <v>4.0400000000000009</v>
      </c>
      <c r="AG29" s="435">
        <f t="shared" si="26"/>
        <v>4.96</v>
      </c>
      <c r="AI29" s="438">
        <f>SUM(AI4:AI21)</f>
        <v>4.3600000000000003</v>
      </c>
      <c r="AJ29" s="439">
        <f t="shared" ref="AJ29:AK29" si="27">SUM(AJ4:AJ21)</f>
        <v>4.5200000000000005</v>
      </c>
      <c r="AK29" s="435">
        <f t="shared" si="27"/>
        <v>5.2</v>
      </c>
    </row>
    <row r="30" spans="2:37">
      <c r="I30" s="3"/>
      <c r="K30" s="3"/>
      <c r="M30" s="3"/>
      <c r="N30" s="3"/>
      <c r="O30" s="3"/>
      <c r="P30" s="3"/>
      <c r="Q30" s="3"/>
      <c r="S30" s="299"/>
      <c r="T30" s="299"/>
      <c r="U30" s="299"/>
    </row>
    <row r="31" spans="2:37">
      <c r="S31"/>
      <c r="T31"/>
      <c r="U31"/>
    </row>
    <row r="32" spans="2:37">
      <c r="S32"/>
      <c r="T32"/>
      <c r="U32"/>
    </row>
    <row r="33" spans="19:21">
      <c r="S33"/>
      <c r="T33"/>
      <c r="U33"/>
    </row>
    <row r="34" spans="19:21">
      <c r="S34"/>
      <c r="T34"/>
      <c r="U34"/>
    </row>
    <row r="35" spans="19:21">
      <c r="S35"/>
      <c r="T35"/>
      <c r="U35"/>
    </row>
    <row r="36" spans="19:21">
      <c r="S36"/>
      <c r="T36"/>
      <c r="U36"/>
    </row>
    <row r="37" spans="19:21">
      <c r="S37"/>
      <c r="T37"/>
      <c r="U37"/>
    </row>
    <row r="38" spans="19:21">
      <c r="S38"/>
      <c r="T38"/>
      <c r="U38"/>
    </row>
    <row r="39" spans="19:21">
      <c r="S39"/>
      <c r="T39"/>
      <c r="U39"/>
    </row>
  </sheetData>
  <mergeCells count="70">
    <mergeCell ref="AI2:AK2"/>
    <mergeCell ref="AI7:AI11"/>
    <mergeCell ref="AJ7:AJ11"/>
    <mergeCell ref="AK7:AK11"/>
    <mergeCell ref="AI12:AI17"/>
    <mergeCell ref="AJ12:AJ17"/>
    <mergeCell ref="AK12:AK17"/>
    <mergeCell ref="AE2:AG2"/>
    <mergeCell ref="AE7:AE11"/>
    <mergeCell ref="AF7:AF11"/>
    <mergeCell ref="AG7:AG11"/>
    <mergeCell ref="AE12:AE17"/>
    <mergeCell ref="AF12:AF17"/>
    <mergeCell ref="AG12:AG17"/>
    <mergeCell ref="AA2:AC2"/>
    <mergeCell ref="AA7:AA11"/>
    <mergeCell ref="AB7:AB11"/>
    <mergeCell ref="AC7:AC11"/>
    <mergeCell ref="AA12:AA17"/>
    <mergeCell ref="AB12:AB17"/>
    <mergeCell ref="AC12:AC17"/>
    <mergeCell ref="S2:Y2"/>
    <mergeCell ref="S7:S11"/>
    <mergeCell ref="T7:T11"/>
    <mergeCell ref="U7:U11"/>
    <mergeCell ref="S12:S17"/>
    <mergeCell ref="T12:T17"/>
    <mergeCell ref="U12:U17"/>
    <mergeCell ref="W7:W11"/>
    <mergeCell ref="X7:X11"/>
    <mergeCell ref="Y7:Y11"/>
    <mergeCell ref="W12:W17"/>
    <mergeCell ref="X12:X17"/>
    <mergeCell ref="Y12:Y17"/>
    <mergeCell ref="B18:B21"/>
    <mergeCell ref="C18:C21"/>
    <mergeCell ref="G18:H18"/>
    <mergeCell ref="G19:H19"/>
    <mergeCell ref="G20:H20"/>
    <mergeCell ref="G21:H21"/>
    <mergeCell ref="I7:I11"/>
    <mergeCell ref="K7:K11"/>
    <mergeCell ref="M7:M11"/>
    <mergeCell ref="D12:D17"/>
    <mergeCell ref="E12:E17"/>
    <mergeCell ref="F12:F17"/>
    <mergeCell ref="I12:I17"/>
    <mergeCell ref="K12:K17"/>
    <mergeCell ref="M12:M17"/>
    <mergeCell ref="B6:B17"/>
    <mergeCell ref="C6:C17"/>
    <mergeCell ref="G6:H6"/>
    <mergeCell ref="D7:D11"/>
    <mergeCell ref="E7:E11"/>
    <mergeCell ref="F7:F11"/>
    <mergeCell ref="B3:E3"/>
    <mergeCell ref="G3:I3"/>
    <mergeCell ref="J3:K3"/>
    <mergeCell ref="L3:M3"/>
    <mergeCell ref="B4:B5"/>
    <mergeCell ref="C4:C5"/>
    <mergeCell ref="G4:H4"/>
    <mergeCell ref="G5:H5"/>
    <mergeCell ref="O2:Q2"/>
    <mergeCell ref="O7:O11"/>
    <mergeCell ref="O12:O17"/>
    <mergeCell ref="P7:P11"/>
    <mergeCell ref="P12:P17"/>
    <mergeCell ref="Q7:Q11"/>
    <mergeCell ref="Q12:Q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39D7-5CD1-4148-91C2-4A2BBE2CFCA6}">
  <sheetPr>
    <tabColor theme="0"/>
  </sheetPr>
  <dimension ref="C2:Q47"/>
  <sheetViews>
    <sheetView topLeftCell="B1" workbookViewId="0">
      <selection activeCell="O18" sqref="O18"/>
    </sheetView>
  </sheetViews>
  <sheetFormatPr defaultColWidth="11.42578125" defaultRowHeight="12.75"/>
  <cols>
    <col min="1" max="2" width="11.42578125" style="71"/>
    <col min="3" max="3" width="14.28515625" style="71" bestFit="1" customWidth="1"/>
    <col min="4" max="5" width="4.7109375" style="71" bestFit="1" customWidth="1"/>
    <col min="6" max="6" width="5.28515625" style="71" customWidth="1"/>
    <col min="7" max="7" width="13" style="71" bestFit="1" customWidth="1"/>
    <col min="8" max="9" width="4.7109375" style="71" bestFit="1" customWidth="1"/>
    <col min="10" max="10" width="11.42578125" style="71"/>
    <col min="11" max="11" width="22.85546875" style="71" bestFit="1" customWidth="1"/>
    <col min="12" max="12" width="23.140625" style="71" customWidth="1"/>
    <col min="13" max="13" width="11.28515625" style="71" bestFit="1" customWidth="1"/>
    <col min="14" max="14" width="4.85546875" style="139" bestFit="1" customWidth="1"/>
    <col min="15" max="15" width="31.28515625" style="139" bestFit="1" customWidth="1"/>
    <col min="16" max="16" width="9.85546875" style="71" bestFit="1" customWidth="1"/>
    <col min="17" max="17" width="4.85546875" style="71" bestFit="1" customWidth="1"/>
    <col min="18" max="16384" width="11.42578125" style="71"/>
  </cols>
  <sheetData>
    <row r="2" spans="3:12">
      <c r="C2" s="135" t="s">
        <v>102</v>
      </c>
      <c r="G2" s="135" t="s">
        <v>110</v>
      </c>
    </row>
    <row r="4" spans="3:12">
      <c r="C4" s="134" t="s">
        <v>124</v>
      </c>
      <c r="D4" s="134"/>
      <c r="E4" s="134"/>
      <c r="G4" s="134" t="s">
        <v>124</v>
      </c>
      <c r="H4" s="134"/>
      <c r="I4" s="134"/>
    </row>
    <row r="5" spans="3:12">
      <c r="C5" s="84"/>
      <c r="D5" s="78" t="s">
        <v>57</v>
      </c>
      <c r="E5" s="78" t="s">
        <v>63</v>
      </c>
      <c r="G5" s="84"/>
      <c r="H5" s="78" t="s">
        <v>57</v>
      </c>
      <c r="I5" s="78" t="s">
        <v>63</v>
      </c>
    </row>
    <row r="6" spans="3:12">
      <c r="C6" s="78" t="s">
        <v>57</v>
      </c>
      <c r="D6" s="79">
        <v>1</v>
      </c>
      <c r="E6" s="79">
        <v>1</v>
      </c>
      <c r="G6" s="78" t="s">
        <v>57</v>
      </c>
      <c r="H6" s="79">
        <v>1</v>
      </c>
      <c r="I6" s="79">
        <v>5</v>
      </c>
    </row>
    <row r="7" spans="3:12">
      <c r="C7" s="92" t="s">
        <v>63</v>
      </c>
      <c r="D7" s="115">
        <f>1/E6</f>
        <v>1</v>
      </c>
      <c r="E7" s="115">
        <v>1</v>
      </c>
      <c r="G7" s="92" t="s">
        <v>63</v>
      </c>
      <c r="H7" s="115">
        <f>1/I6</f>
        <v>0.2</v>
      </c>
      <c r="I7" s="115">
        <v>1</v>
      </c>
    </row>
    <row r="9" spans="3:12">
      <c r="C9" s="135" t="s">
        <v>130</v>
      </c>
    </row>
    <row r="11" spans="3:12">
      <c r="C11" s="134" t="s">
        <v>124</v>
      </c>
      <c r="D11" s="134"/>
      <c r="E11" s="134"/>
    </row>
    <row r="12" spans="3:12">
      <c r="C12" s="84"/>
      <c r="D12" s="78" t="s">
        <v>57</v>
      </c>
      <c r="E12" s="78" t="s">
        <v>63</v>
      </c>
    </row>
    <row r="13" spans="3:12">
      <c r="C13" s="78" t="s">
        <v>57</v>
      </c>
      <c r="D13" s="79">
        <v>1</v>
      </c>
      <c r="E13" s="79">
        <f>+GEOMEAN(E6,I6)</f>
        <v>2.2360679774997898</v>
      </c>
    </row>
    <row r="14" spans="3:12">
      <c r="C14" s="92" t="s">
        <v>63</v>
      </c>
      <c r="D14" s="115">
        <f>1/E13</f>
        <v>0.44721359549995793</v>
      </c>
      <c r="E14" s="115">
        <v>1</v>
      </c>
    </row>
    <row r="16" spans="3:12">
      <c r="K16" s="551" t="s">
        <v>409</v>
      </c>
      <c r="L16" s="551"/>
    </row>
    <row r="17" spans="11:17" ht="51" customHeight="1">
      <c r="K17" s="552" t="s">
        <v>410</v>
      </c>
      <c r="L17" s="552"/>
    </row>
    <row r="18" spans="11:17">
      <c r="K18" s="552"/>
      <c r="L18" s="552"/>
    </row>
    <row r="19" spans="11:17">
      <c r="K19" s="552"/>
      <c r="L19" s="552"/>
    </row>
    <row r="20" spans="11:17">
      <c r="K20" s="136" t="s">
        <v>411</v>
      </c>
      <c r="L20" s="136" t="s">
        <v>412</v>
      </c>
    </row>
    <row r="21" spans="11:17" ht="25.5">
      <c r="K21" s="549" t="s">
        <v>52</v>
      </c>
      <c r="L21" s="137" t="s">
        <v>413</v>
      </c>
    </row>
    <row r="22" spans="11:17" ht="25.5">
      <c r="K22" s="549"/>
      <c r="L22" s="137" t="s">
        <v>414</v>
      </c>
    </row>
    <row r="23" spans="11:17">
      <c r="K23" s="549" t="s">
        <v>54</v>
      </c>
      <c r="L23" s="137" t="s">
        <v>415</v>
      </c>
    </row>
    <row r="24" spans="11:17" ht="25.5">
      <c r="K24" s="549"/>
      <c r="L24" s="137" t="s">
        <v>416</v>
      </c>
    </row>
    <row r="25" spans="11:17">
      <c r="K25" s="549"/>
      <c r="L25" s="137" t="s">
        <v>417</v>
      </c>
    </row>
    <row r="26" spans="11:17">
      <c r="K26" s="549" t="s">
        <v>418</v>
      </c>
      <c r="L26" s="137" t="s">
        <v>419</v>
      </c>
    </row>
    <row r="27" spans="11:17">
      <c r="K27" s="549"/>
      <c r="L27" s="137" t="s">
        <v>420</v>
      </c>
    </row>
    <row r="28" spans="11:17" ht="25.5">
      <c r="K28" s="549"/>
      <c r="L28" s="137" t="s">
        <v>421</v>
      </c>
    </row>
    <row r="29" spans="11:17" ht="25.5">
      <c r="K29" s="550"/>
      <c r="L29" s="138" t="s">
        <v>422</v>
      </c>
    </row>
    <row r="32" spans="11:17">
      <c r="N32" s="140"/>
      <c r="O32" s="140"/>
      <c r="P32" s="141" t="s">
        <v>156</v>
      </c>
      <c r="Q32" s="141" t="s">
        <v>157</v>
      </c>
    </row>
    <row r="33" spans="14:17">
      <c r="N33" s="142" t="s">
        <v>51</v>
      </c>
      <c r="O33" s="140" t="s">
        <v>52</v>
      </c>
      <c r="P33" s="143" t="s">
        <v>158</v>
      </c>
      <c r="Q33" s="144">
        <v>0.423820523875374</v>
      </c>
    </row>
    <row r="34" spans="14:17">
      <c r="N34" s="142" t="s">
        <v>53</v>
      </c>
      <c r="O34" s="140" t="s">
        <v>54</v>
      </c>
      <c r="P34" s="143" t="s">
        <v>159</v>
      </c>
      <c r="Q34" s="144">
        <v>0.34955908504258776</v>
      </c>
    </row>
    <row r="35" spans="14:17">
      <c r="N35" s="142" t="s">
        <v>55</v>
      </c>
      <c r="O35" s="140" t="s">
        <v>56</v>
      </c>
      <c r="P35" s="143" t="s">
        <v>160</v>
      </c>
      <c r="Q35" s="144">
        <v>0.22662039108203846</v>
      </c>
    </row>
    <row r="36" spans="14:17">
      <c r="N36" s="142"/>
      <c r="O36" s="140"/>
      <c r="P36" s="143"/>
      <c r="Q36" s="144"/>
    </row>
    <row r="37" spans="14:17">
      <c r="N37" s="142" t="s">
        <v>57</v>
      </c>
      <c r="O37" s="140" t="s">
        <v>58</v>
      </c>
      <c r="P37" s="143" t="s">
        <v>161</v>
      </c>
      <c r="Q37" s="144">
        <v>0.49433380830962248</v>
      </c>
    </row>
    <row r="38" spans="14:17">
      <c r="N38" s="142" t="s">
        <v>63</v>
      </c>
      <c r="O38" s="140" t="s">
        <v>64</v>
      </c>
      <c r="P38" s="143" t="s">
        <v>169</v>
      </c>
      <c r="Q38" s="144">
        <v>0.50566619169037763</v>
      </c>
    </row>
    <row r="39" spans="14:17">
      <c r="N39" s="142"/>
      <c r="O39" s="140"/>
      <c r="P39" s="143"/>
      <c r="Q39" s="144"/>
    </row>
    <row r="40" spans="14:17">
      <c r="N40" s="142" t="s">
        <v>59</v>
      </c>
      <c r="O40" s="140" t="s">
        <v>60</v>
      </c>
      <c r="P40" s="143" t="s">
        <v>170</v>
      </c>
      <c r="Q40" s="144">
        <v>0.37650941576217245</v>
      </c>
    </row>
    <row r="41" spans="14:17">
      <c r="N41" s="142" t="s">
        <v>65</v>
      </c>
      <c r="O41" s="140" t="s">
        <v>66</v>
      </c>
      <c r="P41" s="143" t="s">
        <v>171</v>
      </c>
      <c r="Q41" s="144">
        <v>0.41084570937617665</v>
      </c>
    </row>
    <row r="42" spans="14:17">
      <c r="N42" s="142" t="s">
        <v>69</v>
      </c>
      <c r="O42" s="140" t="s">
        <v>70</v>
      </c>
      <c r="P42" s="143" t="s">
        <v>172</v>
      </c>
      <c r="Q42" s="144">
        <v>0.21264487486165093</v>
      </c>
    </row>
    <row r="43" spans="14:17">
      <c r="N43" s="142"/>
      <c r="O43" s="140"/>
      <c r="P43" s="143"/>
      <c r="Q43" s="144"/>
    </row>
    <row r="44" spans="14:17">
      <c r="N44" s="142" t="s">
        <v>61</v>
      </c>
      <c r="O44" s="140" t="s">
        <v>173</v>
      </c>
      <c r="P44" s="143" t="s">
        <v>174</v>
      </c>
      <c r="Q44" s="144">
        <v>0.2215509814895909</v>
      </c>
    </row>
    <row r="45" spans="14:17">
      <c r="N45" s="142" t="s">
        <v>67</v>
      </c>
      <c r="O45" s="140" t="s">
        <v>68</v>
      </c>
      <c r="P45" s="143" t="s">
        <v>175</v>
      </c>
      <c r="Q45" s="144">
        <v>0.37553647381544325</v>
      </c>
    </row>
    <row r="46" spans="14:17">
      <c r="N46" s="142" t="s">
        <v>71</v>
      </c>
      <c r="O46" s="140" t="s">
        <v>72</v>
      </c>
      <c r="P46" s="143" t="s">
        <v>176</v>
      </c>
      <c r="Q46" s="144">
        <v>0.21984491408317738</v>
      </c>
    </row>
    <row r="47" spans="14:17">
      <c r="N47" s="142" t="s">
        <v>73</v>
      </c>
      <c r="O47" s="140" t="s">
        <v>74</v>
      </c>
      <c r="P47" s="143" t="s">
        <v>177</v>
      </c>
      <c r="Q47" s="144">
        <v>0.18306763061178841</v>
      </c>
    </row>
  </sheetData>
  <mergeCells count="5">
    <mergeCell ref="K23:K25"/>
    <mergeCell ref="K26:K29"/>
    <mergeCell ref="K16:L16"/>
    <mergeCell ref="K17:L19"/>
    <mergeCell ref="K21:K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D629-98ED-4598-887A-AC5E5703DAF5}">
  <sheetPr codeName="Hoja3">
    <tabColor theme="7" tint="0.79998168889431442"/>
    <outlinePr summaryBelow="0" summaryRight="0"/>
  </sheetPr>
  <dimension ref="A1:V45"/>
  <sheetViews>
    <sheetView zoomScale="70" zoomScaleNormal="70" workbookViewId="0">
      <pane ySplit="1" topLeftCell="A2" activePane="bottomLeft" state="frozen"/>
      <selection pane="bottomLeft" activeCell="C42" sqref="C42"/>
    </sheetView>
  </sheetViews>
  <sheetFormatPr defaultColWidth="12.5703125" defaultRowHeight="15.75" customHeight="1"/>
  <cols>
    <col min="1" max="1" width="12.140625" style="71" customWidth="1"/>
    <col min="2" max="2" width="29.7109375" style="71" customWidth="1"/>
    <col min="3" max="3" width="16.140625" style="71" customWidth="1"/>
    <col min="4" max="4" width="14.28515625" style="71" customWidth="1"/>
    <col min="5" max="5" width="15.140625" style="71" customWidth="1"/>
    <col min="6" max="6" width="25.85546875" style="71" customWidth="1"/>
    <col min="7" max="7" width="23" style="71" customWidth="1"/>
    <col min="8" max="8" width="21.42578125" style="71" customWidth="1"/>
    <col min="9" max="9" width="20" style="71" customWidth="1"/>
    <col min="10" max="10" width="26.42578125" style="71" customWidth="1"/>
    <col min="11" max="11" width="28.28515625" style="71" customWidth="1"/>
    <col min="12" max="12" width="27.28515625" style="71" customWidth="1"/>
    <col min="13" max="13" width="25.85546875" style="71" customWidth="1"/>
    <col min="14" max="14" width="26.85546875" style="71" customWidth="1"/>
    <col min="15" max="15" width="28.85546875" style="71" customWidth="1"/>
    <col min="16" max="21" width="18.85546875" style="71" customWidth="1"/>
    <col min="22" max="16384" width="12.5703125" style="71"/>
  </cols>
  <sheetData>
    <row r="1" spans="1:22" ht="12.75">
      <c r="A1" s="320" t="s">
        <v>21</v>
      </c>
      <c r="B1" s="320" t="s">
        <v>22</v>
      </c>
      <c r="C1" s="320" t="s">
        <v>23</v>
      </c>
      <c r="D1" s="320" t="s">
        <v>24</v>
      </c>
      <c r="E1" s="320" t="s">
        <v>25</v>
      </c>
      <c r="F1" s="320" t="s">
        <v>26</v>
      </c>
      <c r="G1" s="320" t="s">
        <v>27</v>
      </c>
      <c r="H1" s="320" t="s">
        <v>28</v>
      </c>
      <c r="I1" s="320" t="s">
        <v>29</v>
      </c>
      <c r="J1" s="320" t="s">
        <v>30</v>
      </c>
      <c r="K1" s="320" t="s">
        <v>31</v>
      </c>
      <c r="L1" s="320" t="s">
        <v>32</v>
      </c>
      <c r="M1" s="320" t="s">
        <v>33</v>
      </c>
      <c r="N1" s="320" t="s">
        <v>34</v>
      </c>
      <c r="O1" s="320" t="s">
        <v>35</v>
      </c>
    </row>
    <row r="2" spans="1:22" ht="12.75">
      <c r="A2" s="321">
        <v>45129.445758229165</v>
      </c>
      <c r="B2" s="320" t="s">
        <v>36</v>
      </c>
      <c r="C2" s="320" t="s">
        <v>37</v>
      </c>
      <c r="D2" s="320" t="s">
        <v>38</v>
      </c>
      <c r="E2" s="320" t="s">
        <v>37</v>
      </c>
      <c r="F2" s="320" t="s">
        <v>39</v>
      </c>
      <c r="G2" s="320" t="s">
        <v>40</v>
      </c>
      <c r="H2" s="320" t="s">
        <v>41</v>
      </c>
      <c r="I2" s="320" t="s">
        <v>37</v>
      </c>
      <c r="J2" s="320" t="s">
        <v>40</v>
      </c>
      <c r="K2" s="320" t="s">
        <v>40</v>
      </c>
      <c r="L2" s="320" t="s">
        <v>40</v>
      </c>
      <c r="M2" s="320" t="s">
        <v>41</v>
      </c>
      <c r="N2" s="320" t="s">
        <v>42</v>
      </c>
      <c r="O2" s="320" t="s">
        <v>37</v>
      </c>
    </row>
    <row r="3" spans="1:22" ht="12.75">
      <c r="A3" s="321">
        <v>45129.448579351854</v>
      </c>
      <c r="B3" s="320" t="s">
        <v>43</v>
      </c>
      <c r="C3" s="320" t="s">
        <v>44</v>
      </c>
      <c r="D3" s="320" t="s">
        <v>44</v>
      </c>
      <c r="E3" s="320" t="s">
        <v>44</v>
      </c>
      <c r="F3" s="320" t="s">
        <v>44</v>
      </c>
      <c r="G3" s="320" t="s">
        <v>44</v>
      </c>
      <c r="H3" s="320" t="s">
        <v>39</v>
      </c>
      <c r="I3" s="320" t="s">
        <v>38</v>
      </c>
      <c r="J3" s="320" t="s">
        <v>38</v>
      </c>
      <c r="K3" s="320" t="s">
        <v>39</v>
      </c>
      <c r="L3" s="320" t="s">
        <v>39</v>
      </c>
      <c r="M3" s="320" t="s">
        <v>40</v>
      </c>
      <c r="N3" s="320" t="s">
        <v>40</v>
      </c>
      <c r="O3" s="320" t="s">
        <v>39</v>
      </c>
    </row>
    <row r="4" spans="1:22" ht="12.75">
      <c r="A4" s="321">
        <v>45131.395432430552</v>
      </c>
      <c r="B4" s="320" t="s">
        <v>45</v>
      </c>
      <c r="C4" s="320" t="s">
        <v>44</v>
      </c>
      <c r="D4" s="320" t="s">
        <v>39</v>
      </c>
      <c r="E4" s="320" t="s">
        <v>44</v>
      </c>
      <c r="F4" s="320" t="s">
        <v>44</v>
      </c>
      <c r="G4" s="320" t="s">
        <v>40</v>
      </c>
      <c r="H4" s="320" t="s">
        <v>44</v>
      </c>
      <c r="I4" s="320" t="s">
        <v>39</v>
      </c>
      <c r="J4" s="320" t="s">
        <v>39</v>
      </c>
      <c r="K4" s="320" t="s">
        <v>39</v>
      </c>
      <c r="L4" s="320" t="s">
        <v>42</v>
      </c>
      <c r="M4" s="320" t="s">
        <v>41</v>
      </c>
      <c r="N4" s="320" t="s">
        <v>41</v>
      </c>
      <c r="O4" s="320" t="s">
        <v>44</v>
      </c>
    </row>
    <row r="5" spans="1:22" ht="12.75">
      <c r="A5" s="321">
        <v>45138.310484907408</v>
      </c>
      <c r="B5" s="320" t="s">
        <v>45</v>
      </c>
      <c r="C5" s="320" t="s">
        <v>39</v>
      </c>
      <c r="D5" s="320" t="s">
        <v>44</v>
      </c>
      <c r="E5" s="320" t="s">
        <v>39</v>
      </c>
      <c r="F5" s="320" t="s">
        <v>44</v>
      </c>
      <c r="G5" s="320" t="s">
        <v>44</v>
      </c>
      <c r="H5" s="320" t="s">
        <v>42</v>
      </c>
      <c r="I5" s="320" t="s">
        <v>42</v>
      </c>
      <c r="J5" s="320" t="s">
        <v>44</v>
      </c>
      <c r="K5" s="320" t="s">
        <v>39</v>
      </c>
      <c r="L5" s="320" t="s">
        <v>39</v>
      </c>
      <c r="M5" s="320" t="s">
        <v>38</v>
      </c>
      <c r="N5" s="320" t="s">
        <v>38</v>
      </c>
      <c r="O5" s="320" t="s">
        <v>42</v>
      </c>
    </row>
    <row r="6" spans="1:22" ht="12.75">
      <c r="A6" s="321">
        <v>45139.629478692128</v>
      </c>
      <c r="B6" s="320" t="s">
        <v>36</v>
      </c>
      <c r="C6" s="320" t="s">
        <v>39</v>
      </c>
      <c r="D6" s="320" t="s">
        <v>44</v>
      </c>
      <c r="E6" s="320" t="s">
        <v>42</v>
      </c>
      <c r="F6" s="320" t="s">
        <v>39</v>
      </c>
      <c r="G6" s="320" t="s">
        <v>42</v>
      </c>
      <c r="H6" s="320" t="s">
        <v>44</v>
      </c>
      <c r="I6" s="320" t="s">
        <v>44</v>
      </c>
      <c r="J6" s="320" t="s">
        <v>44</v>
      </c>
      <c r="K6" s="320" t="s">
        <v>44</v>
      </c>
      <c r="L6" s="320" t="s">
        <v>41</v>
      </c>
      <c r="M6" s="320" t="s">
        <v>44</v>
      </c>
      <c r="N6" s="320" t="s">
        <v>44</v>
      </c>
      <c r="O6" s="320" t="s">
        <v>44</v>
      </c>
    </row>
    <row r="7" spans="1:22" ht="12.75">
      <c r="A7" s="321">
        <v>45140.676423368059</v>
      </c>
      <c r="B7" s="320" t="s">
        <v>45</v>
      </c>
      <c r="C7" s="320" t="s">
        <v>44</v>
      </c>
      <c r="D7" s="320" t="s">
        <v>42</v>
      </c>
      <c r="E7" s="320" t="s">
        <v>44</v>
      </c>
      <c r="F7" s="320" t="s">
        <v>39</v>
      </c>
      <c r="G7" s="320" t="s">
        <v>44</v>
      </c>
      <c r="H7" s="320" t="s">
        <v>39</v>
      </c>
      <c r="I7" s="320" t="s">
        <v>39</v>
      </c>
      <c r="J7" s="320" t="s">
        <v>40</v>
      </c>
      <c r="K7" s="320" t="s">
        <v>41</v>
      </c>
      <c r="L7" s="320" t="s">
        <v>41</v>
      </c>
      <c r="M7" s="320" t="s">
        <v>44</v>
      </c>
      <c r="N7" s="320" t="s">
        <v>39</v>
      </c>
      <c r="O7" s="320" t="s">
        <v>39</v>
      </c>
    </row>
    <row r="8" spans="1:22" ht="15.75" customHeight="1" thickBot="1">
      <c r="A8" s="322">
        <v>44993.377349537041</v>
      </c>
      <c r="B8" s="323" t="s">
        <v>46</v>
      </c>
      <c r="C8" s="323" t="s">
        <v>40</v>
      </c>
      <c r="D8" s="323" t="s">
        <v>44</v>
      </c>
      <c r="E8" s="323" t="s">
        <v>41</v>
      </c>
      <c r="F8" s="323" t="s">
        <v>47</v>
      </c>
      <c r="G8" s="323" t="s">
        <v>44</v>
      </c>
      <c r="H8" s="323" t="s">
        <v>39</v>
      </c>
      <c r="I8" s="323" t="s">
        <v>39</v>
      </c>
      <c r="J8" s="323" t="s">
        <v>41</v>
      </c>
      <c r="K8" s="323" t="s">
        <v>44</v>
      </c>
      <c r="L8" s="323" t="s">
        <v>42</v>
      </c>
      <c r="M8" s="323" t="s">
        <v>42</v>
      </c>
      <c r="N8" s="323" t="s">
        <v>42</v>
      </c>
      <c r="O8" s="324" t="s">
        <v>42</v>
      </c>
    </row>
    <row r="9" spans="1:22" ht="15.75" customHeight="1" thickBot="1">
      <c r="A9" s="325">
        <v>45147.629270833335</v>
      </c>
      <c r="B9" s="326" t="s">
        <v>48</v>
      </c>
      <c r="C9" s="326" t="s">
        <v>39</v>
      </c>
      <c r="D9" s="326" t="s">
        <v>44</v>
      </c>
      <c r="E9" s="326" t="s">
        <v>39</v>
      </c>
      <c r="F9" s="326" t="s">
        <v>44</v>
      </c>
      <c r="G9" s="326" t="s">
        <v>41</v>
      </c>
      <c r="H9" s="326" t="s">
        <v>44</v>
      </c>
      <c r="I9" s="326" t="s">
        <v>42</v>
      </c>
      <c r="J9" s="326" t="s">
        <v>40</v>
      </c>
      <c r="K9" s="326" t="s">
        <v>40</v>
      </c>
      <c r="L9" s="326" t="s">
        <v>40</v>
      </c>
      <c r="M9" s="326" t="s">
        <v>44</v>
      </c>
      <c r="N9" s="326" t="s">
        <v>44</v>
      </c>
      <c r="O9" s="326" t="s">
        <v>44</v>
      </c>
      <c r="P9" s="327" t="s">
        <v>49</v>
      </c>
      <c r="Q9" s="326"/>
      <c r="R9" s="326"/>
      <c r="S9" s="326"/>
      <c r="T9" s="326"/>
      <c r="U9" s="326"/>
      <c r="V9" s="326"/>
    </row>
    <row r="11" spans="1:22" ht="15.75" customHeight="1">
      <c r="B11" s="296" t="s">
        <v>50</v>
      </c>
      <c r="C11" s="328">
        <f>1/9</f>
        <v>0.1111111111111111</v>
      </c>
    </row>
    <row r="12" spans="1:22" ht="15.75" customHeight="1">
      <c r="B12" s="296" t="s">
        <v>47</v>
      </c>
      <c r="C12" s="328">
        <v>0.14285714285714285</v>
      </c>
      <c r="E12" s="275" t="s">
        <v>51</v>
      </c>
      <c r="F12" s="104" t="s">
        <v>52</v>
      </c>
      <c r="H12" s="275" t="s">
        <v>53</v>
      </c>
      <c r="I12" s="71" t="s">
        <v>54</v>
      </c>
      <c r="K12" s="275" t="s">
        <v>55</v>
      </c>
      <c r="L12" s="71" t="s">
        <v>56</v>
      </c>
    </row>
    <row r="13" spans="1:22" ht="15.75" customHeight="1">
      <c r="B13" s="296" t="s">
        <v>40</v>
      </c>
      <c r="C13" s="328">
        <f>1/5</f>
        <v>0.2</v>
      </c>
      <c r="E13" s="275" t="s">
        <v>57</v>
      </c>
      <c r="F13" s="104" t="s">
        <v>58</v>
      </c>
      <c r="H13" s="275" t="s">
        <v>59</v>
      </c>
      <c r="I13" s="104" t="s">
        <v>60</v>
      </c>
      <c r="K13" s="275" t="s">
        <v>61</v>
      </c>
      <c r="L13" s="104" t="s">
        <v>62</v>
      </c>
    </row>
    <row r="14" spans="1:22" ht="15.75" customHeight="1">
      <c r="B14" s="296" t="s">
        <v>41</v>
      </c>
      <c r="C14" s="328">
        <f>1/3</f>
        <v>0.33333333333333331</v>
      </c>
      <c r="E14" s="275" t="s">
        <v>63</v>
      </c>
      <c r="F14" s="104" t="s">
        <v>64</v>
      </c>
      <c r="H14" s="275" t="s">
        <v>65</v>
      </c>
      <c r="I14" s="104" t="s">
        <v>66</v>
      </c>
      <c r="K14" s="275" t="s">
        <v>67</v>
      </c>
      <c r="L14" s="104" t="s">
        <v>68</v>
      </c>
    </row>
    <row r="15" spans="1:22" ht="15.75" customHeight="1">
      <c r="B15" s="296" t="s">
        <v>44</v>
      </c>
      <c r="C15" s="329">
        <v>1</v>
      </c>
      <c r="E15" s="275"/>
      <c r="H15" s="275" t="s">
        <v>69</v>
      </c>
      <c r="I15" s="104" t="s">
        <v>70</v>
      </c>
      <c r="K15" s="275" t="s">
        <v>71</v>
      </c>
      <c r="L15" s="71" t="s">
        <v>72</v>
      </c>
    </row>
    <row r="16" spans="1:22" ht="15.75" customHeight="1">
      <c r="B16" s="296" t="s">
        <v>42</v>
      </c>
      <c r="C16" s="329">
        <v>3</v>
      </c>
      <c r="E16" s="275"/>
      <c r="H16" s="275"/>
      <c r="K16" s="275" t="s">
        <v>73</v>
      </c>
      <c r="L16" s="71" t="s">
        <v>74</v>
      </c>
    </row>
    <row r="17" spans="1:16" ht="15.75" customHeight="1">
      <c r="B17" s="296" t="s">
        <v>39</v>
      </c>
      <c r="C17" s="329">
        <v>5</v>
      </c>
      <c r="H17" s="275"/>
    </row>
    <row r="18" spans="1:16" ht="15.75" customHeight="1">
      <c r="B18" s="296" t="s">
        <v>38</v>
      </c>
      <c r="C18" s="329">
        <v>7</v>
      </c>
    </row>
    <row r="19" spans="1:16" ht="15.75" customHeight="1">
      <c r="B19" s="296" t="s">
        <v>37</v>
      </c>
      <c r="C19" s="329">
        <v>9</v>
      </c>
    </row>
    <row r="21" spans="1:16" ht="108.75" customHeight="1">
      <c r="A21" s="330" t="s">
        <v>75</v>
      </c>
      <c r="B21" s="294"/>
      <c r="C21" s="331" t="s">
        <v>76</v>
      </c>
      <c r="D21" s="331" t="s">
        <v>24</v>
      </c>
      <c r="E21" s="331" t="s">
        <v>25</v>
      </c>
      <c r="F21" s="331" t="s">
        <v>26</v>
      </c>
      <c r="G21" s="331" t="s">
        <v>27</v>
      </c>
      <c r="H21" s="331" t="s">
        <v>28</v>
      </c>
      <c r="I21" s="331" t="s">
        <v>29</v>
      </c>
      <c r="J21" s="331" t="s">
        <v>30</v>
      </c>
      <c r="K21" s="331" t="s">
        <v>31</v>
      </c>
      <c r="L21" s="331" t="s">
        <v>32</v>
      </c>
      <c r="M21" s="331" t="s">
        <v>33</v>
      </c>
      <c r="N21" s="331" t="s">
        <v>34</v>
      </c>
      <c r="O21" s="331" t="s">
        <v>35</v>
      </c>
      <c r="P21" s="229"/>
    </row>
    <row r="22" spans="1:16" ht="14.25" customHeight="1">
      <c r="A22" s="294"/>
      <c r="B22" s="294"/>
      <c r="C22" s="331"/>
      <c r="D22" s="331"/>
      <c r="E22" s="331"/>
      <c r="F22" s="331"/>
      <c r="G22" s="331"/>
      <c r="H22" s="331"/>
      <c r="I22" s="331"/>
      <c r="J22" s="331"/>
      <c r="K22" s="331"/>
      <c r="L22" s="331"/>
      <c r="M22" s="331"/>
      <c r="N22" s="331"/>
      <c r="O22" s="331"/>
      <c r="P22" s="229"/>
    </row>
    <row r="23" spans="1:16" ht="15.75" customHeight="1">
      <c r="A23" s="294" t="s">
        <v>77</v>
      </c>
      <c r="B23" s="294" t="s">
        <v>78</v>
      </c>
      <c r="C23" s="295">
        <f t="shared" ref="C23:O23" si="0">+IF(C2="Extremadamente más importante",9,IF(C2="Mucho más importante",7,IF(C2="Más importante",5,IF(C2=$B$16,$C$16,IF(C2=$B$15,$C$15,IF(C2=$B$14,$C$14,IF(C2=$B$13,$C$13,IF(C2=$B$12,$C$12,IF(C2=$B$11,C11,"F")))))))))</f>
        <v>9</v>
      </c>
      <c r="D23" s="295">
        <f t="shared" si="0"/>
        <v>7</v>
      </c>
      <c r="E23" s="295">
        <f t="shared" si="0"/>
        <v>9</v>
      </c>
      <c r="F23" s="295">
        <f t="shared" si="0"/>
        <v>5</v>
      </c>
      <c r="G23" s="295">
        <f t="shared" si="0"/>
        <v>0.2</v>
      </c>
      <c r="H23" s="295">
        <f t="shared" si="0"/>
        <v>0.33333333333333331</v>
      </c>
      <c r="I23" s="295">
        <f t="shared" si="0"/>
        <v>9</v>
      </c>
      <c r="J23" s="295">
        <f t="shared" si="0"/>
        <v>0.2</v>
      </c>
      <c r="K23" s="295">
        <f t="shared" si="0"/>
        <v>0.2</v>
      </c>
      <c r="L23" s="295">
        <f t="shared" si="0"/>
        <v>0.2</v>
      </c>
      <c r="M23" s="295">
        <f t="shared" si="0"/>
        <v>0.33333333333333331</v>
      </c>
      <c r="N23" s="295">
        <f t="shared" si="0"/>
        <v>3</v>
      </c>
      <c r="O23" s="295">
        <f t="shared" si="0"/>
        <v>9</v>
      </c>
    </row>
    <row r="24" spans="1:16" ht="15.75" customHeight="1">
      <c r="A24" s="294" t="s">
        <v>79</v>
      </c>
      <c r="B24" s="294" t="s">
        <v>78</v>
      </c>
      <c r="C24" s="295">
        <f t="shared" ref="C24:O24" si="1">+IF(C3="Extremadamente más importante",9,IF(C3="Mucho más importante",7,IF(C3="Más importante",5,IF(C3=$B$16,$C$16,IF(C3=$B$15,$C$15,IF(C3=$B$14,$C$14,IF(C3=$B$13,$C$13,IF(C3=$B$12,$C$12,IF(C3=$B$11,C12,"F")))))))))</f>
        <v>1</v>
      </c>
      <c r="D24" s="295">
        <f t="shared" si="1"/>
        <v>1</v>
      </c>
      <c r="E24" s="295">
        <f>+IF(E3="Extremadamente más importante",9,IF(E3="Mucho más importante",7,IF(E3="Más importante",5,IF(E3=$B$16,$C$16,IF(E3=$B$15,$C$15,IF(E3=$B$14,$C$14,IF(E3=$B$13,$C$13,IF(E3=$B$12,$C$12,IF(E3=$B$11,#REF!,"F")))))))))</f>
        <v>1</v>
      </c>
      <c r="F24" s="295">
        <f>+IF(F3="Extremadamente más importante",9,IF(F3="Mucho más importante",7,IF(F3="Más importante",5,IF(F3=$B$16,$C$16,IF(F3=$B$15,$C$15,IF(F3=$B$14,$C$14,IF(F3=$B$13,$C$13,IF(F3=$B$12,$C$12,IF(F3=$B$11,#REF!,"F")))))))))</f>
        <v>1</v>
      </c>
      <c r="G24" s="295">
        <f t="shared" si="1"/>
        <v>1</v>
      </c>
      <c r="H24" s="295">
        <f>+IF(H3="Extremadamente más importante",9,IF(H3="Mucho más importante",7,IF(H3="Más importante",5,IF(H3=$B$16,$C$16,IF(H3=$B$15,$C$15,IF(H3=$B$14,$C$14,IF(H3=$B$13,$C$13,IF(H3=$B$12,$C$12,IF(H3=$B$11,#REF!,"F")))))))))</f>
        <v>5</v>
      </c>
      <c r="I24" s="295">
        <f>+IF(I3="Extremadamente más importante",9,IF(I3="Mucho más importante",7,IF(I3="Más importante",5,IF(I3=$B$16,$C$16,IF(I3=$B$15,$C$15,IF(I3=$B$14,$C$14,IF(I3=$B$13,$C$13,IF(I3=$B$12,$C$12,IF(I3=$B$11,#REF!,"F")))))))))</f>
        <v>7</v>
      </c>
      <c r="J24" s="295">
        <f t="shared" si="1"/>
        <v>7</v>
      </c>
      <c r="K24" s="295">
        <f>+IF(K3="Extremadamente más importante",9,IF(K3="Mucho más importante",7,IF(K3="Más importante",5,IF(K3=$B$16,$C$16,IF(K3=$B$15,$C$15,IF(K3=$B$14,$C$14,IF(K3=$B$13,$C$13,IF(K3=$B$12,$C$12,IF(K3=$B$11,#REF!,"F")))))))))</f>
        <v>5</v>
      </c>
      <c r="L24" s="295">
        <f>+IF(L3="Extremadamente más importante",9,IF(L3="Mucho más importante",7,IF(L3="Más importante",5,IF(L3=$B$16,$C$16,IF(L3=$B$15,$C$15,IF(L3=$B$14,$C$14,IF(L3=$B$13,$C$13,IF(L3=$B$12,$C$12,IF(L3=$B$11,#REF!,"F")))))))))</f>
        <v>5</v>
      </c>
      <c r="M24" s="295">
        <f t="shared" si="1"/>
        <v>0.2</v>
      </c>
      <c r="N24" s="295">
        <f t="shared" si="1"/>
        <v>0.2</v>
      </c>
      <c r="O24" s="295">
        <f t="shared" si="1"/>
        <v>5</v>
      </c>
    </row>
    <row r="25" spans="1:16" ht="15.75" customHeight="1">
      <c r="A25" s="294" t="s">
        <v>80</v>
      </c>
      <c r="B25" s="294" t="s">
        <v>78</v>
      </c>
      <c r="C25" s="295">
        <f t="shared" ref="C25:O25" si="2">+IF(C4="Extremadamente más importante",9,IF(C4="Mucho más importante",7,IF(C4="Más importante",5,IF(C4=$B$16,$C$16,IF(C4=$B$15,$C$15,IF(C4=$B$14,$C$14,IF(C4=$B$13,$C$13,IF(C4=$B$12,$C$12,IF(C4=$B$11,C13,"F")))))))))</f>
        <v>1</v>
      </c>
      <c r="D25" s="295">
        <f t="shared" si="2"/>
        <v>5</v>
      </c>
      <c r="E25" s="295">
        <f>+IF(E4="Extremadamente más importante",9,IF(E4="Mucho más importante",7,IF(E4="Más importante",5,IF(E4=$B$16,$C$16,IF(E4=$B$15,$C$15,IF(E4=$B$14,$C$14,IF(E4=$B$13,$C$13,IF(E4=$B$12,$C$12,IF(E4=$B$11,#REF!,"F")))))))))</f>
        <v>1</v>
      </c>
      <c r="F25" s="295">
        <f>+IF(F4="Extremadamente más importante",9,IF(F4="Mucho más importante",7,IF(F4="Más importante",5,IF(F4=$B$16,$C$16,IF(F4=$B$15,$C$15,IF(F4=$B$14,$C$14,IF(F4=$B$13,$C$13,IF(F4=$B$12,$C$12,IF(F4=$B$11,#REF!,"F")))))))))</f>
        <v>1</v>
      </c>
      <c r="G25" s="295">
        <f t="shared" si="2"/>
        <v>0.2</v>
      </c>
      <c r="H25" s="295">
        <f>+IF(H4="Extremadamente más importante",9,IF(H4="Mucho más importante",7,IF(H4="Más importante",5,IF(H4=$B$16,$C$16,IF(H4=$B$15,$C$15,IF(H4=$B$14,$C$14,IF(H4=$B$13,$C$13,IF(H4=$B$12,$C$12,IF(H4=$B$11,#REF!,"F")))))))))</f>
        <v>1</v>
      </c>
      <c r="I25" s="295">
        <f>+IF(I4="Extremadamente más importante",9,IF(I4="Mucho más importante",7,IF(I4="Más importante",5,IF(I4=$B$16,$C$16,IF(I4=$B$15,$C$15,IF(I4=$B$14,$C$14,IF(I4=$B$13,$C$13,IF(I4=$B$12,$C$12,IF(I4=$B$11,#REF!,"F")))))))))</f>
        <v>5</v>
      </c>
      <c r="J25" s="295">
        <f t="shared" si="2"/>
        <v>5</v>
      </c>
      <c r="K25" s="295">
        <f>+IF(K4="Extremadamente más importante",9,IF(K4="Mucho más importante",7,IF(K4="Más importante",5,IF(K4=$B$16,$C$16,IF(K4=$B$15,$C$15,IF(K4=$B$14,$C$14,IF(K4=$B$13,$C$13,IF(K4=$B$12,$C$12,IF(K4=$B$11,#REF!,"F")))))))))</f>
        <v>5</v>
      </c>
      <c r="L25" s="295">
        <f>+IF(L4="Extremadamente más importante",9,IF(L4="Mucho más importante",7,IF(L4="Más importante",5,IF(L4=$B$16,$C$16,IF(L4=$B$15,$C$15,IF(L4=$B$14,$C$14,IF(L4=$B$13,$C$13,IF(L4=$B$12,$C$12,IF(L4=$B$11,#REF!,"F")))))))))</f>
        <v>3</v>
      </c>
      <c r="M25" s="295">
        <f t="shared" si="2"/>
        <v>0.33333333333333331</v>
      </c>
      <c r="N25" s="295">
        <f t="shared" si="2"/>
        <v>0.33333333333333331</v>
      </c>
      <c r="O25" s="295">
        <f t="shared" si="2"/>
        <v>1</v>
      </c>
    </row>
    <row r="26" spans="1:16" ht="15.75" customHeight="1">
      <c r="A26" s="294" t="s">
        <v>81</v>
      </c>
      <c r="B26" s="294" t="s">
        <v>82</v>
      </c>
      <c r="C26" s="295">
        <f t="shared" ref="C26:O26" si="3">+IF(C5="Extremadamente más importante",9,IF(C5="Mucho más importante",7,IF(C5="Más importante",5,IF(C5=$B$16,$C$16,IF(C5=$B$15,$C$15,IF(C5=$B$14,$C$14,IF(C5=$B$13,$C$13,IF(C5=$B$12,$C$12,IF(C5=$B$11,C14,"F")))))))))</f>
        <v>5</v>
      </c>
      <c r="D26" s="295">
        <f t="shared" si="3"/>
        <v>1</v>
      </c>
      <c r="E26" s="295">
        <f>+IF(E5="Extremadamente más importante",9,IF(E5="Mucho más importante",7,IF(E5="Más importante",5,IF(E5=$B$16,$C$16,IF(E5=$B$15,$C$15,IF(E5=$B$14,$C$14,IF(E5=$B$13,$C$13,IF(E5=$B$12,$C$12,IF(E5=$B$11,#REF!,"F")))))))))</f>
        <v>5</v>
      </c>
      <c r="F26" s="295">
        <f>+IF(F5="Extremadamente más importante",9,IF(F5="Mucho más importante",7,IF(F5="Más importante",5,IF(F5=$B$16,$C$16,IF(F5=$B$15,$C$15,IF(F5=$B$14,$C$14,IF(F5=$B$13,$C$13,IF(F5=$B$12,$C$12,IF(F5=$B$11,#REF!,"F")))))))))</f>
        <v>1</v>
      </c>
      <c r="G26" s="295">
        <f t="shared" si="3"/>
        <v>1</v>
      </c>
      <c r="H26" s="295">
        <f>+IF(H5="Extremadamente más importante",9,IF(H5="Mucho más importante",7,IF(H5="Más importante",5,IF(H5=$B$16,$C$16,IF(H5=$B$15,$C$15,IF(H5=$B$14,$C$14,IF(H5=$B$13,$C$13,IF(H5=$B$12,$C$12,IF(H5=$B$11,#REF!,"F")))))))))</f>
        <v>3</v>
      </c>
      <c r="I26" s="295">
        <f>+IF(I5="Extremadamente más importante",9,IF(I5="Mucho más importante",7,IF(I5="Más importante",5,IF(I5=$B$16,$C$16,IF(I5=$B$15,$C$15,IF(I5=$B$14,$C$14,IF(I5=$B$13,$C$13,IF(I5=$B$12,$C$12,IF(I5=$B$11,#REF!,"F")))))))))</f>
        <v>3</v>
      </c>
      <c r="J26" s="295">
        <f t="shared" si="3"/>
        <v>1</v>
      </c>
      <c r="K26" s="295">
        <f>+IF(K5="Extremadamente más importante",9,IF(K5="Mucho más importante",7,IF(K5="Más importante",5,IF(K5=$B$16,$C$16,IF(K5=$B$15,$C$15,IF(K5=$B$14,$C$14,IF(K5=$B$13,$C$13,IF(K5=$B$12,$C$12,IF(K5=$B$11,#REF!,"F")))))))))</f>
        <v>5</v>
      </c>
      <c r="L26" s="295">
        <f>+IF(L5="Extremadamente más importante",9,IF(L5="Mucho más importante",7,IF(L5="Más importante",5,IF(L5=$B$16,$C$16,IF(L5=$B$15,$C$15,IF(L5=$B$14,$C$14,IF(L5=$B$13,$C$13,IF(L5=$B$12,$C$12,IF(L5=$B$11,#REF!,"F")))))))))</f>
        <v>5</v>
      </c>
      <c r="M26" s="295">
        <f t="shared" si="3"/>
        <v>7</v>
      </c>
      <c r="N26" s="295">
        <f t="shared" si="3"/>
        <v>7</v>
      </c>
      <c r="O26" s="295">
        <f t="shared" si="3"/>
        <v>3</v>
      </c>
    </row>
    <row r="27" spans="1:16" ht="15.75" customHeight="1">
      <c r="A27" s="294" t="s">
        <v>83</v>
      </c>
      <c r="B27" s="294" t="s">
        <v>84</v>
      </c>
      <c r="C27" s="295">
        <f t="shared" ref="C27:O27" si="4">+IF(C6="Extremadamente más importante",9,IF(C6="Mucho más importante",7,IF(C6="Más importante",5,IF(C6=$B$16,$C$16,IF(C6=$B$15,$C$15,IF(C6=$B$14,$C$14,IF(C6=$B$13,$C$13,IF(C6=$B$12,$C$12,IF(C6=$B$11,C15,"F")))))))))</f>
        <v>5</v>
      </c>
      <c r="D27" s="295">
        <f t="shared" si="4"/>
        <v>1</v>
      </c>
      <c r="E27" s="295">
        <f t="shared" si="4"/>
        <v>3</v>
      </c>
      <c r="F27" s="295">
        <f t="shared" si="4"/>
        <v>5</v>
      </c>
      <c r="G27" s="295">
        <f t="shared" si="4"/>
        <v>3</v>
      </c>
      <c r="H27" s="295">
        <f>+IF(H6="Extremadamente más importante",9,IF(H6="Mucho más importante",7,IF(H6="Más importante",5,IF(H6=$B$16,$C$16,IF(H6=$B$15,$C$15,IF(H6=$B$14,$C$14,IF(H6=$B$13,$C$13,IF(H6=$B$12,$C$12,IF(H6=$B$11,#REF!,"F")))))))))</f>
        <v>1</v>
      </c>
      <c r="I27" s="295">
        <f>+IF(I6="Extremadamente más importante",9,IF(I6="Mucho más importante",7,IF(I6="Más importante",5,IF(I6=$B$16,$C$16,IF(I6=$B$15,$C$15,IF(I6=$B$14,$C$14,IF(I6=$B$13,$C$13,IF(I6=$B$12,$C$12,IF(I6=$B$11,#REF!,"F")))))))))</f>
        <v>1</v>
      </c>
      <c r="J27" s="295">
        <f t="shared" si="4"/>
        <v>1</v>
      </c>
      <c r="K27" s="295">
        <f>+IF(K6="Extremadamente más importante",9,IF(K6="Mucho más importante",7,IF(K6="Más importante",5,IF(K6=$B$16,$C$16,IF(K6=$B$15,$C$15,IF(K6=$B$14,$C$14,IF(K6=$B$13,$C$13,IF(K6=$B$12,$C$12,IF(K6=$B$11,#REF!,"F")))))))))</f>
        <v>1</v>
      </c>
      <c r="L27" s="295">
        <f>+IF(L6="Extremadamente más importante",9,IF(L6="Mucho más importante",7,IF(L6="Más importante",5,IF(L6=$B$16,$C$16,IF(L6=$B$15,$C$15,IF(L6=$B$14,$C$14,IF(L6=$B$13,$C$13,IF(L6=$B$12,$C$12,IF(L6=$B$11,#REF!,"F")))))))))</f>
        <v>0.33333333333333331</v>
      </c>
      <c r="M27" s="295">
        <f t="shared" si="4"/>
        <v>1</v>
      </c>
      <c r="N27" s="295">
        <f t="shared" si="4"/>
        <v>1</v>
      </c>
      <c r="O27" s="295">
        <f t="shared" si="4"/>
        <v>1</v>
      </c>
    </row>
    <row r="28" spans="1:16" ht="15.75" customHeight="1">
      <c r="A28" s="294" t="s">
        <v>85</v>
      </c>
      <c r="B28" s="294" t="s">
        <v>86</v>
      </c>
      <c r="C28" s="295">
        <f t="shared" ref="C28:O28" si="5">+IF(C7="Extremadamente más importante",9,IF(C7="Mucho más importante",7,IF(C7="Más importante",5,IF(C7=$B$16,$C$16,IF(C7=$B$15,$C$15,IF(C7=$B$14,$C$14,IF(C7=$B$13,$C$13,IF(C7=$B$12,$C$12,IF(C7=$B$11,C16,"F")))))))))</f>
        <v>1</v>
      </c>
      <c r="D28" s="295">
        <f t="shared" si="5"/>
        <v>3</v>
      </c>
      <c r="E28" s="295">
        <v>0.5</v>
      </c>
      <c r="F28" s="295">
        <f t="shared" si="5"/>
        <v>5</v>
      </c>
      <c r="G28" s="295">
        <f t="shared" si="5"/>
        <v>1</v>
      </c>
      <c r="H28" s="295">
        <f t="shared" si="5"/>
        <v>5</v>
      </c>
      <c r="I28" s="295">
        <f t="shared" si="5"/>
        <v>5</v>
      </c>
      <c r="J28" s="295">
        <f t="shared" si="5"/>
        <v>0.2</v>
      </c>
      <c r="K28" s="295">
        <f>+IF(K7="Extremadamente más importante",9,IF(K7="Mucho más importante",7,IF(K7="Más importante",5,IF(K7=$B$16,$C$16,IF(K7=$B$15,$C$15,IF(K7=$B$14,$C$14,IF(K7=$B$13,$C$13,IF(K7=$B$12,$C$12,IF(K7=$B$11,#REF!,"F")))))))))</f>
        <v>0.33333333333333331</v>
      </c>
      <c r="L28" s="295">
        <f>+IF(L7="Extremadamente más importante",9,IF(L7="Mucho más importante",7,IF(L7="Más importante",5,IF(L7=$B$16,$C$16,IF(L7=$B$15,$C$15,IF(L7=$B$14,$C$14,IF(L7=$B$13,$C$13,IF(L7=$B$12,$C$12,IF(L7=$B$11,#REF!,"F")))))))))</f>
        <v>0.33333333333333331</v>
      </c>
      <c r="M28" s="295">
        <f t="shared" si="5"/>
        <v>1</v>
      </c>
      <c r="N28" s="295">
        <f t="shared" si="5"/>
        <v>5</v>
      </c>
      <c r="O28" s="295">
        <f t="shared" si="5"/>
        <v>5</v>
      </c>
    </row>
    <row r="29" spans="1:16" ht="15.75" customHeight="1">
      <c r="A29" s="294" t="s">
        <v>87</v>
      </c>
      <c r="B29" s="294" t="s">
        <v>88</v>
      </c>
      <c r="C29" s="295">
        <f>+IF(C8="Extremadamente más importante",9,IF(C8="Mucho más importante",7,IF(C8="Más importante",5,IF(C8=$B$16,$C$16,IF(C8=$B$15,$C$15,IF(C8=$B$14,$C$14,IF(C8=$B$13,$C$13,IF(C8=$B$12,$C$12,IF(C8=$B$11,C17,"F")))))))))</f>
        <v>0.2</v>
      </c>
      <c r="D29" s="295">
        <f t="shared" ref="D29:O29" si="6">+IF(D8="Extremadamente más importante",9,IF(D8="Mucho más importante",7,IF(D8="Más importante",5,IF(D8=$B$16,$C$16,IF(D8=$B$15,$C$15,IF(D8=$B$14,$C$14,IF(D8=$B$13,$C$13,IF(D8=$B$12,$C$12,IF(D8=$B$11,D17,"F")))))))))</f>
        <v>1</v>
      </c>
      <c r="E29" s="295">
        <f t="shared" si="6"/>
        <v>0.33333333333333331</v>
      </c>
      <c r="F29" s="295">
        <f t="shared" si="6"/>
        <v>0.14285714285714285</v>
      </c>
      <c r="G29" s="295">
        <f t="shared" si="6"/>
        <v>1</v>
      </c>
      <c r="H29" s="295">
        <f t="shared" si="6"/>
        <v>5</v>
      </c>
      <c r="I29" s="295">
        <f t="shared" si="6"/>
        <v>5</v>
      </c>
      <c r="J29" s="295">
        <f t="shared" si="6"/>
        <v>0.33333333333333331</v>
      </c>
      <c r="K29" s="295">
        <f t="shared" si="6"/>
        <v>1</v>
      </c>
      <c r="L29" s="295">
        <f t="shared" si="6"/>
        <v>3</v>
      </c>
      <c r="M29" s="295">
        <f t="shared" si="6"/>
        <v>3</v>
      </c>
      <c r="N29" s="295">
        <f t="shared" si="6"/>
        <v>3</v>
      </c>
      <c r="O29" s="295">
        <f t="shared" si="6"/>
        <v>3</v>
      </c>
    </row>
    <row r="30" spans="1:16" ht="15.75" customHeight="1">
      <c r="A30" s="298" t="s">
        <v>89</v>
      </c>
      <c r="B30" s="296" t="s">
        <v>90</v>
      </c>
      <c r="C30" s="297"/>
      <c r="D30" s="297"/>
      <c r="E30" s="297"/>
      <c r="F30" s="297"/>
      <c r="G30" s="297"/>
      <c r="H30" s="297"/>
      <c r="I30" s="297"/>
      <c r="J30" s="297"/>
      <c r="K30" s="297"/>
      <c r="L30" s="297"/>
      <c r="M30" s="297"/>
      <c r="N30" s="297"/>
      <c r="O30" s="297"/>
    </row>
    <row r="31" spans="1:16" ht="15.75" customHeight="1">
      <c r="A31" s="296" t="s">
        <v>91</v>
      </c>
      <c r="B31" s="296" t="s">
        <v>92</v>
      </c>
      <c r="C31" s="297">
        <f t="shared" ref="C31:O31" si="7">+IF(C9="Extremadamente más importante",9,IF(C9="Mucho más importante",7,IF(C9="Más importante",5,IF(C9=$B$16,$C$16,IF(C9=$B$15,$C$15,IF(C9=$B$14,$C$14,IF(C9=$B$13,$C$13,IF(C9=$B$12,$C$12,IF(C9=$B$11,C18,"F")))))))))</f>
        <v>5</v>
      </c>
      <c r="D31" s="297">
        <f t="shared" si="7"/>
        <v>1</v>
      </c>
      <c r="E31" s="297">
        <f t="shared" si="7"/>
        <v>5</v>
      </c>
      <c r="F31" s="297">
        <f t="shared" si="7"/>
        <v>1</v>
      </c>
      <c r="G31" s="297">
        <f t="shared" si="7"/>
        <v>0.33333333333333331</v>
      </c>
      <c r="H31" s="297">
        <f t="shared" si="7"/>
        <v>1</v>
      </c>
      <c r="I31" s="297">
        <f t="shared" si="7"/>
        <v>3</v>
      </c>
      <c r="J31" s="297">
        <f t="shared" si="7"/>
        <v>0.2</v>
      </c>
      <c r="K31" s="297">
        <f t="shared" si="7"/>
        <v>0.2</v>
      </c>
      <c r="L31" s="297">
        <f t="shared" si="7"/>
        <v>0.2</v>
      </c>
      <c r="M31" s="297">
        <f t="shared" si="7"/>
        <v>1</v>
      </c>
      <c r="N31" s="297">
        <f t="shared" si="7"/>
        <v>1</v>
      </c>
      <c r="O31" s="297">
        <f t="shared" si="7"/>
        <v>1</v>
      </c>
    </row>
    <row r="32" spans="1:16" ht="15.75" customHeight="1">
      <c r="D32" s="104"/>
      <c r="E32" s="104"/>
    </row>
    <row r="33" spans="4:5" ht="15.75" customHeight="1">
      <c r="D33" s="104"/>
      <c r="E33" s="104"/>
    </row>
    <row r="34" spans="4:5" ht="15.75" customHeight="1">
      <c r="D34" s="104"/>
      <c r="E34" s="104"/>
    </row>
    <row r="35" spans="4:5" ht="15.75" customHeight="1">
      <c r="D35" s="104"/>
      <c r="E35" s="104"/>
    </row>
    <row r="36" spans="4:5" ht="15.75" customHeight="1">
      <c r="E36" s="104"/>
    </row>
    <row r="37" spans="4:5" ht="15.75" customHeight="1">
      <c r="D37" s="104"/>
    </row>
    <row r="38" spans="4:5" ht="15.75" customHeight="1">
      <c r="D38" s="104"/>
    </row>
    <row r="39" spans="4:5" ht="15.75" customHeight="1">
      <c r="E39" s="104"/>
    </row>
    <row r="40" spans="4:5" ht="15.75" customHeight="1">
      <c r="D40" s="104"/>
      <c r="E40" s="104"/>
    </row>
    <row r="41" spans="4:5" ht="15.75" customHeight="1">
      <c r="D41" s="104"/>
      <c r="E41" s="104"/>
    </row>
    <row r="42" spans="4:5" ht="15.75" customHeight="1">
      <c r="D42" s="104"/>
      <c r="E42" s="104"/>
    </row>
    <row r="43" spans="4:5" ht="15.75" customHeight="1">
      <c r="D43" s="104"/>
      <c r="E43" s="104"/>
    </row>
    <row r="44" spans="4:5" ht="15.75" customHeight="1">
      <c r="E44" s="104"/>
    </row>
    <row r="45" spans="4:5" ht="15.75" customHeight="1">
      <c r="D45" s="104"/>
      <c r="E45" s="104"/>
    </row>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03D1-5873-4F01-897D-8B460003190F}">
  <sheetPr codeName="Hoja1">
    <tabColor theme="7" tint="0.79998168889431442"/>
    <outlinePr summaryBelow="0" summaryRight="0"/>
  </sheetPr>
  <dimension ref="B1:V119"/>
  <sheetViews>
    <sheetView showGridLines="0" zoomScale="70" zoomScaleNormal="70" workbookViewId="0">
      <pane ySplit="9" topLeftCell="A10" activePane="bottomLeft" state="frozen"/>
      <selection pane="bottomLeft" activeCell="C78" sqref="C78:V107"/>
      <selection activeCell="B1" sqref="B1"/>
    </sheetView>
  </sheetViews>
  <sheetFormatPr defaultColWidth="12.5703125" defaultRowHeight="15.75" customHeight="1"/>
  <cols>
    <col min="1" max="1" width="18.85546875" style="70" customWidth="1"/>
    <col min="2" max="2" width="18.7109375" style="70" customWidth="1"/>
    <col min="3" max="6" width="7.7109375" style="70" customWidth="1"/>
    <col min="7" max="7" width="3.7109375" style="70" customWidth="1"/>
    <col min="8" max="12" width="7.7109375" style="70" customWidth="1"/>
    <col min="13" max="13" width="3.28515625" style="70" customWidth="1"/>
    <col min="14" max="17" width="7.7109375" style="70" customWidth="1"/>
    <col min="18" max="18" width="9.28515625" style="77" customWidth="1"/>
    <col min="19" max="19" width="18.85546875" style="70" customWidth="1"/>
    <col min="20" max="20" width="4" style="70" customWidth="1"/>
    <col min="21" max="21" width="9.7109375" style="70" customWidth="1"/>
    <col min="22" max="22" width="8.7109375" style="70" customWidth="1"/>
    <col min="23" max="16384" width="12.5703125" style="70"/>
  </cols>
  <sheetData>
    <row r="1" spans="2:14" ht="15.75" customHeight="1">
      <c r="E1" s="77" t="s">
        <v>57</v>
      </c>
      <c r="F1" s="98" t="s">
        <v>58</v>
      </c>
      <c r="K1" s="99">
        <f t="array" ref="K1:K3">+MMULT(D22:F24,L22:L24)</f>
        <v>2.8349593421737103</v>
      </c>
    </row>
    <row r="2" spans="2:14" ht="15.75" customHeight="1">
      <c r="B2" s="77" t="s">
        <v>51</v>
      </c>
      <c r="C2" s="98" t="s">
        <v>52</v>
      </c>
      <c r="E2" s="77" t="s">
        <v>63</v>
      </c>
      <c r="F2" s="98" t="s">
        <v>64</v>
      </c>
      <c r="K2" s="99">
        <v>0.80340568779326493</v>
      </c>
    </row>
    <row r="3" spans="2:14" ht="15.75" customHeight="1">
      <c r="B3" s="77" t="s">
        <v>53</v>
      </c>
      <c r="C3" s="100" t="s">
        <v>54</v>
      </c>
      <c r="E3" s="77" t="s">
        <v>59</v>
      </c>
      <c r="F3" s="98" t="s">
        <v>60</v>
      </c>
      <c r="K3" s="99">
        <v>0.15701860859883365</v>
      </c>
      <c r="N3" s="70" t="s">
        <v>93</v>
      </c>
    </row>
    <row r="4" spans="2:14" ht="15.75" customHeight="1">
      <c r="B4" s="77" t="s">
        <v>55</v>
      </c>
      <c r="C4" s="100" t="s">
        <v>56</v>
      </c>
      <c r="E4" s="77" t="s">
        <v>65</v>
      </c>
      <c r="F4" s="98" t="s">
        <v>66</v>
      </c>
      <c r="J4" s="101" t="s">
        <v>94</v>
      </c>
      <c r="K4" s="102">
        <f>+SUM(_xlfn.ANCHORARRAY(K1))</f>
        <v>3.7953836385658084</v>
      </c>
      <c r="N4" s="70" t="s">
        <v>95</v>
      </c>
    </row>
    <row r="5" spans="2:14" ht="15.75" customHeight="1">
      <c r="B5" s="77"/>
      <c r="C5" s="98"/>
      <c r="E5" s="77" t="s">
        <v>69</v>
      </c>
      <c r="F5" s="98" t="s">
        <v>70</v>
      </c>
      <c r="J5" s="101" t="s">
        <v>96</v>
      </c>
      <c r="K5" s="103">
        <v>3</v>
      </c>
      <c r="N5" s="70" t="s">
        <v>97</v>
      </c>
    </row>
    <row r="6" spans="2:14" ht="15.75" customHeight="1">
      <c r="E6" s="77" t="s">
        <v>61</v>
      </c>
      <c r="F6" s="98" t="s">
        <v>62</v>
      </c>
      <c r="J6" s="101" t="s">
        <v>98</v>
      </c>
      <c r="K6" s="103">
        <f>+(K4-K5)/(K5-1)</f>
        <v>0.3976918192829042</v>
      </c>
      <c r="N6" s="70" t="s">
        <v>99</v>
      </c>
    </row>
    <row r="7" spans="2:14" ht="15.75" customHeight="1">
      <c r="E7" s="77" t="s">
        <v>67</v>
      </c>
      <c r="F7" s="98" t="s">
        <v>68</v>
      </c>
      <c r="J7" s="101" t="s">
        <v>100</v>
      </c>
      <c r="K7" s="103">
        <v>0.66</v>
      </c>
    </row>
    <row r="8" spans="2:14" ht="15.75" customHeight="1">
      <c r="E8" s="77" t="s">
        <v>71</v>
      </c>
      <c r="F8" s="100" t="s">
        <v>72</v>
      </c>
      <c r="J8" s="101" t="s">
        <v>101</v>
      </c>
      <c r="K8" s="103">
        <f>K6/K7</f>
        <v>0.60256336254985488</v>
      </c>
    </row>
    <row r="9" spans="2:14" ht="15.75" customHeight="1">
      <c r="E9" s="77" t="s">
        <v>73</v>
      </c>
      <c r="F9" s="100" t="s">
        <v>74</v>
      </c>
    </row>
    <row r="18" spans="2:22" ht="15.75" customHeight="1">
      <c r="B18" s="71"/>
      <c r="C18" s="71"/>
      <c r="D18" s="104"/>
      <c r="E18" s="104"/>
      <c r="F18" s="71"/>
      <c r="G18" s="71"/>
    </row>
    <row r="19" spans="2:22" s="71" customFormat="1" ht="15.75" customHeight="1">
      <c r="B19" s="97"/>
      <c r="C19" s="105" t="s">
        <v>102</v>
      </c>
      <c r="D19" s="106"/>
      <c r="E19" s="107"/>
      <c r="F19" s="106"/>
      <c r="G19" s="97"/>
      <c r="H19" s="105" t="s">
        <v>103</v>
      </c>
      <c r="I19" s="106"/>
      <c r="J19" s="107"/>
      <c r="K19" s="106"/>
      <c r="L19" s="106"/>
      <c r="R19" s="108"/>
    </row>
    <row r="20" spans="2:22" s="71" customFormat="1" ht="15.75" customHeight="1">
      <c r="B20" s="97"/>
      <c r="D20" s="108"/>
      <c r="F20" s="108"/>
      <c r="G20" s="97"/>
      <c r="I20" s="108"/>
      <c r="K20" s="108"/>
      <c r="R20" s="108"/>
    </row>
    <row r="21" spans="2:22" s="71" customFormat="1" ht="15.75" customHeight="1">
      <c r="B21" s="97"/>
      <c r="C21" s="109"/>
      <c r="D21" s="110" t="s">
        <v>51</v>
      </c>
      <c r="E21" s="110" t="s">
        <v>53</v>
      </c>
      <c r="F21" s="110" t="s">
        <v>55</v>
      </c>
      <c r="G21" s="97"/>
      <c r="H21" s="109"/>
      <c r="I21" s="110" t="s">
        <v>51</v>
      </c>
      <c r="J21" s="110" t="s">
        <v>53</v>
      </c>
      <c r="K21" s="110" t="s">
        <v>55</v>
      </c>
      <c r="L21" s="111" t="s">
        <v>104</v>
      </c>
      <c r="N21" s="78" t="s">
        <v>104</v>
      </c>
      <c r="O21" s="79">
        <f>+L22</f>
        <v>0.71138875452894423</v>
      </c>
      <c r="P21" s="79">
        <f>+L23</f>
        <v>0.23696531079736793</v>
      </c>
      <c r="Q21" s="79">
        <f>+L24</f>
        <v>5.164593467368786E-2</v>
      </c>
      <c r="R21" s="372"/>
      <c r="S21" s="80"/>
    </row>
    <row r="22" spans="2:22" s="71" customFormat="1" ht="15.75" customHeight="1">
      <c r="B22" s="97"/>
      <c r="C22" s="78" t="s">
        <v>51</v>
      </c>
      <c r="D22" s="79">
        <v>1</v>
      </c>
      <c r="E22" s="79">
        <f>+'1.1 FORM'!D23</f>
        <v>7</v>
      </c>
      <c r="F22" s="79">
        <f>+'1.1 FORM'!C23</f>
        <v>9</v>
      </c>
      <c r="G22" s="97"/>
      <c r="H22" s="78" t="s">
        <v>51</v>
      </c>
      <c r="I22" s="79">
        <f>+D22/SUM($D$22:$D$24)</f>
        <v>0.79746835443037978</v>
      </c>
      <c r="J22" s="79">
        <f>+E22/SUM($E$22:$E$24)</f>
        <v>0.86301369863013699</v>
      </c>
      <c r="K22" s="79">
        <f>+F22/SUM($F$22:$F$24)</f>
        <v>0.47368421052631576</v>
      </c>
      <c r="L22" s="112">
        <f>+AVERAGE(I22:K22)</f>
        <v>0.71138875452894423</v>
      </c>
      <c r="N22" s="109"/>
      <c r="O22" s="110" t="s">
        <v>51</v>
      </c>
      <c r="P22" s="110" t="s">
        <v>53</v>
      </c>
      <c r="Q22" s="110" t="s">
        <v>55</v>
      </c>
      <c r="R22" s="110" t="s">
        <v>105</v>
      </c>
      <c r="S22" s="110" t="s">
        <v>106</v>
      </c>
      <c r="U22" s="90" t="s">
        <v>94</v>
      </c>
      <c r="V22" s="91">
        <f>+AVERAGE(S23:S25)</f>
        <v>3.471929703883017</v>
      </c>
    </row>
    <row r="23" spans="2:22" s="71" customFormat="1" ht="15.75" customHeight="1">
      <c r="B23" s="97"/>
      <c r="C23" s="85" t="s">
        <v>53</v>
      </c>
      <c r="D23" s="86">
        <f>1/E22</f>
        <v>0.14285714285714285</v>
      </c>
      <c r="E23" s="86">
        <v>1</v>
      </c>
      <c r="F23" s="86">
        <f>+'1.1 FORM'!E23</f>
        <v>9</v>
      </c>
      <c r="G23" s="97"/>
      <c r="H23" s="85" t="s">
        <v>53</v>
      </c>
      <c r="I23" s="86">
        <f>+D23/SUM($D$22:$D$24)</f>
        <v>0.11392405063291139</v>
      </c>
      <c r="J23" s="86">
        <f>+E23/SUM($E$22:$E$24)</f>
        <v>0.12328767123287672</v>
      </c>
      <c r="K23" s="86">
        <f>+F23/SUM($F$22:$F$24)</f>
        <v>0.47368421052631576</v>
      </c>
      <c r="L23" s="87">
        <f>+AVERAGE(I23:K23)</f>
        <v>0.23696531079736793</v>
      </c>
      <c r="N23" s="78" t="s">
        <v>51</v>
      </c>
      <c r="O23" s="79">
        <f>+$O$21*D22</f>
        <v>0.71138875452894423</v>
      </c>
      <c r="P23" s="79">
        <f>+$P$21*E22</f>
        <v>1.6587571755815755</v>
      </c>
      <c r="Q23" s="79">
        <f>+$Q$21*F22</f>
        <v>0.46481341206319071</v>
      </c>
      <c r="R23" s="79">
        <f>+SUM(O23:Q23)</f>
        <v>2.8349593421737103</v>
      </c>
      <c r="S23" s="114">
        <f>+R23/L22</f>
        <v>3.9851056459993064</v>
      </c>
      <c r="U23" s="90" t="s">
        <v>96</v>
      </c>
      <c r="V23" s="91">
        <f>+COUNTA(O22:Q22)</f>
        <v>3</v>
      </c>
    </row>
    <row r="24" spans="2:22" s="71" customFormat="1" ht="15.75" customHeight="1">
      <c r="B24" s="97"/>
      <c r="C24" s="92" t="s">
        <v>55</v>
      </c>
      <c r="D24" s="115">
        <f>1/F22</f>
        <v>0.1111111111111111</v>
      </c>
      <c r="E24" s="115">
        <f>1/F23</f>
        <v>0.1111111111111111</v>
      </c>
      <c r="F24" s="115">
        <v>1</v>
      </c>
      <c r="G24" s="97"/>
      <c r="H24" s="92" t="s">
        <v>55</v>
      </c>
      <c r="I24" s="115">
        <f>+D24/SUM($D$22:$D$24)</f>
        <v>8.8607594936708861E-2</v>
      </c>
      <c r="J24" s="115">
        <f>+E24/SUM($E$22:$E$24)</f>
        <v>1.3698630136986301E-2</v>
      </c>
      <c r="K24" s="115">
        <f>+F24/SUM($F$22:$F$24)</f>
        <v>5.2631578947368418E-2</v>
      </c>
      <c r="L24" s="93">
        <f>+AVERAGE(I24:K24)</f>
        <v>5.164593467368786E-2</v>
      </c>
      <c r="N24" s="85" t="s">
        <v>53</v>
      </c>
      <c r="O24" s="86">
        <f>+$O$21*D23</f>
        <v>0.10162696493270632</v>
      </c>
      <c r="P24" s="86">
        <f>+$P$21*E23</f>
        <v>0.23696531079736793</v>
      </c>
      <c r="Q24" s="86">
        <f>+$Q$21*F23</f>
        <v>0.46481341206319071</v>
      </c>
      <c r="R24" s="86">
        <f>+SUM(O24:Q24)</f>
        <v>0.80340568779326493</v>
      </c>
      <c r="S24" s="89">
        <f>+R24/L23</f>
        <v>3.3903936617974746</v>
      </c>
      <c r="U24" s="90" t="s">
        <v>107</v>
      </c>
      <c r="V24" s="91">
        <f>+(V22-V23)/(V23-1)</f>
        <v>0.23596485194150851</v>
      </c>
    </row>
    <row r="25" spans="2:22" s="71" customFormat="1" ht="15.75" customHeight="1">
      <c r="B25" s="97"/>
      <c r="C25" s="97"/>
      <c r="D25" s="97"/>
      <c r="E25" s="97"/>
      <c r="F25" s="97"/>
      <c r="G25" s="97"/>
      <c r="H25" s="97"/>
      <c r="I25" s="97"/>
      <c r="J25" s="97"/>
      <c r="K25" s="97"/>
      <c r="N25" s="92" t="s">
        <v>55</v>
      </c>
      <c r="O25" s="115">
        <f>+$O$21*D24</f>
        <v>7.9043194947660461E-2</v>
      </c>
      <c r="P25" s="115">
        <f>+$P$21*E24</f>
        <v>2.6329478977485325E-2</v>
      </c>
      <c r="Q25" s="115">
        <f>+$Q$21*F24</f>
        <v>5.164593467368786E-2</v>
      </c>
      <c r="R25" s="115">
        <f>+SUM(O25:Q25)</f>
        <v>0.15701860859883365</v>
      </c>
      <c r="S25" s="95">
        <f>+R25/L24</f>
        <v>3.0402898038522705</v>
      </c>
      <c r="U25" s="90" t="s">
        <v>108</v>
      </c>
      <c r="V25" s="91">
        <v>0.57999999999999996</v>
      </c>
    </row>
    <row r="26" spans="2:22" s="71" customFormat="1" ht="15.75" customHeight="1">
      <c r="B26" s="97"/>
      <c r="C26" s="97"/>
      <c r="D26" s="97"/>
      <c r="E26" s="97"/>
      <c r="F26" s="97"/>
      <c r="N26" s="85"/>
      <c r="O26" s="86"/>
      <c r="P26" s="86"/>
      <c r="Q26" s="86"/>
      <c r="R26" s="86"/>
      <c r="S26" s="89"/>
      <c r="U26" s="90" t="s">
        <v>109</v>
      </c>
      <c r="V26" s="91">
        <f>V24/V25</f>
        <v>0.40683595162329056</v>
      </c>
    </row>
    <row r="27" spans="2:22" ht="15.75" customHeight="1">
      <c r="B27" s="116"/>
      <c r="C27" s="116"/>
      <c r="D27" s="116"/>
      <c r="E27" s="116"/>
      <c r="F27" s="116"/>
      <c r="N27" s="85"/>
      <c r="O27" s="86"/>
      <c r="P27" s="86"/>
      <c r="Q27" s="86"/>
      <c r="R27" s="86"/>
      <c r="S27" s="89"/>
      <c r="U27" s="71"/>
      <c r="V27" s="71"/>
    </row>
    <row r="28" spans="2:22" ht="15.75" customHeight="1">
      <c r="B28" s="116"/>
      <c r="C28" s="105" t="s">
        <v>110</v>
      </c>
      <c r="D28" s="106"/>
      <c r="E28" s="107"/>
      <c r="F28" s="106"/>
      <c r="G28" s="97"/>
      <c r="H28" s="105" t="s">
        <v>103</v>
      </c>
      <c r="I28" s="106"/>
      <c r="J28" s="107"/>
      <c r="K28" s="106"/>
      <c r="L28" s="106"/>
      <c r="M28" s="71"/>
      <c r="N28" s="71"/>
      <c r="O28" s="71"/>
      <c r="P28" s="71"/>
      <c r="Q28" s="71"/>
      <c r="R28" s="108"/>
      <c r="S28" s="71"/>
      <c r="T28" s="71"/>
      <c r="U28" s="71"/>
      <c r="V28" s="71"/>
    </row>
    <row r="29" spans="2:22" ht="15.75" customHeight="1">
      <c r="B29" s="116"/>
      <c r="C29" s="71"/>
      <c r="D29" s="108"/>
      <c r="E29" s="71"/>
      <c r="F29" s="108"/>
      <c r="G29" s="97"/>
      <c r="H29" s="71"/>
      <c r="I29" s="108"/>
      <c r="J29" s="71"/>
      <c r="K29" s="108"/>
      <c r="L29" s="71"/>
      <c r="M29" s="71"/>
      <c r="N29" s="71"/>
      <c r="O29" s="71"/>
      <c r="P29" s="71"/>
      <c r="Q29" s="71"/>
      <c r="R29" s="108"/>
      <c r="S29" s="71"/>
      <c r="T29" s="71"/>
      <c r="U29" s="71"/>
      <c r="V29" s="71"/>
    </row>
    <row r="30" spans="2:22" ht="15.75" customHeight="1">
      <c r="C30" s="109"/>
      <c r="D30" s="110" t="s">
        <v>51</v>
      </c>
      <c r="E30" s="110" t="s">
        <v>53</v>
      </c>
      <c r="F30" s="110" t="s">
        <v>55</v>
      </c>
      <c r="G30" s="97"/>
      <c r="H30" s="109"/>
      <c r="I30" s="110" t="s">
        <v>51</v>
      </c>
      <c r="J30" s="110" t="s">
        <v>53</v>
      </c>
      <c r="K30" s="110" t="s">
        <v>55</v>
      </c>
      <c r="L30" s="111" t="s">
        <v>104</v>
      </c>
      <c r="M30" s="71"/>
      <c r="N30" s="78" t="s">
        <v>104</v>
      </c>
      <c r="O30" s="79">
        <f>+L31</f>
        <v>0.33333333333333331</v>
      </c>
      <c r="P30" s="79">
        <f>+L32</f>
        <v>0.33333333333333331</v>
      </c>
      <c r="Q30" s="79">
        <f>+L33</f>
        <v>0.33333333333333331</v>
      </c>
      <c r="R30" s="372"/>
      <c r="S30" s="80"/>
      <c r="T30" s="71"/>
      <c r="U30" s="71"/>
      <c r="V30" s="71"/>
    </row>
    <row r="31" spans="2:22" ht="15.75" customHeight="1">
      <c r="C31" s="78" t="s">
        <v>51</v>
      </c>
      <c r="D31" s="79">
        <v>1</v>
      </c>
      <c r="E31" s="79">
        <f>+'1.1 FORM'!D24</f>
        <v>1</v>
      </c>
      <c r="F31" s="79">
        <f>+'1.1 FORM'!C24</f>
        <v>1</v>
      </c>
      <c r="G31" s="97"/>
      <c r="H31" s="78" t="s">
        <v>51</v>
      </c>
      <c r="I31" s="79">
        <f>+D31/SUM($D$31:$D$33)</f>
        <v>0.33333333333333331</v>
      </c>
      <c r="J31" s="79">
        <f>+E31/SUM($E$31:$E$33)</f>
        <v>0.33333333333333331</v>
      </c>
      <c r="K31" s="79">
        <f>+F31/SUM($F$31:$F$33)</f>
        <v>0.33333333333333331</v>
      </c>
      <c r="L31" s="112">
        <f>+AVERAGE(I31:K31)</f>
        <v>0.33333333333333331</v>
      </c>
      <c r="M31" s="71"/>
      <c r="N31" s="109"/>
      <c r="O31" s="110" t="s">
        <v>51</v>
      </c>
      <c r="P31" s="110" t="s">
        <v>53</v>
      </c>
      <c r="Q31" s="110" t="s">
        <v>55</v>
      </c>
      <c r="R31" s="110" t="s">
        <v>105</v>
      </c>
      <c r="S31" s="110" t="s">
        <v>106</v>
      </c>
      <c r="T31" s="71"/>
      <c r="U31" s="90" t="s">
        <v>94</v>
      </c>
      <c r="V31" s="91">
        <f>+AVERAGE(S32:S34)</f>
        <v>3</v>
      </c>
    </row>
    <row r="32" spans="2:22" ht="15.75" customHeight="1">
      <c r="C32" s="85" t="s">
        <v>53</v>
      </c>
      <c r="D32" s="86">
        <f>1/E31</f>
        <v>1</v>
      </c>
      <c r="E32" s="86">
        <v>1</v>
      </c>
      <c r="F32" s="86">
        <f>+'1.1 FORM'!E24</f>
        <v>1</v>
      </c>
      <c r="G32" s="97"/>
      <c r="H32" s="85" t="s">
        <v>53</v>
      </c>
      <c r="I32" s="86">
        <f>+D32/SUM($D$31:$D$33)</f>
        <v>0.33333333333333331</v>
      </c>
      <c r="J32" s="86">
        <f>+E32/SUM($E$31:$E$33)</f>
        <v>0.33333333333333331</v>
      </c>
      <c r="K32" s="86">
        <f>+F32/SUM($F$31:$F$33)</f>
        <v>0.33333333333333331</v>
      </c>
      <c r="L32" s="87">
        <f>+AVERAGE(I32:K32)</f>
        <v>0.33333333333333331</v>
      </c>
      <c r="M32" s="71"/>
      <c r="N32" s="78" t="s">
        <v>51</v>
      </c>
      <c r="O32" s="79">
        <f>+$O$30*D31</f>
        <v>0.33333333333333331</v>
      </c>
      <c r="P32" s="79">
        <f>+$P$30*E31</f>
        <v>0.33333333333333331</v>
      </c>
      <c r="Q32" s="79">
        <f>+$Q$30*F31</f>
        <v>0.33333333333333331</v>
      </c>
      <c r="R32" s="79">
        <f>+SUM(O32:Q32)</f>
        <v>1</v>
      </c>
      <c r="S32" s="114">
        <f>+R32/L31</f>
        <v>3</v>
      </c>
      <c r="T32" s="71"/>
      <c r="U32" s="90" t="s">
        <v>96</v>
      </c>
      <c r="V32" s="91">
        <f>+COUNTA(O31:Q31)</f>
        <v>3</v>
      </c>
    </row>
    <row r="33" spans="3:22" ht="15.75" customHeight="1">
      <c r="C33" s="92" t="s">
        <v>55</v>
      </c>
      <c r="D33" s="115">
        <f>1/F31</f>
        <v>1</v>
      </c>
      <c r="E33" s="115">
        <f>1/F32</f>
        <v>1</v>
      </c>
      <c r="F33" s="115">
        <v>1</v>
      </c>
      <c r="G33" s="97"/>
      <c r="H33" s="92" t="s">
        <v>55</v>
      </c>
      <c r="I33" s="115">
        <f>+D33/SUM($D$31:$D$33)</f>
        <v>0.33333333333333331</v>
      </c>
      <c r="J33" s="115">
        <f>+E33/SUM($E$31:$E$33)</f>
        <v>0.33333333333333331</v>
      </c>
      <c r="K33" s="115">
        <f>+F33/SUM($F$31:$F$33)</f>
        <v>0.33333333333333331</v>
      </c>
      <c r="L33" s="93">
        <f>+AVERAGE(I33:K33)</f>
        <v>0.33333333333333331</v>
      </c>
      <c r="M33" s="71"/>
      <c r="N33" s="85" t="s">
        <v>53</v>
      </c>
      <c r="O33" s="86">
        <f>+$O$30*D32</f>
        <v>0.33333333333333331</v>
      </c>
      <c r="P33" s="86">
        <f>+$P$30*E32</f>
        <v>0.33333333333333331</v>
      </c>
      <c r="Q33" s="86">
        <f>+$Q$30*F32</f>
        <v>0.33333333333333331</v>
      </c>
      <c r="R33" s="86">
        <f>+SUM(O33:Q33)</f>
        <v>1</v>
      </c>
      <c r="S33" s="89">
        <f>+R33/L32</f>
        <v>3</v>
      </c>
      <c r="T33" s="71"/>
      <c r="U33" s="90" t="s">
        <v>107</v>
      </c>
      <c r="V33" s="91">
        <f>+(V31-V32)/(V32-1)</f>
        <v>0</v>
      </c>
    </row>
    <row r="34" spans="3:22" ht="15.75" customHeight="1">
      <c r="C34" s="97"/>
      <c r="D34" s="97"/>
      <c r="E34" s="97"/>
      <c r="F34" s="97"/>
      <c r="G34" s="97"/>
      <c r="H34" s="97"/>
      <c r="I34" s="97"/>
      <c r="J34" s="97"/>
      <c r="K34" s="97"/>
      <c r="L34" s="71"/>
      <c r="M34" s="71"/>
      <c r="N34" s="92" t="s">
        <v>55</v>
      </c>
      <c r="O34" s="115">
        <f>+$O$30*D33</f>
        <v>0.33333333333333331</v>
      </c>
      <c r="P34" s="115">
        <f>+$P$30*E33</f>
        <v>0.33333333333333331</v>
      </c>
      <c r="Q34" s="115">
        <f>+$Q$30*F33</f>
        <v>0.33333333333333331</v>
      </c>
      <c r="R34" s="115">
        <f>+SUM(O34:Q34)</f>
        <v>1</v>
      </c>
      <c r="S34" s="95">
        <f>+R34/L33</f>
        <v>3</v>
      </c>
      <c r="T34" s="71"/>
      <c r="U34" s="90" t="s">
        <v>108</v>
      </c>
      <c r="V34" s="91">
        <v>0.57999999999999996</v>
      </c>
    </row>
    <row r="35" spans="3:22" ht="15.75" customHeight="1">
      <c r="C35" s="97"/>
      <c r="D35" s="97"/>
      <c r="E35" s="97"/>
      <c r="F35" s="97"/>
      <c r="G35" s="71"/>
      <c r="H35" s="71"/>
      <c r="I35" s="71"/>
      <c r="J35" s="71"/>
      <c r="K35" s="71"/>
      <c r="L35" s="71"/>
      <c r="M35" s="71"/>
      <c r="N35" s="85"/>
      <c r="O35" s="86"/>
      <c r="P35" s="86"/>
      <c r="Q35" s="86"/>
      <c r="R35" s="86"/>
      <c r="S35" s="89"/>
      <c r="T35" s="71"/>
      <c r="U35" s="90" t="s">
        <v>109</v>
      </c>
      <c r="V35" s="91">
        <f>V33/V34</f>
        <v>0</v>
      </c>
    </row>
    <row r="36" spans="3:22" ht="15.75" customHeight="1">
      <c r="C36" s="97"/>
      <c r="D36" s="97"/>
      <c r="E36" s="97"/>
      <c r="F36" s="97"/>
      <c r="G36" s="71"/>
      <c r="H36" s="71"/>
      <c r="I36" s="71"/>
      <c r="J36" s="71"/>
      <c r="K36" s="71"/>
      <c r="L36" s="71"/>
      <c r="M36" s="71"/>
      <c r="N36" s="85"/>
      <c r="O36" s="86"/>
      <c r="P36" s="86"/>
      <c r="Q36" s="86"/>
      <c r="R36" s="86"/>
      <c r="S36" s="89"/>
      <c r="T36" s="71"/>
      <c r="U36" s="117"/>
    </row>
    <row r="37" spans="3:22" ht="15.75" customHeight="1">
      <c r="C37" s="97"/>
      <c r="D37" s="97"/>
      <c r="E37" s="97"/>
      <c r="F37" s="97"/>
      <c r="G37" s="71"/>
      <c r="H37" s="71"/>
      <c r="I37" s="71"/>
      <c r="J37" s="71"/>
      <c r="K37" s="71"/>
      <c r="L37" s="71"/>
      <c r="M37" s="71"/>
      <c r="N37" s="85"/>
      <c r="O37" s="86"/>
      <c r="P37" s="86"/>
      <c r="Q37" s="86"/>
      <c r="R37" s="86"/>
      <c r="S37" s="89"/>
      <c r="T37" s="71"/>
      <c r="U37" s="117"/>
    </row>
    <row r="38" spans="3:22" ht="15.75" customHeight="1">
      <c r="C38" s="105" t="s">
        <v>111</v>
      </c>
      <c r="D38" s="106"/>
      <c r="E38" s="107"/>
      <c r="F38" s="106"/>
      <c r="G38" s="97"/>
      <c r="H38" s="105" t="s">
        <v>103</v>
      </c>
      <c r="I38" s="106"/>
      <c r="J38" s="107"/>
      <c r="K38" s="106"/>
      <c r="L38" s="106"/>
      <c r="M38" s="71"/>
      <c r="N38" s="71"/>
      <c r="O38" s="71"/>
      <c r="P38" s="71"/>
      <c r="Q38" s="71"/>
      <c r="R38" s="108"/>
      <c r="S38" s="71"/>
      <c r="T38" s="71"/>
      <c r="U38" s="71"/>
      <c r="V38" s="71"/>
    </row>
    <row r="39" spans="3:22" ht="15.75" customHeight="1">
      <c r="C39" s="71"/>
      <c r="D39" s="108"/>
      <c r="E39" s="71"/>
      <c r="F39" s="108"/>
      <c r="G39" s="97"/>
      <c r="H39" s="71"/>
      <c r="I39" s="108"/>
      <c r="J39" s="71"/>
      <c r="K39" s="108"/>
      <c r="L39" s="71"/>
      <c r="M39" s="71"/>
      <c r="N39" s="71"/>
      <c r="O39" s="71"/>
      <c r="P39" s="71"/>
      <c r="Q39" s="71"/>
      <c r="R39" s="108"/>
      <c r="S39" s="71"/>
      <c r="T39" s="71"/>
      <c r="U39" s="71"/>
      <c r="V39" s="71"/>
    </row>
    <row r="40" spans="3:22" ht="15.75" customHeight="1">
      <c r="C40" s="109"/>
      <c r="D40" s="110" t="s">
        <v>51</v>
      </c>
      <c r="E40" s="110" t="s">
        <v>53</v>
      </c>
      <c r="F40" s="110" t="s">
        <v>55</v>
      </c>
      <c r="G40" s="97"/>
      <c r="H40" s="109"/>
      <c r="I40" s="110" t="s">
        <v>51</v>
      </c>
      <c r="J40" s="110" t="s">
        <v>53</v>
      </c>
      <c r="K40" s="110" t="s">
        <v>55</v>
      </c>
      <c r="L40" s="111" t="s">
        <v>104</v>
      </c>
      <c r="M40" s="71"/>
      <c r="N40" s="78" t="s">
        <v>104</v>
      </c>
      <c r="O40" s="79">
        <f>+L41</f>
        <v>0.50072150072150068</v>
      </c>
      <c r="P40" s="79">
        <f>+L42</f>
        <v>0.18903318903318903</v>
      </c>
      <c r="Q40" s="79">
        <f>+L43</f>
        <v>0.31024531024531021</v>
      </c>
      <c r="R40" s="372"/>
      <c r="S40" s="80"/>
      <c r="T40" s="71"/>
      <c r="U40" s="71"/>
      <c r="V40" s="71"/>
    </row>
    <row r="41" spans="3:22" ht="15.75" customHeight="1">
      <c r="C41" s="78" t="s">
        <v>51</v>
      </c>
      <c r="D41" s="79">
        <v>1</v>
      </c>
      <c r="E41" s="79">
        <f>+'1.1 FORM'!D25</f>
        <v>5</v>
      </c>
      <c r="F41" s="79">
        <f>+'1.1 FORM'!C25</f>
        <v>1</v>
      </c>
      <c r="G41" s="97"/>
      <c r="H41" s="78" t="s">
        <v>51</v>
      </c>
      <c r="I41" s="79">
        <f>+D41/SUM($D$41:$D$43)</f>
        <v>0.45454545454545453</v>
      </c>
      <c r="J41" s="79">
        <f>+E41/SUM($E$41:$E$43)</f>
        <v>0.7142857142857143</v>
      </c>
      <c r="K41" s="79">
        <f>+F41/SUM($F$41:$F$43)</f>
        <v>0.33333333333333331</v>
      </c>
      <c r="L41" s="112">
        <f>+AVERAGE(I41:K41)</f>
        <v>0.50072150072150068</v>
      </c>
      <c r="M41" s="71"/>
      <c r="N41" s="109"/>
      <c r="O41" s="110" t="s">
        <v>51</v>
      </c>
      <c r="P41" s="110" t="s">
        <v>53</v>
      </c>
      <c r="Q41" s="110" t="s">
        <v>55</v>
      </c>
      <c r="R41" s="110" t="s">
        <v>105</v>
      </c>
      <c r="S41" s="110" t="s">
        <v>106</v>
      </c>
      <c r="T41" s="71"/>
      <c r="U41" s="90" t="s">
        <v>94</v>
      </c>
      <c r="V41" s="91">
        <f>+AVERAGE(S42:S44)</f>
        <v>3.3004842637722369</v>
      </c>
    </row>
    <row r="42" spans="3:22" ht="15.75" customHeight="1">
      <c r="C42" s="85" t="s">
        <v>53</v>
      </c>
      <c r="D42" s="86">
        <f>1/E41</f>
        <v>0.2</v>
      </c>
      <c r="E42" s="86">
        <v>1</v>
      </c>
      <c r="F42" s="86">
        <f>+'1.1 FORM'!E25</f>
        <v>1</v>
      </c>
      <c r="G42" s="97"/>
      <c r="H42" s="85" t="s">
        <v>53</v>
      </c>
      <c r="I42" s="86">
        <f>+D42/SUM($D$41:$D$43)</f>
        <v>9.0909090909090912E-2</v>
      </c>
      <c r="J42" s="86">
        <f>+E42/SUM($E$41:$E$43)</f>
        <v>0.14285714285714285</v>
      </c>
      <c r="K42" s="86">
        <f>+F42/SUM($F$41:$F$43)</f>
        <v>0.33333333333333331</v>
      </c>
      <c r="L42" s="87">
        <f>+AVERAGE(I42:K42)</f>
        <v>0.18903318903318903</v>
      </c>
      <c r="M42" s="71"/>
      <c r="N42" s="78" t="s">
        <v>51</v>
      </c>
      <c r="O42" s="79">
        <f>+$O$40*D41</f>
        <v>0.50072150072150068</v>
      </c>
      <c r="P42" s="79">
        <f>+$P$40*E41</f>
        <v>0.9451659451659451</v>
      </c>
      <c r="Q42" s="79">
        <f>+$Q$40*F41</f>
        <v>0.31024531024531021</v>
      </c>
      <c r="R42" s="79">
        <f>+SUM(O42:Q42)</f>
        <v>1.756132756132756</v>
      </c>
      <c r="S42" s="114">
        <f>+R42/L41</f>
        <v>3.5072046109510087</v>
      </c>
      <c r="T42" s="71"/>
      <c r="U42" s="90" t="s">
        <v>96</v>
      </c>
      <c r="V42" s="91">
        <f>+COUNTA(O41:Q41)</f>
        <v>3</v>
      </c>
    </row>
    <row r="43" spans="3:22" ht="15.75" customHeight="1">
      <c r="C43" s="92" t="s">
        <v>55</v>
      </c>
      <c r="D43" s="115">
        <f>1/F41</f>
        <v>1</v>
      </c>
      <c r="E43" s="115">
        <f>1/F42</f>
        <v>1</v>
      </c>
      <c r="F43" s="115">
        <v>1</v>
      </c>
      <c r="G43" s="97"/>
      <c r="H43" s="92" t="s">
        <v>55</v>
      </c>
      <c r="I43" s="115">
        <f>+D43/SUM($D$41:$D$43)</f>
        <v>0.45454545454545453</v>
      </c>
      <c r="J43" s="115">
        <f>+E43/SUM($E$41:$E$43)</f>
        <v>0.14285714285714285</v>
      </c>
      <c r="K43" s="115">
        <f>+F43/SUM($F$41:$F$43)</f>
        <v>0.33333333333333331</v>
      </c>
      <c r="L43" s="93">
        <f>+AVERAGE(I43:K43)</f>
        <v>0.31024531024531021</v>
      </c>
      <c r="M43" s="71"/>
      <c r="N43" s="85" t="s">
        <v>53</v>
      </c>
      <c r="O43" s="86">
        <f>+$O$40*D42</f>
        <v>0.10014430014430015</v>
      </c>
      <c r="P43" s="86">
        <f>+$P$40*E42</f>
        <v>0.18903318903318903</v>
      </c>
      <c r="Q43" s="86">
        <f>+$Q$40*F42</f>
        <v>0.31024531024531021</v>
      </c>
      <c r="R43" s="86">
        <f>+SUM(O43:Q43)</f>
        <v>0.59942279942279941</v>
      </c>
      <c r="S43" s="89">
        <f>+R43/L42</f>
        <v>3.1709923664122139</v>
      </c>
      <c r="T43" s="71"/>
      <c r="U43" s="90" t="s">
        <v>107</v>
      </c>
      <c r="V43" s="91">
        <f>+(V41-V42)/(V42-1)</f>
        <v>0.15024213188611846</v>
      </c>
    </row>
    <row r="44" spans="3:22" ht="15.75" customHeight="1">
      <c r="C44" s="97"/>
      <c r="D44" s="97"/>
      <c r="E44" s="97"/>
      <c r="F44" s="97"/>
      <c r="G44" s="97"/>
      <c r="H44" s="97"/>
      <c r="I44" s="97"/>
      <c r="J44" s="97"/>
      <c r="K44" s="97"/>
      <c r="L44" s="71"/>
      <c r="M44" s="71"/>
      <c r="N44" s="92" t="s">
        <v>55</v>
      </c>
      <c r="O44" s="115">
        <f>+$O$40*D43</f>
        <v>0.50072150072150068</v>
      </c>
      <c r="P44" s="115">
        <f>+$P$40*E43</f>
        <v>0.18903318903318903</v>
      </c>
      <c r="Q44" s="115">
        <f>+$Q$40*F43</f>
        <v>0.31024531024531021</v>
      </c>
      <c r="R44" s="115">
        <f>+SUM(O44:Q44)</f>
        <v>0.99999999999999989</v>
      </c>
      <c r="S44" s="95">
        <f>+R44/L43</f>
        <v>3.2232558139534881</v>
      </c>
      <c r="T44" s="71"/>
      <c r="U44" s="90" t="s">
        <v>108</v>
      </c>
      <c r="V44" s="91">
        <v>0.57999999999999996</v>
      </c>
    </row>
    <row r="45" spans="3:22" ht="15.75" customHeight="1">
      <c r="C45" s="97"/>
      <c r="D45" s="97"/>
      <c r="E45" s="97"/>
      <c r="F45" s="97"/>
      <c r="G45" s="71"/>
      <c r="H45" s="71"/>
      <c r="I45" s="71"/>
      <c r="J45" s="71"/>
      <c r="K45" s="71"/>
      <c r="L45" s="71"/>
      <c r="M45" s="71"/>
      <c r="N45" s="85"/>
      <c r="O45" s="86"/>
      <c r="P45" s="86"/>
      <c r="Q45" s="86"/>
      <c r="R45" s="86"/>
      <c r="S45" s="89"/>
      <c r="T45" s="71"/>
      <c r="U45" s="90" t="s">
        <v>109</v>
      </c>
      <c r="V45" s="91">
        <f>V43/V44</f>
        <v>0.25903815842434219</v>
      </c>
    </row>
    <row r="46" spans="3:22" ht="15.75" customHeight="1">
      <c r="C46" s="97"/>
      <c r="D46" s="97"/>
      <c r="E46" s="97"/>
      <c r="F46" s="97"/>
      <c r="G46" s="71"/>
      <c r="H46" s="71"/>
      <c r="I46" s="71"/>
      <c r="J46" s="71"/>
      <c r="K46" s="71"/>
      <c r="L46" s="71"/>
      <c r="M46" s="71"/>
      <c r="N46" s="85"/>
      <c r="O46" s="86"/>
      <c r="P46" s="86"/>
      <c r="Q46" s="86"/>
      <c r="R46" s="86"/>
      <c r="S46" s="89"/>
      <c r="T46" s="71"/>
      <c r="U46" s="117"/>
      <c r="V46" s="71"/>
    </row>
    <row r="47" spans="3:22" ht="15.75" customHeight="1">
      <c r="C47" s="97"/>
      <c r="D47" s="97"/>
      <c r="E47" s="97"/>
      <c r="F47" s="97"/>
      <c r="G47" s="71"/>
      <c r="H47" s="71"/>
      <c r="I47" s="71"/>
      <c r="J47" s="71"/>
      <c r="K47" s="71"/>
      <c r="L47" s="71"/>
      <c r="M47" s="71"/>
      <c r="N47" s="85"/>
      <c r="O47" s="86"/>
      <c r="P47" s="86"/>
      <c r="Q47" s="86"/>
      <c r="R47" s="86"/>
      <c r="S47" s="89"/>
      <c r="T47" s="71"/>
      <c r="U47" s="117"/>
      <c r="V47" s="71"/>
    </row>
    <row r="48" spans="3:22" s="71" customFormat="1" ht="15.75" customHeight="1">
      <c r="D48" s="108"/>
      <c r="F48" s="108"/>
      <c r="Q48" s="118"/>
      <c r="R48" s="119"/>
    </row>
    <row r="49" spans="3:22" ht="15.75" customHeight="1">
      <c r="C49" s="76" t="s">
        <v>112</v>
      </c>
      <c r="D49" s="106"/>
      <c r="E49" s="107"/>
      <c r="F49" s="106"/>
      <c r="G49" s="97"/>
      <c r="H49" s="105" t="s">
        <v>103</v>
      </c>
      <c r="I49" s="106"/>
      <c r="J49" s="107"/>
      <c r="K49" s="106"/>
      <c r="L49" s="106"/>
      <c r="M49" s="71"/>
      <c r="N49" s="71"/>
      <c r="O49" s="71"/>
      <c r="P49" s="71"/>
      <c r="Q49" s="71"/>
      <c r="R49" s="108"/>
      <c r="S49" s="71"/>
      <c r="T49" s="71"/>
      <c r="U49" s="71"/>
      <c r="V49" s="71"/>
    </row>
    <row r="50" spans="3:22" ht="15.75" customHeight="1">
      <c r="C50" s="71"/>
      <c r="D50" s="108"/>
      <c r="E50" s="71"/>
      <c r="F50" s="108"/>
      <c r="G50" s="97"/>
      <c r="H50" s="71"/>
      <c r="I50" s="108"/>
      <c r="J50" s="71"/>
      <c r="K50" s="108"/>
      <c r="L50" s="71"/>
      <c r="M50" s="71"/>
      <c r="N50" s="78" t="s">
        <v>104</v>
      </c>
      <c r="O50" s="79">
        <f>L52</f>
        <v>0.45454545454545453</v>
      </c>
      <c r="P50" s="79">
        <f>L53</f>
        <v>0.45454545454545453</v>
      </c>
      <c r="Q50" s="79">
        <f>L54</f>
        <v>9.0909090909090898E-2</v>
      </c>
      <c r="R50" s="372"/>
      <c r="S50" s="80"/>
      <c r="T50" s="71"/>
      <c r="U50" s="71"/>
      <c r="V50" s="71"/>
    </row>
    <row r="51" spans="3:22" ht="15.75" customHeight="1">
      <c r="C51" s="81"/>
      <c r="D51" s="82" t="s">
        <v>51</v>
      </c>
      <c r="E51" s="82" t="s">
        <v>53</v>
      </c>
      <c r="F51" s="82" t="s">
        <v>55</v>
      </c>
      <c r="G51" s="97"/>
      <c r="H51" s="109"/>
      <c r="I51" s="110" t="s">
        <v>51</v>
      </c>
      <c r="J51" s="110" t="s">
        <v>53</v>
      </c>
      <c r="K51" s="82" t="s">
        <v>55</v>
      </c>
      <c r="L51" s="83" t="s">
        <v>104</v>
      </c>
      <c r="M51" s="71"/>
      <c r="N51" s="84"/>
      <c r="O51" s="78" t="s">
        <v>51</v>
      </c>
      <c r="P51" s="78" t="s">
        <v>53</v>
      </c>
      <c r="Q51" s="78" t="s">
        <v>55</v>
      </c>
      <c r="R51" s="78" t="s">
        <v>105</v>
      </c>
      <c r="S51" s="78" t="s">
        <v>106</v>
      </c>
      <c r="T51" s="71"/>
      <c r="U51" s="71"/>
      <c r="V51" s="71"/>
    </row>
    <row r="52" spans="3:22" ht="15.75" customHeight="1">
      <c r="C52" s="85" t="s">
        <v>51</v>
      </c>
      <c r="D52" s="86">
        <v>1</v>
      </c>
      <c r="E52" s="86">
        <f>'1.1 FORM'!D26</f>
        <v>1</v>
      </c>
      <c r="F52" s="86">
        <f>'1.1 FORM'!C26</f>
        <v>5</v>
      </c>
      <c r="G52" s="97"/>
      <c r="H52" s="78" t="s">
        <v>51</v>
      </c>
      <c r="I52" s="79">
        <f>D52/$D$55</f>
        <v>0.45454545454545453</v>
      </c>
      <c r="J52" s="79">
        <f>E52/$E$55</f>
        <v>0.45454545454545453</v>
      </c>
      <c r="K52" s="86">
        <f>F52/$F$55</f>
        <v>0.45454545454545453</v>
      </c>
      <c r="L52" s="87">
        <f>SUM(I52:K52)/3</f>
        <v>0.45454545454545453</v>
      </c>
      <c r="M52" s="71"/>
      <c r="N52" s="85" t="s">
        <v>51</v>
      </c>
      <c r="O52" s="86">
        <f>D52*$O$50</f>
        <v>0.45454545454545453</v>
      </c>
      <c r="P52" s="86">
        <f>E52*$P$50</f>
        <v>0.45454545454545453</v>
      </c>
      <c r="Q52" s="86">
        <f>F52*$Q$50</f>
        <v>0.45454545454545447</v>
      </c>
      <c r="R52" s="86">
        <f>SUM(O52:Q52)</f>
        <v>1.3636363636363635</v>
      </c>
      <c r="S52" s="89">
        <f>R52/L52</f>
        <v>3</v>
      </c>
      <c r="T52" s="71"/>
      <c r="U52" s="90" t="s">
        <v>94</v>
      </c>
      <c r="V52" s="91">
        <f>SUM(S52:S54)/V53</f>
        <v>3</v>
      </c>
    </row>
    <row r="53" spans="3:22" ht="15.75" customHeight="1">
      <c r="C53" s="85" t="s">
        <v>53</v>
      </c>
      <c r="D53" s="86">
        <f>1/E52</f>
        <v>1</v>
      </c>
      <c r="E53" s="86">
        <v>1</v>
      </c>
      <c r="F53" s="86">
        <f>'1.1 FORM'!E26</f>
        <v>5</v>
      </c>
      <c r="G53" s="97"/>
      <c r="H53" s="85" t="s">
        <v>53</v>
      </c>
      <c r="I53" s="86">
        <f>D53/$D$55</f>
        <v>0.45454545454545453</v>
      </c>
      <c r="J53" s="86">
        <f>E53/$E$55</f>
        <v>0.45454545454545453</v>
      </c>
      <c r="K53" s="86">
        <f>F53/$F$55</f>
        <v>0.45454545454545453</v>
      </c>
      <c r="L53" s="87">
        <f>SUM(I53:K53)/3</f>
        <v>0.45454545454545453</v>
      </c>
      <c r="M53" s="71"/>
      <c r="N53" s="85" t="s">
        <v>53</v>
      </c>
      <c r="O53" s="86">
        <f>D53*$O$50</f>
        <v>0.45454545454545453</v>
      </c>
      <c r="P53" s="86">
        <f>E53*$P$50</f>
        <v>0.45454545454545453</v>
      </c>
      <c r="Q53" s="86">
        <f>F53*$Q$50</f>
        <v>0.45454545454545447</v>
      </c>
      <c r="R53" s="86">
        <f>SUM(O53:Q53)</f>
        <v>1.3636363636363635</v>
      </c>
      <c r="S53" s="89">
        <f>R53/L53</f>
        <v>3</v>
      </c>
      <c r="T53" s="71"/>
      <c r="U53" s="90" t="s">
        <v>96</v>
      </c>
      <c r="V53" s="91">
        <v>3</v>
      </c>
    </row>
    <row r="54" spans="3:22" ht="15.75" customHeight="1">
      <c r="C54" s="92" t="s">
        <v>55</v>
      </c>
      <c r="D54" s="115">
        <f>1/F52</f>
        <v>0.2</v>
      </c>
      <c r="E54" s="115">
        <f>1/F53</f>
        <v>0.2</v>
      </c>
      <c r="F54" s="115">
        <v>1</v>
      </c>
      <c r="G54" s="97"/>
      <c r="H54" s="92" t="s">
        <v>55</v>
      </c>
      <c r="I54" s="115">
        <f>D54/$D$55</f>
        <v>9.0909090909090912E-2</v>
      </c>
      <c r="J54" s="115">
        <f>E54/$E$55</f>
        <v>9.0909090909090912E-2</v>
      </c>
      <c r="K54" s="115">
        <f>F54/$F$55</f>
        <v>9.0909090909090912E-2</v>
      </c>
      <c r="L54" s="93">
        <f>SUM(I54:K54)/3</f>
        <v>9.0909090909090898E-2</v>
      </c>
      <c r="M54" s="71"/>
      <c r="N54" s="92" t="s">
        <v>55</v>
      </c>
      <c r="O54" s="115">
        <f>D54*$O$50</f>
        <v>9.0909090909090912E-2</v>
      </c>
      <c r="P54" s="115">
        <f>E54*$P$50</f>
        <v>9.0909090909090912E-2</v>
      </c>
      <c r="Q54" s="115">
        <f>F54*$Q$50</f>
        <v>9.0909090909090898E-2</v>
      </c>
      <c r="R54" s="115">
        <f>SUM(O54:Q54)</f>
        <v>0.27272727272727271</v>
      </c>
      <c r="S54" s="95">
        <f>R54/L54</f>
        <v>3</v>
      </c>
      <c r="T54" s="71"/>
      <c r="U54" s="90" t="s">
        <v>98</v>
      </c>
      <c r="V54" s="91">
        <f>+(V52-V53)/(V53-1)</f>
        <v>0</v>
      </c>
    </row>
    <row r="55" spans="3:22" ht="15.75" customHeight="1">
      <c r="C55" s="97" t="s">
        <v>113</v>
      </c>
      <c r="D55" s="97">
        <f>SUM(D52:D54)</f>
        <v>2.2000000000000002</v>
      </c>
      <c r="E55" s="97">
        <f>SUM(E52:E54)</f>
        <v>2.2000000000000002</v>
      </c>
      <c r="F55" s="97">
        <f>SUM(F52:F54)</f>
        <v>11</v>
      </c>
      <c r="G55" s="97"/>
      <c r="H55" s="97"/>
      <c r="I55" s="97"/>
      <c r="J55" s="97"/>
      <c r="K55" s="97"/>
      <c r="L55" s="71"/>
      <c r="M55" s="71"/>
      <c r="N55" s="85"/>
      <c r="O55" s="86"/>
      <c r="P55" s="86"/>
      <c r="Q55" s="86"/>
      <c r="R55" s="86"/>
      <c r="S55" s="89"/>
      <c r="T55" s="71"/>
      <c r="U55" s="90" t="s">
        <v>100</v>
      </c>
      <c r="V55" s="91">
        <f>0.58</f>
        <v>0.57999999999999996</v>
      </c>
    </row>
    <row r="56" spans="3:22" ht="15.75" customHeight="1">
      <c r="C56" s="97"/>
      <c r="D56" s="97"/>
      <c r="E56" s="97"/>
      <c r="F56" s="97"/>
      <c r="G56" s="71"/>
      <c r="H56" s="71"/>
      <c r="I56" s="71"/>
      <c r="J56" s="71"/>
      <c r="K56" s="71"/>
      <c r="L56" s="71"/>
      <c r="M56" s="71"/>
      <c r="N56" s="71"/>
      <c r="O56" s="71"/>
      <c r="P56" s="71"/>
      <c r="Q56" s="71"/>
      <c r="R56" s="108"/>
      <c r="S56" s="71"/>
      <c r="T56" s="71"/>
      <c r="U56" s="90" t="s">
        <v>101</v>
      </c>
      <c r="V56" s="91">
        <f>V54/V55</f>
        <v>0</v>
      </c>
    </row>
    <row r="57" spans="3:22" ht="15.75" customHeight="1">
      <c r="D57" s="120"/>
      <c r="E57" s="121"/>
      <c r="F57" s="120"/>
    </row>
    <row r="58" spans="3:22" ht="15.75" customHeight="1">
      <c r="C58" s="76"/>
      <c r="D58" s="120"/>
      <c r="E58" s="121"/>
      <c r="F58" s="120"/>
    </row>
    <row r="59" spans="3:22" ht="15.75" customHeight="1">
      <c r="C59" s="76" t="s">
        <v>114</v>
      </c>
      <c r="D59" s="120"/>
      <c r="E59" s="121"/>
      <c r="F59" s="120"/>
      <c r="H59" s="105" t="s">
        <v>103</v>
      </c>
      <c r="N59" s="71"/>
      <c r="O59" s="71"/>
      <c r="P59" s="71"/>
      <c r="Q59" s="71"/>
      <c r="R59" s="108"/>
      <c r="S59" s="71"/>
      <c r="T59" s="71"/>
      <c r="U59" s="71"/>
      <c r="V59" s="71"/>
    </row>
    <row r="60" spans="3:22" ht="15.75" customHeight="1">
      <c r="C60" s="71"/>
      <c r="D60" s="108"/>
      <c r="E60" s="71"/>
      <c r="F60" s="108"/>
      <c r="G60" s="97"/>
      <c r="H60" s="71"/>
      <c r="I60" s="108"/>
      <c r="J60" s="71"/>
      <c r="K60" s="108"/>
      <c r="L60" s="71"/>
      <c r="N60" s="78" t="s">
        <v>104</v>
      </c>
      <c r="O60" s="79">
        <f>L62</f>
        <v>0.47955747955747957</v>
      </c>
      <c r="P60" s="79">
        <f>L63</f>
        <v>0.4054834054834055</v>
      </c>
      <c r="Q60" s="79">
        <f>L64</f>
        <v>0.11495911495911497</v>
      </c>
      <c r="R60" s="372"/>
      <c r="S60" s="80"/>
      <c r="T60" s="71"/>
      <c r="U60" s="71"/>
      <c r="V60" s="71"/>
    </row>
    <row r="61" spans="3:22" ht="15.75" customHeight="1">
      <c r="C61" s="81"/>
      <c r="D61" s="82" t="s">
        <v>51</v>
      </c>
      <c r="E61" s="82" t="s">
        <v>53</v>
      </c>
      <c r="F61" s="82" t="s">
        <v>55</v>
      </c>
      <c r="G61" s="97"/>
      <c r="H61" s="81"/>
      <c r="I61" s="82" t="s">
        <v>51</v>
      </c>
      <c r="J61" s="82" t="s">
        <v>53</v>
      </c>
      <c r="K61" s="82" t="s">
        <v>55</v>
      </c>
      <c r="L61" s="83" t="s">
        <v>104</v>
      </c>
      <c r="N61" s="84"/>
      <c r="O61" s="78" t="s">
        <v>51</v>
      </c>
      <c r="P61" s="78" t="s">
        <v>53</v>
      </c>
      <c r="Q61" s="78" t="s">
        <v>55</v>
      </c>
      <c r="R61" s="78" t="s">
        <v>105</v>
      </c>
      <c r="S61" s="78" t="s">
        <v>106</v>
      </c>
      <c r="T61" s="71"/>
      <c r="U61" s="71"/>
      <c r="V61" s="71"/>
    </row>
    <row r="62" spans="3:22" ht="15.75" customHeight="1">
      <c r="C62" s="85" t="s">
        <v>51</v>
      </c>
      <c r="D62" s="86">
        <v>1</v>
      </c>
      <c r="E62" s="86">
        <f>'1.1 FORM'!D27</f>
        <v>1</v>
      </c>
      <c r="F62" s="86">
        <f>'1.1 FORM'!C27</f>
        <v>5</v>
      </c>
      <c r="G62" s="97"/>
      <c r="H62" s="85" t="s">
        <v>51</v>
      </c>
      <c r="I62" s="86">
        <f>D62/$D$65</f>
        <v>0.45454545454545453</v>
      </c>
      <c r="J62" s="86">
        <f>E62/$E$65</f>
        <v>0.42857142857142855</v>
      </c>
      <c r="K62" s="86">
        <f>F62/$F$65</f>
        <v>0.55555555555555558</v>
      </c>
      <c r="L62" s="87">
        <f>SUM(I62:K62)/3</f>
        <v>0.47955747955747957</v>
      </c>
      <c r="N62" s="85" t="s">
        <v>51</v>
      </c>
      <c r="O62" s="86">
        <f>D62*$O$60</f>
        <v>0.47955747955747957</v>
      </c>
      <c r="P62" s="86">
        <f>E62*$P$60</f>
        <v>0.4054834054834055</v>
      </c>
      <c r="Q62" s="86">
        <f>F62*$Q$60</f>
        <v>0.57479557479557486</v>
      </c>
      <c r="R62" s="86">
        <f>SUM(O62:Q62)</f>
        <v>1.4598364598364599</v>
      </c>
      <c r="S62" s="89">
        <f>R62/L62</f>
        <v>3.044132397191575</v>
      </c>
      <c r="T62" s="71"/>
      <c r="U62" s="90" t="s">
        <v>94</v>
      </c>
      <c r="V62" s="91">
        <f>SUM(S62:S64)/V63</f>
        <v>3.0291296491890178</v>
      </c>
    </row>
    <row r="63" spans="3:22" ht="15.75" customHeight="1">
      <c r="C63" s="85" t="s">
        <v>53</v>
      </c>
      <c r="D63" s="86">
        <f>1/E62</f>
        <v>1</v>
      </c>
      <c r="E63" s="86">
        <v>1</v>
      </c>
      <c r="F63" s="86">
        <f>'1.1 FORM'!E27</f>
        <v>3</v>
      </c>
      <c r="G63" s="97"/>
      <c r="H63" s="85" t="s">
        <v>53</v>
      </c>
      <c r="I63" s="86">
        <f>D63/$D$65</f>
        <v>0.45454545454545453</v>
      </c>
      <c r="J63" s="86">
        <f>E63/$E$65</f>
        <v>0.42857142857142855</v>
      </c>
      <c r="K63" s="86">
        <f>F63/$F$65</f>
        <v>0.33333333333333331</v>
      </c>
      <c r="L63" s="87">
        <f>SUM(I63:K63)/3</f>
        <v>0.4054834054834055</v>
      </c>
      <c r="N63" s="85" t="s">
        <v>53</v>
      </c>
      <c r="O63" s="86">
        <f>D63*$O$60</f>
        <v>0.47955747955747957</v>
      </c>
      <c r="P63" s="86">
        <f>E63*$P$60</f>
        <v>0.4054834054834055</v>
      </c>
      <c r="Q63" s="86">
        <f>F63*$Q$60</f>
        <v>0.34487734487734489</v>
      </c>
      <c r="R63" s="86">
        <f>SUM(O63:Q63)</f>
        <v>1.2299182299182299</v>
      </c>
      <c r="S63" s="89">
        <f>R63/L63</f>
        <v>3.0332147093712929</v>
      </c>
      <c r="T63" s="71"/>
      <c r="U63" s="90" t="s">
        <v>96</v>
      </c>
      <c r="V63" s="91">
        <v>3</v>
      </c>
    </row>
    <row r="64" spans="3:22" ht="15.75" customHeight="1">
      <c r="C64" s="92" t="s">
        <v>55</v>
      </c>
      <c r="D64" s="115">
        <f>1/F62</f>
        <v>0.2</v>
      </c>
      <c r="E64" s="115">
        <f>1/F63</f>
        <v>0.33333333333333331</v>
      </c>
      <c r="F64" s="115">
        <v>1</v>
      </c>
      <c r="G64" s="97"/>
      <c r="H64" s="92" t="s">
        <v>55</v>
      </c>
      <c r="I64" s="115">
        <f>D64/$D$65</f>
        <v>9.0909090909090912E-2</v>
      </c>
      <c r="J64" s="115">
        <f>E64/$E$65</f>
        <v>0.14285714285714285</v>
      </c>
      <c r="K64" s="115">
        <f>F64/$F$65</f>
        <v>0.1111111111111111</v>
      </c>
      <c r="L64" s="93">
        <f>SUM(I64:K64)/3</f>
        <v>0.11495911495911497</v>
      </c>
      <c r="N64" s="92" t="s">
        <v>55</v>
      </c>
      <c r="O64" s="115">
        <f>D64*$O$60</f>
        <v>9.591149591149592E-2</v>
      </c>
      <c r="P64" s="115">
        <f>E64*$P$60</f>
        <v>0.13516113516113515</v>
      </c>
      <c r="Q64" s="115">
        <f>F64*$Q$60</f>
        <v>0.11495911495911497</v>
      </c>
      <c r="R64" s="115">
        <f>SUM(O64:Q64)</f>
        <v>0.34603174603174602</v>
      </c>
      <c r="S64" s="95">
        <f>R64/L64</f>
        <v>3.0100418410041838</v>
      </c>
      <c r="T64" s="71"/>
      <c r="U64" s="90" t="s">
        <v>98</v>
      </c>
      <c r="V64" s="91">
        <f>+(V62-V63)/(V63-1)</f>
        <v>1.4564824594508918E-2</v>
      </c>
    </row>
    <row r="65" spans="3:22" ht="15.75" customHeight="1">
      <c r="C65" s="96" t="s">
        <v>113</v>
      </c>
      <c r="D65" s="97">
        <f>SUM(D62:D64)</f>
        <v>2.2000000000000002</v>
      </c>
      <c r="E65" s="97">
        <f>SUM(E62:E64)</f>
        <v>2.3333333333333335</v>
      </c>
      <c r="F65" s="97">
        <f>SUM(F62:F64)</f>
        <v>9</v>
      </c>
      <c r="G65" s="97"/>
      <c r="H65" s="97"/>
      <c r="I65" s="97"/>
      <c r="J65" s="97"/>
      <c r="K65" s="97"/>
      <c r="L65" s="71"/>
      <c r="N65" s="85"/>
      <c r="O65" s="86"/>
      <c r="P65" s="86"/>
      <c r="Q65" s="86"/>
      <c r="R65" s="86"/>
      <c r="S65" s="89"/>
      <c r="T65" s="71"/>
      <c r="U65" s="90" t="s">
        <v>100</v>
      </c>
      <c r="V65" s="91">
        <f>0.58</f>
        <v>0.57999999999999996</v>
      </c>
    </row>
    <row r="66" spans="3:22" ht="15.75" customHeight="1">
      <c r="D66" s="120"/>
      <c r="E66" s="121"/>
      <c r="F66" s="120"/>
      <c r="N66" s="71"/>
      <c r="O66" s="71"/>
      <c r="P66" s="71"/>
      <c r="Q66" s="71"/>
      <c r="R66" s="108"/>
      <c r="S66" s="71"/>
      <c r="T66" s="71"/>
      <c r="U66" s="90" t="s">
        <v>101</v>
      </c>
      <c r="V66" s="91">
        <f>V64/V65</f>
        <v>2.5111766542256758E-2</v>
      </c>
    </row>
    <row r="67" spans="3:22" ht="15.75" customHeight="1">
      <c r="D67" s="77"/>
      <c r="F67" s="77"/>
    </row>
    <row r="68" spans="3:22" ht="15.75" customHeight="1">
      <c r="C68" s="76" t="s">
        <v>115</v>
      </c>
      <c r="D68" s="77"/>
      <c r="F68" s="77"/>
      <c r="H68" s="105" t="s">
        <v>103</v>
      </c>
      <c r="N68" s="71"/>
      <c r="O68" s="71"/>
      <c r="P68" s="71"/>
      <c r="Q68" s="71"/>
      <c r="R68" s="108"/>
      <c r="S68" s="71"/>
    </row>
    <row r="69" spans="3:22" ht="15.75" customHeight="1">
      <c r="D69" s="77"/>
      <c r="F69" s="77"/>
      <c r="N69" s="78" t="s">
        <v>104</v>
      </c>
      <c r="O69" s="79">
        <f>L71</f>
        <v>0.44285714285714289</v>
      </c>
      <c r="P69" s="79">
        <f>L72</f>
        <v>0.16984126984126982</v>
      </c>
      <c r="Q69" s="79">
        <f>L73</f>
        <v>0.38730158730158726</v>
      </c>
      <c r="R69" s="372"/>
      <c r="S69" s="80"/>
    </row>
    <row r="70" spans="3:22" ht="15.75" customHeight="1">
      <c r="C70" s="81"/>
      <c r="D70" s="82" t="s">
        <v>51</v>
      </c>
      <c r="E70" s="82" t="s">
        <v>53</v>
      </c>
      <c r="F70" s="82" t="s">
        <v>55</v>
      </c>
      <c r="G70" s="97"/>
      <c r="H70" s="81"/>
      <c r="I70" s="82" t="s">
        <v>51</v>
      </c>
      <c r="J70" s="82" t="s">
        <v>53</v>
      </c>
      <c r="K70" s="82" t="s">
        <v>55</v>
      </c>
      <c r="L70" s="83" t="s">
        <v>104</v>
      </c>
      <c r="N70" s="84"/>
      <c r="O70" s="78" t="s">
        <v>51</v>
      </c>
      <c r="P70" s="78" t="s">
        <v>53</v>
      </c>
      <c r="Q70" s="78" t="s">
        <v>55</v>
      </c>
      <c r="R70" s="78" t="s">
        <v>105</v>
      </c>
      <c r="S70" s="78" t="s">
        <v>106</v>
      </c>
    </row>
    <row r="71" spans="3:22" ht="15.75" customHeight="1">
      <c r="C71" s="85" t="s">
        <v>51</v>
      </c>
      <c r="D71" s="86">
        <v>1</v>
      </c>
      <c r="E71" s="86">
        <f>'1.1 FORM'!D28</f>
        <v>3</v>
      </c>
      <c r="F71" s="86">
        <f>'1.1 FORM'!C28</f>
        <v>1</v>
      </c>
      <c r="G71" s="97"/>
      <c r="H71" s="85" t="s">
        <v>51</v>
      </c>
      <c r="I71" s="86">
        <f>D71/$D$74</f>
        <v>0.4285714285714286</v>
      </c>
      <c r="J71" s="86">
        <f>E71/$E$74</f>
        <v>0.5</v>
      </c>
      <c r="K71" s="86">
        <f>F71/$F$74</f>
        <v>0.4</v>
      </c>
      <c r="L71" s="87">
        <f>SUM(I71:K71)/3</f>
        <v>0.44285714285714289</v>
      </c>
      <c r="N71" s="85" t="s">
        <v>51</v>
      </c>
      <c r="O71" s="86">
        <f>D71*$O$69</f>
        <v>0.44285714285714289</v>
      </c>
      <c r="P71" s="86">
        <f>E71*$P$69</f>
        <v>0.50952380952380949</v>
      </c>
      <c r="Q71" s="86">
        <f>F71*$Q$69</f>
        <v>0.38730158730158726</v>
      </c>
      <c r="R71" s="86">
        <f>SUM(O71:Q71)</f>
        <v>1.3396825396825396</v>
      </c>
      <c r="S71" s="89">
        <f>R71/L71</f>
        <v>3.0250896057347667</v>
      </c>
      <c r="U71" s="90" t="s">
        <v>94</v>
      </c>
      <c r="V71" s="91">
        <f>SUM(S71:S73)/V72</f>
        <v>3.0183090678019924</v>
      </c>
    </row>
    <row r="72" spans="3:22" ht="15.75" customHeight="1">
      <c r="C72" s="85" t="s">
        <v>53</v>
      </c>
      <c r="D72" s="86">
        <f>1/E71</f>
        <v>0.33333333333333331</v>
      </c>
      <c r="E72" s="86">
        <v>1</v>
      </c>
      <c r="F72" s="86">
        <f>+'1.1 FORM'!E28</f>
        <v>0.5</v>
      </c>
      <c r="G72" s="97"/>
      <c r="H72" s="85" t="s">
        <v>53</v>
      </c>
      <c r="I72" s="86">
        <f>D72/$D$74</f>
        <v>0.14285714285714288</v>
      </c>
      <c r="J72" s="86">
        <f>E72/$E$74</f>
        <v>0.16666666666666666</v>
      </c>
      <c r="K72" s="86">
        <f>F72/$F$74</f>
        <v>0.2</v>
      </c>
      <c r="L72" s="87">
        <f>SUM(I72:K72)/3</f>
        <v>0.16984126984126982</v>
      </c>
      <c r="N72" s="85" t="s">
        <v>53</v>
      </c>
      <c r="O72" s="86">
        <f>D72*$O$69</f>
        <v>0.14761904761904762</v>
      </c>
      <c r="P72" s="86">
        <f>E72*$P$69</f>
        <v>0.16984126984126982</v>
      </c>
      <c r="Q72" s="86">
        <f>F72*$Q$69</f>
        <v>0.19365079365079363</v>
      </c>
      <c r="R72" s="86">
        <f>SUM(O72:Q72)</f>
        <v>0.51111111111111107</v>
      </c>
      <c r="S72" s="89">
        <f>R72/L72</f>
        <v>3.0093457943925235</v>
      </c>
      <c r="U72" s="90" t="s">
        <v>96</v>
      </c>
      <c r="V72" s="91">
        <v>3</v>
      </c>
    </row>
    <row r="73" spans="3:22" ht="15.75" customHeight="1">
      <c r="C73" s="92" t="s">
        <v>55</v>
      </c>
      <c r="D73" s="115">
        <f>1/F71</f>
        <v>1</v>
      </c>
      <c r="E73" s="115">
        <f>1/F72</f>
        <v>2</v>
      </c>
      <c r="F73" s="115">
        <v>1</v>
      </c>
      <c r="G73" s="97"/>
      <c r="H73" s="92" t="s">
        <v>55</v>
      </c>
      <c r="I73" s="115">
        <f>D73/$D$74</f>
        <v>0.4285714285714286</v>
      </c>
      <c r="J73" s="115">
        <f>E73/$E$74</f>
        <v>0.33333333333333331</v>
      </c>
      <c r="K73" s="115">
        <f>F73/$F$74</f>
        <v>0.4</v>
      </c>
      <c r="L73" s="93">
        <f>SUM(I73:K73)/3</f>
        <v>0.38730158730158726</v>
      </c>
      <c r="N73" s="92" t="s">
        <v>55</v>
      </c>
      <c r="O73" s="115">
        <f>D73*$O$69</f>
        <v>0.44285714285714289</v>
      </c>
      <c r="P73" s="115">
        <f>E73*$P$69</f>
        <v>0.33968253968253964</v>
      </c>
      <c r="Q73" s="115">
        <f>F73*$Q$69</f>
        <v>0.38730158730158726</v>
      </c>
      <c r="R73" s="115">
        <f>SUM(O73:Q73)</f>
        <v>1.1698412698412697</v>
      </c>
      <c r="S73" s="95">
        <f>R73/L73</f>
        <v>3.0204918032786883</v>
      </c>
      <c r="U73" s="90" t="s">
        <v>98</v>
      </c>
      <c r="V73" s="91">
        <f>+(V71-V72)/(V72-1)</f>
        <v>9.1545339009961868E-3</v>
      </c>
    </row>
    <row r="74" spans="3:22" ht="15.75" customHeight="1">
      <c r="C74" s="96" t="s">
        <v>113</v>
      </c>
      <c r="D74" s="97">
        <f>SUM(D71:D73)</f>
        <v>2.333333333333333</v>
      </c>
      <c r="E74" s="97">
        <f>SUM(E71:E73)</f>
        <v>6</v>
      </c>
      <c r="F74" s="97">
        <f>SUM(F71:F73)</f>
        <v>2.5</v>
      </c>
      <c r="G74" s="97"/>
      <c r="H74" s="97"/>
      <c r="I74" s="97"/>
      <c r="J74" s="97"/>
      <c r="K74" s="97"/>
      <c r="L74" s="71"/>
      <c r="N74" s="85"/>
      <c r="O74" s="86"/>
      <c r="P74" s="86"/>
      <c r="Q74" s="86"/>
      <c r="R74" s="86"/>
      <c r="S74" s="89"/>
      <c r="T74" s="78"/>
      <c r="U74" s="90" t="s">
        <v>100</v>
      </c>
      <c r="V74" s="91">
        <f>0.58</f>
        <v>0.57999999999999996</v>
      </c>
    </row>
    <row r="75" spans="3:22" ht="15.75" customHeight="1">
      <c r="Q75" s="85"/>
      <c r="R75" s="86"/>
      <c r="S75" s="86"/>
      <c r="T75" s="86"/>
      <c r="U75" s="90" t="s">
        <v>101</v>
      </c>
      <c r="V75" s="91">
        <f>V73/V74</f>
        <v>1.57836791396486E-2</v>
      </c>
    </row>
    <row r="76" spans="3:22" ht="15.75" customHeight="1">
      <c r="Q76" s="85"/>
      <c r="R76" s="86"/>
      <c r="S76" s="86"/>
      <c r="T76" s="86"/>
      <c r="U76" s="117"/>
    </row>
    <row r="77" spans="3:22" ht="15.75" customHeight="1">
      <c r="Q77" s="85"/>
      <c r="R77" s="86"/>
      <c r="S77" s="86"/>
      <c r="T77" s="86"/>
      <c r="U77" s="88"/>
    </row>
    <row r="78" spans="3:22" ht="15.75" customHeight="1">
      <c r="C78" s="76" t="s">
        <v>116</v>
      </c>
      <c r="D78" s="77"/>
      <c r="F78" s="77"/>
      <c r="H78" s="105" t="s">
        <v>103</v>
      </c>
      <c r="N78" s="71"/>
      <c r="O78" s="71"/>
      <c r="P78" s="71"/>
      <c r="Q78" s="71"/>
      <c r="R78" s="108"/>
      <c r="S78" s="71"/>
    </row>
    <row r="79" spans="3:22" ht="15.75" customHeight="1">
      <c r="D79" s="77"/>
      <c r="F79" s="77"/>
      <c r="N79" s="78" t="s">
        <v>104</v>
      </c>
      <c r="O79" s="79">
        <f>L81</f>
        <v>0.15776397515527951</v>
      </c>
      <c r="P79" s="79">
        <f>L82</f>
        <v>0.18674948240165631</v>
      </c>
      <c r="Q79" s="79">
        <f>L83</f>
        <v>0.65548654244306415</v>
      </c>
      <c r="R79" s="372"/>
      <c r="S79" s="80"/>
    </row>
    <row r="80" spans="3:22" ht="15.75" customHeight="1">
      <c r="C80" s="81"/>
      <c r="D80" s="82" t="s">
        <v>51</v>
      </c>
      <c r="E80" s="82" t="s">
        <v>53</v>
      </c>
      <c r="F80" s="82" t="s">
        <v>55</v>
      </c>
      <c r="H80" s="81"/>
      <c r="I80" s="82" t="s">
        <v>51</v>
      </c>
      <c r="J80" s="82" t="s">
        <v>53</v>
      </c>
      <c r="K80" s="82" t="s">
        <v>55</v>
      </c>
      <c r="L80" s="83" t="s">
        <v>104</v>
      </c>
      <c r="N80" s="84"/>
      <c r="O80" s="78" t="s">
        <v>51</v>
      </c>
      <c r="P80" s="78" t="s">
        <v>53</v>
      </c>
      <c r="Q80" s="78" t="s">
        <v>55</v>
      </c>
      <c r="R80" s="78" t="s">
        <v>105</v>
      </c>
      <c r="S80" s="78" t="s">
        <v>106</v>
      </c>
    </row>
    <row r="81" spans="3:22" ht="15.75" customHeight="1">
      <c r="C81" s="85" t="s">
        <v>51</v>
      </c>
      <c r="D81" s="86">
        <v>1</v>
      </c>
      <c r="E81" s="86">
        <f>'1.1 FORM'!D29</f>
        <v>1</v>
      </c>
      <c r="F81" s="86">
        <f>'1.1 FORM'!C29</f>
        <v>0.2</v>
      </c>
      <c r="H81" s="85" t="s">
        <v>51</v>
      </c>
      <c r="I81" s="86">
        <f>D81/$D$84</f>
        <v>0.14285714285714285</v>
      </c>
      <c r="J81" s="86">
        <f>E81/$E$84</f>
        <v>0.2</v>
      </c>
      <c r="K81" s="86">
        <f>F81/$F$84</f>
        <v>0.13043478260869568</v>
      </c>
      <c r="L81" s="87">
        <f>SUM(I81:K81)/3</f>
        <v>0.15776397515527951</v>
      </c>
      <c r="N81" s="85" t="s">
        <v>51</v>
      </c>
      <c r="O81" s="86">
        <f>D81*$O$79</f>
        <v>0.15776397515527951</v>
      </c>
      <c r="P81" s="86">
        <f>E81*$P$79</f>
        <v>0.18674948240165631</v>
      </c>
      <c r="Q81" s="86">
        <f>F81*$Q$79</f>
        <v>0.13109730848861284</v>
      </c>
      <c r="R81" s="86">
        <f>SUM(O81:Q81)</f>
        <v>0.47561076604554869</v>
      </c>
      <c r="S81" s="89">
        <f>R81/L81</f>
        <v>3.0146981627296587</v>
      </c>
      <c r="U81" s="90" t="s">
        <v>94</v>
      </c>
      <c r="V81" s="91">
        <f>SUM(S81:S83)/V82</f>
        <v>3.0291992090506192</v>
      </c>
    </row>
    <row r="82" spans="3:22" ht="15.75" customHeight="1">
      <c r="C82" s="85" t="s">
        <v>53</v>
      </c>
      <c r="D82" s="86">
        <f>1/E81</f>
        <v>1</v>
      </c>
      <c r="E82" s="86">
        <v>1</v>
      </c>
      <c r="F82" s="86">
        <f>'1.1 FORM'!E29</f>
        <v>0.33333333333333331</v>
      </c>
      <c r="H82" s="85" t="s">
        <v>53</v>
      </c>
      <c r="I82" s="86">
        <f>D82/$D$84</f>
        <v>0.14285714285714285</v>
      </c>
      <c r="J82" s="86">
        <f>E82/$E$84</f>
        <v>0.2</v>
      </c>
      <c r="K82" s="86">
        <f>F82/$F$84</f>
        <v>0.21739130434782608</v>
      </c>
      <c r="L82" s="87">
        <f>SUM(I82:K82)/3</f>
        <v>0.18674948240165631</v>
      </c>
      <c r="N82" s="85" t="s">
        <v>53</v>
      </c>
      <c r="O82" s="86">
        <f>D82*$O$79</f>
        <v>0.15776397515527951</v>
      </c>
      <c r="P82" s="86">
        <f>E82*$P$79</f>
        <v>0.18674948240165631</v>
      </c>
      <c r="Q82" s="86">
        <f>F82*$Q$79</f>
        <v>0.21849551414768803</v>
      </c>
      <c r="R82" s="86">
        <f>SUM(O82:Q82)</f>
        <v>0.56300897170462383</v>
      </c>
      <c r="S82" s="89">
        <f>R82/L82</f>
        <v>3.0147819660014781</v>
      </c>
      <c r="U82" s="90" t="s">
        <v>96</v>
      </c>
      <c r="V82" s="91">
        <v>3</v>
      </c>
    </row>
    <row r="83" spans="3:22" ht="15.75" customHeight="1">
      <c r="C83" s="92" t="s">
        <v>55</v>
      </c>
      <c r="D83" s="115">
        <f>1/F81</f>
        <v>5</v>
      </c>
      <c r="E83" s="115">
        <f>1/F82</f>
        <v>3</v>
      </c>
      <c r="F83" s="115">
        <v>1</v>
      </c>
      <c r="H83" s="92" t="s">
        <v>55</v>
      </c>
      <c r="I83" s="122">
        <f>D83/$D$84</f>
        <v>0.7142857142857143</v>
      </c>
      <c r="J83" s="122">
        <f>E83/$E$84</f>
        <v>0.6</v>
      </c>
      <c r="K83" s="122">
        <f>F83/$F$84</f>
        <v>0.65217391304347827</v>
      </c>
      <c r="L83" s="93">
        <f>SUM(I83:K83)/3</f>
        <v>0.65548654244306415</v>
      </c>
      <c r="N83" s="92" t="s">
        <v>55</v>
      </c>
      <c r="O83" s="122">
        <f>D83*$O$79</f>
        <v>0.78881987577639756</v>
      </c>
      <c r="P83" s="122">
        <f>E83*$P$79</f>
        <v>0.56024844720496891</v>
      </c>
      <c r="Q83" s="122">
        <f>F83*$Q$79</f>
        <v>0.65548654244306415</v>
      </c>
      <c r="R83" s="115">
        <f>SUM(O83:Q83)</f>
        <v>2.0045548654244305</v>
      </c>
      <c r="S83" s="95">
        <f>R83/L83</f>
        <v>3.05811749842072</v>
      </c>
      <c r="U83" s="90" t="s">
        <v>98</v>
      </c>
      <c r="V83" s="91">
        <f>+(V81-V82)/(V82-1)</f>
        <v>1.4599604525309617E-2</v>
      </c>
    </row>
    <row r="84" spans="3:22" ht="15.75" customHeight="1">
      <c r="C84" s="96" t="s">
        <v>113</v>
      </c>
      <c r="D84" s="97">
        <f>SUM(D81:D83)</f>
        <v>7</v>
      </c>
      <c r="E84" s="97">
        <f>SUM(E81:E83)</f>
        <v>5</v>
      </c>
      <c r="F84" s="97">
        <f>SUM(F81:F83)</f>
        <v>1.5333333333333332</v>
      </c>
      <c r="H84" s="97"/>
      <c r="I84" s="97"/>
      <c r="J84" s="97"/>
      <c r="K84" s="97"/>
      <c r="L84" s="71"/>
      <c r="N84" s="85"/>
      <c r="O84" s="86"/>
      <c r="P84" s="86"/>
      <c r="Q84" s="86"/>
      <c r="R84" s="86"/>
      <c r="S84" s="89"/>
      <c r="T84" s="78"/>
      <c r="U84" s="90" t="s">
        <v>100</v>
      </c>
      <c r="V84" s="91">
        <f>0.58</f>
        <v>0.57999999999999996</v>
      </c>
    </row>
    <row r="85" spans="3:22" ht="15.75" customHeight="1">
      <c r="Q85" s="85"/>
      <c r="R85" s="86"/>
      <c r="S85" s="86"/>
      <c r="T85" s="86"/>
      <c r="U85" s="90" t="s">
        <v>101</v>
      </c>
      <c r="V85" s="91">
        <f>V83/V84</f>
        <v>2.5171731940188999E-2</v>
      </c>
    </row>
    <row r="86" spans="3:22" ht="15.75" customHeight="1">
      <c r="Q86" s="85"/>
      <c r="R86" s="86"/>
      <c r="S86" s="86"/>
      <c r="T86" s="86"/>
      <c r="U86" s="117"/>
    </row>
    <row r="89" spans="3:22" ht="15.75" customHeight="1">
      <c r="C89" s="76" t="s">
        <v>117</v>
      </c>
      <c r="D89" s="77"/>
      <c r="F89" s="77"/>
      <c r="H89" s="105" t="s">
        <v>103</v>
      </c>
      <c r="N89" s="71"/>
      <c r="O89" s="71"/>
      <c r="P89" s="71"/>
      <c r="Q89" s="71"/>
      <c r="R89" s="108"/>
      <c r="S89" s="71"/>
    </row>
    <row r="90" spans="3:22" ht="15.75" customHeight="1">
      <c r="D90" s="77"/>
      <c r="F90" s="77"/>
      <c r="N90" s="78" t="s">
        <v>104</v>
      </c>
      <c r="O90" s="79">
        <f>L92</f>
        <v>0.44444444444444442</v>
      </c>
      <c r="P90" s="79">
        <f>L93</f>
        <v>0.44444444444444442</v>
      </c>
      <c r="Q90" s="79">
        <f>L94</f>
        <v>0.1111111111111111</v>
      </c>
      <c r="R90" s="372"/>
      <c r="S90" s="80"/>
    </row>
    <row r="91" spans="3:22" ht="15.75" customHeight="1">
      <c r="C91" s="81"/>
      <c r="D91" s="82" t="s">
        <v>51</v>
      </c>
      <c r="E91" s="82" t="s">
        <v>53</v>
      </c>
      <c r="F91" s="82" t="s">
        <v>55</v>
      </c>
      <c r="H91" s="84"/>
      <c r="I91" s="78" t="s">
        <v>51</v>
      </c>
      <c r="J91" s="78" t="s">
        <v>53</v>
      </c>
      <c r="K91" s="78" t="s">
        <v>55</v>
      </c>
      <c r="L91" s="210" t="s">
        <v>104</v>
      </c>
      <c r="N91" s="84"/>
      <c r="O91" s="78" t="s">
        <v>51</v>
      </c>
      <c r="P91" s="78" t="s">
        <v>53</v>
      </c>
      <c r="Q91" s="78" t="s">
        <v>55</v>
      </c>
      <c r="R91" s="78" t="s">
        <v>105</v>
      </c>
      <c r="S91" s="78" t="s">
        <v>106</v>
      </c>
    </row>
    <row r="92" spans="3:22" ht="15.75" customHeight="1">
      <c r="C92" s="85" t="s">
        <v>51</v>
      </c>
      <c r="D92" s="86">
        <v>1</v>
      </c>
      <c r="E92" s="86">
        <f>1/D93</f>
        <v>1</v>
      </c>
      <c r="F92" s="86">
        <f>1/D94</f>
        <v>4</v>
      </c>
      <c r="H92" s="78" t="s">
        <v>51</v>
      </c>
      <c r="I92" s="79">
        <f>D92/$D$95</f>
        <v>0.44444444444444442</v>
      </c>
      <c r="J92" s="79">
        <f>E92/$E$95</f>
        <v>0.44444444444444442</v>
      </c>
      <c r="K92" s="79">
        <f>F92/$F$95</f>
        <v>0.44444444444444442</v>
      </c>
      <c r="L92" s="112">
        <f>SUM(I92:K92)/3</f>
        <v>0.44444444444444442</v>
      </c>
      <c r="N92" s="85" t="s">
        <v>51</v>
      </c>
      <c r="O92" s="86">
        <f>D92*$O$90</f>
        <v>0.44444444444444442</v>
      </c>
      <c r="P92" s="86">
        <f>E92*$P$90</f>
        <v>0.44444444444444442</v>
      </c>
      <c r="Q92" s="86">
        <f>F92*$Q$90</f>
        <v>0.44444444444444442</v>
      </c>
      <c r="R92" s="86">
        <f>SUM(O92:Q92)</f>
        <v>1.3333333333333333</v>
      </c>
      <c r="S92" s="89">
        <f>R92/L92</f>
        <v>3</v>
      </c>
      <c r="U92" s="90" t="s">
        <v>94</v>
      </c>
      <c r="V92" s="91">
        <f>SUM(S92:S94)/V93</f>
        <v>3</v>
      </c>
    </row>
    <row r="93" spans="3:22" ht="15.75" customHeight="1">
      <c r="C93" s="85" t="s">
        <v>53</v>
      </c>
      <c r="D93" s="86">
        <v>1</v>
      </c>
      <c r="E93" s="86">
        <v>1</v>
      </c>
      <c r="F93" s="86">
        <f>1/E94</f>
        <v>4</v>
      </c>
      <c r="H93" s="85" t="s">
        <v>53</v>
      </c>
      <c r="I93" s="86">
        <f>D93/$D$95</f>
        <v>0.44444444444444442</v>
      </c>
      <c r="J93" s="86">
        <f>E93/$E$95</f>
        <v>0.44444444444444442</v>
      </c>
      <c r="K93" s="86">
        <f>F93/$F$95</f>
        <v>0.44444444444444442</v>
      </c>
      <c r="L93" s="87">
        <f>SUM(I93:K93)/3</f>
        <v>0.44444444444444442</v>
      </c>
      <c r="N93" s="85" t="s">
        <v>53</v>
      </c>
      <c r="O93" s="86">
        <f>D93*$O$90</f>
        <v>0.44444444444444442</v>
      </c>
      <c r="P93" s="86">
        <f>E93*$P$90</f>
        <v>0.44444444444444442</v>
      </c>
      <c r="Q93" s="86">
        <f>F93*$Q$90</f>
        <v>0.44444444444444442</v>
      </c>
      <c r="R93" s="86">
        <f>SUM(O93:Q93)</f>
        <v>1.3333333333333333</v>
      </c>
      <c r="S93" s="89">
        <f>R93/L93</f>
        <v>3</v>
      </c>
      <c r="U93" s="90" t="s">
        <v>96</v>
      </c>
      <c r="V93" s="91">
        <v>3</v>
      </c>
    </row>
    <row r="94" spans="3:22" ht="15.75" customHeight="1">
      <c r="C94" s="92" t="s">
        <v>55</v>
      </c>
      <c r="D94" s="115">
        <v>0.25</v>
      </c>
      <c r="E94" s="115">
        <v>0.25</v>
      </c>
      <c r="F94" s="115">
        <v>1</v>
      </c>
      <c r="H94" s="92" t="s">
        <v>55</v>
      </c>
      <c r="I94" s="115">
        <f>D94/$D$95</f>
        <v>0.1111111111111111</v>
      </c>
      <c r="J94" s="115">
        <f>E94/$E$95</f>
        <v>0.1111111111111111</v>
      </c>
      <c r="K94" s="115">
        <f>F94/$F$95</f>
        <v>0.1111111111111111</v>
      </c>
      <c r="L94" s="93">
        <f>SUM(I94:K94)/3</f>
        <v>0.1111111111111111</v>
      </c>
      <c r="N94" s="92" t="s">
        <v>55</v>
      </c>
      <c r="O94" s="115">
        <f>D94*$O$90</f>
        <v>0.1111111111111111</v>
      </c>
      <c r="P94" s="115">
        <f>E94*$P$90</f>
        <v>0.1111111111111111</v>
      </c>
      <c r="Q94" s="115">
        <f>F94*$Q$90</f>
        <v>0.1111111111111111</v>
      </c>
      <c r="R94" s="115">
        <f>SUM(O94:Q94)</f>
        <v>0.33333333333333331</v>
      </c>
      <c r="S94" s="95">
        <f>R94/L94</f>
        <v>3</v>
      </c>
      <c r="U94" s="90" t="s">
        <v>98</v>
      </c>
      <c r="V94" s="91">
        <f>+(V92-V93)/(V93-1)</f>
        <v>0</v>
      </c>
    </row>
    <row r="95" spans="3:22" ht="15.75" customHeight="1">
      <c r="C95" s="96" t="s">
        <v>113</v>
      </c>
      <c r="D95" s="97">
        <f>SUM(D92:D94)</f>
        <v>2.25</v>
      </c>
      <c r="E95" s="97">
        <f>SUM(E92:E94)</f>
        <v>2.25</v>
      </c>
      <c r="F95" s="97">
        <f>SUM(F92:F94)</f>
        <v>9</v>
      </c>
      <c r="H95" s="97"/>
      <c r="I95" s="97"/>
      <c r="J95" s="97"/>
      <c r="K95" s="97"/>
      <c r="L95" s="71"/>
      <c r="N95" s="85"/>
      <c r="O95" s="86"/>
      <c r="P95" s="86"/>
      <c r="Q95" s="86"/>
      <c r="R95" s="86"/>
      <c r="S95" s="89"/>
      <c r="T95" s="78"/>
      <c r="U95" s="90" t="s">
        <v>100</v>
      </c>
      <c r="V95" s="91">
        <f>0.58</f>
        <v>0.57999999999999996</v>
      </c>
    </row>
    <row r="96" spans="3:22" ht="15.75" customHeight="1">
      <c r="Q96" s="85"/>
      <c r="R96" s="86"/>
      <c r="S96" s="86"/>
      <c r="T96" s="86"/>
      <c r="U96" s="90" t="s">
        <v>101</v>
      </c>
      <c r="V96" s="91">
        <f>V94/V95</f>
        <v>0</v>
      </c>
    </row>
    <row r="97" spans="3:22" ht="15.75" customHeight="1">
      <c r="Q97" s="85"/>
      <c r="R97" s="86"/>
      <c r="S97" s="86"/>
      <c r="T97" s="86"/>
      <c r="U97" s="117"/>
    </row>
    <row r="100" spans="3:22" ht="15.75" customHeight="1">
      <c r="C100" s="76" t="s">
        <v>118</v>
      </c>
      <c r="D100" s="77"/>
      <c r="F100" s="77"/>
      <c r="H100" s="105" t="s">
        <v>103</v>
      </c>
      <c r="N100" s="71"/>
      <c r="O100" s="71"/>
      <c r="P100" s="71"/>
      <c r="Q100" s="71"/>
      <c r="R100" s="108"/>
      <c r="S100" s="71"/>
    </row>
    <row r="101" spans="3:22" ht="15.75" customHeight="1">
      <c r="D101" s="77"/>
      <c r="F101" s="77"/>
      <c r="N101" s="78" t="s">
        <v>104</v>
      </c>
      <c r="O101" s="79">
        <f>L103</f>
        <v>0.45454545454545453</v>
      </c>
      <c r="P101" s="79">
        <f>L104</f>
        <v>0.45454545454545453</v>
      </c>
      <c r="Q101" s="79">
        <f>L105</f>
        <v>9.0909090909090898E-2</v>
      </c>
      <c r="R101" s="372"/>
      <c r="S101" s="80"/>
    </row>
    <row r="102" spans="3:22" ht="15.75" customHeight="1">
      <c r="C102" s="81"/>
      <c r="D102" s="82" t="s">
        <v>51</v>
      </c>
      <c r="E102" s="82" t="s">
        <v>53</v>
      </c>
      <c r="F102" s="82" t="s">
        <v>55</v>
      </c>
      <c r="H102" s="84"/>
      <c r="I102" s="78" t="s">
        <v>51</v>
      </c>
      <c r="J102" s="78" t="s">
        <v>53</v>
      </c>
      <c r="K102" s="78" t="s">
        <v>55</v>
      </c>
      <c r="L102" s="210" t="s">
        <v>104</v>
      </c>
      <c r="N102" s="84"/>
      <c r="O102" s="78" t="s">
        <v>51</v>
      </c>
      <c r="P102" s="78" t="s">
        <v>53</v>
      </c>
      <c r="Q102" s="78" t="s">
        <v>55</v>
      </c>
      <c r="R102" s="78" t="s">
        <v>105</v>
      </c>
      <c r="S102" s="78" t="s">
        <v>106</v>
      </c>
    </row>
    <row r="103" spans="3:22" ht="15.75" customHeight="1">
      <c r="C103" s="85" t="s">
        <v>51</v>
      </c>
      <c r="D103" s="86">
        <v>1</v>
      </c>
      <c r="E103" s="86">
        <f>+'1.1 FORM'!D31</f>
        <v>1</v>
      </c>
      <c r="F103" s="86">
        <f>+'1.1 FORM'!C31</f>
        <v>5</v>
      </c>
      <c r="H103" s="78" t="s">
        <v>51</v>
      </c>
      <c r="I103" s="79">
        <f>D103/$D$106</f>
        <v>0.45454545454545453</v>
      </c>
      <c r="J103" s="79">
        <f>E103/$E$106</f>
        <v>0.45454545454545453</v>
      </c>
      <c r="K103" s="79">
        <f>F103/$F$106</f>
        <v>0.45454545454545453</v>
      </c>
      <c r="L103" s="112">
        <f>SUM(I103:K103)/3</f>
        <v>0.45454545454545453</v>
      </c>
      <c r="N103" s="85" t="s">
        <v>51</v>
      </c>
      <c r="O103" s="86">
        <f>D103*$O$101</f>
        <v>0.45454545454545453</v>
      </c>
      <c r="P103" s="86">
        <f>E103*$P$101</f>
        <v>0.45454545454545453</v>
      </c>
      <c r="Q103" s="86">
        <f>F103*$Q$101</f>
        <v>0.45454545454545447</v>
      </c>
      <c r="R103" s="86">
        <f>SUM(O103:Q103)</f>
        <v>1.3636363636363635</v>
      </c>
      <c r="S103" s="89">
        <f>R103/L103</f>
        <v>3</v>
      </c>
      <c r="U103" s="90" t="s">
        <v>94</v>
      </c>
      <c r="V103" s="91">
        <f>SUM(S103:S105)/V104</f>
        <v>3</v>
      </c>
    </row>
    <row r="104" spans="3:22" ht="15.75" customHeight="1">
      <c r="C104" s="85" t="s">
        <v>53</v>
      </c>
      <c r="D104" s="86">
        <f>1/E103</f>
        <v>1</v>
      </c>
      <c r="E104" s="86">
        <v>1</v>
      </c>
      <c r="F104" s="86">
        <f>+'1.1 FORM'!E31</f>
        <v>5</v>
      </c>
      <c r="H104" s="85" t="s">
        <v>53</v>
      </c>
      <c r="I104" s="86">
        <f>D104/$D$106</f>
        <v>0.45454545454545453</v>
      </c>
      <c r="J104" s="86">
        <f>E104/$E$106</f>
        <v>0.45454545454545453</v>
      </c>
      <c r="K104" s="86">
        <f>F104/$F$106</f>
        <v>0.45454545454545453</v>
      </c>
      <c r="L104" s="87">
        <f>SUM(I104:K104)/3</f>
        <v>0.45454545454545453</v>
      </c>
      <c r="N104" s="85" t="s">
        <v>53</v>
      </c>
      <c r="O104" s="86">
        <f>D104*$O$101</f>
        <v>0.45454545454545453</v>
      </c>
      <c r="P104" s="86">
        <f>E104*$P$101</f>
        <v>0.45454545454545453</v>
      </c>
      <c r="Q104" s="86">
        <f>F104*$Q$101</f>
        <v>0.45454545454545447</v>
      </c>
      <c r="R104" s="86">
        <f>SUM(O104:Q104)</f>
        <v>1.3636363636363635</v>
      </c>
      <c r="S104" s="89">
        <f>R104/L104</f>
        <v>3</v>
      </c>
      <c r="U104" s="90" t="s">
        <v>96</v>
      </c>
      <c r="V104" s="91">
        <v>3</v>
      </c>
    </row>
    <row r="105" spans="3:22" ht="15.75" customHeight="1">
      <c r="C105" s="92" t="s">
        <v>55</v>
      </c>
      <c r="D105" s="115">
        <f>1/F103</f>
        <v>0.2</v>
      </c>
      <c r="E105" s="115">
        <f>1/F104</f>
        <v>0.2</v>
      </c>
      <c r="F105" s="115">
        <v>1</v>
      </c>
      <c r="H105" s="92" t="s">
        <v>55</v>
      </c>
      <c r="I105" s="115">
        <f>D105/$D$106</f>
        <v>9.0909090909090912E-2</v>
      </c>
      <c r="J105" s="115">
        <f>E105/$E$106</f>
        <v>9.0909090909090912E-2</v>
      </c>
      <c r="K105" s="115">
        <f>F105/$F$106</f>
        <v>9.0909090909090912E-2</v>
      </c>
      <c r="L105" s="93">
        <f>SUM(I105:K105)/3</f>
        <v>9.0909090909090898E-2</v>
      </c>
      <c r="N105" s="92" t="s">
        <v>55</v>
      </c>
      <c r="O105" s="115">
        <f>D105*$O$101</f>
        <v>9.0909090909090912E-2</v>
      </c>
      <c r="P105" s="115">
        <f>E105*$P$101</f>
        <v>9.0909090909090912E-2</v>
      </c>
      <c r="Q105" s="115">
        <f>F105*$Q$101</f>
        <v>9.0909090909090898E-2</v>
      </c>
      <c r="R105" s="115">
        <f>SUM(O105:Q105)</f>
        <v>0.27272727272727271</v>
      </c>
      <c r="S105" s="95">
        <f>R105/L105</f>
        <v>3</v>
      </c>
      <c r="U105" s="90" t="s">
        <v>98</v>
      </c>
      <c r="V105" s="91">
        <f>+(V103-V104)/(V104-1)</f>
        <v>0</v>
      </c>
    </row>
    <row r="106" spans="3:22" ht="15.75" customHeight="1">
      <c r="C106" s="96" t="s">
        <v>113</v>
      </c>
      <c r="D106" s="97">
        <f>SUM(D103:D105)</f>
        <v>2.2000000000000002</v>
      </c>
      <c r="E106" s="97">
        <f>SUM(E103:E105)</f>
        <v>2.2000000000000002</v>
      </c>
      <c r="F106" s="97">
        <f>SUM(F103:F105)</f>
        <v>11</v>
      </c>
      <c r="H106" s="97"/>
      <c r="I106" s="97"/>
      <c r="J106" s="97"/>
      <c r="K106" s="97"/>
      <c r="L106" s="71"/>
      <c r="N106" s="85"/>
      <c r="O106" s="86"/>
      <c r="P106" s="86"/>
      <c r="Q106" s="86"/>
      <c r="R106" s="86"/>
      <c r="S106" s="89"/>
      <c r="T106" s="78"/>
      <c r="U106" s="90" t="s">
        <v>100</v>
      </c>
      <c r="V106" s="91">
        <f>0.58</f>
        <v>0.57999999999999996</v>
      </c>
    </row>
    <row r="107" spans="3:22" ht="15.75" customHeight="1">
      <c r="Q107" s="85"/>
      <c r="R107" s="86"/>
      <c r="S107" s="86"/>
      <c r="T107" s="86"/>
      <c r="U107" s="90" t="s">
        <v>101</v>
      </c>
      <c r="V107" s="91">
        <f>V105/V106</f>
        <v>0</v>
      </c>
    </row>
    <row r="110" spans="3:22" ht="15.75" customHeight="1" thickBot="1"/>
    <row r="111" spans="3:22" ht="15.75" customHeight="1" thickTop="1">
      <c r="C111" s="213" t="s">
        <v>119</v>
      </c>
      <c r="D111" s="193"/>
      <c r="E111" s="194"/>
      <c r="F111" s="193"/>
      <c r="G111" s="194"/>
      <c r="H111" s="195" t="s">
        <v>103</v>
      </c>
      <c r="I111" s="194"/>
      <c r="J111" s="194"/>
      <c r="K111" s="194"/>
      <c r="L111" s="194"/>
      <c r="M111" s="194"/>
      <c r="N111" s="196"/>
      <c r="O111" s="196"/>
      <c r="P111" s="196"/>
      <c r="Q111" s="196"/>
      <c r="R111" s="373"/>
      <c r="S111" s="196"/>
      <c r="T111" s="194"/>
      <c r="U111" s="194"/>
      <c r="V111" s="197"/>
    </row>
    <row r="112" spans="3:22" ht="15.75" customHeight="1">
      <c r="C112" s="198"/>
      <c r="D112" s="77"/>
      <c r="F112" s="77"/>
      <c r="N112" s="78" t="s">
        <v>104</v>
      </c>
      <c r="O112" s="79">
        <f>L114</f>
        <v>0.43373502940594766</v>
      </c>
      <c r="P112" s="79">
        <f>L115</f>
        <v>0.36940365258336122</v>
      </c>
      <c r="Q112" s="79">
        <f>L116</f>
        <v>0.19686131801069118</v>
      </c>
      <c r="R112" s="372"/>
      <c r="S112" s="80"/>
      <c r="V112" s="199"/>
    </row>
    <row r="113" spans="3:22" ht="15.75" customHeight="1">
      <c r="C113" s="211"/>
      <c r="D113" s="78" t="s">
        <v>51</v>
      </c>
      <c r="E113" s="78" t="s">
        <v>53</v>
      </c>
      <c r="F113" s="78" t="s">
        <v>55</v>
      </c>
      <c r="H113" s="84"/>
      <c r="I113" s="78" t="s">
        <v>51</v>
      </c>
      <c r="J113" s="78" t="s">
        <v>53</v>
      </c>
      <c r="K113" s="78" t="s">
        <v>55</v>
      </c>
      <c r="L113" s="210" t="s">
        <v>104</v>
      </c>
      <c r="N113" s="84"/>
      <c r="O113" s="78" t="s">
        <v>51</v>
      </c>
      <c r="P113" s="78" t="s">
        <v>53</v>
      </c>
      <c r="Q113" s="78" t="s">
        <v>55</v>
      </c>
      <c r="R113" s="78" t="s">
        <v>105</v>
      </c>
      <c r="S113" s="78" t="s">
        <v>106</v>
      </c>
      <c r="V113" s="199"/>
    </row>
    <row r="114" spans="3:22" ht="15.75" customHeight="1">
      <c r="C114" s="212" t="s">
        <v>51</v>
      </c>
      <c r="D114" s="79">
        <f t="shared" ref="D114:F116" si="0">+GEOMEAN(D52,D62,D71,D81,D92,D103)</f>
        <v>1</v>
      </c>
      <c r="E114" s="79">
        <f t="shared" si="0"/>
        <v>1.2009369551760027</v>
      </c>
      <c r="F114" s="79">
        <f t="shared" si="0"/>
        <v>2.1544346900318838</v>
      </c>
      <c r="H114" s="78" t="s">
        <v>51</v>
      </c>
      <c r="I114" s="79">
        <f t="shared" ref="I114:K116" si="1">D114/D$117</f>
        <v>0.43538039335507012</v>
      </c>
      <c r="J114" s="79">
        <f t="shared" si="1"/>
        <v>0.44120663059021065</v>
      </c>
      <c r="K114" s="79">
        <f t="shared" si="1"/>
        <v>0.42461806427256227</v>
      </c>
      <c r="L114" s="112">
        <f>SUM(I114:K114)/3</f>
        <v>0.43373502940594766</v>
      </c>
      <c r="N114" s="85" t="s">
        <v>51</v>
      </c>
      <c r="O114" s="86">
        <f t="shared" ref="O114:Q116" si="2">D114*O$112</f>
        <v>0.43373502940594766</v>
      </c>
      <c r="P114" s="86">
        <f t="shared" si="2"/>
        <v>0.44363049776435576</v>
      </c>
      <c r="Q114" s="86">
        <f t="shared" si="2"/>
        <v>0.42412485264763156</v>
      </c>
      <c r="R114" s="86">
        <f>SUM(O114:Q114)</f>
        <v>1.3014903798179349</v>
      </c>
      <c r="S114" s="89">
        <f>R114/L114</f>
        <v>3.0006577554975964</v>
      </c>
      <c r="U114" s="90" t="s">
        <v>94</v>
      </c>
      <c r="V114" s="201">
        <f>SUM(S114:S116)/V115</f>
        <v>3.0005074425916902</v>
      </c>
    </row>
    <row r="115" spans="3:22" ht="15.75" customHeight="1">
      <c r="C115" s="200" t="s">
        <v>53</v>
      </c>
      <c r="D115" s="86">
        <f t="shared" si="0"/>
        <v>0.83268317765560429</v>
      </c>
      <c r="E115" s="86">
        <f t="shared" si="0"/>
        <v>1</v>
      </c>
      <c r="F115" s="86">
        <f t="shared" si="0"/>
        <v>1.9193831036664843</v>
      </c>
      <c r="H115" s="85" t="s">
        <v>53</v>
      </c>
      <c r="I115" s="86">
        <f t="shared" si="1"/>
        <v>0.36253392942784668</v>
      </c>
      <c r="J115" s="86">
        <f t="shared" si="1"/>
        <v>0.36738533916257898</v>
      </c>
      <c r="K115" s="86">
        <f t="shared" si="1"/>
        <v>0.37829168915965788</v>
      </c>
      <c r="L115" s="87">
        <f>SUM(I115:K115)/3</f>
        <v>0.36940365258336122</v>
      </c>
      <c r="N115" s="85" t="s">
        <v>53</v>
      </c>
      <c r="O115" s="86">
        <f t="shared" si="2"/>
        <v>0.36116386254629146</v>
      </c>
      <c r="P115" s="86">
        <f t="shared" si="2"/>
        <v>0.36940365258336122</v>
      </c>
      <c r="Q115" s="86">
        <f t="shared" si="2"/>
        <v>0.3778522875552352</v>
      </c>
      <c r="R115" s="86">
        <f>SUM(O115:Q115)</f>
        <v>1.1084198026848879</v>
      </c>
      <c r="S115" s="89">
        <f>R115/L115</f>
        <v>3.0005653569837323</v>
      </c>
      <c r="U115" s="90" t="s">
        <v>96</v>
      </c>
      <c r="V115" s="201">
        <v>3</v>
      </c>
    </row>
    <row r="116" spans="3:22" ht="15.75" customHeight="1">
      <c r="C116" s="202" t="s">
        <v>55</v>
      </c>
      <c r="D116" s="115">
        <f t="shared" si="0"/>
        <v>0.46415888336127792</v>
      </c>
      <c r="E116" s="115">
        <f t="shared" si="0"/>
        <v>0.52100073095869137</v>
      </c>
      <c r="F116" s="115">
        <f t="shared" si="0"/>
        <v>1</v>
      </c>
      <c r="H116" s="92" t="s">
        <v>55</v>
      </c>
      <c r="I116" s="115">
        <f t="shared" si="1"/>
        <v>0.20208567721708329</v>
      </c>
      <c r="J116" s="115">
        <f t="shared" si="1"/>
        <v>0.1914080302472104</v>
      </c>
      <c r="K116" s="115">
        <f t="shared" si="1"/>
        <v>0.19709024656777982</v>
      </c>
      <c r="L116" s="93">
        <f>SUM(I116:K116)/3</f>
        <v>0.19686131801069118</v>
      </c>
      <c r="N116" s="92" t="s">
        <v>55</v>
      </c>
      <c r="O116" s="115">
        <f t="shared" si="2"/>
        <v>0.20132196692373572</v>
      </c>
      <c r="P116" s="115">
        <f t="shared" si="2"/>
        <v>0.19245957301474168</v>
      </c>
      <c r="Q116" s="115">
        <f t="shared" si="2"/>
        <v>0.19686131801069118</v>
      </c>
      <c r="R116" s="115">
        <f>SUM(O116:Q116)</f>
        <v>0.5906428579491686</v>
      </c>
      <c r="S116" s="95">
        <f>R116/L116</f>
        <v>3.0002992152937424</v>
      </c>
      <c r="U116" s="90" t="s">
        <v>98</v>
      </c>
      <c r="V116" s="201">
        <f>+(V114-V115)/(V115-1)</f>
        <v>2.5372129584511072E-4</v>
      </c>
    </row>
    <row r="117" spans="3:22" ht="15.75" customHeight="1">
      <c r="C117" s="203" t="s">
        <v>113</v>
      </c>
      <c r="D117" s="97">
        <f>SUM(D114:D116)</f>
        <v>2.296842061016882</v>
      </c>
      <c r="E117" s="97">
        <f>SUM(E114:E116)</f>
        <v>2.721937686134694</v>
      </c>
      <c r="F117" s="97">
        <f>SUM(F114:F116)</f>
        <v>5.0738177936983684</v>
      </c>
      <c r="H117" s="97"/>
      <c r="I117" s="97"/>
      <c r="J117" s="97"/>
      <c r="K117" s="97"/>
      <c r="L117" s="71"/>
      <c r="N117" s="85"/>
      <c r="O117" s="86"/>
      <c r="P117" s="86"/>
      <c r="Q117" s="86"/>
      <c r="R117" s="86"/>
      <c r="S117" s="89"/>
      <c r="T117" s="78"/>
      <c r="U117" s="90" t="s">
        <v>100</v>
      </c>
      <c r="V117" s="201">
        <f>0.58</f>
        <v>0.57999999999999996</v>
      </c>
    </row>
    <row r="118" spans="3:22" ht="15.75" customHeight="1" thickBot="1">
      <c r="C118" s="204"/>
      <c r="D118" s="205"/>
      <c r="E118" s="205"/>
      <c r="F118" s="205"/>
      <c r="G118" s="205"/>
      <c r="H118" s="205"/>
      <c r="I118" s="205"/>
      <c r="J118" s="205"/>
      <c r="K118" s="205"/>
      <c r="L118" s="205"/>
      <c r="M118" s="205"/>
      <c r="N118" s="205"/>
      <c r="O118" s="205"/>
      <c r="P118" s="205"/>
      <c r="Q118" s="206"/>
      <c r="R118" s="207"/>
      <c r="S118" s="207"/>
      <c r="T118" s="207"/>
      <c r="U118" s="208" t="s">
        <v>101</v>
      </c>
      <c r="V118" s="209">
        <f>V116/V117</f>
        <v>4.3745051007777714E-4</v>
      </c>
    </row>
    <row r="119" spans="3:22" ht="15.75" customHeight="1" thickTop="1"/>
  </sheetData>
  <conditionalFormatting sqref="V26 V75">
    <cfRule type="cellIs" dxfId="95" priority="25" operator="greaterThan">
      <formula>0.1</formula>
    </cfRule>
    <cfRule type="cellIs" dxfId="94" priority="26" operator="lessThan">
      <formula>0.1</formula>
    </cfRule>
  </conditionalFormatting>
  <conditionalFormatting sqref="V35">
    <cfRule type="cellIs" dxfId="93" priority="23" operator="greaterThan">
      <formula>0.1</formula>
    </cfRule>
    <cfRule type="cellIs" dxfId="92" priority="24" operator="lessThan">
      <formula>0.1</formula>
    </cfRule>
  </conditionalFormatting>
  <conditionalFormatting sqref="V45">
    <cfRule type="cellIs" dxfId="91" priority="19" operator="greaterThan">
      <formula>0.1</formula>
    </cfRule>
    <cfRule type="cellIs" dxfId="90" priority="20" operator="lessThan">
      <formula>0.1</formula>
    </cfRule>
  </conditionalFormatting>
  <conditionalFormatting sqref="V56">
    <cfRule type="cellIs" dxfId="89" priority="15" operator="greaterThan">
      <formula>0.1</formula>
    </cfRule>
    <cfRule type="cellIs" dxfId="88" priority="16" operator="lessThan">
      <formula>0.1</formula>
    </cfRule>
  </conditionalFormatting>
  <conditionalFormatting sqref="V66">
    <cfRule type="cellIs" dxfId="87" priority="13" operator="greaterThan">
      <formula>0.1</formula>
    </cfRule>
    <cfRule type="cellIs" dxfId="86" priority="14" operator="lessThan">
      <formula>0.1</formula>
    </cfRule>
  </conditionalFormatting>
  <conditionalFormatting sqref="V85">
    <cfRule type="cellIs" dxfId="85" priority="9" operator="greaterThan">
      <formula>0.1</formula>
    </cfRule>
    <cfRule type="cellIs" dxfId="84" priority="10" operator="lessThan">
      <formula>0.1</formula>
    </cfRule>
  </conditionalFormatting>
  <conditionalFormatting sqref="V96">
    <cfRule type="cellIs" dxfId="83" priority="5" operator="greaterThan">
      <formula>0.1</formula>
    </cfRule>
    <cfRule type="cellIs" dxfId="82" priority="6" operator="lessThan">
      <formula>0.1</formula>
    </cfRule>
  </conditionalFormatting>
  <conditionalFormatting sqref="V107">
    <cfRule type="cellIs" dxfId="81" priority="3" operator="greaterThan">
      <formula>0.1</formula>
    </cfRule>
    <cfRule type="cellIs" dxfId="80" priority="4" operator="lessThan">
      <formula>0.1</formula>
    </cfRule>
  </conditionalFormatting>
  <conditionalFormatting sqref="V118">
    <cfRule type="cellIs" dxfId="79" priority="1" operator="greaterThan">
      <formula>0.1</formula>
    </cfRule>
    <cfRule type="cellIs" dxfId="78" priority="2" operator="lessThan">
      <formula>0.1</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D75AA-F3FF-4460-B670-8581EC6C77A4}">
  <sheetPr>
    <tabColor theme="7" tint="0.79998168889431442"/>
  </sheetPr>
  <dimension ref="B2:U37"/>
  <sheetViews>
    <sheetView showGridLines="0" zoomScale="85" zoomScaleNormal="85" workbookViewId="0">
      <selection activeCell="M19" sqref="M19"/>
    </sheetView>
  </sheetViews>
  <sheetFormatPr defaultColWidth="11.42578125" defaultRowHeight="12.75"/>
  <cols>
    <col min="1" max="1" width="11.42578125" style="70"/>
    <col min="2" max="17" width="6.5703125" style="70" customWidth="1"/>
    <col min="18" max="18" width="8.85546875" style="70" customWidth="1"/>
    <col min="19" max="19" width="6.5703125" style="70" customWidth="1"/>
    <col min="20" max="16384" width="11.42578125" style="70"/>
  </cols>
  <sheetData>
    <row r="2" spans="2:21" ht="14.25">
      <c r="B2" s="76" t="s">
        <v>120</v>
      </c>
      <c r="C2" s="77"/>
      <c r="E2" s="77"/>
    </row>
    <row r="3" spans="2:21" ht="17.25">
      <c r="C3" s="77"/>
      <c r="E3" s="77"/>
      <c r="M3" s="78" t="s">
        <v>104</v>
      </c>
      <c r="N3" s="79">
        <f>K5</f>
        <v>0.43373502940594766</v>
      </c>
      <c r="O3" s="79">
        <f>K6</f>
        <v>0.36940365258336122</v>
      </c>
      <c r="P3" s="79">
        <f>K7</f>
        <v>0.19686131801069118</v>
      </c>
      <c r="Q3" s="80"/>
      <c r="R3" s="80"/>
      <c r="T3" s="90" t="s">
        <v>94</v>
      </c>
      <c r="U3" s="91">
        <f>SUM(R5:R7)/U4</f>
        <v>3.0005074425916902</v>
      </c>
    </row>
    <row r="4" spans="2:21" ht="25.5">
      <c r="B4" s="84"/>
      <c r="C4" s="78" t="s">
        <v>51</v>
      </c>
      <c r="D4" s="78" t="s">
        <v>53</v>
      </c>
      <c r="E4" s="78" t="s">
        <v>55</v>
      </c>
      <c r="G4" s="81"/>
      <c r="H4" s="82" t="s">
        <v>51</v>
      </c>
      <c r="I4" s="82" t="s">
        <v>53</v>
      </c>
      <c r="J4" s="82" t="s">
        <v>55</v>
      </c>
      <c r="K4" s="83" t="s">
        <v>104</v>
      </c>
      <c r="M4" s="84"/>
      <c r="N4" s="78" t="s">
        <v>51</v>
      </c>
      <c r="O4" s="78" t="s">
        <v>53</v>
      </c>
      <c r="P4" s="78" t="s">
        <v>55</v>
      </c>
      <c r="Q4" s="78" t="s">
        <v>105</v>
      </c>
      <c r="R4" s="78" t="s">
        <v>106</v>
      </c>
      <c r="T4" s="90" t="s">
        <v>96</v>
      </c>
      <c r="U4" s="91">
        <v>3</v>
      </c>
    </row>
    <row r="5" spans="2:21">
      <c r="B5" s="78" t="s">
        <v>51</v>
      </c>
      <c r="C5" s="79">
        <f>+GEOMEAN('1.2 CR_CONSISTENCIA'!D52,'1.2 CR_CONSISTENCIA'!D62,'1.2 CR_CONSISTENCIA'!D71,'1.2 CR_CONSISTENCIA'!D81,'1.2 CR_CONSISTENCIA'!D92,'1.2 CR_CONSISTENCIA'!D103)</f>
        <v>1</v>
      </c>
      <c r="D5" s="79">
        <f>+GEOMEAN('1.2 CR_CONSISTENCIA'!E52,'1.2 CR_CONSISTENCIA'!E62,'1.2 CR_CONSISTENCIA'!E71,'1.2 CR_CONSISTENCIA'!E81,'1.2 CR_CONSISTENCIA'!E92,'1.2 CR_CONSISTENCIA'!E103)</f>
        <v>1.2009369551760027</v>
      </c>
      <c r="E5" s="79">
        <f>+GEOMEAN('1.2 CR_CONSISTENCIA'!F52,'1.2 CR_CONSISTENCIA'!F62,'1.2 CR_CONSISTENCIA'!F71,'1.2 CR_CONSISTENCIA'!F81,'1.2 CR_CONSISTENCIA'!F92,'1.2 CR_CONSISTENCIA'!F103)</f>
        <v>2.1544346900318838</v>
      </c>
      <c r="G5" s="85" t="s">
        <v>51</v>
      </c>
      <c r="H5" s="86">
        <f>C5/$C$8</f>
        <v>0.43538039335507012</v>
      </c>
      <c r="I5" s="86">
        <f>D5/$D$8</f>
        <v>0.44120663059021065</v>
      </c>
      <c r="J5" s="86">
        <f>E5/$E$8</f>
        <v>0.42461806427256227</v>
      </c>
      <c r="K5" s="146">
        <f>SUM(H5:J5)/3</f>
        <v>0.43373502940594766</v>
      </c>
      <c r="M5" s="85" t="s">
        <v>51</v>
      </c>
      <c r="N5" s="86">
        <f>C5*$N$3</f>
        <v>0.43373502940594766</v>
      </c>
      <c r="O5" s="86">
        <f>D5*$O$3</f>
        <v>0.44363049776435576</v>
      </c>
      <c r="P5" s="86">
        <f>E5*$P$3</f>
        <v>0.42412485264763156</v>
      </c>
      <c r="Q5" s="86">
        <f>+SUM(N5:P5)</f>
        <v>1.3014903798179349</v>
      </c>
      <c r="R5" s="86">
        <f>+Q5/K5</f>
        <v>3.0006577554975964</v>
      </c>
      <c r="T5" s="90" t="s">
        <v>98</v>
      </c>
      <c r="U5" s="91">
        <f>+(U3-U4)/(U4-1)</f>
        <v>2.5372129584511072E-4</v>
      </c>
    </row>
    <row r="6" spans="2:21">
      <c r="B6" s="85" t="s">
        <v>53</v>
      </c>
      <c r="C6" s="86">
        <f>+GEOMEAN('1.2 CR_CONSISTENCIA'!D53,'1.2 CR_CONSISTENCIA'!D63,'1.2 CR_CONSISTENCIA'!D72,'1.2 CR_CONSISTENCIA'!D82,'1.2 CR_CONSISTENCIA'!D93,'1.2 CR_CONSISTENCIA'!D104)</f>
        <v>0.83268317765560429</v>
      </c>
      <c r="D6" s="86">
        <f>+GEOMEAN('1.2 CR_CONSISTENCIA'!E53,'1.2 CR_CONSISTENCIA'!E63,'1.2 CR_CONSISTENCIA'!E72,'1.2 CR_CONSISTENCIA'!E82,'1.2 CR_CONSISTENCIA'!E93,'1.2 CR_CONSISTENCIA'!E104)</f>
        <v>1</v>
      </c>
      <c r="E6" s="86">
        <f>+GEOMEAN('1.2 CR_CONSISTENCIA'!F53,'1.2 CR_CONSISTENCIA'!F63,'1.2 CR_CONSISTENCIA'!F72,'1.2 CR_CONSISTENCIA'!F82,'1.2 CR_CONSISTENCIA'!F93,'1.2 CR_CONSISTENCIA'!F104)</f>
        <v>1.9193831036664843</v>
      </c>
      <c r="G6" s="85" t="s">
        <v>53</v>
      </c>
      <c r="H6" s="86">
        <f>C6/$C$8</f>
        <v>0.36253392942784668</v>
      </c>
      <c r="I6" s="86">
        <f>D6/$D$8</f>
        <v>0.36738533916257898</v>
      </c>
      <c r="J6" s="86">
        <f>E6/$E$8</f>
        <v>0.37829168915965788</v>
      </c>
      <c r="K6" s="146">
        <f>SUM(H6:J6)/3</f>
        <v>0.36940365258336122</v>
      </c>
      <c r="M6" s="85" t="s">
        <v>53</v>
      </c>
      <c r="N6" s="86">
        <f>C6*$N$3</f>
        <v>0.36116386254629146</v>
      </c>
      <c r="O6" s="86">
        <f>D6*$O$3</f>
        <v>0.36940365258336122</v>
      </c>
      <c r="P6" s="86">
        <f>E6*$P$3</f>
        <v>0.3778522875552352</v>
      </c>
      <c r="Q6" s="86">
        <f>+SUM(N6:P6)</f>
        <v>1.1084198026848879</v>
      </c>
      <c r="R6" s="86">
        <f>+Q6/K6</f>
        <v>3.0005653569837323</v>
      </c>
      <c r="T6" s="90" t="s">
        <v>100</v>
      </c>
      <c r="U6" s="91">
        <f>0.58</f>
        <v>0.57999999999999996</v>
      </c>
    </row>
    <row r="7" spans="2:21">
      <c r="B7" s="92" t="s">
        <v>55</v>
      </c>
      <c r="C7" s="115">
        <f>+GEOMEAN('1.2 CR_CONSISTENCIA'!D54,'1.2 CR_CONSISTENCIA'!D64,'1.2 CR_CONSISTENCIA'!D73,'1.2 CR_CONSISTENCIA'!D83,'1.2 CR_CONSISTENCIA'!D94,'1.2 CR_CONSISTENCIA'!D105)</f>
        <v>0.46415888336127792</v>
      </c>
      <c r="D7" s="115">
        <f>+GEOMEAN('1.2 CR_CONSISTENCIA'!E54,'1.2 CR_CONSISTENCIA'!E64,'1.2 CR_CONSISTENCIA'!E73,'1.2 CR_CONSISTENCIA'!E83,'1.2 CR_CONSISTENCIA'!E94,'1.2 CR_CONSISTENCIA'!E105)</f>
        <v>0.52100073095869137</v>
      </c>
      <c r="E7" s="115">
        <f>+GEOMEAN('1.2 CR_CONSISTENCIA'!F54,'1.2 CR_CONSISTENCIA'!F64,'1.2 CR_CONSISTENCIA'!F73,'1.2 CR_CONSISTENCIA'!F83,'1.2 CR_CONSISTENCIA'!F94,'1.2 CR_CONSISTENCIA'!F105)</f>
        <v>1</v>
      </c>
      <c r="G7" s="92" t="s">
        <v>55</v>
      </c>
      <c r="H7" s="115">
        <f>C7/$C$8</f>
        <v>0.20208567721708329</v>
      </c>
      <c r="I7" s="115">
        <f>D7/$D$8</f>
        <v>0.1914080302472104</v>
      </c>
      <c r="J7" s="115">
        <f>E7/$E$8</f>
        <v>0.19709024656777982</v>
      </c>
      <c r="K7" s="147">
        <f>SUM(H7:J7)/3</f>
        <v>0.19686131801069118</v>
      </c>
      <c r="M7" s="92" t="s">
        <v>55</v>
      </c>
      <c r="N7" s="115">
        <f>C7*$N$3</f>
        <v>0.20132196692373572</v>
      </c>
      <c r="O7" s="115">
        <f>D7*$O$3</f>
        <v>0.19245957301474168</v>
      </c>
      <c r="P7" s="115">
        <f>E7*$P$3</f>
        <v>0.19686131801069118</v>
      </c>
      <c r="Q7" s="115">
        <f>+SUM(N7:P7)</f>
        <v>0.5906428579491686</v>
      </c>
      <c r="R7" s="115">
        <f>+Q7/K7</f>
        <v>3.0002992152937424</v>
      </c>
      <c r="T7" s="90" t="s">
        <v>101</v>
      </c>
      <c r="U7" s="91">
        <f>U5/U6</f>
        <v>4.3745051007777714E-4</v>
      </c>
    </row>
    <row r="8" spans="2:21">
      <c r="B8" s="96" t="s">
        <v>113</v>
      </c>
      <c r="C8" s="97">
        <f>SUM(C5:C7)</f>
        <v>2.296842061016882</v>
      </c>
      <c r="D8" s="97">
        <f>SUM(D5:D7)</f>
        <v>2.721937686134694</v>
      </c>
      <c r="E8" s="97">
        <f>SUM(E5:E7)</f>
        <v>5.0738177936983684</v>
      </c>
      <c r="G8" s="97"/>
      <c r="H8" s="97"/>
      <c r="I8" s="97"/>
      <c r="J8" s="97"/>
      <c r="K8" s="71"/>
      <c r="M8" s="85"/>
      <c r="N8" s="86"/>
      <c r="O8" s="86"/>
      <c r="P8" s="86"/>
      <c r="Q8" s="88"/>
      <c r="R8" s="89"/>
      <c r="S8" s="85"/>
    </row>
    <row r="9" spans="2:21">
      <c r="P9" s="85"/>
      <c r="Q9" s="86"/>
      <c r="R9" s="86"/>
      <c r="S9" s="86"/>
    </row>
    <row r="12" spans="2:21" ht="15">
      <c r="B12" s="123" t="s">
        <v>51</v>
      </c>
      <c r="C12" s="98" t="s">
        <v>52</v>
      </c>
    </row>
    <row r="13" spans="2:21">
      <c r="B13" s="123" t="s">
        <v>53</v>
      </c>
      <c r="C13" s="100" t="s">
        <v>54</v>
      </c>
    </row>
    <row r="14" spans="2:21">
      <c r="B14" s="123" t="s">
        <v>55</v>
      </c>
      <c r="C14" s="100" t="s">
        <v>56</v>
      </c>
    </row>
    <row r="20" spans="2:21" ht="14.25">
      <c r="B20" s="76" t="s">
        <v>121</v>
      </c>
      <c r="C20" s="77"/>
      <c r="E20" s="77"/>
    </row>
    <row r="21" spans="2:21" ht="17.25">
      <c r="C21" s="77"/>
      <c r="E21" s="77"/>
      <c r="M21" s="78" t="s">
        <v>104</v>
      </c>
      <c r="N21" s="79">
        <f>K23</f>
        <v>0.43373502940594766</v>
      </c>
      <c r="O21" s="79">
        <f>K24</f>
        <v>0.36940365258336122</v>
      </c>
      <c r="P21" s="79">
        <f>K25</f>
        <v>0.19686131801069118</v>
      </c>
      <c r="Q21" s="80"/>
      <c r="R21" s="80"/>
      <c r="T21" s="90" t="s">
        <v>94</v>
      </c>
      <c r="U21" s="91">
        <f>SUM(R23:R25)/U22</f>
        <v>3.0005074425916902</v>
      </c>
    </row>
    <row r="22" spans="2:21" ht="25.5">
      <c r="B22" s="84"/>
      <c r="C22" s="78" t="s">
        <v>51</v>
      </c>
      <c r="D22" s="78" t="s">
        <v>53</v>
      </c>
      <c r="E22" s="78" t="s">
        <v>55</v>
      </c>
      <c r="G22" s="81"/>
      <c r="H22" s="82" t="s">
        <v>51</v>
      </c>
      <c r="I22" s="82" t="s">
        <v>53</v>
      </c>
      <c r="J22" s="82" t="s">
        <v>55</v>
      </c>
      <c r="K22" s="83" t="s">
        <v>104</v>
      </c>
      <c r="M22" s="84"/>
      <c r="N22" s="78" t="s">
        <v>51</v>
      </c>
      <c r="O22" s="78" t="s">
        <v>53</v>
      </c>
      <c r="P22" s="78" t="s">
        <v>55</v>
      </c>
      <c r="Q22" s="78" t="s">
        <v>105</v>
      </c>
      <c r="R22" s="78" t="s">
        <v>106</v>
      </c>
      <c r="T22" s="90" t="s">
        <v>96</v>
      </c>
      <c r="U22" s="91">
        <v>3</v>
      </c>
    </row>
    <row r="23" spans="2:21">
      <c r="B23" s="78" t="s">
        <v>51</v>
      </c>
      <c r="C23" s="79">
        <f>+GEOMEAN('1.2 CR_CONSISTENCIA'!D52,'1.2 CR_CONSISTENCIA'!D62,'1.2 CR_CONSISTENCIA'!D71,'1.2 CR_CONSISTENCIA'!D81,'1.2 CR_CONSISTENCIA'!D92,'1.2 CR_CONSISTENCIA'!D103)</f>
        <v>1</v>
      </c>
      <c r="D23" s="79">
        <f>+GEOMEAN('1.2 CR_CONSISTENCIA'!E52,'1.2 CR_CONSISTENCIA'!E62,'1.2 CR_CONSISTENCIA'!E71,'1.2 CR_CONSISTENCIA'!E81,'1.2 CR_CONSISTENCIA'!E92,'1.2 CR_CONSISTENCIA'!E103)</f>
        <v>1.2009369551760027</v>
      </c>
      <c r="E23" s="79">
        <f>+GEOMEAN('1.2 CR_CONSISTENCIA'!F52,'1.2 CR_CONSISTENCIA'!F62,'1.2 CR_CONSISTENCIA'!F71,'1.2 CR_CONSISTENCIA'!F81,'1.2 CR_CONSISTENCIA'!F92,'1.2 CR_CONSISTENCIA'!F103)</f>
        <v>2.1544346900318838</v>
      </c>
      <c r="G23" s="85" t="s">
        <v>51</v>
      </c>
      <c r="H23" s="86">
        <f t="shared" ref="H23:J25" si="0">C23/C$26</f>
        <v>0.43538039335507012</v>
      </c>
      <c r="I23" s="86">
        <f t="shared" si="0"/>
        <v>0.44120663059021065</v>
      </c>
      <c r="J23" s="86">
        <f t="shared" si="0"/>
        <v>0.42461806427256227</v>
      </c>
      <c r="K23" s="146">
        <f>SUM(H23:J23)/3</f>
        <v>0.43373502940594766</v>
      </c>
      <c r="M23" s="85" t="s">
        <v>51</v>
      </c>
      <c r="N23" s="86">
        <f t="shared" ref="N23:P25" si="1">C23*N$21</f>
        <v>0.43373502940594766</v>
      </c>
      <c r="O23" s="86">
        <f t="shared" si="1"/>
        <v>0.44363049776435576</v>
      </c>
      <c r="P23" s="86">
        <f t="shared" si="1"/>
        <v>0.42412485264763156</v>
      </c>
      <c r="Q23" s="86">
        <f>+SUM(N23:P23)</f>
        <v>1.3014903798179349</v>
      </c>
      <c r="R23" s="86">
        <f>+Q23/K23</f>
        <v>3.0006577554975964</v>
      </c>
      <c r="T23" s="90" t="s">
        <v>98</v>
      </c>
      <c r="U23" s="91">
        <f>+(U21-U22)/(U22-1)</f>
        <v>2.5372129584511072E-4</v>
      </c>
    </row>
    <row r="24" spans="2:21">
      <c r="B24" s="85" t="s">
        <v>53</v>
      </c>
      <c r="C24" s="86">
        <f>+GEOMEAN('1.2 CR_CONSISTENCIA'!D53,'1.2 CR_CONSISTENCIA'!D63,'1.2 CR_CONSISTENCIA'!D72,'1.2 CR_CONSISTENCIA'!D82,'1.2 CR_CONSISTENCIA'!D93,'1.2 CR_CONSISTENCIA'!D104)</f>
        <v>0.83268317765560429</v>
      </c>
      <c r="D24" s="86">
        <f>+GEOMEAN('1.2 CR_CONSISTENCIA'!E53,'1.2 CR_CONSISTENCIA'!E63,'1.2 CR_CONSISTENCIA'!E72,'1.2 CR_CONSISTENCIA'!E82,'1.2 CR_CONSISTENCIA'!E93,'1.2 CR_CONSISTENCIA'!E104)</f>
        <v>1</v>
      </c>
      <c r="E24" s="86">
        <f>+GEOMEAN('1.2 CR_CONSISTENCIA'!F53,'1.2 CR_CONSISTENCIA'!F63,'1.2 CR_CONSISTENCIA'!F72,'1.2 CR_CONSISTENCIA'!F82,'1.2 CR_CONSISTENCIA'!F93,'1.2 CR_CONSISTENCIA'!F104)</f>
        <v>1.9193831036664843</v>
      </c>
      <c r="G24" s="85" t="s">
        <v>53</v>
      </c>
      <c r="H24" s="86">
        <f t="shared" si="0"/>
        <v>0.36253392942784668</v>
      </c>
      <c r="I24" s="86">
        <f t="shared" si="0"/>
        <v>0.36738533916257898</v>
      </c>
      <c r="J24" s="86">
        <f t="shared" si="0"/>
        <v>0.37829168915965788</v>
      </c>
      <c r="K24" s="146">
        <f>SUM(H24:J24)/3</f>
        <v>0.36940365258336122</v>
      </c>
      <c r="M24" s="85" t="s">
        <v>53</v>
      </c>
      <c r="N24" s="86">
        <f t="shared" si="1"/>
        <v>0.36116386254629146</v>
      </c>
      <c r="O24" s="86">
        <f t="shared" si="1"/>
        <v>0.36940365258336122</v>
      </c>
      <c r="P24" s="86">
        <f t="shared" si="1"/>
        <v>0.3778522875552352</v>
      </c>
      <c r="Q24" s="86">
        <f>+SUM(N24:P24)</f>
        <v>1.1084198026848879</v>
      </c>
      <c r="R24" s="86">
        <f>+Q24/K24</f>
        <v>3.0005653569837323</v>
      </c>
      <c r="T24" s="90" t="s">
        <v>100</v>
      </c>
      <c r="U24" s="91">
        <f>0.58</f>
        <v>0.57999999999999996</v>
      </c>
    </row>
    <row r="25" spans="2:21">
      <c r="B25" s="92" t="s">
        <v>55</v>
      </c>
      <c r="C25" s="115">
        <f>+GEOMEAN('1.2 CR_CONSISTENCIA'!D54,'1.2 CR_CONSISTENCIA'!D64,'1.2 CR_CONSISTENCIA'!D73,'1.2 CR_CONSISTENCIA'!D83,'1.2 CR_CONSISTENCIA'!D94,'1.2 CR_CONSISTENCIA'!D105)</f>
        <v>0.46415888336127792</v>
      </c>
      <c r="D25" s="115">
        <f>+GEOMEAN('1.2 CR_CONSISTENCIA'!E54,'1.2 CR_CONSISTENCIA'!E64,'1.2 CR_CONSISTENCIA'!E73,'1.2 CR_CONSISTENCIA'!E83,'1.2 CR_CONSISTENCIA'!E94,'1.2 CR_CONSISTENCIA'!E105)</f>
        <v>0.52100073095869137</v>
      </c>
      <c r="E25" s="115">
        <f>+GEOMEAN('1.2 CR_CONSISTENCIA'!F54,'1.2 CR_CONSISTENCIA'!F64,'1.2 CR_CONSISTENCIA'!F73,'1.2 CR_CONSISTENCIA'!F83,'1.2 CR_CONSISTENCIA'!F94,'1.2 CR_CONSISTENCIA'!F105)</f>
        <v>1</v>
      </c>
      <c r="G25" s="92" t="s">
        <v>55</v>
      </c>
      <c r="H25" s="115">
        <f t="shared" si="0"/>
        <v>0.20208567721708329</v>
      </c>
      <c r="I25" s="115">
        <f t="shared" si="0"/>
        <v>0.1914080302472104</v>
      </c>
      <c r="J25" s="115">
        <f t="shared" si="0"/>
        <v>0.19709024656777982</v>
      </c>
      <c r="K25" s="147">
        <f>SUM(H25:J25)/3</f>
        <v>0.19686131801069118</v>
      </c>
      <c r="M25" s="92" t="s">
        <v>55</v>
      </c>
      <c r="N25" s="115">
        <f t="shared" si="1"/>
        <v>0.20132196692373572</v>
      </c>
      <c r="O25" s="115">
        <f t="shared" si="1"/>
        <v>0.19245957301474168</v>
      </c>
      <c r="P25" s="115">
        <f t="shared" si="1"/>
        <v>0.19686131801069118</v>
      </c>
      <c r="Q25" s="115">
        <f>+SUM(N25:P25)</f>
        <v>0.5906428579491686</v>
      </c>
      <c r="R25" s="115">
        <f>+Q25/K25</f>
        <v>3.0002992152937424</v>
      </c>
      <c r="T25" s="90" t="s">
        <v>101</v>
      </c>
      <c r="U25" s="91">
        <f>U23/U24</f>
        <v>4.3745051007777714E-4</v>
      </c>
    </row>
    <row r="26" spans="2:21">
      <c r="B26" s="96" t="s">
        <v>113</v>
      </c>
      <c r="C26" s="97">
        <f>SUM(C23:C25)</f>
        <v>2.296842061016882</v>
      </c>
      <c r="D26" s="97">
        <f>SUM(D23:D25)</f>
        <v>2.721937686134694</v>
      </c>
      <c r="E26" s="97">
        <f>SUM(E23:E25)</f>
        <v>5.0738177936983684</v>
      </c>
      <c r="G26" s="97"/>
      <c r="H26" s="97"/>
      <c r="I26" s="97"/>
      <c r="J26" s="97"/>
      <c r="K26" s="71"/>
      <c r="M26" s="85"/>
      <c r="N26" s="86"/>
      <c r="O26" s="86"/>
      <c r="P26" s="86"/>
      <c r="Q26" s="88"/>
      <c r="R26" s="89"/>
      <c r="S26" s="85"/>
    </row>
    <row r="27" spans="2:21">
      <c r="P27" s="85"/>
      <c r="Q27" s="86"/>
      <c r="R27" s="86"/>
      <c r="S27" s="86"/>
    </row>
    <row r="31" spans="2:21" ht="14.25">
      <c r="B31" s="76" t="s">
        <v>122</v>
      </c>
      <c r="C31" s="77"/>
      <c r="E31" s="77"/>
    </row>
    <row r="32" spans="2:21" ht="17.25">
      <c r="C32" s="77"/>
      <c r="E32" s="77"/>
      <c r="M32" s="78" t="s">
        <v>104</v>
      </c>
      <c r="N32" s="79">
        <f>K34</f>
        <v>0.4045351169874658</v>
      </c>
      <c r="O32" s="79">
        <f>K35</f>
        <v>0.31534358785518918</v>
      </c>
      <c r="P32" s="79">
        <f>K36</f>
        <v>0.26013915667165277</v>
      </c>
      <c r="Q32" s="80"/>
      <c r="R32" s="80"/>
      <c r="T32" s="90" t="s">
        <v>94</v>
      </c>
      <c r="U32" s="91">
        <f>SUM(R34:R36)/U33</f>
        <v>3.0014119996609168</v>
      </c>
    </row>
    <row r="33" spans="2:21" ht="25.5">
      <c r="B33" s="84"/>
      <c r="C33" s="78" t="s">
        <v>51</v>
      </c>
      <c r="D33" s="78" t="s">
        <v>53</v>
      </c>
      <c r="E33" s="78" t="s">
        <v>55</v>
      </c>
      <c r="G33" s="81"/>
      <c r="H33" s="82" t="s">
        <v>51</v>
      </c>
      <c r="I33" s="82" t="s">
        <v>53</v>
      </c>
      <c r="J33" s="82" t="s">
        <v>55</v>
      </c>
      <c r="K33" s="83" t="s">
        <v>104</v>
      </c>
      <c r="M33" s="84"/>
      <c r="N33" s="78" t="s">
        <v>51</v>
      </c>
      <c r="O33" s="78" t="s">
        <v>53</v>
      </c>
      <c r="P33" s="78" t="s">
        <v>55</v>
      </c>
      <c r="Q33" s="78" t="s">
        <v>105</v>
      </c>
      <c r="R33" s="78" t="s">
        <v>106</v>
      </c>
      <c r="T33" s="90" t="s">
        <v>96</v>
      </c>
      <c r="U33" s="91">
        <v>3</v>
      </c>
    </row>
    <row r="34" spans="2:21">
      <c r="B34" s="78" t="s">
        <v>51</v>
      </c>
      <c r="C34" s="79">
        <f>+GEOMEAN('1.2 CR_CONSISTENCIA'!D52,'1.2 CR_CONSISTENCIA'!D62,'1.2 CR_CONSISTENCIA'!D71,'1.2 CR_CONSISTENCIA'!D81)</f>
        <v>1</v>
      </c>
      <c r="D34" s="79">
        <f>+GEOMEAN('1.2 CR_CONSISTENCIA'!E52,'1.2 CR_CONSISTENCIA'!E62,'1.2 CR_CONSISTENCIA'!E71,'1.2 CR_CONSISTENCIA'!E81)</f>
        <v>1.3160740129524926</v>
      </c>
      <c r="E34" s="79">
        <f>+GEOMEAN('1.2 CR_CONSISTENCIA'!F52,'1.2 CR_CONSISTENCIA'!F62,'1.2 CR_CONSISTENCIA'!F71,'1.2 CR_CONSISTENCIA'!F81)</f>
        <v>1.4953487812212205</v>
      </c>
      <c r="G34" s="85" t="s">
        <v>51</v>
      </c>
      <c r="H34" s="86">
        <f t="shared" ref="H34:J36" si="2">C34/C$26</f>
        <v>0.43538039335507012</v>
      </c>
      <c r="I34" s="86">
        <f t="shared" si="2"/>
        <v>0.48350629761160785</v>
      </c>
      <c r="J34" s="86">
        <f t="shared" si="2"/>
        <v>0.29471865999571939</v>
      </c>
      <c r="K34" s="146">
        <f>SUM(H34:J34)/3</f>
        <v>0.4045351169874658</v>
      </c>
      <c r="M34" s="85" t="s">
        <v>51</v>
      </c>
      <c r="N34" s="86">
        <f>C34*$N$3</f>
        <v>0.43373502940594766</v>
      </c>
      <c r="O34" s="86">
        <f>D34*$O$3</f>
        <v>0.48616254745469262</v>
      </c>
      <c r="P34" s="86">
        <f>E34*$P$3</f>
        <v>0.29437633195689017</v>
      </c>
      <c r="Q34" s="86">
        <f>+SUM(N34:P34)</f>
        <v>1.2142739088175305</v>
      </c>
      <c r="R34" s="86">
        <f>+Q34/K34</f>
        <v>3.0016526571539988</v>
      </c>
      <c r="T34" s="90" t="s">
        <v>98</v>
      </c>
      <c r="U34" s="91">
        <f>+(U32-U33)/(U33-1)</f>
        <v>7.0599983045838144E-4</v>
      </c>
    </row>
    <row r="35" spans="2:21">
      <c r="B35" s="85" t="s">
        <v>53</v>
      </c>
      <c r="C35" s="86">
        <f>+GEOMEAN('1.2 CR_CONSISTENCIA'!D53,'1.2 CR_CONSISTENCIA'!D63,'1.2 CR_CONSISTENCIA'!D72,'1.2 CR_CONSISTENCIA'!D82)</f>
        <v>0.75983568565159254</v>
      </c>
      <c r="D35" s="86">
        <f>+GEOMEAN('1.2 CR_CONSISTENCIA'!E53,'1.2 CR_CONSISTENCIA'!E63,'1.2 CR_CONSISTENCIA'!E72,'1.2 CR_CONSISTENCIA'!E82)</f>
        <v>1</v>
      </c>
      <c r="E35" s="86">
        <f>+GEOMEAN('1.2 CR_CONSISTENCIA'!F53,'1.2 CR_CONSISTENCIA'!F63,'1.2 CR_CONSISTENCIA'!F72,'1.2 CR_CONSISTENCIA'!F82)</f>
        <v>1.2574334296829355</v>
      </c>
      <c r="G35" s="85" t="s">
        <v>53</v>
      </c>
      <c r="H35" s="86">
        <f t="shared" si="2"/>
        <v>0.33081755970420973</v>
      </c>
      <c r="I35" s="86">
        <f t="shared" si="2"/>
        <v>0.36738533916257898</v>
      </c>
      <c r="J35" s="86">
        <f t="shared" si="2"/>
        <v>0.24782786469877877</v>
      </c>
      <c r="K35" s="146">
        <f>SUM(H35:J35)/3</f>
        <v>0.31534358785518918</v>
      </c>
      <c r="M35" s="85" t="s">
        <v>53</v>
      </c>
      <c r="N35" s="86">
        <f>C35*$N$3</f>
        <v>0.32956735345978189</v>
      </c>
      <c r="O35" s="86">
        <f>D35*$O$3</f>
        <v>0.36940365258336122</v>
      </c>
      <c r="P35" s="86">
        <f>E35*$P$3</f>
        <v>0.24754000227808645</v>
      </c>
      <c r="Q35" s="86">
        <f>+SUM(N35:P35)</f>
        <v>0.94651100832122959</v>
      </c>
      <c r="R35" s="86">
        <f>+Q35/K35</f>
        <v>3.0015229253872846</v>
      </c>
      <c r="T35" s="90" t="s">
        <v>100</v>
      </c>
      <c r="U35" s="91">
        <f>0.58</f>
        <v>0.57999999999999996</v>
      </c>
    </row>
    <row r="36" spans="2:21">
      <c r="B36" s="92" t="s">
        <v>55</v>
      </c>
      <c r="C36" s="115">
        <f>+GEOMEAN('1.2 CR_CONSISTENCIA'!D54,'1.2 CR_CONSISTENCIA'!D64,'1.2 CR_CONSISTENCIA'!D73,'1.2 CR_CONSISTENCIA'!D83)</f>
        <v>0.66874030497642201</v>
      </c>
      <c r="D36" s="115">
        <f>+GEOMEAN('1.2 CR_CONSISTENCIA'!E54,'1.2 CR_CONSISTENCIA'!E64,'1.2 CR_CONSISTENCIA'!E73,'1.2 CR_CONSISTENCIA'!E83)</f>
        <v>0.79527072876705063</v>
      </c>
      <c r="E36" s="115">
        <f>+GEOMEAN('1.2 CR_CONSISTENCIA'!F54,'1.2 CR_CONSISTENCIA'!F64,'1.2 CR_CONSISTENCIA'!F73,'1.2 CR_CONSISTENCIA'!F83)</f>
        <v>1</v>
      </c>
      <c r="G36" s="92" t="s">
        <v>55</v>
      </c>
      <c r="H36" s="115">
        <f t="shared" si="2"/>
        <v>0.29115641703302414</v>
      </c>
      <c r="I36" s="115">
        <f t="shared" si="2"/>
        <v>0.29217080641415427</v>
      </c>
      <c r="J36" s="115">
        <f t="shared" si="2"/>
        <v>0.19709024656777982</v>
      </c>
      <c r="K36" s="147">
        <f>SUM(H36:J36)/3</f>
        <v>0.26013915667165277</v>
      </c>
      <c r="M36" s="92" t="s">
        <v>55</v>
      </c>
      <c r="N36" s="115">
        <f>C36*$N$3</f>
        <v>0.2900560958438908</v>
      </c>
      <c r="O36" s="115">
        <f>D36*$O$3</f>
        <v>0.29377591199918007</v>
      </c>
      <c r="P36" s="115">
        <f>E36*$P$3</f>
        <v>0.19686131801069118</v>
      </c>
      <c r="Q36" s="115">
        <f>+SUM(N36:P36)</f>
        <v>0.78069332585376205</v>
      </c>
      <c r="R36" s="115">
        <f>+Q36/K36</f>
        <v>3.001060416441466</v>
      </c>
      <c r="T36" s="90" t="s">
        <v>101</v>
      </c>
      <c r="U36" s="91">
        <f>U34/U35</f>
        <v>1.2172410869972095E-3</v>
      </c>
    </row>
    <row r="37" spans="2:21">
      <c r="B37" s="96" t="s">
        <v>113</v>
      </c>
      <c r="C37" s="97">
        <f>SUM(C34:C36)</f>
        <v>2.4285759906280147</v>
      </c>
      <c r="D37" s="97">
        <f>SUM(D34:D36)</f>
        <v>3.1113447417195434</v>
      </c>
      <c r="E37" s="97">
        <f>SUM(E34:E36)</f>
        <v>3.7527822109041562</v>
      </c>
      <c r="G37" s="97"/>
      <c r="H37" s="97"/>
      <c r="I37" s="97"/>
      <c r="J37" s="97"/>
      <c r="K37" s="71"/>
      <c r="M37" s="85"/>
      <c r="N37" s="86"/>
      <c r="O37" s="86"/>
      <c r="P37" s="86"/>
      <c r="Q37" s="88"/>
      <c r="R37" s="89"/>
    </row>
  </sheetData>
  <conditionalFormatting sqref="U7">
    <cfRule type="cellIs" dxfId="77" priority="5" operator="greaterThan">
      <formula>0.1</formula>
    </cfRule>
    <cfRule type="cellIs" dxfId="76" priority="6" operator="lessThan">
      <formula>0.1</formula>
    </cfRule>
  </conditionalFormatting>
  <conditionalFormatting sqref="U25">
    <cfRule type="cellIs" dxfId="75" priority="3" operator="greaterThan">
      <formula>0.1</formula>
    </cfRule>
    <cfRule type="cellIs" dxfId="74" priority="4" operator="lessThan">
      <formula>0.1</formula>
    </cfRule>
  </conditionalFormatting>
  <conditionalFormatting sqref="U36">
    <cfRule type="cellIs" dxfId="73" priority="1" operator="greaterThan">
      <formula>0.1</formula>
    </cfRule>
    <cfRule type="cellIs" dxfId="72" priority="2" operator="lessThan">
      <formula>0.1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FE69-D97C-45A6-9AAC-49ACE4E43F6E}">
  <sheetPr codeName="Hoja2">
    <tabColor theme="7" tint="0.79998168889431442"/>
    <outlinePr summaryBelow="0" summaryRight="0"/>
  </sheetPr>
  <dimension ref="B2:AA297"/>
  <sheetViews>
    <sheetView showGridLines="0" zoomScale="55" zoomScaleNormal="55" workbookViewId="0">
      <selection activeCell="C131" sqref="C1:C131"/>
    </sheetView>
  </sheetViews>
  <sheetFormatPr defaultColWidth="12.5703125" defaultRowHeight="15.75" customHeight="1"/>
  <cols>
    <col min="1" max="1" width="18.85546875" customWidth="1"/>
    <col min="2" max="2" width="23.7109375" customWidth="1"/>
    <col min="3" max="3" width="3.42578125" customWidth="1"/>
    <col min="4" max="8" width="7.140625" customWidth="1"/>
    <col min="9" max="9" width="5.140625" customWidth="1"/>
    <col min="10" max="15" width="7.140625" customWidth="1"/>
    <col min="16" max="16" width="5.140625" customWidth="1"/>
    <col min="17" max="20" width="7.140625" customWidth="1"/>
    <col min="21" max="22" width="13.28515625" customWidth="1"/>
    <col min="23" max="23" width="14" customWidth="1"/>
    <col min="24" max="24" width="4.140625" customWidth="1"/>
    <col min="25" max="25" width="7.7109375" customWidth="1"/>
    <col min="27" max="27" width="3.85546875" customWidth="1"/>
  </cols>
  <sheetData>
    <row r="2" spans="3:14" ht="15.75" customHeight="1">
      <c r="C2" s="299" t="s">
        <v>51</v>
      </c>
      <c r="D2" s="49" t="s">
        <v>52</v>
      </c>
    </row>
    <row r="3" spans="3:14" ht="15.75" customHeight="1">
      <c r="C3" s="299" t="s">
        <v>53</v>
      </c>
      <c r="D3" s="50" t="s">
        <v>54</v>
      </c>
      <c r="K3" s="7">
        <f t="array" ref="K3:K5">+MMULT(E143:G145,N143:N145)</f>
        <v>1.2857020404664572</v>
      </c>
    </row>
    <row r="4" spans="3:14" ht="15.75" customHeight="1">
      <c r="C4" s="299" t="s">
        <v>55</v>
      </c>
      <c r="D4" s="50" t="s">
        <v>56</v>
      </c>
      <c r="K4">
        <v>0.42855306076771416</v>
      </c>
    </row>
    <row r="5" spans="3:14" ht="15.75" customHeight="1">
      <c r="C5" s="299"/>
      <c r="D5" s="49"/>
      <c r="K5">
        <v>1.2857449000584864</v>
      </c>
    </row>
    <row r="6" spans="3:14" ht="15.75" customHeight="1">
      <c r="C6" s="299" t="s">
        <v>57</v>
      </c>
      <c r="D6" s="49" t="s">
        <v>58</v>
      </c>
      <c r="K6" s="7"/>
    </row>
    <row r="7" spans="3:14" ht="15.75" customHeight="1">
      <c r="C7" s="299" t="s">
        <v>63</v>
      </c>
      <c r="D7" s="49" t="s">
        <v>64</v>
      </c>
      <c r="K7" s="7"/>
    </row>
    <row r="8" spans="3:14" ht="15.75" customHeight="1">
      <c r="C8" s="299" t="s">
        <v>59</v>
      </c>
      <c r="D8" s="49" t="s">
        <v>60</v>
      </c>
      <c r="J8" s="4" t="s">
        <v>123</v>
      </c>
      <c r="K8" s="5">
        <f>+SUM(_xlfn.ANCHORARRAY(K3))</f>
        <v>3.0000000012926575</v>
      </c>
    </row>
    <row r="9" spans="3:14" ht="15.75" customHeight="1">
      <c r="C9" s="299" t="s">
        <v>65</v>
      </c>
      <c r="D9" s="49" t="s">
        <v>66</v>
      </c>
      <c r="J9" s="4" t="s">
        <v>96</v>
      </c>
      <c r="K9" s="6">
        <v>3</v>
      </c>
    </row>
    <row r="10" spans="3:14" ht="15.75" customHeight="1">
      <c r="C10" s="299" t="s">
        <v>69</v>
      </c>
      <c r="D10" s="49" t="s">
        <v>70</v>
      </c>
      <c r="J10" s="4" t="s">
        <v>98</v>
      </c>
      <c r="K10" s="6">
        <f>+(K8-K9)/(K9-1)</f>
        <v>6.4632876828341068E-10</v>
      </c>
      <c r="N10" s="2" t="s">
        <v>93</v>
      </c>
    </row>
    <row r="11" spans="3:14" ht="15.75" customHeight="1">
      <c r="C11" s="299" t="s">
        <v>61</v>
      </c>
      <c r="D11" s="49" t="s">
        <v>62</v>
      </c>
      <c r="J11" s="4" t="s">
        <v>100</v>
      </c>
      <c r="K11" s="6">
        <f>1.98*((K9-2)/(K9))</f>
        <v>0.65999999999999992</v>
      </c>
      <c r="N11" s="2" t="s">
        <v>95</v>
      </c>
    </row>
    <row r="12" spans="3:14" ht="15.75" customHeight="1">
      <c r="C12" s="299" t="s">
        <v>67</v>
      </c>
      <c r="D12" s="49" t="s">
        <v>68</v>
      </c>
      <c r="J12" s="4" t="s">
        <v>101</v>
      </c>
      <c r="K12" s="6">
        <f>K10/K11</f>
        <v>9.7928601255062243E-10</v>
      </c>
      <c r="N12" s="2" t="s">
        <v>97</v>
      </c>
    </row>
    <row r="13" spans="3:14" ht="15.75" customHeight="1">
      <c r="C13" s="299" t="s">
        <v>71</v>
      </c>
      <c r="D13" s="50" t="s">
        <v>72</v>
      </c>
      <c r="N13" s="2" t="s">
        <v>99</v>
      </c>
    </row>
    <row r="14" spans="3:14" ht="15.75" customHeight="1">
      <c r="C14" s="299" t="s">
        <v>73</v>
      </c>
      <c r="D14" s="50" t="s">
        <v>74</v>
      </c>
    </row>
    <row r="15" spans="3:14" ht="15.75" customHeight="1">
      <c r="C15" s="51"/>
    </row>
    <row r="16" spans="3:14" ht="15.75" customHeight="1">
      <c r="C16" s="51"/>
    </row>
    <row r="18" spans="2:27" ht="15.75" customHeight="1">
      <c r="B18" s="8"/>
      <c r="C18" s="8"/>
      <c r="D18" s="9"/>
      <c r="E18" s="9"/>
      <c r="F18" s="8"/>
      <c r="G18" s="8"/>
    </row>
    <row r="19" spans="2:27" ht="15.75" customHeight="1" thickBot="1">
      <c r="B19" s="8"/>
      <c r="C19" s="8"/>
      <c r="D19" s="9"/>
      <c r="E19" s="9"/>
      <c r="F19" s="8"/>
      <c r="G19" s="8"/>
    </row>
    <row r="20" spans="2:27" s="8" customFormat="1" ht="15.75" customHeight="1">
      <c r="B20" s="10"/>
      <c r="C20" s="53" t="s">
        <v>102</v>
      </c>
      <c r="D20" s="54"/>
      <c r="E20" s="55"/>
      <c r="F20" s="54"/>
      <c r="G20" s="56"/>
      <c r="H20" s="57"/>
      <c r="I20" s="54"/>
      <c r="J20" s="55"/>
      <c r="K20" s="54"/>
      <c r="L20" s="54"/>
      <c r="M20" s="57"/>
      <c r="N20" s="57"/>
      <c r="O20" s="57"/>
      <c r="P20" s="57"/>
      <c r="Q20" s="57"/>
      <c r="R20" s="57"/>
      <c r="S20" s="57"/>
      <c r="T20" s="57"/>
      <c r="U20" s="57"/>
      <c r="V20" s="57"/>
      <c r="W20" s="57"/>
      <c r="X20" s="57"/>
      <c r="Y20" s="57"/>
      <c r="Z20" s="57"/>
      <c r="AA20" s="58"/>
    </row>
    <row r="21" spans="2:27" s="8" customFormat="1" ht="15.75" customHeight="1">
      <c r="B21" s="10"/>
      <c r="C21" s="59"/>
      <c r="D21" s="46" t="s">
        <v>124</v>
      </c>
      <c r="E21" s="46"/>
      <c r="F21" s="47"/>
      <c r="G21" s="47"/>
      <c r="H21" s="47"/>
      <c r="I21" s="10"/>
      <c r="J21" s="11" t="s">
        <v>103</v>
      </c>
      <c r="K21" s="14"/>
      <c r="M21" s="14"/>
      <c r="N21" s="14"/>
      <c r="AA21" s="60"/>
    </row>
    <row r="22" spans="2:27" s="8" customFormat="1" ht="15.75" customHeight="1">
      <c r="B22" s="10"/>
      <c r="C22" s="59"/>
      <c r="D22" s="35"/>
      <c r="E22" s="20" t="s">
        <v>57</v>
      </c>
      <c r="F22" s="20" t="s">
        <v>63</v>
      </c>
      <c r="G22" s="16"/>
      <c r="H22" s="16"/>
      <c r="I22" s="10"/>
      <c r="J22" s="35"/>
      <c r="K22" s="20" t="s">
        <v>51</v>
      </c>
      <c r="L22" s="20" t="s">
        <v>53</v>
      </c>
      <c r="M22" s="36" t="s">
        <v>104</v>
      </c>
      <c r="N22" s="45"/>
      <c r="O22" s="45"/>
      <c r="Q22" s="20" t="s">
        <v>104</v>
      </c>
      <c r="R22" s="21">
        <f>+M23</f>
        <v>0.83333333333333337</v>
      </c>
      <c r="S22" s="21">
        <f>+M24</f>
        <v>0.16666666666666669</v>
      </c>
      <c r="T22" s="15"/>
      <c r="U22" s="15"/>
      <c r="AA22" s="60"/>
    </row>
    <row r="23" spans="2:27" s="8" customFormat="1" ht="15.75" customHeight="1">
      <c r="B23" s="10"/>
      <c r="C23" s="59"/>
      <c r="D23" s="20" t="s">
        <v>57</v>
      </c>
      <c r="E23" s="21">
        <v>1</v>
      </c>
      <c r="F23" s="21">
        <f>+'1.1 FORM'!F23</f>
        <v>5</v>
      </c>
      <c r="G23" s="17"/>
      <c r="H23" s="17"/>
      <c r="I23" s="10"/>
      <c r="J23" s="20" t="s">
        <v>51</v>
      </c>
      <c r="K23" s="21">
        <f>+E23/SUM(E23:E24)</f>
        <v>0.83333333333333337</v>
      </c>
      <c r="L23" s="21">
        <f>+F23/SUM(F23:F24)</f>
        <v>0.83333333333333337</v>
      </c>
      <c r="M23" s="25">
        <f>+AVERAGE(K23:L23)</f>
        <v>0.83333333333333337</v>
      </c>
      <c r="N23" s="24"/>
      <c r="O23" s="24"/>
      <c r="Q23" s="18"/>
      <c r="R23" s="19" t="s">
        <v>51</v>
      </c>
      <c r="S23" s="19" t="s">
        <v>53</v>
      </c>
      <c r="T23" s="19" t="s">
        <v>105</v>
      </c>
      <c r="U23" s="19" t="s">
        <v>106</v>
      </c>
      <c r="Y23" s="33" t="s">
        <v>123</v>
      </c>
      <c r="Z23" s="34">
        <f>+AVERAGE(U24:U26)</f>
        <v>2</v>
      </c>
      <c r="AA23" s="60"/>
    </row>
    <row r="24" spans="2:27" s="8" customFormat="1" ht="15.75" customHeight="1">
      <c r="B24" s="10"/>
      <c r="C24" s="59"/>
      <c r="D24" s="22" t="s">
        <v>63</v>
      </c>
      <c r="E24" s="23">
        <f>1/F23</f>
        <v>0.2</v>
      </c>
      <c r="F24" s="23">
        <v>1</v>
      </c>
      <c r="G24" s="17"/>
      <c r="H24" s="17"/>
      <c r="I24" s="10"/>
      <c r="J24" s="22" t="s">
        <v>53</v>
      </c>
      <c r="K24" s="23">
        <f>+E24/SUM(E23:E24)</f>
        <v>0.16666666666666669</v>
      </c>
      <c r="L24" s="23">
        <f>+F24/SUM(F23:F24)</f>
        <v>0.16666666666666666</v>
      </c>
      <c r="M24" s="26">
        <f>+AVERAGE(K24:L24)</f>
        <v>0.16666666666666669</v>
      </c>
      <c r="N24" s="24"/>
      <c r="O24" s="24"/>
      <c r="Q24" s="20" t="s">
        <v>51</v>
      </c>
      <c r="R24" s="21">
        <f>+R22*E23</f>
        <v>0.83333333333333337</v>
      </c>
      <c r="S24" s="21">
        <f>+S22*F23</f>
        <v>0.83333333333333348</v>
      </c>
      <c r="T24" s="29">
        <f>+SUM(R24:S24)</f>
        <v>1.666666666666667</v>
      </c>
      <c r="U24" s="30">
        <f>+T24/M23</f>
        <v>2.0000000000000004</v>
      </c>
      <c r="Y24" s="33" t="s">
        <v>96</v>
      </c>
      <c r="Z24" s="34">
        <f>+COUNTA(R23:S23)</f>
        <v>2</v>
      </c>
      <c r="AA24" s="60"/>
    </row>
    <row r="25" spans="2:27" s="8" customFormat="1" ht="15.75" customHeight="1">
      <c r="B25" s="10"/>
      <c r="C25" s="61"/>
      <c r="D25" s="17"/>
      <c r="E25" s="17"/>
      <c r="F25" s="17"/>
      <c r="G25" s="17"/>
      <c r="H25" s="17"/>
      <c r="I25" s="10"/>
      <c r="J25" s="16"/>
      <c r="K25" s="17"/>
      <c r="L25" s="17"/>
      <c r="M25" s="24"/>
      <c r="N25" s="24"/>
      <c r="O25" s="24"/>
      <c r="Q25" s="42" t="s">
        <v>53</v>
      </c>
      <c r="R25" s="40">
        <f>+R22*E24</f>
        <v>0.16666666666666669</v>
      </c>
      <c r="S25" s="40">
        <f>+S22*F24</f>
        <v>0.16666666666666669</v>
      </c>
      <c r="T25" s="43">
        <f>+SUM(R25:S25)</f>
        <v>0.33333333333333337</v>
      </c>
      <c r="U25" s="44">
        <f>+T25/M24</f>
        <v>2</v>
      </c>
      <c r="Y25" s="33" t="s">
        <v>107</v>
      </c>
      <c r="Z25" s="34">
        <f>+(Z23-Z24)/(Z24-1)</f>
        <v>0</v>
      </c>
      <c r="AA25" s="60"/>
    </row>
    <row r="26" spans="2:27" s="8" customFormat="1" ht="15.75" customHeight="1">
      <c r="B26" s="10"/>
      <c r="C26" s="62"/>
      <c r="D26" s="10"/>
      <c r="E26" s="10"/>
      <c r="F26" s="10"/>
      <c r="G26" s="10"/>
      <c r="H26" s="10"/>
      <c r="I26" s="10"/>
      <c r="J26" s="10"/>
      <c r="K26" s="10"/>
      <c r="L26" s="10"/>
      <c r="Q26" s="16"/>
      <c r="R26" s="17"/>
      <c r="S26" s="17"/>
      <c r="T26" s="27"/>
      <c r="U26" s="28"/>
      <c r="Y26" s="33" t="s">
        <v>108</v>
      </c>
      <c r="Z26" s="34">
        <v>0.57999999999999996</v>
      </c>
      <c r="AA26" s="60"/>
    </row>
    <row r="27" spans="2:27" s="8" customFormat="1" ht="15.75" customHeight="1">
      <c r="B27" s="10"/>
      <c r="C27" s="62"/>
      <c r="D27" s="10"/>
      <c r="E27" s="10"/>
      <c r="F27" s="10"/>
      <c r="G27" s="10"/>
      <c r="H27" s="10"/>
      <c r="Q27" s="16"/>
      <c r="R27" s="17"/>
      <c r="S27" s="17"/>
      <c r="T27" s="27"/>
      <c r="U27" s="28"/>
      <c r="Y27" s="33" t="s">
        <v>109</v>
      </c>
      <c r="Z27" s="34">
        <f>Z25/Z26</f>
        <v>0</v>
      </c>
      <c r="AA27" s="60"/>
    </row>
    <row r="28" spans="2:27" ht="15.75" customHeight="1">
      <c r="C28" s="63"/>
      <c r="D28" s="11"/>
      <c r="E28" s="12"/>
      <c r="F28" s="13"/>
      <c r="G28" s="13"/>
      <c r="H28" s="13"/>
      <c r="I28" s="12"/>
      <c r="J28" s="10"/>
      <c r="L28" s="12"/>
      <c r="M28" s="13"/>
      <c r="N28" s="13"/>
      <c r="O28" s="13"/>
      <c r="P28" s="12"/>
      <c r="Q28" s="12"/>
      <c r="R28" s="8"/>
      <c r="S28" s="8"/>
      <c r="T28" s="8"/>
      <c r="U28" s="8"/>
      <c r="V28" s="8"/>
      <c r="W28" s="8"/>
      <c r="X28" s="8"/>
      <c r="Y28" s="8"/>
      <c r="Z28" s="8"/>
      <c r="AA28" s="60"/>
    </row>
    <row r="29" spans="2:27" ht="15.75" customHeight="1">
      <c r="C29" s="63"/>
      <c r="D29" s="39" t="s">
        <v>125</v>
      </c>
      <c r="E29" s="14"/>
      <c r="F29" s="8"/>
      <c r="G29" s="14"/>
      <c r="H29" s="14"/>
      <c r="I29" s="10"/>
      <c r="J29" s="11" t="s">
        <v>103</v>
      </c>
      <c r="K29" s="14"/>
      <c r="L29" s="8"/>
      <c r="M29" s="14"/>
      <c r="N29" s="8"/>
      <c r="O29" s="8"/>
      <c r="P29" s="8"/>
      <c r="Q29" s="48" t="s">
        <v>126</v>
      </c>
      <c r="R29" s="8"/>
      <c r="S29" s="8"/>
      <c r="T29" s="8"/>
      <c r="U29" s="8"/>
      <c r="V29" s="8"/>
      <c r="W29" s="8"/>
      <c r="X29" s="8"/>
      <c r="Y29" s="8"/>
      <c r="AA29" s="64"/>
    </row>
    <row r="30" spans="2:27" ht="15.75" customHeight="1">
      <c r="C30" s="63"/>
      <c r="D30" s="35"/>
      <c r="E30" s="20" t="s">
        <v>59</v>
      </c>
      <c r="F30" s="20" t="s">
        <v>65</v>
      </c>
      <c r="G30" s="20" t="s">
        <v>69</v>
      </c>
      <c r="H30" s="16"/>
      <c r="I30" s="10"/>
      <c r="J30" s="35"/>
      <c r="K30" s="20" t="s">
        <v>51</v>
      </c>
      <c r="L30" s="20" t="s">
        <v>53</v>
      </c>
      <c r="M30" s="20" t="s">
        <v>55</v>
      </c>
      <c r="N30" s="36" t="s">
        <v>104</v>
      </c>
      <c r="O30" s="45"/>
      <c r="P30" s="8"/>
      <c r="Q30" s="20" t="s">
        <v>104</v>
      </c>
      <c r="R30" s="21">
        <f>+N31</f>
        <v>9.863718283619867E-2</v>
      </c>
      <c r="S30" s="21">
        <f>+N32</f>
        <v>0.72974505396593969</v>
      </c>
      <c r="T30" s="21">
        <f>+N33</f>
        <v>0.17161776319786159</v>
      </c>
      <c r="U30" s="15"/>
      <c r="V30" s="15"/>
      <c r="W30" s="15"/>
      <c r="X30" s="8"/>
      <c r="Y30" s="8"/>
      <c r="Z30" s="8"/>
      <c r="AA30" s="64"/>
    </row>
    <row r="31" spans="2:27" ht="15.75" customHeight="1">
      <c r="C31" s="63"/>
      <c r="D31" s="20" t="s">
        <v>59</v>
      </c>
      <c r="E31" s="21">
        <v>1</v>
      </c>
      <c r="F31" s="21">
        <f>+'1.1 FORM'!G23</f>
        <v>0.2</v>
      </c>
      <c r="G31" s="21">
        <f>+'1.1 FORM'!H23</f>
        <v>0.33333333333333331</v>
      </c>
      <c r="H31" s="17"/>
      <c r="I31" s="10"/>
      <c r="J31" s="20" t="s">
        <v>51</v>
      </c>
      <c r="K31" s="21">
        <f>+E31/SUM(E31:E33)</f>
        <v>0.1111111111111111</v>
      </c>
      <c r="L31" s="21">
        <f>+F31/SUM(F31:F33)</f>
        <v>0.15254237288135594</v>
      </c>
      <c r="M31" s="21">
        <f>+G31/SUM(G31:G33)</f>
        <v>3.2258064516129031E-2</v>
      </c>
      <c r="N31" s="25">
        <f>+AVERAGE(K31:M31)</f>
        <v>9.863718283619867E-2</v>
      </c>
      <c r="O31" s="24"/>
      <c r="P31" s="8"/>
      <c r="Q31" s="35"/>
      <c r="R31" s="20" t="s">
        <v>51</v>
      </c>
      <c r="S31" s="20" t="s">
        <v>53</v>
      </c>
      <c r="T31" s="20" t="s">
        <v>55</v>
      </c>
      <c r="U31" s="19" t="s">
        <v>105</v>
      </c>
      <c r="V31" s="19" t="s">
        <v>106</v>
      </c>
      <c r="W31" s="16"/>
      <c r="X31" s="8"/>
      <c r="Y31" s="33" t="s">
        <v>123</v>
      </c>
      <c r="Z31" s="34">
        <f>+AVERAGE(V32:V34)</f>
        <v>3.3495784089875933</v>
      </c>
      <c r="AA31" s="64"/>
    </row>
    <row r="32" spans="2:27" ht="15.75" customHeight="1">
      <c r="C32" s="63"/>
      <c r="D32" s="16" t="s">
        <v>65</v>
      </c>
      <c r="E32" s="17">
        <f>1/F31</f>
        <v>5</v>
      </c>
      <c r="F32" s="17">
        <v>1</v>
      </c>
      <c r="G32" s="17">
        <f>+'1.1 FORM'!I23</f>
        <v>9</v>
      </c>
      <c r="H32" s="17"/>
      <c r="I32" s="10"/>
      <c r="J32" s="16" t="s">
        <v>53</v>
      </c>
      <c r="K32" s="17">
        <f>+E32/SUM(E31:E33)</f>
        <v>0.55555555555555558</v>
      </c>
      <c r="L32" s="17">
        <f>+F32/SUM(F31:F33)</f>
        <v>0.76271186440677963</v>
      </c>
      <c r="M32" s="17">
        <f>+G32/SUM(G31:G33)</f>
        <v>0.87096774193548387</v>
      </c>
      <c r="N32" s="24">
        <f>+AVERAGE(K32:M32)</f>
        <v>0.72974505396593969</v>
      </c>
      <c r="O32" s="24"/>
      <c r="P32" s="8"/>
      <c r="Q32" s="20" t="s">
        <v>51</v>
      </c>
      <c r="R32" s="21">
        <f>+R30*E31</f>
        <v>9.863718283619867E-2</v>
      </c>
      <c r="S32" s="21">
        <f>+S30*F31</f>
        <v>0.14594901079318795</v>
      </c>
      <c r="T32" s="21">
        <f>+T30*G31</f>
        <v>5.720592106595386E-2</v>
      </c>
      <c r="U32" s="29">
        <f>+SUM(R32:T32)</f>
        <v>0.30179211469534045</v>
      </c>
      <c r="V32" s="30">
        <f>+U32/N31</f>
        <v>3.059618148224184</v>
      </c>
      <c r="W32" s="28"/>
      <c r="X32" s="8"/>
      <c r="Y32" s="33" t="s">
        <v>96</v>
      </c>
      <c r="Z32" s="34">
        <f>+COUNTA(R31:T31)</f>
        <v>3</v>
      </c>
      <c r="AA32" s="64"/>
    </row>
    <row r="33" spans="3:27" ht="15.75" customHeight="1">
      <c r="C33" s="63"/>
      <c r="D33" s="22" t="s">
        <v>69</v>
      </c>
      <c r="E33" s="23">
        <f>1/G31</f>
        <v>3</v>
      </c>
      <c r="F33" s="23">
        <f>1/G32</f>
        <v>0.1111111111111111</v>
      </c>
      <c r="G33" s="23">
        <v>1</v>
      </c>
      <c r="H33" s="17"/>
      <c r="I33" s="10"/>
      <c r="J33" s="22" t="s">
        <v>55</v>
      </c>
      <c r="K33" s="23">
        <f>+E33/SUM(E31:E33)</f>
        <v>0.33333333333333331</v>
      </c>
      <c r="L33" s="23">
        <f>+F33/SUM(F31:F33)</f>
        <v>8.4745762711864403E-2</v>
      </c>
      <c r="M33" s="23">
        <f>+G33/SUM(G31:G33)</f>
        <v>9.6774193548387094E-2</v>
      </c>
      <c r="N33" s="26">
        <f>+AVERAGE(K33:M33)</f>
        <v>0.17161776319786159</v>
      </c>
      <c r="O33" s="24"/>
      <c r="P33" s="8"/>
      <c r="Q33" s="16" t="s">
        <v>53</v>
      </c>
      <c r="R33" s="17">
        <f>+R30*E32</f>
        <v>0.49318591418099333</v>
      </c>
      <c r="S33" s="17">
        <f>+S30*F32</f>
        <v>0.72974505396593969</v>
      </c>
      <c r="T33" s="17">
        <f>+T30*G32</f>
        <v>1.5445598687807545</v>
      </c>
      <c r="U33" s="27">
        <f>+SUM(R33:T33)</f>
        <v>2.7674908369276876</v>
      </c>
      <c r="V33" s="28">
        <f>+U33/N32</f>
        <v>3.7924078030912671</v>
      </c>
      <c r="W33" s="28"/>
      <c r="X33" s="8"/>
      <c r="Y33" s="33" t="s">
        <v>107</v>
      </c>
      <c r="Z33" s="34">
        <f>+(Z31-Z32)/(Z32-1)</f>
        <v>0.17478920449379665</v>
      </c>
      <c r="AA33" s="64"/>
    </row>
    <row r="34" spans="3:27" ht="15.75" customHeight="1">
      <c r="C34" s="63"/>
      <c r="D34" s="10"/>
      <c r="E34" s="10"/>
      <c r="F34" s="10"/>
      <c r="G34" s="10"/>
      <c r="H34" s="10"/>
      <c r="I34" s="10"/>
      <c r="J34" s="10"/>
      <c r="K34" s="10"/>
      <c r="L34" s="10"/>
      <c r="M34" s="10"/>
      <c r="N34" s="8"/>
      <c r="O34" s="8"/>
      <c r="P34" s="8"/>
      <c r="Q34" s="22" t="s">
        <v>55</v>
      </c>
      <c r="R34" s="23">
        <f>+R30*E33</f>
        <v>0.29591154850859602</v>
      </c>
      <c r="S34" s="23">
        <f>+S30*F33</f>
        <v>8.1082783773993292E-2</v>
      </c>
      <c r="T34" s="23">
        <f>+T30*G33</f>
        <v>0.17161776319786159</v>
      </c>
      <c r="U34" s="31">
        <f>+SUM(R34:T34)</f>
        <v>0.54861209548045098</v>
      </c>
      <c r="V34" s="32">
        <f>+U34/N33</f>
        <v>3.1967092756473292</v>
      </c>
      <c r="W34" s="28"/>
      <c r="X34" s="8"/>
      <c r="Y34" s="33" t="s">
        <v>108</v>
      </c>
      <c r="Z34" s="34">
        <v>0.57999999999999996</v>
      </c>
      <c r="AA34" s="64"/>
    </row>
    <row r="35" spans="3:27" ht="15.75" customHeight="1">
      <c r="C35" s="63"/>
      <c r="D35" s="10"/>
      <c r="E35" s="10"/>
      <c r="F35" s="10"/>
      <c r="G35" s="10"/>
      <c r="H35" s="10"/>
      <c r="I35" s="8"/>
      <c r="J35" s="8"/>
      <c r="K35" s="8"/>
      <c r="L35" s="8"/>
      <c r="M35" s="8"/>
      <c r="N35" s="8"/>
      <c r="O35" s="8"/>
      <c r="P35" s="16"/>
      <c r="Q35" s="17"/>
      <c r="R35" s="17"/>
      <c r="S35" s="17"/>
      <c r="T35" s="27"/>
      <c r="U35" s="28"/>
      <c r="V35" s="8"/>
      <c r="W35" s="8"/>
      <c r="Y35" s="33" t="s">
        <v>109</v>
      </c>
      <c r="Z35" s="34">
        <f>Z33/Z34</f>
        <v>0.30136069740309768</v>
      </c>
      <c r="AA35" s="64"/>
    </row>
    <row r="36" spans="3:27" ht="15.75" customHeight="1">
      <c r="C36" s="63"/>
      <c r="AA36" s="64"/>
    </row>
    <row r="37" spans="3:27" ht="15.75" customHeight="1">
      <c r="C37" s="63"/>
      <c r="D37" s="39" t="s">
        <v>127</v>
      </c>
      <c r="E37" s="14"/>
      <c r="F37" s="8"/>
      <c r="G37" s="14"/>
      <c r="H37" s="14"/>
      <c r="I37" s="10"/>
      <c r="J37" s="11" t="s">
        <v>103</v>
      </c>
      <c r="K37" s="14"/>
      <c r="L37" s="8"/>
      <c r="M37" s="14"/>
      <c r="N37" s="8"/>
      <c r="O37" s="8"/>
      <c r="P37" s="8"/>
      <c r="Q37" s="8"/>
      <c r="R37" s="8"/>
      <c r="S37" s="8"/>
      <c r="T37" s="8"/>
      <c r="U37" s="8"/>
      <c r="V37" s="8"/>
      <c r="W37" s="8"/>
      <c r="X37" s="8"/>
      <c r="Y37" s="8"/>
      <c r="Z37" s="8"/>
      <c r="AA37" s="64"/>
    </row>
    <row r="38" spans="3:27" ht="15.75" customHeight="1">
      <c r="C38" s="63"/>
      <c r="D38" s="18"/>
      <c r="E38" s="19" t="s">
        <v>61</v>
      </c>
      <c r="F38" s="19" t="s">
        <v>67</v>
      </c>
      <c r="G38" s="19" t="s">
        <v>128</v>
      </c>
      <c r="H38" s="19" t="s">
        <v>73</v>
      </c>
      <c r="I38" s="10"/>
      <c r="J38" s="35"/>
      <c r="K38" s="20" t="s">
        <v>61</v>
      </c>
      <c r="L38" s="20" t="s">
        <v>67</v>
      </c>
      <c r="M38" s="20" t="s">
        <v>128</v>
      </c>
      <c r="N38" s="20" t="s">
        <v>73</v>
      </c>
      <c r="O38" s="36" t="s">
        <v>104</v>
      </c>
      <c r="P38" s="8"/>
      <c r="Q38" s="20" t="s">
        <v>104</v>
      </c>
      <c r="R38" s="21">
        <f>+O39</f>
        <v>6.0847695957990083E-2</v>
      </c>
      <c r="S38" s="21">
        <f>+O40</f>
        <v>0.24076591631738692</v>
      </c>
      <c r="T38" s="21">
        <f>+O41</f>
        <v>0.5660477489521607</v>
      </c>
      <c r="U38" s="52">
        <f>+O42</f>
        <v>0.13233863877246232</v>
      </c>
      <c r="V38" s="15"/>
      <c r="W38" s="15"/>
      <c r="X38" s="8"/>
      <c r="Y38" s="8"/>
      <c r="Z38" s="8"/>
      <c r="AA38" s="64"/>
    </row>
    <row r="39" spans="3:27" ht="15.75" customHeight="1">
      <c r="C39" s="63"/>
      <c r="D39" s="20" t="s">
        <v>61</v>
      </c>
      <c r="E39" s="21">
        <v>1</v>
      </c>
      <c r="F39" s="21">
        <f>+'1.1 FORM'!J23</f>
        <v>0.2</v>
      </c>
      <c r="G39" s="21">
        <f>+'1.1 FORM'!K23</f>
        <v>0.2</v>
      </c>
      <c r="H39" s="21">
        <f>+'1.1 FORM'!L23</f>
        <v>0.2</v>
      </c>
      <c r="I39" s="10"/>
      <c r="J39" s="20" t="s">
        <v>61</v>
      </c>
      <c r="K39" s="21">
        <f>+E39/SUM(E39:E42)</f>
        <v>6.25E-2</v>
      </c>
      <c r="L39" s="21">
        <f>+F39/SUM(F39:F42)</f>
        <v>4.4117647058823532E-2</v>
      </c>
      <c r="M39" s="21">
        <f>+G39/SUM(G39:G42)</f>
        <v>0.12162162162162163</v>
      </c>
      <c r="N39" s="21">
        <f>+H39/SUM(H39:H42)</f>
        <v>1.5151515151515154E-2</v>
      </c>
      <c r="O39" s="25">
        <f>+AVERAGE(K39:N39)</f>
        <v>6.0847695957990083E-2</v>
      </c>
      <c r="P39" s="8"/>
      <c r="Q39" s="35"/>
      <c r="R39" s="20" t="s">
        <v>61</v>
      </c>
      <c r="S39" s="20" t="s">
        <v>67</v>
      </c>
      <c r="T39" s="20" t="s">
        <v>128</v>
      </c>
      <c r="U39" s="20" t="s">
        <v>73</v>
      </c>
      <c r="V39" s="20" t="s">
        <v>105</v>
      </c>
      <c r="W39" s="20" t="s">
        <v>106</v>
      </c>
      <c r="X39" s="8"/>
      <c r="Y39" s="33" t="s">
        <v>123</v>
      </c>
      <c r="Z39" s="34">
        <f>+AVERAGE(W40:W43)</f>
        <v>4.5203656017777938</v>
      </c>
      <c r="AA39" s="64"/>
    </row>
    <row r="40" spans="3:27" ht="15.75" customHeight="1">
      <c r="C40" s="63"/>
      <c r="D40" s="16" t="s">
        <v>67</v>
      </c>
      <c r="E40" s="17">
        <f>1/F39</f>
        <v>5</v>
      </c>
      <c r="F40" s="17">
        <v>1</v>
      </c>
      <c r="G40" s="17">
        <f>+'1.1 FORM'!M23</f>
        <v>0.33333333333333331</v>
      </c>
      <c r="H40" s="17">
        <f>+'1.1 FORM'!N23</f>
        <v>3</v>
      </c>
      <c r="I40" s="10"/>
      <c r="J40" s="16" t="s">
        <v>67</v>
      </c>
      <c r="K40" s="17">
        <f>+E40/SUM(E39:E42)</f>
        <v>0.3125</v>
      </c>
      <c r="L40" s="17">
        <f>+F40/SUM(F39:F42)</f>
        <v>0.22058823529411764</v>
      </c>
      <c r="M40" s="17">
        <f>+G40/SUM(G39:G42)</f>
        <v>0.20270270270270269</v>
      </c>
      <c r="N40" s="17">
        <f>+H40/SUM(H39:H42)</f>
        <v>0.22727272727272729</v>
      </c>
      <c r="O40" s="24">
        <f>+AVERAGE(K40:N40)</f>
        <v>0.24076591631738692</v>
      </c>
      <c r="P40" s="8"/>
      <c r="Q40" s="20" t="s">
        <v>61</v>
      </c>
      <c r="R40" s="21">
        <f>+R38*E39</f>
        <v>6.0847695957990083E-2</v>
      </c>
      <c r="S40" s="21">
        <f>+S38*F39</f>
        <v>4.8153183263477388E-2</v>
      </c>
      <c r="T40" s="21">
        <f>+T38*G39</f>
        <v>0.11320954979043214</v>
      </c>
      <c r="U40" s="21">
        <f>+U38*H39</f>
        <v>2.6467727754492465E-2</v>
      </c>
      <c r="V40" s="21">
        <f>+SUM(R40:U40)</f>
        <v>0.2486781567663921</v>
      </c>
      <c r="W40" s="30">
        <f>+V40/O39</f>
        <v>4.0868952036915616</v>
      </c>
      <c r="X40" s="8"/>
      <c r="Y40" s="33" t="s">
        <v>96</v>
      </c>
      <c r="Z40" s="34">
        <v>4</v>
      </c>
      <c r="AA40" s="64"/>
    </row>
    <row r="41" spans="3:27" ht="15.75" customHeight="1">
      <c r="C41" s="63"/>
      <c r="D41" s="16" t="s">
        <v>128</v>
      </c>
      <c r="E41" s="17">
        <f>1/G39</f>
        <v>5</v>
      </c>
      <c r="F41" s="17">
        <f>1/G40</f>
        <v>3</v>
      </c>
      <c r="G41" s="17">
        <v>1</v>
      </c>
      <c r="H41" s="17">
        <f>+'1.1 FORM'!O23</f>
        <v>9</v>
      </c>
      <c r="I41" s="10"/>
      <c r="J41" s="16" t="s">
        <v>128</v>
      </c>
      <c r="K41" s="17">
        <f>+E41/SUM(E39:E42)</f>
        <v>0.3125</v>
      </c>
      <c r="L41" s="17">
        <f>+F41/SUM(F39:F42)</f>
        <v>0.66176470588235292</v>
      </c>
      <c r="M41" s="17">
        <f>+G41/SUM(G39:G42)</f>
        <v>0.60810810810810811</v>
      </c>
      <c r="N41" s="17">
        <f>+H41/SUM(H39:H42)</f>
        <v>0.68181818181818188</v>
      </c>
      <c r="O41" s="24">
        <f>+AVERAGE(K41:N41)</f>
        <v>0.5660477489521607</v>
      </c>
      <c r="P41" s="8"/>
      <c r="Q41" s="16" t="s">
        <v>67</v>
      </c>
      <c r="R41" s="17">
        <f>+R38*E40</f>
        <v>0.30423847978995044</v>
      </c>
      <c r="S41" s="17">
        <f>+S38*F40</f>
        <v>0.24076591631738692</v>
      </c>
      <c r="T41" s="17">
        <f>+T38*G40</f>
        <v>0.18868258298405355</v>
      </c>
      <c r="U41" s="17">
        <f>+U38*H40</f>
        <v>0.39701591631738697</v>
      </c>
      <c r="V41" s="17">
        <f>+SUM(R41:U41)</f>
        <v>1.1307028954087779</v>
      </c>
      <c r="W41" s="28">
        <f>+V41/O40</f>
        <v>4.6962747580859485</v>
      </c>
      <c r="X41" s="8"/>
      <c r="Y41" s="33" t="s">
        <v>107</v>
      </c>
      <c r="Z41" s="34">
        <f>+(Z39-Z40)/(Z40-1)</f>
        <v>0.17345520059259792</v>
      </c>
      <c r="AA41" s="64"/>
    </row>
    <row r="42" spans="3:27" ht="15.75" customHeight="1">
      <c r="C42" s="63"/>
      <c r="D42" s="22" t="s">
        <v>73</v>
      </c>
      <c r="E42" s="23">
        <f>1/H39</f>
        <v>5</v>
      </c>
      <c r="F42" s="23">
        <f>1/H40</f>
        <v>0.33333333333333331</v>
      </c>
      <c r="G42" s="23">
        <f>1/H41</f>
        <v>0.1111111111111111</v>
      </c>
      <c r="H42" s="23">
        <v>1</v>
      </c>
      <c r="I42" s="10"/>
      <c r="J42" s="22" t="s">
        <v>73</v>
      </c>
      <c r="K42" s="23">
        <f>+E42/SUM(E39:E42)</f>
        <v>0.3125</v>
      </c>
      <c r="L42" s="23">
        <f>+F42/SUM(F39:F42)</f>
        <v>7.3529411764705885E-2</v>
      </c>
      <c r="M42" s="23">
        <f>+G42/SUM(G39:G42)</f>
        <v>6.7567567567567571E-2</v>
      </c>
      <c r="N42" s="23">
        <f>+H42/SUM(H39:H42)</f>
        <v>7.575757575757576E-2</v>
      </c>
      <c r="O42" s="26">
        <f>+AVERAGE(K42:N42)</f>
        <v>0.13233863877246232</v>
      </c>
      <c r="P42" s="8"/>
      <c r="Q42" s="16" t="s">
        <v>128</v>
      </c>
      <c r="R42" s="17">
        <f>+R38*E41</f>
        <v>0.30423847978995044</v>
      </c>
      <c r="S42" s="17">
        <f>+S38*F41</f>
        <v>0.7222977489521607</v>
      </c>
      <c r="T42" s="17">
        <f>+T38*G41</f>
        <v>0.5660477489521607</v>
      </c>
      <c r="U42" s="17">
        <f>+U38*H41</f>
        <v>1.1910477489521609</v>
      </c>
      <c r="V42" s="17">
        <f>+SUM(R42:U42)</f>
        <v>2.7836317266464325</v>
      </c>
      <c r="W42" s="28">
        <f>+V42/O41</f>
        <v>4.9176623912017181</v>
      </c>
      <c r="X42" s="8"/>
      <c r="Y42" s="33" t="s">
        <v>108</v>
      </c>
      <c r="Z42" s="34">
        <v>0.9</v>
      </c>
      <c r="AA42" s="64"/>
    </row>
    <row r="43" spans="3:27" ht="15.75" customHeight="1">
      <c r="C43" s="63"/>
      <c r="D43" s="10"/>
      <c r="E43" s="10"/>
      <c r="F43" s="10"/>
      <c r="G43" s="10"/>
      <c r="H43" s="10"/>
      <c r="I43" s="8"/>
      <c r="J43" s="8"/>
      <c r="K43" s="8"/>
      <c r="L43" s="8"/>
      <c r="M43" s="8"/>
      <c r="N43" s="8"/>
      <c r="O43" s="8"/>
      <c r="P43" s="8"/>
      <c r="Q43" s="22" t="s">
        <v>73</v>
      </c>
      <c r="R43" s="23">
        <f>+R38*E42</f>
        <v>0.30423847978995044</v>
      </c>
      <c r="S43" s="23">
        <f>+S38*F42</f>
        <v>8.0255305439128968E-2</v>
      </c>
      <c r="T43" s="23">
        <f>+T38*G42</f>
        <v>6.2894194328017849E-2</v>
      </c>
      <c r="U43" s="23">
        <f>+U38*H42</f>
        <v>0.13233863877246232</v>
      </c>
      <c r="V43" s="23">
        <f>+SUM(R43:U43)</f>
        <v>0.57972661832955952</v>
      </c>
      <c r="W43" s="32">
        <f>+V43/O42</f>
        <v>4.3806300541319452</v>
      </c>
      <c r="X43" s="8"/>
      <c r="Y43" s="33" t="s">
        <v>109</v>
      </c>
      <c r="Z43" s="34">
        <f>Z41/Z42</f>
        <v>0.19272800065844212</v>
      </c>
      <c r="AA43" s="64"/>
    </row>
    <row r="44" spans="3:27" ht="15.75" customHeight="1">
      <c r="C44" s="63"/>
      <c r="AA44" s="64"/>
    </row>
    <row r="45" spans="3:27" ht="15.75" customHeight="1" thickBot="1">
      <c r="C45" s="65"/>
      <c r="D45" s="66"/>
      <c r="E45" s="66"/>
      <c r="F45" s="66"/>
      <c r="G45" s="66"/>
      <c r="H45" s="66"/>
      <c r="I45" s="66"/>
      <c r="J45" s="66"/>
      <c r="K45" s="66"/>
      <c r="L45" s="66"/>
      <c r="M45" s="66"/>
      <c r="N45" s="66"/>
      <c r="O45" s="66"/>
      <c r="P45" s="66"/>
      <c r="Q45" s="66"/>
      <c r="R45" s="66"/>
      <c r="S45" s="66"/>
      <c r="T45" s="66"/>
      <c r="U45" s="66"/>
      <c r="V45" s="66"/>
      <c r="W45" s="66"/>
      <c r="X45" s="66"/>
      <c r="Y45" s="66"/>
      <c r="Z45" s="66"/>
      <c r="AA45" s="67"/>
    </row>
    <row r="46" spans="3:27" ht="15.75" customHeight="1" thickBot="1"/>
    <row r="47" spans="3:27" ht="15.75" customHeight="1">
      <c r="C47" s="53" t="s">
        <v>110</v>
      </c>
      <c r="D47" s="68"/>
      <c r="E47" s="68"/>
      <c r="F47" s="68"/>
      <c r="G47" s="68"/>
      <c r="H47" s="68"/>
      <c r="I47" s="68"/>
      <c r="J47" s="68"/>
      <c r="K47" s="68"/>
      <c r="L47" s="68"/>
      <c r="M47" s="68"/>
      <c r="N47" s="68"/>
      <c r="O47" s="68"/>
      <c r="P47" s="68"/>
      <c r="Q47" s="68"/>
      <c r="R47" s="68"/>
      <c r="S47" s="68"/>
      <c r="T47" s="68"/>
      <c r="U47" s="68"/>
      <c r="V47" s="68"/>
      <c r="W47" s="68"/>
      <c r="X47" s="68"/>
      <c r="Y47" s="68"/>
      <c r="Z47" s="68"/>
      <c r="AA47" s="69"/>
    </row>
    <row r="48" spans="3:27" ht="15.75" customHeight="1">
      <c r="C48" s="63"/>
      <c r="AA48" s="64"/>
    </row>
    <row r="49" spans="3:27" ht="15.75" customHeight="1">
      <c r="C49" s="63"/>
      <c r="D49" s="46" t="s">
        <v>124</v>
      </c>
      <c r="E49" s="46"/>
      <c r="F49" s="46"/>
      <c r="J49" s="11" t="s">
        <v>103</v>
      </c>
      <c r="K49" s="14"/>
      <c r="L49" s="8"/>
      <c r="M49" s="14"/>
      <c r="N49" s="14"/>
      <c r="O49" s="8"/>
      <c r="P49" s="8"/>
      <c r="Q49" s="8"/>
      <c r="R49" s="8"/>
      <c r="S49" s="8"/>
      <c r="T49" s="8"/>
      <c r="U49" s="8"/>
      <c r="V49" s="8"/>
      <c r="W49" s="8"/>
      <c r="X49" s="8"/>
      <c r="Y49" s="8"/>
      <c r="Z49" s="8"/>
      <c r="AA49" s="64"/>
    </row>
    <row r="50" spans="3:27" ht="15.75" customHeight="1">
      <c r="C50" s="63"/>
      <c r="D50" s="35"/>
      <c r="E50" s="20" t="s">
        <v>57</v>
      </c>
      <c r="F50" s="20" t="s">
        <v>63</v>
      </c>
      <c r="J50" s="35"/>
      <c r="K50" s="20" t="s">
        <v>51</v>
      </c>
      <c r="L50" s="20" t="s">
        <v>53</v>
      </c>
      <c r="M50" s="36" t="s">
        <v>104</v>
      </c>
      <c r="N50" s="45"/>
      <c r="O50" s="45"/>
      <c r="P50" s="8"/>
      <c r="Q50" s="20" t="s">
        <v>104</v>
      </c>
      <c r="R50" s="21">
        <f>+M51</f>
        <v>0.5</v>
      </c>
      <c r="S50" s="21">
        <f>+M52</f>
        <v>0.5</v>
      </c>
      <c r="T50" s="15"/>
      <c r="U50" s="15"/>
      <c r="V50" s="8"/>
      <c r="W50" s="8"/>
      <c r="X50" s="8"/>
      <c r="Y50" s="8"/>
      <c r="Z50" s="8"/>
      <c r="AA50" s="64"/>
    </row>
    <row r="51" spans="3:27" ht="15.75" customHeight="1">
      <c r="C51" s="63"/>
      <c r="D51" s="20" t="s">
        <v>57</v>
      </c>
      <c r="E51" s="21">
        <v>1</v>
      </c>
      <c r="F51" s="21">
        <f>'1.1 FORM'!F24</f>
        <v>1</v>
      </c>
      <c r="J51" s="20" t="s">
        <v>51</v>
      </c>
      <c r="K51" s="21">
        <f>+E51/SUM(E51:E52)</f>
        <v>0.5</v>
      </c>
      <c r="L51" s="21">
        <f>+F51/SUM(F51:F52)</f>
        <v>0.5</v>
      </c>
      <c r="M51" s="25">
        <f>+AVERAGE(K51:L51)</f>
        <v>0.5</v>
      </c>
      <c r="N51" s="24"/>
      <c r="O51" s="24"/>
      <c r="P51" s="8"/>
      <c r="Q51" s="18"/>
      <c r="R51" s="19" t="s">
        <v>51</v>
      </c>
      <c r="S51" s="19" t="s">
        <v>53</v>
      </c>
      <c r="T51" s="19" t="s">
        <v>105</v>
      </c>
      <c r="U51" s="19" t="s">
        <v>106</v>
      </c>
      <c r="V51" s="8"/>
      <c r="W51" s="8"/>
      <c r="X51" s="8"/>
      <c r="Y51" s="33" t="s">
        <v>123</v>
      </c>
      <c r="Z51" s="34">
        <f>+AVERAGE(U52:U54)</f>
        <v>2</v>
      </c>
      <c r="AA51" s="64"/>
    </row>
    <row r="52" spans="3:27" ht="15.75" customHeight="1">
      <c r="C52" s="63"/>
      <c r="D52" s="22" t="s">
        <v>63</v>
      </c>
      <c r="E52" s="23">
        <f>1/F51</f>
        <v>1</v>
      </c>
      <c r="F52" s="23">
        <v>1</v>
      </c>
      <c r="J52" s="22" t="s">
        <v>53</v>
      </c>
      <c r="K52" s="23">
        <f>+E52/SUM(E51:E52)</f>
        <v>0.5</v>
      </c>
      <c r="L52" s="23">
        <f>+F52/SUM(F51:F52)</f>
        <v>0.5</v>
      </c>
      <c r="M52" s="26">
        <f>+AVERAGE(K52:L52)</f>
        <v>0.5</v>
      </c>
      <c r="N52" s="24"/>
      <c r="O52" s="24"/>
      <c r="P52" s="8"/>
      <c r="Q52" s="20" t="s">
        <v>51</v>
      </c>
      <c r="R52" s="21">
        <f>+R50*E51</f>
        <v>0.5</v>
      </c>
      <c r="S52" s="21">
        <f>+S50*F51</f>
        <v>0.5</v>
      </c>
      <c r="T52" s="29">
        <f>+SUM(R52:S52)</f>
        <v>1</v>
      </c>
      <c r="U52" s="30">
        <f>+T52/M51</f>
        <v>2</v>
      </c>
      <c r="V52" s="8"/>
      <c r="W52" s="8"/>
      <c r="X52" s="8"/>
      <c r="Y52" s="33" t="s">
        <v>96</v>
      </c>
      <c r="Z52" s="34">
        <f>+COUNTA(R51:S51)</f>
        <v>2</v>
      </c>
      <c r="AA52" s="64"/>
    </row>
    <row r="53" spans="3:27" ht="15.75" customHeight="1">
      <c r="C53" s="63"/>
      <c r="D53" s="10"/>
      <c r="E53" s="10"/>
      <c r="F53" s="10"/>
      <c r="G53" s="10"/>
      <c r="J53" s="16"/>
      <c r="K53" s="17"/>
      <c r="L53" s="17"/>
      <c r="M53" s="24"/>
      <c r="N53" s="24"/>
      <c r="O53" s="24"/>
      <c r="P53" s="8"/>
      <c r="Q53" s="42" t="s">
        <v>53</v>
      </c>
      <c r="R53" s="40">
        <f>+R50*E52</f>
        <v>0.5</v>
      </c>
      <c r="S53" s="40">
        <f>+S50*F52</f>
        <v>0.5</v>
      </c>
      <c r="T53" s="43">
        <f>+SUM(R53:S53)</f>
        <v>1</v>
      </c>
      <c r="U53" s="44">
        <f>+T53/M52</f>
        <v>2</v>
      </c>
      <c r="V53" s="8"/>
      <c r="W53" s="8"/>
      <c r="X53" s="8"/>
      <c r="Y53" s="33" t="s">
        <v>107</v>
      </c>
      <c r="Z53" s="34">
        <f>+(Z51-Z52)/(Z52-1)</f>
        <v>0</v>
      </c>
      <c r="AA53" s="64"/>
    </row>
    <row r="54" spans="3:27" ht="15.75" customHeight="1">
      <c r="C54" s="63"/>
      <c r="J54" s="10"/>
      <c r="K54" s="10"/>
      <c r="L54" s="10"/>
      <c r="M54" s="8"/>
      <c r="N54" s="8"/>
      <c r="O54" s="8"/>
      <c r="P54" s="8"/>
      <c r="Q54" s="16"/>
      <c r="R54" s="17"/>
      <c r="S54" s="17"/>
      <c r="T54" s="27"/>
      <c r="U54" s="28"/>
      <c r="V54" s="8"/>
      <c r="W54" s="8"/>
      <c r="X54" s="8"/>
      <c r="Y54" s="33" t="s">
        <v>108</v>
      </c>
      <c r="Z54" s="34">
        <v>0.57999999999999996</v>
      </c>
      <c r="AA54" s="64"/>
    </row>
    <row r="55" spans="3:27" ht="15.75" customHeight="1">
      <c r="C55" s="63"/>
      <c r="J55" s="8"/>
      <c r="K55" s="8"/>
      <c r="L55" s="8"/>
      <c r="M55" s="8"/>
      <c r="N55" s="8"/>
      <c r="O55" s="8"/>
      <c r="P55" s="8"/>
      <c r="Q55" s="16"/>
      <c r="R55" s="17"/>
      <c r="S55" s="17"/>
      <c r="T55" s="27"/>
      <c r="U55" s="28"/>
      <c r="V55" s="8"/>
      <c r="W55" s="8"/>
      <c r="X55" s="8"/>
      <c r="Y55" s="33" t="s">
        <v>109</v>
      </c>
      <c r="Z55" s="34">
        <f>Z53/Z54</f>
        <v>0</v>
      </c>
      <c r="AA55" s="64"/>
    </row>
    <row r="56" spans="3:27" ht="15.75" customHeight="1">
      <c r="C56" s="63"/>
      <c r="J56" s="10"/>
      <c r="L56" s="12"/>
      <c r="M56" s="13"/>
      <c r="N56" s="13"/>
      <c r="O56" s="13"/>
      <c r="P56" s="12"/>
      <c r="Q56" s="12"/>
      <c r="R56" s="8"/>
      <c r="S56" s="8"/>
      <c r="T56" s="8"/>
      <c r="U56" s="8"/>
      <c r="V56" s="8"/>
      <c r="W56" s="8"/>
      <c r="X56" s="8"/>
      <c r="Y56" s="8"/>
      <c r="Z56" s="8"/>
      <c r="AA56" s="64"/>
    </row>
    <row r="57" spans="3:27" ht="15.75" customHeight="1">
      <c r="C57" s="63"/>
      <c r="D57" s="3" t="s">
        <v>125</v>
      </c>
      <c r="E57" s="14"/>
      <c r="F57" s="8"/>
      <c r="G57" s="14"/>
      <c r="J57" s="11" t="s">
        <v>103</v>
      </c>
      <c r="K57" s="14"/>
      <c r="L57" s="8"/>
      <c r="M57" s="14"/>
      <c r="N57" s="8"/>
      <c r="O57" s="8"/>
      <c r="P57" s="8"/>
      <c r="Q57" t="s">
        <v>126</v>
      </c>
      <c r="R57" s="8"/>
      <c r="S57" s="8"/>
      <c r="T57" s="8"/>
      <c r="U57" s="8"/>
      <c r="V57" s="8"/>
      <c r="W57" s="8"/>
      <c r="X57" s="8"/>
      <c r="Y57" s="8"/>
      <c r="AA57" s="64"/>
    </row>
    <row r="58" spans="3:27" ht="15.75" customHeight="1">
      <c r="C58" s="63"/>
      <c r="D58" s="35"/>
      <c r="E58" s="20" t="s">
        <v>59</v>
      </c>
      <c r="F58" s="20" t="s">
        <v>65</v>
      </c>
      <c r="G58" s="20" t="s">
        <v>69</v>
      </c>
      <c r="J58" s="35"/>
      <c r="K58" s="20" t="s">
        <v>51</v>
      </c>
      <c r="L58" s="20" t="s">
        <v>53</v>
      </c>
      <c r="M58" s="20" t="s">
        <v>55</v>
      </c>
      <c r="N58" s="36" t="s">
        <v>104</v>
      </c>
      <c r="O58" s="45"/>
      <c r="P58" s="8"/>
      <c r="Q58" s="20" t="s">
        <v>104</v>
      </c>
      <c r="R58" s="21">
        <f>+N59</f>
        <v>0.43527583527583524</v>
      </c>
      <c r="S58" s="21">
        <f>+N60</f>
        <v>0.48655788655788657</v>
      </c>
      <c r="T58" s="21">
        <f>+N61</f>
        <v>7.8166278166278177E-2</v>
      </c>
      <c r="U58" s="15"/>
      <c r="V58" s="15"/>
      <c r="W58" s="15"/>
      <c r="X58" s="8"/>
      <c r="Y58" s="8"/>
      <c r="Z58" s="8"/>
      <c r="AA58" s="64"/>
    </row>
    <row r="59" spans="3:27" ht="15.75" customHeight="1">
      <c r="C59" s="63"/>
      <c r="D59" s="20" t="s">
        <v>59</v>
      </c>
      <c r="E59" s="21">
        <v>1</v>
      </c>
      <c r="F59" s="21">
        <f>'1.1 FORM'!G24</f>
        <v>1</v>
      </c>
      <c r="G59" s="21">
        <f>'1.1 FORM'!H24</f>
        <v>5</v>
      </c>
      <c r="J59" s="20" t="s">
        <v>51</v>
      </c>
      <c r="K59" s="21">
        <f>+E59/SUM(E59:E61)</f>
        <v>0.45454545454545453</v>
      </c>
      <c r="L59" s="21">
        <f>+F59/SUM(F59:F61)</f>
        <v>0.46666666666666667</v>
      </c>
      <c r="M59" s="21">
        <f>+G59/SUM(G59:G61)</f>
        <v>0.38461538461538464</v>
      </c>
      <c r="N59" s="25">
        <f>+AVERAGE(K59:M59)</f>
        <v>0.43527583527583524</v>
      </c>
      <c r="O59" s="24"/>
      <c r="P59" s="8"/>
      <c r="Q59" s="35"/>
      <c r="R59" s="20" t="s">
        <v>51</v>
      </c>
      <c r="S59" s="20" t="s">
        <v>53</v>
      </c>
      <c r="T59" s="20" t="s">
        <v>55</v>
      </c>
      <c r="U59" s="19" t="s">
        <v>105</v>
      </c>
      <c r="V59" s="19" t="s">
        <v>106</v>
      </c>
      <c r="W59" s="16"/>
      <c r="X59" s="8"/>
      <c r="Y59" s="33" t="s">
        <v>123</v>
      </c>
      <c r="Z59" s="34">
        <f>+AVERAGE(V60:V62)</f>
        <v>3.0126085294832401</v>
      </c>
      <c r="AA59" s="64"/>
    </row>
    <row r="60" spans="3:27" ht="15.75" customHeight="1">
      <c r="C60" s="63"/>
      <c r="D60" s="16" t="s">
        <v>65</v>
      </c>
      <c r="E60" s="17">
        <f>1/F59</f>
        <v>1</v>
      </c>
      <c r="F60" s="17">
        <v>1</v>
      </c>
      <c r="G60" s="17">
        <f>'1.1 FORM'!I24</f>
        <v>7</v>
      </c>
      <c r="J60" s="16" t="s">
        <v>53</v>
      </c>
      <c r="K60" s="17">
        <f>+E60/SUM(E59:E61)</f>
        <v>0.45454545454545453</v>
      </c>
      <c r="L60" s="17">
        <f>+F60/SUM(F59:F61)</f>
        <v>0.46666666666666667</v>
      </c>
      <c r="M60" s="17">
        <f>+G60/SUM(G59:G61)</f>
        <v>0.53846153846153844</v>
      </c>
      <c r="N60" s="24">
        <f>+AVERAGE(K60:M60)</f>
        <v>0.48655788655788657</v>
      </c>
      <c r="O60" s="24"/>
      <c r="P60" s="8"/>
      <c r="Q60" s="20" t="s">
        <v>51</v>
      </c>
      <c r="R60" s="21">
        <f>+R58*E59</f>
        <v>0.43527583527583524</v>
      </c>
      <c r="S60" s="21">
        <f>+S58*F59</f>
        <v>0.48655788655788657</v>
      </c>
      <c r="T60" s="21">
        <f>+T58*G59</f>
        <v>0.3908313908313909</v>
      </c>
      <c r="U60" s="29">
        <f>+SUM(R60:T60)</f>
        <v>1.3126651126651128</v>
      </c>
      <c r="V60" s="30">
        <f>+U60/N59</f>
        <v>3.015708675473046</v>
      </c>
      <c r="W60" s="28"/>
      <c r="X60" s="8"/>
      <c r="Y60" s="33" t="s">
        <v>96</v>
      </c>
      <c r="Z60" s="34">
        <f>+COUNTA(R59:T59)</f>
        <v>3</v>
      </c>
      <c r="AA60" s="64"/>
    </row>
    <row r="61" spans="3:27" ht="15.75" customHeight="1">
      <c r="C61" s="63"/>
      <c r="D61" s="22" t="s">
        <v>69</v>
      </c>
      <c r="E61" s="23">
        <f>1/G59</f>
        <v>0.2</v>
      </c>
      <c r="F61" s="23">
        <f>1/G60</f>
        <v>0.14285714285714285</v>
      </c>
      <c r="G61" s="23">
        <v>1</v>
      </c>
      <c r="J61" s="22" t="s">
        <v>55</v>
      </c>
      <c r="K61" s="23">
        <f>+E61/SUM(E59:E61)</f>
        <v>9.0909090909090912E-2</v>
      </c>
      <c r="L61" s="23">
        <f>+F61/SUM(F59:F61)</f>
        <v>6.6666666666666666E-2</v>
      </c>
      <c r="M61" s="23">
        <f>+G61/SUM(G59:G61)</f>
        <v>7.6923076923076927E-2</v>
      </c>
      <c r="N61" s="26">
        <f>+AVERAGE(K61:M61)</f>
        <v>7.8166278166278177E-2</v>
      </c>
      <c r="O61" s="24"/>
      <c r="P61" s="8"/>
      <c r="Q61" s="16" t="s">
        <v>53</v>
      </c>
      <c r="R61" s="17">
        <f>+R58*E60</f>
        <v>0.43527583527583524</v>
      </c>
      <c r="S61" s="17">
        <f>+S58*F60</f>
        <v>0.48655788655788657</v>
      </c>
      <c r="T61" s="17">
        <f>+T58*G60</f>
        <v>0.54716394716394723</v>
      </c>
      <c r="U61" s="27">
        <f>+SUM(R61:T61)</f>
        <v>1.4689976689976691</v>
      </c>
      <c r="V61" s="28">
        <f>+U61/N60</f>
        <v>3.0191632066432454</v>
      </c>
      <c r="W61" s="28"/>
      <c r="X61" s="8"/>
      <c r="Y61" s="33" t="s">
        <v>107</v>
      </c>
      <c r="Z61" s="34">
        <f>+(Z59-Z60)/(Z60-1)</f>
        <v>6.304264741620047E-3</v>
      </c>
      <c r="AA61" s="64"/>
    </row>
    <row r="62" spans="3:27" ht="15.75" customHeight="1">
      <c r="C62" s="63"/>
      <c r="J62" s="10"/>
      <c r="K62" s="10"/>
      <c r="L62" s="10"/>
      <c r="M62" s="10"/>
      <c r="N62" s="8"/>
      <c r="O62" s="8"/>
      <c r="P62" s="8"/>
      <c r="Q62" s="22" t="s">
        <v>55</v>
      </c>
      <c r="R62" s="23">
        <f>+R58*E61</f>
        <v>8.7055167055167054E-2</v>
      </c>
      <c r="S62" s="23">
        <f>+S58*F61</f>
        <v>6.9508269508269507E-2</v>
      </c>
      <c r="T62" s="23">
        <f>+T58*G61</f>
        <v>7.8166278166278177E-2</v>
      </c>
      <c r="U62" s="31">
        <f>+SUM(R62:T62)</f>
        <v>0.23472971472971477</v>
      </c>
      <c r="V62" s="32">
        <f>+U62/N61</f>
        <v>3.002953706333428</v>
      </c>
      <c r="W62" s="28"/>
      <c r="X62" s="8"/>
      <c r="Y62" s="33" t="s">
        <v>108</v>
      </c>
      <c r="Z62" s="34">
        <v>0.57999999999999996</v>
      </c>
      <c r="AA62" s="64"/>
    </row>
    <row r="63" spans="3:27" ht="15.75" customHeight="1">
      <c r="C63" s="63"/>
      <c r="J63" s="8"/>
      <c r="K63" s="8"/>
      <c r="L63" s="8"/>
      <c r="M63" s="8"/>
      <c r="N63" s="8"/>
      <c r="O63" s="8"/>
      <c r="P63" s="16"/>
      <c r="Q63" s="17"/>
      <c r="R63" s="17"/>
      <c r="S63" s="17"/>
      <c r="T63" s="27"/>
      <c r="U63" s="28"/>
      <c r="V63" s="8"/>
      <c r="W63" s="8"/>
      <c r="Y63" s="33" t="s">
        <v>109</v>
      </c>
      <c r="Z63" s="34">
        <f>Z61/Z62</f>
        <v>1.0869421968310427E-2</v>
      </c>
      <c r="AA63" s="64"/>
    </row>
    <row r="64" spans="3:27" ht="15.75" customHeight="1">
      <c r="C64" s="63"/>
      <c r="AA64" s="64"/>
    </row>
    <row r="65" spans="3:27" ht="15.75" customHeight="1">
      <c r="C65" s="63"/>
      <c r="D65" s="39" t="s">
        <v>127</v>
      </c>
      <c r="E65" s="14"/>
      <c r="F65" s="8"/>
      <c r="G65" s="14"/>
      <c r="H65" s="14"/>
      <c r="J65" s="11" t="s">
        <v>103</v>
      </c>
      <c r="K65" s="14"/>
      <c r="L65" s="8"/>
      <c r="M65" s="14"/>
      <c r="N65" s="8"/>
      <c r="O65" s="8"/>
      <c r="P65" s="8"/>
      <c r="Q65" s="8"/>
      <c r="R65" s="8"/>
      <c r="S65" s="8"/>
      <c r="T65" s="8"/>
      <c r="U65" s="8"/>
      <c r="V65" s="8"/>
      <c r="W65" s="8"/>
      <c r="X65" s="8"/>
      <c r="Y65" s="8"/>
      <c r="Z65" s="8"/>
      <c r="AA65" s="64"/>
    </row>
    <row r="66" spans="3:27" ht="15.75" customHeight="1">
      <c r="C66" s="63"/>
      <c r="D66" s="35"/>
      <c r="E66" s="20" t="s">
        <v>61</v>
      </c>
      <c r="F66" s="20" t="s">
        <v>67</v>
      </c>
      <c r="G66" s="20" t="s">
        <v>128</v>
      </c>
      <c r="H66" s="20" t="s">
        <v>73</v>
      </c>
      <c r="J66" s="35"/>
      <c r="K66" s="20" t="s">
        <v>61</v>
      </c>
      <c r="L66" s="20" t="s">
        <v>67</v>
      </c>
      <c r="M66" s="20" t="s">
        <v>128</v>
      </c>
      <c r="N66" s="20" t="s">
        <v>73</v>
      </c>
      <c r="O66" s="36" t="s">
        <v>104</v>
      </c>
      <c r="P66" s="8"/>
      <c r="Q66" s="20" t="s">
        <v>104</v>
      </c>
      <c r="R66" s="21">
        <f>+O67</f>
        <v>0.56617890211640221</v>
      </c>
      <c r="S66" s="21">
        <f>+O68</f>
        <v>4.9313822751322747E-2</v>
      </c>
      <c r="T66" s="21">
        <f>+O69</f>
        <v>0.25252149470899471</v>
      </c>
      <c r="U66" s="52">
        <f>+O70</f>
        <v>0.13198578042328044</v>
      </c>
      <c r="V66" s="15"/>
      <c r="W66" s="15"/>
      <c r="X66" s="8"/>
      <c r="Y66" s="8"/>
      <c r="Z66" s="8"/>
      <c r="AA66" s="64"/>
    </row>
    <row r="67" spans="3:27" ht="15.75" customHeight="1">
      <c r="C67" s="63"/>
      <c r="D67" s="16" t="s">
        <v>61</v>
      </c>
      <c r="E67" s="17">
        <v>1</v>
      </c>
      <c r="F67" s="17">
        <f>'1.1 FORM'!J24</f>
        <v>7</v>
      </c>
      <c r="G67" s="17">
        <f>'1.1 FORM'!K24</f>
        <v>5</v>
      </c>
      <c r="H67" s="17">
        <f>'1.1 FORM'!L24</f>
        <v>5</v>
      </c>
      <c r="J67" s="20" t="s">
        <v>61</v>
      </c>
      <c r="K67" s="21">
        <f>+E67/SUM(E67:E70)</f>
        <v>0.64814814814814825</v>
      </c>
      <c r="L67" s="21">
        <f>+F67/SUM(F67:F70)</f>
        <v>0.3888888888888889</v>
      </c>
      <c r="M67" s="21">
        <f>+G67/SUM(G67:G70)</f>
        <v>0.78125</v>
      </c>
      <c r="N67" s="21">
        <f>+H67/SUM(H67:H70)</f>
        <v>0.44642857142857145</v>
      </c>
      <c r="O67" s="25">
        <f>+AVERAGE(K67:N67)</f>
        <v>0.56617890211640221</v>
      </c>
      <c r="P67" s="8"/>
      <c r="Q67" s="35"/>
      <c r="R67" s="20" t="s">
        <v>61</v>
      </c>
      <c r="S67" s="20" t="s">
        <v>67</v>
      </c>
      <c r="T67" s="20" t="s">
        <v>128</v>
      </c>
      <c r="U67" s="20" t="s">
        <v>73</v>
      </c>
      <c r="V67" s="20" t="s">
        <v>105</v>
      </c>
      <c r="W67" s="20" t="s">
        <v>106</v>
      </c>
      <c r="X67" s="8"/>
      <c r="Y67" s="33" t="s">
        <v>123</v>
      </c>
      <c r="Z67" s="34">
        <f>+AVERAGE(W68:W71)</f>
        <v>4.5879665717794307</v>
      </c>
      <c r="AA67" s="64"/>
    </row>
    <row r="68" spans="3:27" ht="15.75" customHeight="1">
      <c r="C68" s="63"/>
      <c r="D68" s="16" t="s">
        <v>67</v>
      </c>
      <c r="E68" s="17">
        <f>1/F67</f>
        <v>0.14285714285714285</v>
      </c>
      <c r="F68" s="17">
        <v>1</v>
      </c>
      <c r="G68" s="17">
        <f>'1.1 FORM'!M24</f>
        <v>0.2</v>
      </c>
      <c r="H68" s="17">
        <f>'1.1 FORM'!N24</f>
        <v>0.2</v>
      </c>
      <c r="J68" s="16" t="s">
        <v>67</v>
      </c>
      <c r="K68" s="17">
        <f>+E68/SUM(E67:E70)</f>
        <v>9.2592592592592601E-2</v>
      </c>
      <c r="L68" s="17">
        <f>+F68/SUM(F67:F70)</f>
        <v>5.5555555555555552E-2</v>
      </c>
      <c r="M68" s="17">
        <f>+G68/SUM(G67:G70)</f>
        <v>3.125E-2</v>
      </c>
      <c r="N68" s="17">
        <f>+H68/SUM(H67:H70)</f>
        <v>1.785714285714286E-2</v>
      </c>
      <c r="O68" s="24">
        <f>+AVERAGE(K68:N68)</f>
        <v>4.9313822751322747E-2</v>
      </c>
      <c r="P68" s="8"/>
      <c r="Q68" s="20" t="s">
        <v>61</v>
      </c>
      <c r="R68" s="21">
        <f>+R66*E67</f>
        <v>0.56617890211640221</v>
      </c>
      <c r="S68" s="21">
        <f>+S66*F67</f>
        <v>0.34519675925925924</v>
      </c>
      <c r="T68" s="21">
        <f>+T66*G67</f>
        <v>1.2626074735449735</v>
      </c>
      <c r="U68" s="21">
        <f>+U66*H67</f>
        <v>0.65992890211640221</v>
      </c>
      <c r="V68" s="21">
        <f>+SUM(R68:U68)</f>
        <v>2.8339120370370372</v>
      </c>
      <c r="W68" s="30">
        <f>+V68/O67</f>
        <v>5.0053296342264728</v>
      </c>
      <c r="X68" s="8"/>
      <c r="Y68" s="33" t="s">
        <v>96</v>
      </c>
      <c r="Z68" s="34">
        <v>4</v>
      </c>
      <c r="AA68" s="64"/>
    </row>
    <row r="69" spans="3:27" ht="15.75" customHeight="1">
      <c r="C69" s="63"/>
      <c r="D69" s="16" t="s">
        <v>128</v>
      </c>
      <c r="E69" s="17">
        <f>1/G67</f>
        <v>0.2</v>
      </c>
      <c r="F69" s="17">
        <f>1/G68</f>
        <v>5</v>
      </c>
      <c r="G69" s="17">
        <v>1</v>
      </c>
      <c r="H69" s="17">
        <f>'1.1 FORM'!O24</f>
        <v>5</v>
      </c>
      <c r="J69" s="16" t="s">
        <v>128</v>
      </c>
      <c r="K69" s="17">
        <f>+E69/SUM(E67:E70)</f>
        <v>0.12962962962962965</v>
      </c>
      <c r="L69" s="17">
        <f>+F69/SUM(F67:F70)</f>
        <v>0.27777777777777779</v>
      </c>
      <c r="M69" s="17">
        <f>+G69/SUM(G67:G70)</f>
        <v>0.15625</v>
      </c>
      <c r="N69" s="17">
        <f>+H69/SUM(H67:H70)</f>
        <v>0.44642857142857145</v>
      </c>
      <c r="O69" s="24">
        <f>+AVERAGE(K69:N69)</f>
        <v>0.25252149470899471</v>
      </c>
      <c r="P69" s="8"/>
      <c r="Q69" s="16" t="s">
        <v>67</v>
      </c>
      <c r="R69" s="17">
        <f>+R66*E68</f>
        <v>8.0882700302343166E-2</v>
      </c>
      <c r="S69" s="17">
        <f>+S66*F68</f>
        <v>4.9313822751322747E-2</v>
      </c>
      <c r="T69" s="17">
        <f>+T66*G68</f>
        <v>5.0504298941798947E-2</v>
      </c>
      <c r="U69" s="17">
        <f>+U66*H68</f>
        <v>2.6397156084656089E-2</v>
      </c>
      <c r="V69" s="17">
        <f>+SUM(R69:U69)</f>
        <v>0.20709797808012095</v>
      </c>
      <c r="W69" s="28">
        <f>+V69/O68</f>
        <v>4.1995928631301647</v>
      </c>
      <c r="X69" s="8"/>
      <c r="Y69" s="33" t="s">
        <v>107</v>
      </c>
      <c r="Z69" s="34">
        <f>+(Z67-Z68)/(Z68-1)</f>
        <v>0.19598885725981022</v>
      </c>
      <c r="AA69" s="64"/>
    </row>
    <row r="70" spans="3:27" ht="15.75" customHeight="1">
      <c r="C70" s="63"/>
      <c r="D70" s="22" t="s">
        <v>73</v>
      </c>
      <c r="E70" s="23">
        <f>1/H67</f>
        <v>0.2</v>
      </c>
      <c r="F70" s="23">
        <f>1/H68</f>
        <v>5</v>
      </c>
      <c r="G70" s="23">
        <f>1/H69</f>
        <v>0.2</v>
      </c>
      <c r="H70" s="23">
        <v>1</v>
      </c>
      <c r="J70" s="22" t="s">
        <v>73</v>
      </c>
      <c r="K70" s="23">
        <f>+E70/SUM(E67:E70)</f>
        <v>0.12962962962962965</v>
      </c>
      <c r="L70" s="23">
        <f>+F70/SUM(F67:F70)</f>
        <v>0.27777777777777779</v>
      </c>
      <c r="M70" s="23">
        <f>+G70/SUM(G67:G70)</f>
        <v>3.125E-2</v>
      </c>
      <c r="N70" s="23">
        <f>+H70/SUM(H67:H70)</f>
        <v>8.9285714285714288E-2</v>
      </c>
      <c r="O70" s="26">
        <f>+AVERAGE(K70:N70)</f>
        <v>0.13198578042328044</v>
      </c>
      <c r="P70" s="8"/>
      <c r="Q70" s="16" t="s">
        <v>128</v>
      </c>
      <c r="R70" s="17">
        <f>+R66*E69</f>
        <v>0.11323578042328045</v>
      </c>
      <c r="S70" s="17">
        <f>+S66*F69</f>
        <v>0.24656911375661372</v>
      </c>
      <c r="T70" s="17">
        <f>+T66*G69</f>
        <v>0.25252149470899471</v>
      </c>
      <c r="U70" s="17">
        <f>+U66*H69</f>
        <v>0.65992890211640221</v>
      </c>
      <c r="V70" s="17">
        <f>+SUM(R70:U70)</f>
        <v>1.2722552910052909</v>
      </c>
      <c r="W70" s="28">
        <f>+V70/O69</f>
        <v>5.0382059256834175</v>
      </c>
      <c r="X70" s="8"/>
      <c r="Y70" s="33" t="s">
        <v>108</v>
      </c>
      <c r="Z70" s="34">
        <v>0.9</v>
      </c>
      <c r="AA70" s="64"/>
    </row>
    <row r="71" spans="3:27" ht="15.75" customHeight="1">
      <c r="C71" s="63"/>
      <c r="J71" s="8"/>
      <c r="K71" s="8"/>
      <c r="L71" s="8"/>
      <c r="M71" s="8"/>
      <c r="N71" s="8"/>
      <c r="O71" s="8"/>
      <c r="P71" s="8"/>
      <c r="Q71" s="22" t="s">
        <v>73</v>
      </c>
      <c r="R71" s="23">
        <f>+R66*E70</f>
        <v>0.11323578042328045</v>
      </c>
      <c r="S71" s="23">
        <f>+S66*F70</f>
        <v>0.24656911375661372</v>
      </c>
      <c r="T71" s="23">
        <f>+T66*G70</f>
        <v>5.0504298941798947E-2</v>
      </c>
      <c r="U71" s="23">
        <f>+U66*H70</f>
        <v>0.13198578042328044</v>
      </c>
      <c r="V71" s="23">
        <f>+SUM(R71:U71)</f>
        <v>0.54229497354497358</v>
      </c>
      <c r="W71" s="32">
        <f>+V71/O70</f>
        <v>4.1087378640776695</v>
      </c>
      <c r="X71" s="8"/>
      <c r="Y71" s="33" t="s">
        <v>109</v>
      </c>
      <c r="Z71" s="34">
        <f>Z69/Z70</f>
        <v>0.21776539695534469</v>
      </c>
      <c r="AA71" s="64"/>
    </row>
    <row r="72" spans="3:27" ht="15.75" customHeight="1">
      <c r="C72" s="63"/>
      <c r="AA72" s="64"/>
    </row>
    <row r="73" spans="3:27" ht="15.75" customHeight="1" thickBot="1">
      <c r="C73" s="65"/>
      <c r="D73" s="66"/>
      <c r="E73" s="66"/>
      <c r="F73" s="66"/>
      <c r="G73" s="66"/>
      <c r="H73" s="66"/>
      <c r="I73" s="66"/>
      <c r="J73" s="66"/>
      <c r="K73" s="66"/>
      <c r="L73" s="66"/>
      <c r="M73" s="66"/>
      <c r="N73" s="66"/>
      <c r="O73" s="66"/>
      <c r="P73" s="66"/>
      <c r="Q73" s="66"/>
      <c r="R73" s="66"/>
      <c r="S73" s="66"/>
      <c r="T73" s="66"/>
      <c r="U73" s="66"/>
      <c r="V73" s="66"/>
      <c r="W73" s="66"/>
      <c r="X73" s="66"/>
      <c r="Y73" s="66"/>
      <c r="Z73" s="66"/>
      <c r="AA73" s="67"/>
    </row>
    <row r="74" spans="3:27" ht="15.75" customHeight="1" thickBot="1"/>
    <row r="75" spans="3:27" ht="15.75" customHeight="1">
      <c r="C75" s="53" t="s">
        <v>111</v>
      </c>
      <c r="D75" s="68"/>
      <c r="E75" s="68"/>
      <c r="F75" s="68"/>
      <c r="G75" s="68"/>
      <c r="H75" s="68"/>
      <c r="I75" s="68"/>
      <c r="J75" s="68"/>
      <c r="K75" s="68"/>
      <c r="L75" s="68"/>
      <c r="M75" s="68"/>
      <c r="N75" s="68"/>
      <c r="O75" s="68"/>
      <c r="P75" s="68"/>
      <c r="Q75" s="68"/>
      <c r="R75" s="68"/>
      <c r="S75" s="68"/>
      <c r="T75" s="68"/>
      <c r="U75" s="68"/>
      <c r="V75" s="68"/>
      <c r="W75" s="68"/>
      <c r="X75" s="68"/>
      <c r="Y75" s="68"/>
      <c r="Z75" s="68"/>
      <c r="AA75" s="69"/>
    </row>
    <row r="76" spans="3:27" ht="15.75" customHeight="1">
      <c r="C76" s="63"/>
      <c r="AA76" s="64"/>
    </row>
    <row r="77" spans="3:27" ht="15.75" customHeight="1">
      <c r="C77" s="63"/>
      <c r="D77" s="46" t="s">
        <v>124</v>
      </c>
      <c r="E77" s="46"/>
      <c r="F77" s="46"/>
      <c r="J77" s="11" t="s">
        <v>103</v>
      </c>
      <c r="K77" s="14"/>
      <c r="L77" s="8"/>
      <c r="M77" s="14"/>
      <c r="N77" s="14"/>
      <c r="O77" s="8"/>
      <c r="P77" s="8"/>
      <c r="Q77" s="8"/>
      <c r="R77" s="8"/>
      <c r="S77" s="8"/>
      <c r="T77" s="8"/>
      <c r="U77" s="8"/>
      <c r="V77" s="8"/>
      <c r="W77" s="8"/>
      <c r="X77" s="8"/>
      <c r="Y77" s="8"/>
      <c r="Z77" s="8"/>
      <c r="AA77" s="64"/>
    </row>
    <row r="78" spans="3:27" ht="15.75" customHeight="1">
      <c r="C78" s="63"/>
      <c r="D78" s="35"/>
      <c r="E78" s="20" t="s">
        <v>57</v>
      </c>
      <c r="F78" s="20" t="s">
        <v>63</v>
      </c>
      <c r="J78" s="35"/>
      <c r="K78" s="20" t="s">
        <v>51</v>
      </c>
      <c r="L78" s="20" t="s">
        <v>53</v>
      </c>
      <c r="M78" s="36" t="s">
        <v>104</v>
      </c>
      <c r="N78" s="45"/>
      <c r="O78" s="45"/>
      <c r="P78" s="8"/>
      <c r="Q78" s="20" t="s">
        <v>104</v>
      </c>
      <c r="R78" s="21">
        <f>+M79</f>
        <v>0.5</v>
      </c>
      <c r="S78" s="21">
        <f>+M80</f>
        <v>0.5</v>
      </c>
      <c r="T78" s="15"/>
      <c r="U78" s="15"/>
      <c r="V78" s="8"/>
      <c r="W78" s="8"/>
      <c r="X78" s="8"/>
      <c r="Y78" s="8"/>
      <c r="Z78" s="8"/>
      <c r="AA78" s="64"/>
    </row>
    <row r="79" spans="3:27" ht="15.75" customHeight="1">
      <c r="C79" s="63"/>
      <c r="D79" s="20" t="s">
        <v>57</v>
      </c>
      <c r="E79" s="21">
        <v>1</v>
      </c>
      <c r="F79" s="21">
        <f>'1.1 FORM'!F25</f>
        <v>1</v>
      </c>
      <c r="J79" s="20" t="s">
        <v>51</v>
      </c>
      <c r="K79" s="21">
        <f>+E79/SUM(E79:E80)</f>
        <v>0.5</v>
      </c>
      <c r="L79" s="21">
        <f>+F79/SUM(F79:F80)</f>
        <v>0.5</v>
      </c>
      <c r="M79" s="25">
        <f>+AVERAGE(K79:L79)</f>
        <v>0.5</v>
      </c>
      <c r="N79" s="24"/>
      <c r="O79" s="24"/>
      <c r="P79" s="8"/>
      <c r="Q79" s="18"/>
      <c r="R79" s="19" t="s">
        <v>51</v>
      </c>
      <c r="S79" s="19" t="s">
        <v>53</v>
      </c>
      <c r="T79" s="19" t="s">
        <v>105</v>
      </c>
      <c r="U79" s="19" t="s">
        <v>106</v>
      </c>
      <c r="V79" s="8"/>
      <c r="W79" s="8"/>
      <c r="X79" s="8"/>
      <c r="Y79" s="33" t="s">
        <v>123</v>
      </c>
      <c r="Z79" s="34">
        <f>+AVERAGE(U80:U82)</f>
        <v>2</v>
      </c>
      <c r="AA79" s="64"/>
    </row>
    <row r="80" spans="3:27" ht="15.75" customHeight="1">
      <c r="C80" s="63"/>
      <c r="D80" s="22" t="s">
        <v>63</v>
      </c>
      <c r="E80" s="23">
        <f>1/F79</f>
        <v>1</v>
      </c>
      <c r="F80" s="23">
        <v>1</v>
      </c>
      <c r="J80" s="22" t="s">
        <v>53</v>
      </c>
      <c r="K80" s="23">
        <f>+E80/SUM(E79:E80)</f>
        <v>0.5</v>
      </c>
      <c r="L80" s="23">
        <f>+F80/SUM(F79:F80)</f>
        <v>0.5</v>
      </c>
      <c r="M80" s="26">
        <f>+AVERAGE(K80:L80)</f>
        <v>0.5</v>
      </c>
      <c r="N80" s="24"/>
      <c r="O80" s="24"/>
      <c r="P80" s="8"/>
      <c r="Q80" s="20" t="s">
        <v>51</v>
      </c>
      <c r="R80" s="21">
        <f>+R78*E79</f>
        <v>0.5</v>
      </c>
      <c r="S80" s="21">
        <f>+S78*F79</f>
        <v>0.5</v>
      </c>
      <c r="T80" s="29">
        <f>+SUM(R80:S80)</f>
        <v>1</v>
      </c>
      <c r="U80" s="30">
        <f>+T80/M79</f>
        <v>2</v>
      </c>
      <c r="V80" s="8"/>
      <c r="W80" s="8"/>
      <c r="X80" s="8"/>
      <c r="Y80" s="33" t="s">
        <v>96</v>
      </c>
      <c r="Z80" s="34">
        <f>+COUNTA(R79:S79)</f>
        <v>2</v>
      </c>
      <c r="AA80" s="64"/>
    </row>
    <row r="81" spans="3:27" ht="15.75" customHeight="1">
      <c r="C81" s="63"/>
      <c r="D81" s="10"/>
      <c r="E81" s="10"/>
      <c r="F81" s="10"/>
      <c r="G81" s="10"/>
      <c r="J81" s="16"/>
      <c r="K81" s="17"/>
      <c r="L81" s="17"/>
      <c r="M81" s="24"/>
      <c r="N81" s="24"/>
      <c r="O81" s="24"/>
      <c r="P81" s="8"/>
      <c r="Q81" s="42" t="s">
        <v>53</v>
      </c>
      <c r="R81" s="40">
        <f>+R78*E80</f>
        <v>0.5</v>
      </c>
      <c r="S81" s="40">
        <f>+S78*F80</f>
        <v>0.5</v>
      </c>
      <c r="T81" s="43">
        <f>+SUM(R81:S81)</f>
        <v>1</v>
      </c>
      <c r="U81" s="44">
        <f>+T81/M80</f>
        <v>2</v>
      </c>
      <c r="V81" s="8"/>
      <c r="W81" s="8"/>
      <c r="X81" s="8"/>
      <c r="Y81" s="33" t="s">
        <v>107</v>
      </c>
      <c r="Z81" s="34">
        <f>+(Z79-Z80)/(Z80-1)</f>
        <v>0</v>
      </c>
      <c r="AA81" s="64"/>
    </row>
    <row r="82" spans="3:27" ht="15.75" customHeight="1">
      <c r="C82" s="63"/>
      <c r="J82" s="10"/>
      <c r="K82" s="10"/>
      <c r="L82" s="10"/>
      <c r="M82" s="8"/>
      <c r="N82" s="8"/>
      <c r="O82" s="8"/>
      <c r="P82" s="8"/>
      <c r="Q82" s="16"/>
      <c r="R82" s="17"/>
      <c r="S82" s="17"/>
      <c r="T82" s="27"/>
      <c r="U82" s="28"/>
      <c r="V82" s="8"/>
      <c r="W82" s="8"/>
      <c r="X82" s="8"/>
      <c r="Y82" s="33" t="s">
        <v>108</v>
      </c>
      <c r="Z82" s="34">
        <v>0.57999999999999996</v>
      </c>
      <c r="AA82" s="64"/>
    </row>
    <row r="83" spans="3:27" ht="15.75" customHeight="1">
      <c r="C83" s="63"/>
      <c r="J83" s="8"/>
      <c r="K83" s="8"/>
      <c r="L83" s="8"/>
      <c r="M83" s="8"/>
      <c r="N83" s="8"/>
      <c r="O83" s="8"/>
      <c r="P83" s="8"/>
      <c r="Q83" s="16"/>
      <c r="R83" s="17"/>
      <c r="S83" s="17"/>
      <c r="T83" s="27"/>
      <c r="U83" s="28"/>
      <c r="V83" s="8"/>
      <c r="W83" s="8"/>
      <c r="X83" s="8"/>
      <c r="Y83" s="33" t="s">
        <v>109</v>
      </c>
      <c r="Z83" s="34">
        <f>Z81/Z82</f>
        <v>0</v>
      </c>
      <c r="AA83" s="64"/>
    </row>
    <row r="84" spans="3:27" ht="15.75" customHeight="1">
      <c r="C84" s="63"/>
      <c r="J84" s="10"/>
      <c r="L84" s="12"/>
      <c r="M84" s="13"/>
      <c r="N84" s="13"/>
      <c r="O84" s="13"/>
      <c r="P84" s="12"/>
      <c r="Q84" s="12"/>
      <c r="R84" s="8"/>
      <c r="S84" s="8"/>
      <c r="T84" s="8"/>
      <c r="U84" s="8"/>
      <c r="V84" s="8"/>
      <c r="W84" s="8"/>
      <c r="X84" s="8"/>
      <c r="Y84" s="8"/>
      <c r="Z84" s="8"/>
      <c r="AA84" s="64"/>
    </row>
    <row r="85" spans="3:27" ht="15.75" customHeight="1">
      <c r="C85" s="63"/>
      <c r="D85" s="3" t="s">
        <v>125</v>
      </c>
      <c r="E85" s="14"/>
      <c r="F85" s="8"/>
      <c r="G85" s="14"/>
      <c r="J85" s="11" t="s">
        <v>103</v>
      </c>
      <c r="K85" s="14"/>
      <c r="L85" s="8"/>
      <c r="M85" s="14"/>
      <c r="N85" s="8"/>
      <c r="O85" s="8"/>
      <c r="P85" s="8"/>
      <c r="Q85" t="s">
        <v>126</v>
      </c>
      <c r="R85" s="8"/>
      <c r="S85" s="8"/>
      <c r="T85" s="8"/>
      <c r="U85" s="8"/>
      <c r="V85" s="8"/>
      <c r="W85" s="8"/>
      <c r="X85" s="8"/>
      <c r="Y85" s="8"/>
      <c r="AA85" s="64"/>
    </row>
    <row r="86" spans="3:27" ht="15.75" customHeight="1">
      <c r="C86" s="63"/>
      <c r="D86" s="35"/>
      <c r="E86" s="20" t="s">
        <v>59</v>
      </c>
      <c r="F86" s="20" t="s">
        <v>65</v>
      </c>
      <c r="G86" s="20" t="s">
        <v>69</v>
      </c>
      <c r="J86" s="35"/>
      <c r="K86" s="20" t="s">
        <v>51</v>
      </c>
      <c r="L86" s="20" t="s">
        <v>53</v>
      </c>
      <c r="M86" s="20" t="s">
        <v>55</v>
      </c>
      <c r="N86" s="36" t="s">
        <v>104</v>
      </c>
      <c r="O86" s="45"/>
      <c r="P86" s="8"/>
      <c r="Q86" s="20" t="s">
        <v>104</v>
      </c>
      <c r="R86" s="21">
        <f>+N87</f>
        <v>0.14285714285714285</v>
      </c>
      <c r="S86" s="21">
        <f>+N88</f>
        <v>0.7142857142857143</v>
      </c>
      <c r="T86" s="21">
        <f>+N89</f>
        <v>0.14285714285714285</v>
      </c>
      <c r="U86" s="15"/>
      <c r="V86" s="15"/>
      <c r="W86" s="15"/>
      <c r="X86" s="8"/>
      <c r="Y86" s="8"/>
      <c r="Z86" s="8"/>
      <c r="AA86" s="64"/>
    </row>
    <row r="87" spans="3:27" ht="15.75" customHeight="1">
      <c r="C87" s="63"/>
      <c r="D87" s="20" t="s">
        <v>59</v>
      </c>
      <c r="E87" s="21">
        <v>1</v>
      </c>
      <c r="F87" s="21">
        <f>'1.1 FORM'!G25</f>
        <v>0.2</v>
      </c>
      <c r="G87" s="21">
        <f>'1.1 FORM'!H25</f>
        <v>1</v>
      </c>
      <c r="J87" s="20" t="s">
        <v>51</v>
      </c>
      <c r="K87" s="21">
        <f>+E87/SUM(E87:E89)</f>
        <v>0.14285714285714285</v>
      </c>
      <c r="L87" s="21">
        <f>+F87/SUM(F87:F89)</f>
        <v>0.14285714285714288</v>
      </c>
      <c r="M87" s="21">
        <f>+G87/SUM(G87:G89)</f>
        <v>0.14285714285714285</v>
      </c>
      <c r="N87" s="25">
        <f>+AVERAGE(K87:M87)</f>
        <v>0.14285714285714285</v>
      </c>
      <c r="O87" s="24"/>
      <c r="P87" s="8"/>
      <c r="Q87" s="35"/>
      <c r="R87" s="20" t="s">
        <v>51</v>
      </c>
      <c r="S87" s="20" t="s">
        <v>53</v>
      </c>
      <c r="T87" s="20" t="s">
        <v>55</v>
      </c>
      <c r="U87" s="19" t="s">
        <v>105</v>
      </c>
      <c r="V87" s="19" t="s">
        <v>106</v>
      </c>
      <c r="W87" s="16"/>
      <c r="X87" s="8"/>
      <c r="Y87" s="33" t="s">
        <v>123</v>
      </c>
      <c r="Z87" s="34">
        <f>+AVERAGE(V88:V90)</f>
        <v>3</v>
      </c>
      <c r="AA87" s="64"/>
    </row>
    <row r="88" spans="3:27" ht="15.75" customHeight="1">
      <c r="C88" s="63"/>
      <c r="D88" s="16" t="s">
        <v>65</v>
      </c>
      <c r="E88" s="17">
        <f>1/F87</f>
        <v>5</v>
      </c>
      <c r="F88" s="17">
        <v>1</v>
      </c>
      <c r="G88" s="17">
        <f>'1.1 FORM'!I25</f>
        <v>5</v>
      </c>
      <c r="J88" s="16" t="s">
        <v>53</v>
      </c>
      <c r="K88" s="17">
        <f>+E88/SUM(E87:E89)</f>
        <v>0.7142857142857143</v>
      </c>
      <c r="L88" s="17">
        <f>+F88/SUM(F87:F89)</f>
        <v>0.7142857142857143</v>
      </c>
      <c r="M88" s="17">
        <f>+G88/SUM(G87:G89)</f>
        <v>0.7142857142857143</v>
      </c>
      <c r="N88" s="24">
        <f>+AVERAGE(K88:M88)</f>
        <v>0.7142857142857143</v>
      </c>
      <c r="O88" s="24"/>
      <c r="P88" s="8"/>
      <c r="Q88" s="20" t="s">
        <v>51</v>
      </c>
      <c r="R88" s="21">
        <f>+R86*E87</f>
        <v>0.14285714285714285</v>
      </c>
      <c r="S88" s="21">
        <f>+S86*F87</f>
        <v>0.14285714285714288</v>
      </c>
      <c r="T88" s="21">
        <f>+T86*G87</f>
        <v>0.14285714285714285</v>
      </c>
      <c r="U88" s="29">
        <f>+SUM(R88:T88)</f>
        <v>0.42857142857142855</v>
      </c>
      <c r="V88" s="30">
        <f>+U88/N87</f>
        <v>3</v>
      </c>
      <c r="W88" s="28"/>
      <c r="X88" s="8"/>
      <c r="Y88" s="33" t="s">
        <v>96</v>
      </c>
      <c r="Z88" s="34">
        <f>+COUNTA(R87:T87)</f>
        <v>3</v>
      </c>
      <c r="AA88" s="64"/>
    </row>
    <row r="89" spans="3:27" ht="15.75" customHeight="1">
      <c r="C89" s="63"/>
      <c r="D89" s="22" t="s">
        <v>69</v>
      </c>
      <c r="E89" s="23">
        <f>1/G87</f>
        <v>1</v>
      </c>
      <c r="F89" s="23">
        <f>1/G88</f>
        <v>0.2</v>
      </c>
      <c r="G89" s="23">
        <v>1</v>
      </c>
      <c r="J89" s="22" t="s">
        <v>55</v>
      </c>
      <c r="K89" s="23">
        <f>+E89/SUM(E87:E89)</f>
        <v>0.14285714285714285</v>
      </c>
      <c r="L89" s="23">
        <f>+F89/SUM(F87:F89)</f>
        <v>0.14285714285714288</v>
      </c>
      <c r="M89" s="23">
        <f>+G89/SUM(G87:G89)</f>
        <v>0.14285714285714285</v>
      </c>
      <c r="N89" s="26">
        <f>+AVERAGE(K89:M89)</f>
        <v>0.14285714285714285</v>
      </c>
      <c r="O89" s="24"/>
      <c r="P89" s="8"/>
      <c r="Q89" s="16" t="s">
        <v>53</v>
      </c>
      <c r="R89" s="17">
        <f>+R86*E88</f>
        <v>0.71428571428571419</v>
      </c>
      <c r="S89" s="17">
        <f>+S86*F88</f>
        <v>0.7142857142857143</v>
      </c>
      <c r="T89" s="17">
        <f>+T86*G88</f>
        <v>0.71428571428571419</v>
      </c>
      <c r="U89" s="27">
        <f>+SUM(R89:T89)</f>
        <v>2.1428571428571423</v>
      </c>
      <c r="V89" s="28">
        <f>+U89/N88</f>
        <v>2.9999999999999991</v>
      </c>
      <c r="W89" s="28"/>
      <c r="X89" s="8"/>
      <c r="Y89" s="33" t="s">
        <v>107</v>
      </c>
      <c r="Z89" s="34">
        <f>+(Z87-Z88)/(Z88-1)</f>
        <v>0</v>
      </c>
      <c r="AA89" s="64"/>
    </row>
    <row r="90" spans="3:27" ht="15.75" customHeight="1">
      <c r="C90" s="63"/>
      <c r="J90" s="10"/>
      <c r="K90" s="10"/>
      <c r="L90" s="10"/>
      <c r="M90" s="10"/>
      <c r="N90" s="8"/>
      <c r="O90" s="8"/>
      <c r="P90" s="8"/>
      <c r="Q90" s="22" t="s">
        <v>55</v>
      </c>
      <c r="R90" s="23">
        <f>+R86*E89</f>
        <v>0.14285714285714285</v>
      </c>
      <c r="S90" s="23">
        <f>+S86*F89</f>
        <v>0.14285714285714288</v>
      </c>
      <c r="T90" s="23">
        <f>+T86*G89</f>
        <v>0.14285714285714285</v>
      </c>
      <c r="U90" s="31">
        <f>+SUM(R90:T90)</f>
        <v>0.42857142857142855</v>
      </c>
      <c r="V90" s="32">
        <f>+U90/N89</f>
        <v>3</v>
      </c>
      <c r="W90" s="28"/>
      <c r="X90" s="8"/>
      <c r="Y90" s="33" t="s">
        <v>108</v>
      </c>
      <c r="Z90" s="34">
        <v>0.57999999999999996</v>
      </c>
      <c r="AA90" s="64"/>
    </row>
    <row r="91" spans="3:27" ht="15.75" customHeight="1">
      <c r="C91" s="63"/>
      <c r="J91" s="8"/>
      <c r="K91" s="8"/>
      <c r="L91" s="8"/>
      <c r="M91" s="8"/>
      <c r="N91" s="8"/>
      <c r="O91" s="8"/>
      <c r="P91" s="16"/>
      <c r="Q91" s="17"/>
      <c r="R91" s="17"/>
      <c r="S91" s="17"/>
      <c r="T91" s="27"/>
      <c r="U91" s="28"/>
      <c r="V91" s="8"/>
      <c r="W91" s="8"/>
      <c r="Y91" s="33" t="s">
        <v>109</v>
      </c>
      <c r="Z91" s="34">
        <f>Z89/Z90</f>
        <v>0</v>
      </c>
      <c r="AA91" s="64"/>
    </row>
    <row r="92" spans="3:27" ht="15.75" customHeight="1">
      <c r="C92" s="63"/>
      <c r="AA92" s="64"/>
    </row>
    <row r="93" spans="3:27" ht="15.75" customHeight="1">
      <c r="C93" s="63"/>
      <c r="D93" s="39" t="s">
        <v>127</v>
      </c>
      <c r="E93" s="14"/>
      <c r="F93" s="8"/>
      <c r="G93" s="14"/>
      <c r="H93" s="14"/>
      <c r="J93" s="11" t="s">
        <v>103</v>
      </c>
      <c r="K93" s="14"/>
      <c r="L93" s="8"/>
      <c r="M93" s="14"/>
      <c r="N93" s="8"/>
      <c r="O93" s="8"/>
      <c r="P93" s="8"/>
      <c r="Q93" s="8"/>
      <c r="R93" s="8"/>
      <c r="S93" s="8"/>
      <c r="T93" s="8"/>
      <c r="U93" s="8"/>
      <c r="V93" s="8"/>
      <c r="W93" s="8"/>
      <c r="X93" s="8"/>
      <c r="Y93" s="8"/>
      <c r="Z93" s="8"/>
      <c r="AA93" s="64"/>
    </row>
    <row r="94" spans="3:27" ht="15.75" customHeight="1">
      <c r="C94" s="63"/>
      <c r="D94" s="35"/>
      <c r="E94" s="20" t="s">
        <v>61</v>
      </c>
      <c r="F94" s="20" t="s">
        <v>67</v>
      </c>
      <c r="G94" s="20" t="s">
        <v>128</v>
      </c>
      <c r="H94" s="20" t="s">
        <v>73</v>
      </c>
      <c r="J94" s="35"/>
      <c r="K94" s="20" t="s">
        <v>61</v>
      </c>
      <c r="L94" s="20" t="s">
        <v>67</v>
      </c>
      <c r="M94" s="20" t="s">
        <v>128</v>
      </c>
      <c r="N94" s="20" t="s">
        <v>73</v>
      </c>
      <c r="O94" s="36" t="s">
        <v>104</v>
      </c>
      <c r="P94" s="8"/>
      <c r="Q94" s="20" t="s">
        <v>104</v>
      </c>
      <c r="R94" s="21">
        <f>+O95</f>
        <v>0.55947698135198132</v>
      </c>
      <c r="S94" s="21">
        <f>+O96</f>
        <v>7.6668123543123551E-2</v>
      </c>
      <c r="T94" s="21">
        <f>+O97</f>
        <v>0.17231206293706294</v>
      </c>
      <c r="U94" s="52">
        <f>+O98</f>
        <v>0.19154283216783216</v>
      </c>
      <c r="V94" s="15"/>
      <c r="W94" s="15"/>
      <c r="X94" s="8"/>
      <c r="Y94" s="8"/>
      <c r="Z94" s="8"/>
      <c r="AA94" s="64"/>
    </row>
    <row r="95" spans="3:27" ht="15.75" customHeight="1">
      <c r="C95" s="63"/>
      <c r="D95" s="16" t="s">
        <v>61</v>
      </c>
      <c r="E95" s="17">
        <v>1</v>
      </c>
      <c r="F95" s="17">
        <f>'1.1 FORM'!J25</f>
        <v>5</v>
      </c>
      <c r="G95" s="17">
        <f>'1.1 FORM'!K25</f>
        <v>5</v>
      </c>
      <c r="H95" s="17">
        <f>'1.1 FORM'!L25</f>
        <v>3</v>
      </c>
      <c r="J95" s="20" t="s">
        <v>61</v>
      </c>
      <c r="K95" s="21">
        <f>+E95/SUM(E95:E98)</f>
        <v>0.57692307692307698</v>
      </c>
      <c r="L95" s="21">
        <f>+F95/SUM(F95:F98)</f>
        <v>0.41666666666666669</v>
      </c>
      <c r="M95" s="21">
        <f>+G95/SUM(G95:G98)</f>
        <v>0.68181818181818188</v>
      </c>
      <c r="N95" s="21">
        <f>+H95/SUM(H95:H98)</f>
        <v>0.56249999999999989</v>
      </c>
      <c r="O95" s="25">
        <f>+AVERAGE(K95:N95)</f>
        <v>0.55947698135198132</v>
      </c>
      <c r="P95" s="8"/>
      <c r="Q95" s="35"/>
      <c r="R95" s="20" t="s">
        <v>61</v>
      </c>
      <c r="S95" s="20" t="s">
        <v>67</v>
      </c>
      <c r="T95" s="20" t="s">
        <v>128</v>
      </c>
      <c r="U95" s="20" t="s">
        <v>73</v>
      </c>
      <c r="V95" s="20" t="s">
        <v>105</v>
      </c>
      <c r="W95" s="20" t="s">
        <v>106</v>
      </c>
      <c r="X95" s="8"/>
      <c r="Y95" s="33" t="s">
        <v>123</v>
      </c>
      <c r="Z95" s="34">
        <f>+AVERAGE(W96:W99)</f>
        <v>4.1158619550801578</v>
      </c>
      <c r="AA95" s="64"/>
    </row>
    <row r="96" spans="3:27" ht="15.75" customHeight="1">
      <c r="C96" s="63"/>
      <c r="D96" s="16" t="s">
        <v>67</v>
      </c>
      <c r="E96" s="17">
        <f>1/F95</f>
        <v>0.2</v>
      </c>
      <c r="F96" s="17">
        <v>1</v>
      </c>
      <c r="G96" s="17">
        <f>'1.1 FORM'!M25</f>
        <v>0.33333333333333331</v>
      </c>
      <c r="H96" s="17">
        <f>'1.1 FORM'!N25</f>
        <v>0.33333333333333331</v>
      </c>
      <c r="J96" s="16" t="s">
        <v>67</v>
      </c>
      <c r="K96" s="17">
        <f>+E96/SUM(E95:E98)</f>
        <v>0.1153846153846154</v>
      </c>
      <c r="L96" s="17">
        <f>+F96/SUM(F95:F98)</f>
        <v>8.3333333333333329E-2</v>
      </c>
      <c r="M96" s="17">
        <f>+G96/SUM(G95:G98)</f>
        <v>4.5454545454545456E-2</v>
      </c>
      <c r="N96" s="17">
        <f>+H96/SUM(H95:H98)</f>
        <v>6.2499999999999986E-2</v>
      </c>
      <c r="O96" s="24">
        <f>+AVERAGE(K96:N96)</f>
        <v>7.6668123543123551E-2</v>
      </c>
      <c r="P96" s="8"/>
      <c r="Q96" s="20" t="s">
        <v>61</v>
      </c>
      <c r="R96" s="21">
        <f>+R94*E95</f>
        <v>0.55947698135198132</v>
      </c>
      <c r="S96" s="21">
        <f>+S94*F95</f>
        <v>0.38334061771561778</v>
      </c>
      <c r="T96" s="21">
        <f>+T94*G95</f>
        <v>0.86156031468531469</v>
      </c>
      <c r="U96" s="21">
        <f>+U94*H95</f>
        <v>0.57462849650349646</v>
      </c>
      <c r="V96" s="21">
        <f>+SUM(R96:U96)</f>
        <v>2.3790064102564106</v>
      </c>
      <c r="W96" s="30">
        <f>+V96/O95</f>
        <v>4.2521971225831656</v>
      </c>
      <c r="X96" s="8"/>
      <c r="Y96" s="33" t="s">
        <v>96</v>
      </c>
      <c r="Z96" s="34">
        <v>4</v>
      </c>
      <c r="AA96" s="64"/>
    </row>
    <row r="97" spans="3:27" ht="15.75" customHeight="1">
      <c r="C97" s="63"/>
      <c r="D97" s="16" t="s">
        <v>128</v>
      </c>
      <c r="E97" s="17">
        <f>1/G95</f>
        <v>0.2</v>
      </c>
      <c r="F97" s="17">
        <f>1/G96</f>
        <v>3</v>
      </c>
      <c r="G97" s="17">
        <v>1</v>
      </c>
      <c r="H97" s="17">
        <f>'1.1 FORM'!O25</f>
        <v>1</v>
      </c>
      <c r="J97" s="16" t="s">
        <v>128</v>
      </c>
      <c r="K97" s="17">
        <f>+E97/SUM(E95:E98)</f>
        <v>0.1153846153846154</v>
      </c>
      <c r="L97" s="17">
        <f>+F97/SUM(F95:F98)</f>
        <v>0.25</v>
      </c>
      <c r="M97" s="17">
        <f>+G97/SUM(G95:G98)</f>
        <v>0.13636363636363638</v>
      </c>
      <c r="N97" s="17">
        <f>+H97/SUM(H95:H98)</f>
        <v>0.18749999999999997</v>
      </c>
      <c r="O97" s="24">
        <f>+AVERAGE(K97:N97)</f>
        <v>0.17231206293706294</v>
      </c>
      <c r="P97" s="8"/>
      <c r="Q97" s="16" t="s">
        <v>67</v>
      </c>
      <c r="R97" s="17">
        <f>+R94*E96</f>
        <v>0.11189539627039627</v>
      </c>
      <c r="S97" s="17">
        <f>+S94*F96</f>
        <v>7.6668123543123551E-2</v>
      </c>
      <c r="T97" s="17">
        <f>+T94*G96</f>
        <v>5.7437354312354312E-2</v>
      </c>
      <c r="U97" s="17">
        <f>+U94*H96</f>
        <v>6.384761072261072E-2</v>
      </c>
      <c r="V97" s="17">
        <f>+SUM(R97:U97)</f>
        <v>0.30984848484848482</v>
      </c>
      <c r="W97" s="28">
        <f>+V97/O96</f>
        <v>4.0414251781472679</v>
      </c>
      <c r="X97" s="8"/>
      <c r="Y97" s="33" t="s">
        <v>107</v>
      </c>
      <c r="Z97" s="34">
        <f>+(Z95-Z96)/(Z96-1)</f>
        <v>3.8620651693385945E-2</v>
      </c>
      <c r="AA97" s="64"/>
    </row>
    <row r="98" spans="3:27" ht="15.75" customHeight="1">
      <c r="C98" s="63"/>
      <c r="D98" s="22" t="s">
        <v>73</v>
      </c>
      <c r="E98" s="23">
        <f>1/H95</f>
        <v>0.33333333333333331</v>
      </c>
      <c r="F98" s="23">
        <f>1/H96</f>
        <v>3</v>
      </c>
      <c r="G98" s="23">
        <f>1/H97</f>
        <v>1</v>
      </c>
      <c r="H98" s="23">
        <v>1</v>
      </c>
      <c r="J98" s="22" t="s">
        <v>73</v>
      </c>
      <c r="K98" s="23">
        <f>+E98/SUM(E95:E98)</f>
        <v>0.19230769230769232</v>
      </c>
      <c r="L98" s="23">
        <f>+F98/SUM(F95:F98)</f>
        <v>0.25</v>
      </c>
      <c r="M98" s="23">
        <f>+G98/SUM(G95:G98)</f>
        <v>0.13636363636363638</v>
      </c>
      <c r="N98" s="23">
        <f>+H98/SUM(H95:H98)</f>
        <v>0.18749999999999997</v>
      </c>
      <c r="O98" s="26">
        <f>+AVERAGE(K98:N98)</f>
        <v>0.19154283216783216</v>
      </c>
      <c r="P98" s="8"/>
      <c r="Q98" s="16" t="s">
        <v>128</v>
      </c>
      <c r="R98" s="17">
        <f>+R94*E97</f>
        <v>0.11189539627039627</v>
      </c>
      <c r="S98" s="17">
        <f>+S94*F97</f>
        <v>0.23000437062937065</v>
      </c>
      <c r="T98" s="17">
        <f>+T94*G97</f>
        <v>0.17231206293706294</v>
      </c>
      <c r="U98" s="17">
        <f>+U94*H97</f>
        <v>0.19154283216783216</v>
      </c>
      <c r="V98" s="17">
        <f>+SUM(R98:U98)</f>
        <v>0.70575466200466208</v>
      </c>
      <c r="W98" s="28">
        <f>+V98/O97</f>
        <v>4.0957937011202707</v>
      </c>
      <c r="X98" s="8"/>
      <c r="Y98" s="33" t="s">
        <v>108</v>
      </c>
      <c r="Z98" s="34">
        <v>0.9</v>
      </c>
      <c r="AA98" s="64"/>
    </row>
    <row r="99" spans="3:27" ht="15.75" customHeight="1">
      <c r="C99" s="63"/>
      <c r="J99" s="8"/>
      <c r="K99" s="8"/>
      <c r="L99" s="8"/>
      <c r="M99" s="8"/>
      <c r="N99" s="8"/>
      <c r="O99" s="8"/>
      <c r="P99" s="8"/>
      <c r="Q99" s="22" t="s">
        <v>73</v>
      </c>
      <c r="R99" s="23">
        <f>+R94*E98</f>
        <v>0.18649232711732711</v>
      </c>
      <c r="S99" s="23">
        <f>+S94*F98</f>
        <v>0.23000437062937065</v>
      </c>
      <c r="T99" s="23">
        <f>+T94*G98</f>
        <v>0.17231206293706294</v>
      </c>
      <c r="U99" s="23">
        <f>+U94*H98</f>
        <v>0.19154283216783216</v>
      </c>
      <c r="V99" s="23">
        <f>+SUM(R99:U99)</f>
        <v>0.78035159285159283</v>
      </c>
      <c r="W99" s="32">
        <f>+V99/O98</f>
        <v>4.0740318184699245</v>
      </c>
      <c r="X99" s="8"/>
      <c r="Y99" s="33" t="s">
        <v>109</v>
      </c>
      <c r="Z99" s="34">
        <f>Z97/Z98</f>
        <v>4.2911835214873274E-2</v>
      </c>
      <c r="AA99" s="64"/>
    </row>
    <row r="100" spans="3:27" ht="15.75" customHeight="1">
      <c r="C100" s="63"/>
      <c r="AA100" s="64"/>
    </row>
    <row r="101" spans="3:27" ht="15.75" customHeight="1" thickBot="1">
      <c r="C101" s="65"/>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7"/>
    </row>
    <row r="102" spans="3:27" ht="15.75" customHeight="1" thickBot="1"/>
    <row r="103" spans="3:27" ht="15.75" customHeight="1">
      <c r="C103" s="53" t="s">
        <v>112</v>
      </c>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9"/>
    </row>
    <row r="104" spans="3:27" ht="15.75" customHeight="1">
      <c r="C104" s="63"/>
      <c r="AA104" s="64"/>
    </row>
    <row r="105" spans="3:27" ht="15.75" customHeight="1">
      <c r="C105" s="63"/>
      <c r="D105" s="46" t="s">
        <v>124</v>
      </c>
      <c r="E105" s="46"/>
      <c r="F105" s="46"/>
      <c r="J105" s="11" t="s">
        <v>103</v>
      </c>
      <c r="K105" s="14"/>
      <c r="L105" s="8"/>
      <c r="M105" s="14"/>
      <c r="N105" s="14"/>
      <c r="O105" s="8"/>
      <c r="P105" s="8"/>
      <c r="Q105" s="8"/>
      <c r="R105" s="8"/>
      <c r="S105" s="8"/>
      <c r="T105" s="8"/>
      <c r="U105" s="8"/>
      <c r="V105" s="8"/>
      <c r="W105" s="8"/>
      <c r="X105" s="8"/>
      <c r="Y105" s="8"/>
      <c r="Z105" s="8"/>
      <c r="AA105" s="64"/>
    </row>
    <row r="106" spans="3:27" ht="15.75" customHeight="1">
      <c r="C106" s="63"/>
      <c r="D106" s="35"/>
      <c r="E106" s="20" t="s">
        <v>57</v>
      </c>
      <c r="F106" s="20" t="s">
        <v>63</v>
      </c>
      <c r="J106" s="35"/>
      <c r="K106" s="20" t="s">
        <v>51</v>
      </c>
      <c r="L106" s="20" t="s">
        <v>53</v>
      </c>
      <c r="M106" s="36" t="s">
        <v>104</v>
      </c>
      <c r="N106" s="45"/>
      <c r="O106" s="45"/>
      <c r="P106" s="8"/>
      <c r="Q106" s="20" t="s">
        <v>104</v>
      </c>
      <c r="R106" s="21">
        <f>+M107</f>
        <v>0.5</v>
      </c>
      <c r="S106" s="21">
        <f>+M108</f>
        <v>0.5</v>
      </c>
      <c r="T106" s="15"/>
      <c r="U106" s="15"/>
      <c r="V106" s="8"/>
      <c r="W106" s="8"/>
      <c r="X106" s="8"/>
      <c r="Y106" s="8"/>
      <c r="Z106" s="8"/>
      <c r="AA106" s="64"/>
    </row>
    <row r="107" spans="3:27" ht="15.75" customHeight="1">
      <c r="C107" s="63"/>
      <c r="D107" s="20" t="s">
        <v>57</v>
      </c>
      <c r="E107" s="21">
        <v>1</v>
      </c>
      <c r="F107" s="21">
        <f>'1.1 FORM'!F26</f>
        <v>1</v>
      </c>
      <c r="J107" s="20" t="s">
        <v>51</v>
      </c>
      <c r="K107" s="21">
        <f>+E107/SUM(E107:E108)</f>
        <v>0.5</v>
      </c>
      <c r="L107" s="21">
        <f>+F107/SUM(F107:F108)</f>
        <v>0.5</v>
      </c>
      <c r="M107" s="25">
        <f>+AVERAGE(K107:L107)</f>
        <v>0.5</v>
      </c>
      <c r="N107" s="24"/>
      <c r="O107" s="24"/>
      <c r="P107" s="8"/>
      <c r="Q107" s="18"/>
      <c r="R107" s="19" t="s">
        <v>51</v>
      </c>
      <c r="S107" s="19" t="s">
        <v>53</v>
      </c>
      <c r="T107" s="19" t="s">
        <v>105</v>
      </c>
      <c r="U107" s="19" t="s">
        <v>106</v>
      </c>
      <c r="V107" s="8"/>
      <c r="W107" s="8"/>
      <c r="X107" s="8"/>
      <c r="Y107" s="33" t="s">
        <v>123</v>
      </c>
      <c r="Z107" s="34">
        <f>+AVERAGE(U108:U110)</f>
        <v>2</v>
      </c>
      <c r="AA107" s="64"/>
    </row>
    <row r="108" spans="3:27" ht="15.75" customHeight="1">
      <c r="C108" s="63"/>
      <c r="D108" s="22" t="s">
        <v>63</v>
      </c>
      <c r="E108" s="23">
        <f>1/F107</f>
        <v>1</v>
      </c>
      <c r="F108" s="23">
        <v>1</v>
      </c>
      <c r="J108" s="22" t="s">
        <v>53</v>
      </c>
      <c r="K108" s="23">
        <f>+E108/SUM(E107:E108)</f>
        <v>0.5</v>
      </c>
      <c r="L108" s="23">
        <f>+F108/SUM(F107:F108)</f>
        <v>0.5</v>
      </c>
      <c r="M108" s="26">
        <f>+AVERAGE(K108:L108)</f>
        <v>0.5</v>
      </c>
      <c r="N108" s="24"/>
      <c r="O108" s="24"/>
      <c r="P108" s="8"/>
      <c r="Q108" s="20" t="s">
        <v>51</v>
      </c>
      <c r="R108" s="21">
        <f>+R106*E107</f>
        <v>0.5</v>
      </c>
      <c r="S108" s="21">
        <f>+S106*F107</f>
        <v>0.5</v>
      </c>
      <c r="T108" s="29">
        <f>+SUM(R108:S108)</f>
        <v>1</v>
      </c>
      <c r="U108" s="30">
        <f>+T108/M107</f>
        <v>2</v>
      </c>
      <c r="V108" s="8"/>
      <c r="W108" s="8"/>
      <c r="X108" s="8"/>
      <c r="Y108" s="33" t="s">
        <v>96</v>
      </c>
      <c r="Z108" s="34">
        <f>+COUNTA(R107:S107)</f>
        <v>2</v>
      </c>
      <c r="AA108" s="64"/>
    </row>
    <row r="109" spans="3:27" ht="15.75" customHeight="1">
      <c r="C109" s="63"/>
      <c r="D109" s="10"/>
      <c r="E109" s="10"/>
      <c r="F109" s="10"/>
      <c r="G109" s="10"/>
      <c r="J109" s="16"/>
      <c r="K109" s="17"/>
      <c r="L109" s="17"/>
      <c r="M109" s="24"/>
      <c r="N109" s="24"/>
      <c r="O109" s="24"/>
      <c r="P109" s="8"/>
      <c r="Q109" s="42" t="s">
        <v>53</v>
      </c>
      <c r="R109" s="40">
        <f>+R106*E108</f>
        <v>0.5</v>
      </c>
      <c r="S109" s="40">
        <f>+S106*F108</f>
        <v>0.5</v>
      </c>
      <c r="T109" s="43">
        <f>+SUM(R109:S109)</f>
        <v>1</v>
      </c>
      <c r="U109" s="44">
        <f>+T109/M108</f>
        <v>2</v>
      </c>
      <c r="V109" s="8"/>
      <c r="W109" s="8"/>
      <c r="X109" s="8"/>
      <c r="Y109" s="33" t="s">
        <v>107</v>
      </c>
      <c r="Z109" s="34">
        <f>+(Z107-Z108)/(Z108-1)</f>
        <v>0</v>
      </c>
      <c r="AA109" s="64"/>
    </row>
    <row r="110" spans="3:27" ht="15.75" customHeight="1">
      <c r="C110" s="63"/>
      <c r="J110" s="10"/>
      <c r="K110" s="10"/>
      <c r="L110" s="10"/>
      <c r="M110" s="8"/>
      <c r="N110" s="8"/>
      <c r="O110" s="8"/>
      <c r="P110" s="8"/>
      <c r="Q110" s="16"/>
      <c r="R110" s="17"/>
      <c r="S110" s="17"/>
      <c r="T110" s="27"/>
      <c r="U110" s="28"/>
      <c r="V110" s="8"/>
      <c r="W110" s="8"/>
      <c r="X110" s="8"/>
      <c r="Y110" s="33" t="s">
        <v>108</v>
      </c>
      <c r="Z110" s="34">
        <v>0.57999999999999996</v>
      </c>
      <c r="AA110" s="64"/>
    </row>
    <row r="111" spans="3:27" ht="15.75" customHeight="1">
      <c r="C111" s="63"/>
      <c r="J111" s="8"/>
      <c r="K111" s="8"/>
      <c r="L111" s="8"/>
      <c r="M111" s="8"/>
      <c r="N111" s="8"/>
      <c r="O111" s="8"/>
      <c r="P111" s="8"/>
      <c r="Q111" s="16"/>
      <c r="R111" s="17"/>
      <c r="S111" s="17"/>
      <c r="T111" s="27"/>
      <c r="U111" s="28"/>
      <c r="V111" s="8"/>
      <c r="W111" s="8"/>
      <c r="X111" s="8"/>
      <c r="Y111" s="33" t="s">
        <v>109</v>
      </c>
      <c r="Z111" s="34">
        <f>Z109/Z110</f>
        <v>0</v>
      </c>
      <c r="AA111" s="64"/>
    </row>
    <row r="112" spans="3:27" ht="15.75" customHeight="1">
      <c r="C112" s="63"/>
      <c r="J112" s="10"/>
      <c r="L112" s="12"/>
      <c r="M112" s="13"/>
      <c r="N112" s="13"/>
      <c r="O112" s="13"/>
      <c r="P112" s="12"/>
      <c r="Q112" s="12"/>
      <c r="R112" s="8"/>
      <c r="S112" s="8"/>
      <c r="T112" s="8"/>
      <c r="U112" s="8"/>
      <c r="V112" s="8"/>
      <c r="W112" s="8"/>
      <c r="X112" s="8"/>
      <c r="Y112" s="8"/>
      <c r="Z112" s="8"/>
      <c r="AA112" s="64"/>
    </row>
    <row r="113" spans="3:27" ht="15.75" customHeight="1">
      <c r="C113" s="63"/>
      <c r="D113" s="3" t="s">
        <v>125</v>
      </c>
      <c r="E113" s="14"/>
      <c r="F113" s="8"/>
      <c r="G113" s="14"/>
      <c r="J113" s="11" t="s">
        <v>103</v>
      </c>
      <c r="K113" s="14"/>
      <c r="L113" s="8"/>
      <c r="M113" s="14"/>
      <c r="N113" s="8"/>
      <c r="O113" s="8"/>
      <c r="P113" s="8"/>
      <c r="Q113" t="s">
        <v>126</v>
      </c>
      <c r="R113" s="8"/>
      <c r="S113" s="8"/>
      <c r="T113" s="8"/>
      <c r="U113" s="8"/>
      <c r="V113" s="8"/>
      <c r="W113" s="8"/>
      <c r="X113" s="8"/>
      <c r="Y113" s="8"/>
      <c r="AA113" s="64"/>
    </row>
    <row r="114" spans="3:27" ht="15.75" customHeight="1">
      <c r="C114" s="63"/>
      <c r="D114" s="35"/>
      <c r="E114" s="20" t="s">
        <v>59</v>
      </c>
      <c r="F114" s="20" t="s">
        <v>65</v>
      </c>
      <c r="G114" s="20" t="s">
        <v>69</v>
      </c>
      <c r="J114" s="35"/>
      <c r="K114" s="20" t="s">
        <v>51</v>
      </c>
      <c r="L114" s="20" t="s">
        <v>53</v>
      </c>
      <c r="M114" s="20" t="s">
        <v>55</v>
      </c>
      <c r="N114" s="36" t="s">
        <v>104</v>
      </c>
      <c r="O114" s="45"/>
      <c r="P114" s="8"/>
      <c r="Q114" s="20" t="s">
        <v>104</v>
      </c>
      <c r="R114" s="21">
        <f>+N115</f>
        <v>0.42857142857142855</v>
      </c>
      <c r="S114" s="21">
        <f>+N116</f>
        <v>0.42857142857142855</v>
      </c>
      <c r="T114" s="21">
        <f>+N117</f>
        <v>0.14285714285714285</v>
      </c>
      <c r="U114" s="15"/>
      <c r="V114" s="15"/>
      <c r="W114" s="15"/>
      <c r="X114" s="8"/>
      <c r="Y114" s="8"/>
      <c r="Z114" s="8"/>
      <c r="AA114" s="64"/>
    </row>
    <row r="115" spans="3:27" ht="15.75" customHeight="1">
      <c r="C115" s="63"/>
      <c r="D115" s="20" t="s">
        <v>59</v>
      </c>
      <c r="E115" s="21">
        <v>1</v>
      </c>
      <c r="F115" s="21">
        <f>'1.1 FORM'!G26</f>
        <v>1</v>
      </c>
      <c r="G115" s="21">
        <f>'1.1 FORM'!H26</f>
        <v>3</v>
      </c>
      <c r="J115" s="20" t="s">
        <v>51</v>
      </c>
      <c r="K115" s="21">
        <f>+E115/SUM(E115:E117)</f>
        <v>0.42857142857142855</v>
      </c>
      <c r="L115" s="21">
        <f>+F115/SUM(F115:F117)</f>
        <v>0.42857142857142855</v>
      </c>
      <c r="M115" s="21">
        <f>+G115/SUM(G115:G117)</f>
        <v>0.42857142857142855</v>
      </c>
      <c r="N115" s="25">
        <f>+AVERAGE(K115:M115)</f>
        <v>0.42857142857142855</v>
      </c>
      <c r="O115" s="24"/>
      <c r="P115" s="8"/>
      <c r="Q115" s="35"/>
      <c r="R115" s="20" t="s">
        <v>51</v>
      </c>
      <c r="S115" s="20" t="s">
        <v>53</v>
      </c>
      <c r="T115" s="20" t="s">
        <v>55</v>
      </c>
      <c r="U115" s="19" t="s">
        <v>105</v>
      </c>
      <c r="V115" s="19" t="s">
        <v>106</v>
      </c>
      <c r="W115" s="16"/>
      <c r="X115" s="8"/>
      <c r="Y115" s="33" t="s">
        <v>123</v>
      </c>
      <c r="Z115" s="34">
        <f>+AVERAGE(V116:V118)</f>
        <v>3</v>
      </c>
      <c r="AA115" s="64"/>
    </row>
    <row r="116" spans="3:27" ht="15.75" customHeight="1">
      <c r="C116" s="63"/>
      <c r="D116" s="16" t="s">
        <v>65</v>
      </c>
      <c r="E116" s="17">
        <f>1/F115</f>
        <v>1</v>
      </c>
      <c r="F116" s="17">
        <v>1</v>
      </c>
      <c r="G116" s="17">
        <f>'1.1 FORM'!I26</f>
        <v>3</v>
      </c>
      <c r="J116" s="16" t="s">
        <v>53</v>
      </c>
      <c r="K116" s="17">
        <f>+E116/SUM(E115:E117)</f>
        <v>0.42857142857142855</v>
      </c>
      <c r="L116" s="17">
        <f>+F116/SUM(F115:F117)</f>
        <v>0.42857142857142855</v>
      </c>
      <c r="M116" s="17">
        <f>+G116/SUM(G115:G117)</f>
        <v>0.42857142857142855</v>
      </c>
      <c r="N116" s="24">
        <f>+AVERAGE(K116:M116)</f>
        <v>0.42857142857142855</v>
      </c>
      <c r="O116" s="24"/>
      <c r="P116" s="8"/>
      <c r="Q116" s="20" t="s">
        <v>51</v>
      </c>
      <c r="R116" s="21">
        <f>+R114*E115</f>
        <v>0.42857142857142855</v>
      </c>
      <c r="S116" s="21">
        <f>+S114*F115</f>
        <v>0.42857142857142855</v>
      </c>
      <c r="T116" s="21">
        <f>+T114*G115</f>
        <v>0.42857142857142855</v>
      </c>
      <c r="U116" s="29">
        <f>+SUM(R116:T116)</f>
        <v>1.2857142857142856</v>
      </c>
      <c r="V116" s="30">
        <f>+U116/N115</f>
        <v>3</v>
      </c>
      <c r="W116" s="28"/>
      <c r="X116" s="8"/>
      <c r="Y116" s="33" t="s">
        <v>96</v>
      </c>
      <c r="Z116" s="34">
        <f>+COUNTA(R115:T115)</f>
        <v>3</v>
      </c>
      <c r="AA116" s="64"/>
    </row>
    <row r="117" spans="3:27" ht="15.75" customHeight="1">
      <c r="C117" s="63"/>
      <c r="D117" s="22" t="s">
        <v>69</v>
      </c>
      <c r="E117" s="23">
        <f>1/G115</f>
        <v>0.33333333333333331</v>
      </c>
      <c r="F117" s="23">
        <f>1/G116</f>
        <v>0.33333333333333331</v>
      </c>
      <c r="G117" s="23">
        <v>1</v>
      </c>
      <c r="J117" s="22" t="s">
        <v>55</v>
      </c>
      <c r="K117" s="23">
        <f>+E117/SUM(E115:E117)</f>
        <v>0.14285714285714285</v>
      </c>
      <c r="L117" s="23">
        <f>+F117/SUM(F115:F117)</f>
        <v>0.14285714285714285</v>
      </c>
      <c r="M117" s="23">
        <f>+G117/SUM(G115:G117)</f>
        <v>0.14285714285714285</v>
      </c>
      <c r="N117" s="26">
        <f>+AVERAGE(K117:M117)</f>
        <v>0.14285714285714285</v>
      </c>
      <c r="O117" s="24"/>
      <c r="P117" s="8"/>
      <c r="Q117" s="16" t="s">
        <v>53</v>
      </c>
      <c r="R117" s="17">
        <f>+R114*E116</f>
        <v>0.42857142857142855</v>
      </c>
      <c r="S117" s="17">
        <f>+S114*F116</f>
        <v>0.42857142857142855</v>
      </c>
      <c r="T117" s="17">
        <f>+T114*G116</f>
        <v>0.42857142857142855</v>
      </c>
      <c r="U117" s="27">
        <f>+SUM(R117:T117)</f>
        <v>1.2857142857142856</v>
      </c>
      <c r="V117" s="28">
        <f>+U117/N116</f>
        <v>3</v>
      </c>
      <c r="W117" s="28"/>
      <c r="X117" s="8"/>
      <c r="Y117" s="33" t="s">
        <v>107</v>
      </c>
      <c r="Z117" s="34">
        <f>+(Z115-Z116)/(Z116-1)</f>
        <v>0</v>
      </c>
      <c r="AA117" s="64"/>
    </row>
    <row r="118" spans="3:27" ht="15.75" customHeight="1">
      <c r="C118" s="63"/>
      <c r="J118" s="10"/>
      <c r="K118" s="10"/>
      <c r="L118" s="10"/>
      <c r="M118" s="10"/>
      <c r="N118" s="8"/>
      <c r="O118" s="8"/>
      <c r="P118" s="8"/>
      <c r="Q118" s="22" t="s">
        <v>55</v>
      </c>
      <c r="R118" s="23">
        <f>+R114*E117</f>
        <v>0.14285714285714285</v>
      </c>
      <c r="S118" s="23">
        <f>+S114*F117</f>
        <v>0.14285714285714285</v>
      </c>
      <c r="T118" s="23">
        <f>+T114*G117</f>
        <v>0.14285714285714285</v>
      </c>
      <c r="U118" s="31">
        <f>+SUM(R118:T118)</f>
        <v>0.42857142857142855</v>
      </c>
      <c r="V118" s="32">
        <f>+U118/N117</f>
        <v>3</v>
      </c>
      <c r="W118" s="28"/>
      <c r="X118" s="8"/>
      <c r="Y118" s="33" t="s">
        <v>108</v>
      </c>
      <c r="Z118" s="34">
        <v>0.57999999999999996</v>
      </c>
      <c r="AA118" s="64"/>
    </row>
    <row r="119" spans="3:27" ht="15.75" customHeight="1">
      <c r="C119" s="63"/>
      <c r="J119" s="8"/>
      <c r="K119" s="8"/>
      <c r="L119" s="8"/>
      <c r="M119" s="8"/>
      <c r="N119" s="8"/>
      <c r="O119" s="8"/>
      <c r="P119" s="16"/>
      <c r="Q119" s="17"/>
      <c r="R119" s="17"/>
      <c r="S119" s="17"/>
      <c r="T119" s="27"/>
      <c r="U119" s="28"/>
      <c r="V119" s="8"/>
      <c r="W119" s="8"/>
      <c r="Y119" s="33" t="s">
        <v>109</v>
      </c>
      <c r="Z119" s="34">
        <f>Z117/Z118</f>
        <v>0</v>
      </c>
      <c r="AA119" s="64"/>
    </row>
    <row r="120" spans="3:27" ht="15.75" customHeight="1">
      <c r="C120" s="63"/>
      <c r="AA120" s="64"/>
    </row>
    <row r="121" spans="3:27" ht="15.75" customHeight="1">
      <c r="C121" s="63"/>
      <c r="D121" s="39" t="s">
        <v>127</v>
      </c>
      <c r="E121" s="14"/>
      <c r="F121" s="8"/>
      <c r="G121" s="14"/>
      <c r="H121" s="14"/>
      <c r="J121" s="11" t="s">
        <v>103</v>
      </c>
      <c r="K121" s="14"/>
      <c r="L121" s="8"/>
      <c r="M121" s="14"/>
      <c r="N121" s="8"/>
      <c r="O121" s="8"/>
      <c r="P121" s="8"/>
      <c r="Q121" s="8"/>
      <c r="R121" s="8"/>
      <c r="S121" s="8"/>
      <c r="T121" s="8"/>
      <c r="U121" s="8"/>
      <c r="V121" s="8"/>
      <c r="W121" s="8"/>
      <c r="X121" s="8"/>
      <c r="Y121" s="8"/>
      <c r="Z121" s="8"/>
      <c r="AA121" s="64"/>
    </row>
    <row r="122" spans="3:27" ht="15.75" customHeight="1">
      <c r="C122" s="63"/>
      <c r="D122" s="35"/>
      <c r="E122" s="20" t="s">
        <v>61</v>
      </c>
      <c r="F122" s="20" t="s">
        <v>67</v>
      </c>
      <c r="G122" s="20" t="s">
        <v>128</v>
      </c>
      <c r="H122" s="20" t="s">
        <v>73</v>
      </c>
      <c r="J122" s="35"/>
      <c r="K122" s="20" t="s">
        <v>61</v>
      </c>
      <c r="L122" s="20" t="s">
        <v>67</v>
      </c>
      <c r="M122" s="20" t="s">
        <v>128</v>
      </c>
      <c r="N122" s="20" t="s">
        <v>73</v>
      </c>
      <c r="O122" s="36" t="s">
        <v>104</v>
      </c>
      <c r="P122" s="8"/>
      <c r="Q122" s="20" t="s">
        <v>104</v>
      </c>
      <c r="R122" s="21">
        <f>+O123</f>
        <v>0.38541666666666663</v>
      </c>
      <c r="S122" s="21">
        <f>+O124</f>
        <v>0.45416666666666666</v>
      </c>
      <c r="T122" s="21">
        <f>+O125</f>
        <v>0.10208333333333333</v>
      </c>
      <c r="U122" s="52">
        <f>+O126</f>
        <v>5.8333333333333327E-2</v>
      </c>
      <c r="V122" s="15"/>
      <c r="W122" s="15"/>
      <c r="X122" s="8"/>
      <c r="Y122" s="8"/>
      <c r="Z122" s="8"/>
      <c r="AA122" s="64"/>
    </row>
    <row r="123" spans="3:27" ht="15.75" customHeight="1">
      <c r="C123" s="63"/>
      <c r="D123" s="16" t="s">
        <v>61</v>
      </c>
      <c r="E123" s="17">
        <v>1</v>
      </c>
      <c r="F123" s="17">
        <f>'1.1 FORM'!J26</f>
        <v>1</v>
      </c>
      <c r="G123" s="17">
        <f>'1.1 FORM'!K26</f>
        <v>5</v>
      </c>
      <c r="H123" s="17">
        <f>'1.1 FORM'!L26</f>
        <v>5</v>
      </c>
      <c r="J123" s="20" t="s">
        <v>61</v>
      </c>
      <c r="K123" s="21">
        <f>+E123/SUM(E123:E126)</f>
        <v>0.41666666666666663</v>
      </c>
      <c r="L123" s="21">
        <f>+F123/SUM(F123:F126)</f>
        <v>0.4375</v>
      </c>
      <c r="M123" s="21">
        <f>+G123/SUM(G123:G126)</f>
        <v>0.375</v>
      </c>
      <c r="N123" s="21">
        <f>+H123/SUM(H123:H126)</f>
        <v>0.3125</v>
      </c>
      <c r="O123" s="25">
        <f>+AVERAGE(K123:N123)</f>
        <v>0.38541666666666663</v>
      </c>
      <c r="P123" s="8"/>
      <c r="Q123" s="35"/>
      <c r="R123" s="20" t="s">
        <v>61</v>
      </c>
      <c r="S123" s="20" t="s">
        <v>67</v>
      </c>
      <c r="T123" s="20" t="s">
        <v>128</v>
      </c>
      <c r="U123" s="20" t="s">
        <v>73</v>
      </c>
      <c r="V123" s="20" t="s">
        <v>105</v>
      </c>
      <c r="W123" s="20" t="s">
        <v>106</v>
      </c>
      <c r="X123" s="8"/>
      <c r="Y123" s="33" t="s">
        <v>123</v>
      </c>
      <c r="Z123" s="34">
        <f>+AVERAGE(W124:W127)</f>
        <v>4.1756308619583287</v>
      </c>
      <c r="AA123" s="64"/>
    </row>
    <row r="124" spans="3:27" ht="15.75" customHeight="1">
      <c r="C124" s="63"/>
      <c r="D124" s="16" t="s">
        <v>67</v>
      </c>
      <c r="E124" s="17">
        <f>1/F123</f>
        <v>1</v>
      </c>
      <c r="F124" s="17">
        <v>1</v>
      </c>
      <c r="G124" s="17">
        <f>'1.1 FORM'!M26</f>
        <v>7</v>
      </c>
      <c r="H124" s="17">
        <f>'1.1 FORM'!N26</f>
        <v>7</v>
      </c>
      <c r="J124" s="16" t="s">
        <v>67</v>
      </c>
      <c r="K124" s="17">
        <f>+E124/SUM(E123:E126)</f>
        <v>0.41666666666666663</v>
      </c>
      <c r="L124" s="17">
        <f>+F124/SUM(F123:F126)</f>
        <v>0.4375</v>
      </c>
      <c r="M124" s="17">
        <f>+G124/SUM(G123:G126)</f>
        <v>0.52500000000000002</v>
      </c>
      <c r="N124" s="17">
        <f>+H124/SUM(H123:H126)</f>
        <v>0.4375</v>
      </c>
      <c r="O124" s="24">
        <f>+AVERAGE(K124:N124)</f>
        <v>0.45416666666666666</v>
      </c>
      <c r="P124" s="8"/>
      <c r="Q124" s="20" t="s">
        <v>61</v>
      </c>
      <c r="R124" s="21">
        <f>+R122*E123</f>
        <v>0.38541666666666663</v>
      </c>
      <c r="S124" s="21">
        <f>+S122*F123</f>
        <v>0.45416666666666666</v>
      </c>
      <c r="T124" s="21">
        <f>+T122*G123</f>
        <v>0.51041666666666663</v>
      </c>
      <c r="U124" s="21">
        <f>+U122*H123</f>
        <v>0.29166666666666663</v>
      </c>
      <c r="V124" s="21">
        <f>+SUM(R124:U124)</f>
        <v>1.6416666666666666</v>
      </c>
      <c r="W124" s="30">
        <f>+V124/O123</f>
        <v>4.2594594594594595</v>
      </c>
      <c r="X124" s="8"/>
      <c r="Y124" s="33" t="s">
        <v>96</v>
      </c>
      <c r="Z124" s="34">
        <v>4</v>
      </c>
      <c r="AA124" s="64"/>
    </row>
    <row r="125" spans="3:27" ht="15.75" customHeight="1">
      <c r="C125" s="63"/>
      <c r="D125" s="16" t="s">
        <v>128</v>
      </c>
      <c r="E125" s="17">
        <f>1/G123</f>
        <v>0.2</v>
      </c>
      <c r="F125" s="17">
        <f>1/G124</f>
        <v>0.14285714285714285</v>
      </c>
      <c r="G125" s="17">
        <v>1</v>
      </c>
      <c r="H125" s="17">
        <f>'1.1 FORM'!O26</f>
        <v>3</v>
      </c>
      <c r="J125" s="16" t="s">
        <v>128</v>
      </c>
      <c r="K125" s="17">
        <f>+E125/SUM(E123:E126)</f>
        <v>8.3333333333333329E-2</v>
      </c>
      <c r="L125" s="17">
        <f>+F125/SUM(F123:F126)</f>
        <v>6.25E-2</v>
      </c>
      <c r="M125" s="17">
        <f>+G125/SUM(G123:G126)</f>
        <v>7.4999999999999997E-2</v>
      </c>
      <c r="N125" s="17">
        <f>+H125/SUM(H123:H126)</f>
        <v>0.1875</v>
      </c>
      <c r="O125" s="24">
        <f>+AVERAGE(K125:N125)</f>
        <v>0.10208333333333333</v>
      </c>
      <c r="P125" s="8"/>
      <c r="Q125" s="16" t="s">
        <v>67</v>
      </c>
      <c r="R125" s="17">
        <f>+R122*E124</f>
        <v>0.38541666666666663</v>
      </c>
      <c r="S125" s="17">
        <f>+S122*F124</f>
        <v>0.45416666666666666</v>
      </c>
      <c r="T125" s="17">
        <f>+T122*G124</f>
        <v>0.71458333333333335</v>
      </c>
      <c r="U125" s="17">
        <f>+U122*H124</f>
        <v>0.40833333333333327</v>
      </c>
      <c r="V125" s="17">
        <f>+SUM(R125:U125)</f>
        <v>1.9624999999999999</v>
      </c>
      <c r="W125" s="28">
        <f>+V125/O124</f>
        <v>4.3211009174311927</v>
      </c>
      <c r="X125" s="8"/>
      <c r="Y125" s="33" t="s">
        <v>107</v>
      </c>
      <c r="Z125" s="34">
        <f>+(Z123-Z124)/(Z124-1)</f>
        <v>5.854362065277622E-2</v>
      </c>
      <c r="AA125" s="64"/>
    </row>
    <row r="126" spans="3:27" ht="15.75" customHeight="1">
      <c r="C126" s="63"/>
      <c r="D126" s="22" t="s">
        <v>73</v>
      </c>
      <c r="E126" s="23">
        <f>1/H123</f>
        <v>0.2</v>
      </c>
      <c r="F126" s="23">
        <f>1/H124</f>
        <v>0.14285714285714285</v>
      </c>
      <c r="G126" s="23">
        <f>1/H125</f>
        <v>0.33333333333333331</v>
      </c>
      <c r="H126" s="23">
        <v>1</v>
      </c>
      <c r="J126" s="22" t="s">
        <v>73</v>
      </c>
      <c r="K126" s="23">
        <f>+E126/SUM(E123:E126)</f>
        <v>8.3333333333333329E-2</v>
      </c>
      <c r="L126" s="23">
        <f>+F126/SUM(F123:F126)</f>
        <v>6.25E-2</v>
      </c>
      <c r="M126" s="23">
        <f>+G126/SUM(G123:G126)</f>
        <v>2.4999999999999998E-2</v>
      </c>
      <c r="N126" s="23">
        <f>+H126/SUM(H123:H126)</f>
        <v>6.25E-2</v>
      </c>
      <c r="O126" s="26">
        <f>+AVERAGE(K126:N126)</f>
        <v>5.8333333333333327E-2</v>
      </c>
      <c r="P126" s="8"/>
      <c r="Q126" s="16" t="s">
        <v>128</v>
      </c>
      <c r="R126" s="17">
        <f>+R122*E125</f>
        <v>7.7083333333333337E-2</v>
      </c>
      <c r="S126" s="17">
        <f>+S122*F125</f>
        <v>6.4880952380952372E-2</v>
      </c>
      <c r="T126" s="17">
        <f>+T122*G125</f>
        <v>0.10208333333333333</v>
      </c>
      <c r="U126" s="17">
        <f>+U122*H125</f>
        <v>0.17499999999999999</v>
      </c>
      <c r="V126" s="17">
        <f>+SUM(R126:U126)</f>
        <v>0.419047619047619</v>
      </c>
      <c r="W126" s="28">
        <f>+V126/O125</f>
        <v>4.1049562682215743</v>
      </c>
      <c r="X126" s="8"/>
      <c r="Y126" s="33" t="s">
        <v>108</v>
      </c>
      <c r="Z126" s="34">
        <v>0.9</v>
      </c>
      <c r="AA126" s="64"/>
    </row>
    <row r="127" spans="3:27" ht="15.75" customHeight="1">
      <c r="C127" s="63"/>
      <c r="J127" s="8"/>
      <c r="K127" s="8"/>
      <c r="L127" s="8"/>
      <c r="M127" s="8"/>
      <c r="N127" s="8"/>
      <c r="O127" s="8"/>
      <c r="P127" s="8"/>
      <c r="Q127" s="22" t="s">
        <v>73</v>
      </c>
      <c r="R127" s="23">
        <f>+R122*E126</f>
        <v>7.7083333333333337E-2</v>
      </c>
      <c r="S127" s="23">
        <f>+S122*F126</f>
        <v>6.4880952380952372E-2</v>
      </c>
      <c r="T127" s="23">
        <f>+T122*G126</f>
        <v>3.4027777777777775E-2</v>
      </c>
      <c r="U127" s="23">
        <f>+U122*H126</f>
        <v>5.8333333333333327E-2</v>
      </c>
      <c r="V127" s="23">
        <f>+SUM(R127:U127)</f>
        <v>0.2343253968253968</v>
      </c>
      <c r="W127" s="32">
        <f>+V127/O126</f>
        <v>4.0170068027210881</v>
      </c>
      <c r="X127" s="8"/>
      <c r="Y127" s="33" t="s">
        <v>109</v>
      </c>
      <c r="Z127" s="34">
        <f>Z125/Z126</f>
        <v>6.5048467391973577E-2</v>
      </c>
      <c r="AA127" s="64"/>
    </row>
    <row r="128" spans="3:27" ht="15.75" customHeight="1">
      <c r="C128" s="63"/>
      <c r="AA128" s="64"/>
    </row>
    <row r="129" spans="3:27" ht="15.75" customHeight="1" thickBot="1">
      <c r="C129" s="65"/>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7"/>
    </row>
    <row r="130" spans="3:27" ht="15.75" customHeight="1" thickBot="1"/>
    <row r="131" spans="3:27" ht="15.75" customHeight="1">
      <c r="C131" s="53" t="s">
        <v>114</v>
      </c>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9"/>
    </row>
    <row r="132" spans="3:27" ht="15.75" customHeight="1">
      <c r="C132" s="63"/>
      <c r="AA132" s="64"/>
    </row>
    <row r="133" spans="3:27" ht="15.75" customHeight="1">
      <c r="C133" s="63"/>
      <c r="D133" s="46" t="s">
        <v>124</v>
      </c>
      <c r="E133" s="46"/>
      <c r="F133" s="46"/>
      <c r="J133" s="11" t="s">
        <v>103</v>
      </c>
      <c r="K133" s="14"/>
      <c r="L133" s="8"/>
      <c r="M133" s="14"/>
      <c r="N133" s="14"/>
      <c r="O133" s="8"/>
      <c r="P133" s="8"/>
      <c r="Q133" s="8"/>
      <c r="R133" s="8"/>
      <c r="S133" s="8"/>
      <c r="T133" s="8"/>
      <c r="U133" s="8"/>
      <c r="V133" s="8"/>
      <c r="W133" s="8"/>
      <c r="X133" s="8"/>
      <c r="Y133" s="8"/>
      <c r="Z133" s="8"/>
      <c r="AA133" s="64"/>
    </row>
    <row r="134" spans="3:27" ht="15.75" customHeight="1">
      <c r="C134" s="63"/>
      <c r="D134" s="35"/>
      <c r="E134" s="20" t="s">
        <v>57</v>
      </c>
      <c r="F134" s="20" t="s">
        <v>63</v>
      </c>
      <c r="J134" s="35"/>
      <c r="K134" s="20" t="s">
        <v>51</v>
      </c>
      <c r="L134" s="20" t="s">
        <v>53</v>
      </c>
      <c r="M134" s="36" t="s">
        <v>104</v>
      </c>
      <c r="N134" s="45"/>
      <c r="O134" s="45"/>
      <c r="P134" s="8"/>
      <c r="Q134" s="20" t="s">
        <v>104</v>
      </c>
      <c r="R134" s="21">
        <f>+M135</f>
        <v>0.83333333333333337</v>
      </c>
      <c r="S134" s="21">
        <f>+M136</f>
        <v>0.16666666666666669</v>
      </c>
      <c r="T134" s="15"/>
      <c r="U134" s="15"/>
      <c r="V134" s="8"/>
      <c r="W134" s="8"/>
      <c r="X134" s="8"/>
      <c r="Y134" s="8"/>
      <c r="Z134" s="8"/>
      <c r="AA134" s="64"/>
    </row>
    <row r="135" spans="3:27" ht="15.75" customHeight="1">
      <c r="C135" s="63"/>
      <c r="D135" s="20" t="s">
        <v>57</v>
      </c>
      <c r="E135" s="21">
        <v>1</v>
      </c>
      <c r="F135" s="21">
        <f>'1.1 FORM'!F27</f>
        <v>5</v>
      </c>
      <c r="J135" s="20" t="s">
        <v>51</v>
      </c>
      <c r="K135" s="21">
        <f>+E135/SUM(E135:E136)</f>
        <v>0.83333333333333337</v>
      </c>
      <c r="L135" s="21">
        <f>+F135/SUM(F135:F136)</f>
        <v>0.83333333333333337</v>
      </c>
      <c r="M135" s="25">
        <f>+AVERAGE(K135:L135)</f>
        <v>0.83333333333333337</v>
      </c>
      <c r="N135" s="24"/>
      <c r="O135" s="24"/>
      <c r="P135" s="8"/>
      <c r="Q135" s="18"/>
      <c r="R135" s="19" t="s">
        <v>51</v>
      </c>
      <c r="S135" s="19" t="s">
        <v>53</v>
      </c>
      <c r="T135" s="19" t="s">
        <v>105</v>
      </c>
      <c r="U135" s="19" t="s">
        <v>106</v>
      </c>
      <c r="V135" s="8"/>
      <c r="W135" s="8"/>
      <c r="X135" s="8"/>
      <c r="Y135" s="33" t="s">
        <v>123</v>
      </c>
      <c r="Z135" s="34">
        <f>+AVERAGE(U136:U138)</f>
        <v>2</v>
      </c>
      <c r="AA135" s="64"/>
    </row>
    <row r="136" spans="3:27" ht="15.75" customHeight="1">
      <c r="C136" s="63"/>
      <c r="D136" s="22" t="s">
        <v>63</v>
      </c>
      <c r="E136" s="23">
        <f>1/F135</f>
        <v>0.2</v>
      </c>
      <c r="F136" s="23">
        <v>1</v>
      </c>
      <c r="J136" s="22" t="s">
        <v>53</v>
      </c>
      <c r="K136" s="23">
        <f>+E136/SUM(E135:E136)</f>
        <v>0.16666666666666669</v>
      </c>
      <c r="L136" s="23">
        <f>+F136/SUM(F135:F136)</f>
        <v>0.16666666666666666</v>
      </c>
      <c r="M136" s="26">
        <f>+AVERAGE(K136:L136)</f>
        <v>0.16666666666666669</v>
      </c>
      <c r="N136" s="24"/>
      <c r="O136" s="24"/>
      <c r="P136" s="8"/>
      <c r="Q136" s="20" t="s">
        <v>51</v>
      </c>
      <c r="R136" s="21">
        <f>+R134*E135</f>
        <v>0.83333333333333337</v>
      </c>
      <c r="S136" s="21">
        <f>+S134*F135</f>
        <v>0.83333333333333348</v>
      </c>
      <c r="T136" s="29">
        <f>+SUM(R136:S136)</f>
        <v>1.666666666666667</v>
      </c>
      <c r="U136" s="30">
        <f>+T136/M135</f>
        <v>2.0000000000000004</v>
      </c>
      <c r="V136" s="8"/>
      <c r="W136" s="8"/>
      <c r="X136" s="8"/>
      <c r="Y136" s="33" t="s">
        <v>96</v>
      </c>
      <c r="Z136" s="34">
        <f>+COUNTA(R135:S135)</f>
        <v>2</v>
      </c>
      <c r="AA136" s="64"/>
    </row>
    <row r="137" spans="3:27" ht="15.75" customHeight="1">
      <c r="C137" s="63"/>
      <c r="D137" s="10"/>
      <c r="E137" s="10"/>
      <c r="F137" s="10"/>
      <c r="G137" s="10"/>
      <c r="J137" s="16"/>
      <c r="K137" s="17"/>
      <c r="L137" s="17"/>
      <c r="M137" s="24"/>
      <c r="N137" s="24"/>
      <c r="O137" s="24"/>
      <c r="P137" s="8"/>
      <c r="Q137" s="42" t="s">
        <v>53</v>
      </c>
      <c r="R137" s="40">
        <f>+R134*E136</f>
        <v>0.16666666666666669</v>
      </c>
      <c r="S137" s="40">
        <f>+S134*F136</f>
        <v>0.16666666666666669</v>
      </c>
      <c r="T137" s="43">
        <f>+SUM(R137:S137)</f>
        <v>0.33333333333333337</v>
      </c>
      <c r="U137" s="44">
        <f>+T137/M136</f>
        <v>2</v>
      </c>
      <c r="V137" s="8"/>
      <c r="W137" s="8"/>
      <c r="X137" s="8"/>
      <c r="Y137" s="33" t="s">
        <v>107</v>
      </c>
      <c r="Z137" s="34">
        <f>+(Z135-Z136)/(Z136-1)</f>
        <v>0</v>
      </c>
      <c r="AA137" s="64"/>
    </row>
    <row r="138" spans="3:27" ht="15.75" customHeight="1">
      <c r="C138" s="63"/>
      <c r="J138" s="10"/>
      <c r="K138" s="10"/>
      <c r="L138" s="10"/>
      <c r="M138" s="8"/>
      <c r="N138" s="8"/>
      <c r="O138" s="8"/>
      <c r="P138" s="8"/>
      <c r="Q138" s="16"/>
      <c r="R138" s="17"/>
      <c r="S138" s="17"/>
      <c r="T138" s="27"/>
      <c r="U138" s="28"/>
      <c r="V138" s="8"/>
      <c r="W138" s="8"/>
      <c r="X138" s="8"/>
      <c r="Y138" s="33" t="s">
        <v>108</v>
      </c>
      <c r="Z138" s="34">
        <v>0.57999999999999996</v>
      </c>
      <c r="AA138" s="64"/>
    </row>
    <row r="139" spans="3:27" ht="15.75" customHeight="1">
      <c r="C139" s="63"/>
      <c r="J139" s="8"/>
      <c r="K139" s="8"/>
      <c r="L139" s="8"/>
      <c r="M139" s="8"/>
      <c r="N139" s="8"/>
      <c r="O139" s="8"/>
      <c r="P139" s="8"/>
      <c r="Q139" s="16"/>
      <c r="R139" s="17"/>
      <c r="S139" s="17"/>
      <c r="T139" s="27"/>
      <c r="U139" s="28"/>
      <c r="V139" s="8"/>
      <c r="W139" s="8"/>
      <c r="X139" s="8"/>
      <c r="Y139" s="33" t="s">
        <v>109</v>
      </c>
      <c r="Z139" s="34">
        <f>Z137/Z138</f>
        <v>0</v>
      </c>
      <c r="AA139" s="64"/>
    </row>
    <row r="140" spans="3:27" ht="15.75" customHeight="1">
      <c r="C140" s="63"/>
      <c r="J140" s="10"/>
      <c r="L140" s="12"/>
      <c r="M140" s="13"/>
      <c r="N140" s="13"/>
      <c r="O140" s="13"/>
      <c r="P140" s="12"/>
      <c r="Q140" s="12"/>
      <c r="R140" s="8"/>
      <c r="S140" s="8"/>
      <c r="T140" s="8"/>
      <c r="U140" s="8"/>
      <c r="V140" s="8"/>
      <c r="W140" s="8"/>
      <c r="X140" s="8"/>
      <c r="Y140" s="8"/>
      <c r="Z140" s="8"/>
      <c r="AA140" s="64"/>
    </row>
    <row r="141" spans="3:27" ht="15.75" customHeight="1">
      <c r="C141" s="63"/>
      <c r="D141" s="3" t="s">
        <v>125</v>
      </c>
      <c r="E141" s="14"/>
      <c r="F141" s="8"/>
      <c r="G141" s="14"/>
      <c r="J141" s="11" t="s">
        <v>103</v>
      </c>
      <c r="K141" s="14"/>
      <c r="L141" s="8"/>
      <c r="M141" s="14"/>
      <c r="N141" s="8"/>
      <c r="O141" s="8"/>
      <c r="P141" s="8"/>
      <c r="Q141" s="48" t="s">
        <v>126</v>
      </c>
      <c r="R141" s="8"/>
      <c r="S141" s="8"/>
      <c r="T141" s="8"/>
      <c r="U141" s="8"/>
      <c r="V141" s="8"/>
      <c r="W141" s="8"/>
      <c r="X141" s="8"/>
      <c r="Y141" s="8"/>
      <c r="AA141" s="64"/>
    </row>
    <row r="142" spans="3:27" ht="15.75" customHeight="1">
      <c r="C142" s="63"/>
      <c r="D142" s="35"/>
      <c r="E142" s="20" t="s">
        <v>59</v>
      </c>
      <c r="F142" s="20" t="s">
        <v>65</v>
      </c>
      <c r="G142" s="20" t="s">
        <v>69</v>
      </c>
      <c r="J142" s="35"/>
      <c r="K142" s="20" t="s">
        <v>51</v>
      </c>
      <c r="L142" s="20" t="s">
        <v>53</v>
      </c>
      <c r="M142" s="20" t="s">
        <v>55</v>
      </c>
      <c r="N142" s="36" t="s">
        <v>104</v>
      </c>
      <c r="O142" s="45"/>
      <c r="P142" s="8"/>
      <c r="Q142" s="20" t="s">
        <v>104</v>
      </c>
      <c r="R142" s="21">
        <f>+N143</f>
        <v>0.42856734661805623</v>
      </c>
      <c r="S142" s="21">
        <f>+N144</f>
        <v>0.14285102023322863</v>
      </c>
      <c r="T142" s="21">
        <f>+N145</f>
        <v>0.42858163314871511</v>
      </c>
      <c r="U142" s="15"/>
      <c r="V142" s="15"/>
      <c r="W142" s="15"/>
      <c r="X142" s="8"/>
      <c r="Y142" s="8"/>
      <c r="Z142" s="8"/>
      <c r="AA142" s="64"/>
    </row>
    <row r="143" spans="3:27" ht="15.75" customHeight="1">
      <c r="C143" s="63"/>
      <c r="D143" s="20" t="s">
        <v>59</v>
      </c>
      <c r="E143" s="21">
        <v>1</v>
      </c>
      <c r="F143" s="21">
        <v>3</v>
      </c>
      <c r="G143" s="21">
        <f>'1.1 FORM'!H27</f>
        <v>1</v>
      </c>
      <c r="J143" s="20" t="s">
        <v>51</v>
      </c>
      <c r="K143" s="21">
        <f>+E143/SUM(E143:E145)</f>
        <v>0.4285714285714286</v>
      </c>
      <c r="L143" s="21">
        <f>+F143/SUM(F143:F145)</f>
        <v>0.42855306017486716</v>
      </c>
      <c r="M143" s="21">
        <f>+G143/SUM(G143:G145)</f>
        <v>0.42857755110787299</v>
      </c>
      <c r="N143" s="25">
        <f>+AVERAGE(K143:M143)</f>
        <v>0.42856734661805623</v>
      </c>
      <c r="O143" s="24"/>
      <c r="P143" s="8"/>
      <c r="Q143" s="35"/>
      <c r="R143" s="20" t="s">
        <v>51</v>
      </c>
      <c r="S143" s="20" t="s">
        <v>53</v>
      </c>
      <c r="T143" s="20" t="s">
        <v>55</v>
      </c>
      <c r="U143" s="19" t="s">
        <v>105</v>
      </c>
      <c r="V143" s="19" t="s">
        <v>106</v>
      </c>
      <c r="W143" s="16"/>
      <c r="X143" s="8"/>
      <c r="Y143" s="33" t="s">
        <v>123</v>
      </c>
      <c r="Z143" s="34">
        <f>+AVERAGE(V144:V146)</f>
        <v>3.0000000011112227</v>
      </c>
      <c r="AA143" s="64"/>
    </row>
    <row r="144" spans="3:27" ht="15.75" customHeight="1">
      <c r="C144" s="63"/>
      <c r="D144" s="16" t="s">
        <v>65</v>
      </c>
      <c r="E144" s="17">
        <f>1/F143</f>
        <v>0.33333333333333331</v>
      </c>
      <c r="F144" s="17">
        <v>1</v>
      </c>
      <c r="G144" s="17">
        <v>0.33329999999999999</v>
      </c>
      <c r="J144" s="16" t="s">
        <v>53</v>
      </c>
      <c r="K144" s="17">
        <f>+E144/SUM(E143:E145)</f>
        <v>0.14285714285714288</v>
      </c>
      <c r="L144" s="17">
        <f>+F144/SUM(F143:F145)</f>
        <v>0.14285102005828904</v>
      </c>
      <c r="M144" s="17">
        <f>+G144/SUM(G143:G145)</f>
        <v>0.14284489778425405</v>
      </c>
      <c r="N144" s="24">
        <f>+AVERAGE(K144:M144)</f>
        <v>0.14285102023322863</v>
      </c>
      <c r="O144" s="24"/>
      <c r="P144" s="8"/>
      <c r="Q144" s="20" t="s">
        <v>51</v>
      </c>
      <c r="R144" s="21">
        <f>+R142*E143</f>
        <v>0.42856734661805623</v>
      </c>
      <c r="S144" s="21">
        <f>+S142*F143</f>
        <v>0.42855306069968591</v>
      </c>
      <c r="T144" s="21">
        <f>+T142*G143</f>
        <v>0.42858163314871511</v>
      </c>
      <c r="U144" s="29">
        <f>+SUM(R144:T144)</f>
        <v>1.2857020404664572</v>
      </c>
      <c r="V144" s="30">
        <f>+U144/N143</f>
        <v>3.0000000014286869</v>
      </c>
      <c r="W144" s="28"/>
      <c r="X144" s="8"/>
      <c r="Y144" s="33" t="s">
        <v>96</v>
      </c>
      <c r="Z144" s="34">
        <f>+COUNTA(R143:T143)</f>
        <v>3</v>
      </c>
      <c r="AA144" s="64"/>
    </row>
    <row r="145" spans="3:27" ht="15.75" customHeight="1">
      <c r="C145" s="63"/>
      <c r="D145" s="22" t="s">
        <v>69</v>
      </c>
      <c r="E145" s="23">
        <f>1/G143</f>
        <v>1</v>
      </c>
      <c r="F145" s="23">
        <f>1/G144</f>
        <v>3.0003000300030003</v>
      </c>
      <c r="G145" s="23">
        <v>1</v>
      </c>
      <c r="J145" s="22" t="s">
        <v>55</v>
      </c>
      <c r="K145" s="23">
        <f>+E145/SUM(E143:E145)</f>
        <v>0.4285714285714286</v>
      </c>
      <c r="L145" s="23">
        <f>+F145/SUM(F143:F145)</f>
        <v>0.4285959197668438</v>
      </c>
      <c r="M145" s="23">
        <f>+G145/SUM(G143:G145)</f>
        <v>0.42857755110787299</v>
      </c>
      <c r="N145" s="26">
        <f>+AVERAGE(K145:M145)</f>
        <v>0.42858163314871511</v>
      </c>
      <c r="O145" s="24"/>
      <c r="P145" s="8"/>
      <c r="Q145" s="16" t="s">
        <v>53</v>
      </c>
      <c r="R145" s="17">
        <f>+R142*E144</f>
        <v>0.14285578220601874</v>
      </c>
      <c r="S145" s="17">
        <f>+S142*F144</f>
        <v>0.14285102023322863</v>
      </c>
      <c r="T145" s="17">
        <f>+T142*G144</f>
        <v>0.14284625832846673</v>
      </c>
      <c r="U145" s="27">
        <f>+SUM(R145:T145)</f>
        <v>0.42855306076771416</v>
      </c>
      <c r="V145" s="28">
        <f>+U145/N144</f>
        <v>3.0000000004762182</v>
      </c>
      <c r="W145" s="28"/>
      <c r="X145" s="8"/>
      <c r="Y145" s="33" t="s">
        <v>107</v>
      </c>
      <c r="Z145" s="34">
        <f>+(Z143-Z144)/(Z144-1)</f>
        <v>5.5561133471826452E-10</v>
      </c>
      <c r="AA145" s="64"/>
    </row>
    <row r="146" spans="3:27" ht="15.75" customHeight="1">
      <c r="C146" s="63"/>
      <c r="J146" s="10"/>
      <c r="K146" s="10"/>
      <c r="L146" s="10"/>
      <c r="M146" s="10"/>
      <c r="N146" s="8"/>
      <c r="O146" s="8"/>
      <c r="P146" s="8"/>
      <c r="Q146" s="22" t="s">
        <v>55</v>
      </c>
      <c r="R146" s="23">
        <f>+R142*E145</f>
        <v>0.42856734661805623</v>
      </c>
      <c r="S146" s="23">
        <f>+S142*F145</f>
        <v>0.42859592029171506</v>
      </c>
      <c r="T146" s="23">
        <f>+T142*G145</f>
        <v>0.42858163314871511</v>
      </c>
      <c r="U146" s="31">
        <f>+SUM(R146:T146)</f>
        <v>1.2857449000584864</v>
      </c>
      <c r="V146" s="32">
        <f>+U146/N145</f>
        <v>3.000000001428762</v>
      </c>
      <c r="W146" s="28"/>
      <c r="X146" s="8"/>
      <c r="Y146" s="33" t="s">
        <v>108</v>
      </c>
      <c r="Z146" s="34">
        <v>0.57999999999999996</v>
      </c>
      <c r="AA146" s="64"/>
    </row>
    <row r="147" spans="3:27" ht="15.75" customHeight="1">
      <c r="C147" s="63"/>
      <c r="J147" s="8"/>
      <c r="K147" s="8"/>
      <c r="L147" s="8"/>
      <c r="M147" s="8"/>
      <c r="N147" s="8"/>
      <c r="O147" s="8"/>
      <c r="P147" s="16"/>
      <c r="Q147" s="17"/>
      <c r="R147" s="17"/>
      <c r="S147" s="17"/>
      <c r="T147" s="27"/>
      <c r="U147" s="28"/>
      <c r="V147" s="8"/>
      <c r="W147" s="8"/>
      <c r="Y147" s="33" t="s">
        <v>109</v>
      </c>
      <c r="Z147" s="34">
        <f>Z145/Z146</f>
        <v>9.5795057710045618E-10</v>
      </c>
      <c r="AA147" s="64"/>
    </row>
    <row r="148" spans="3:27" ht="15.75" customHeight="1">
      <c r="C148" s="63"/>
      <c r="AA148" s="64"/>
    </row>
    <row r="149" spans="3:27" ht="15.75" customHeight="1">
      <c r="C149" s="63"/>
      <c r="D149" s="39" t="s">
        <v>127</v>
      </c>
      <c r="E149" s="14"/>
      <c r="F149" s="8"/>
      <c r="G149" s="14"/>
      <c r="H149" s="14"/>
      <c r="J149" s="11" t="s">
        <v>103</v>
      </c>
      <c r="K149" s="14"/>
      <c r="L149" s="8"/>
      <c r="M149" s="14"/>
      <c r="N149" s="8"/>
      <c r="O149" s="8"/>
      <c r="P149" s="8"/>
      <c r="Q149" s="8"/>
      <c r="R149" s="8"/>
      <c r="S149" s="8"/>
      <c r="T149" s="8"/>
      <c r="U149" s="8"/>
      <c r="V149" s="8"/>
      <c r="W149" s="8"/>
      <c r="X149" s="8"/>
      <c r="Y149" s="8"/>
      <c r="Z149" s="8"/>
      <c r="AA149" s="64"/>
    </row>
    <row r="150" spans="3:27" ht="15.75" customHeight="1">
      <c r="C150" s="63"/>
      <c r="D150" s="35"/>
      <c r="E150" s="20" t="s">
        <v>61</v>
      </c>
      <c r="F150" s="20" t="s">
        <v>67</v>
      </c>
      <c r="G150" s="20" t="s">
        <v>128</v>
      </c>
      <c r="H150" s="20" t="s">
        <v>73</v>
      </c>
      <c r="J150" s="35"/>
      <c r="K150" s="20" t="s">
        <v>61</v>
      </c>
      <c r="L150" s="20" t="s">
        <v>67</v>
      </c>
      <c r="M150" s="20" t="s">
        <v>128</v>
      </c>
      <c r="N150" s="20" t="s">
        <v>73</v>
      </c>
      <c r="O150" s="36" t="s">
        <v>104</v>
      </c>
      <c r="P150" s="8"/>
      <c r="Q150" s="20" t="s">
        <v>104</v>
      </c>
      <c r="R150" s="21">
        <f>+O151</f>
        <v>0.19166666666666665</v>
      </c>
      <c r="S150" s="21">
        <f>+O152</f>
        <v>0.24166666666666667</v>
      </c>
      <c r="T150" s="21">
        <f>+O153</f>
        <v>0.24166666666666667</v>
      </c>
      <c r="U150" s="52">
        <f>+O154</f>
        <v>0.32500000000000001</v>
      </c>
      <c r="V150" s="15"/>
      <c r="W150" s="15"/>
      <c r="X150" s="8"/>
      <c r="Y150" s="8"/>
      <c r="Z150" s="8"/>
      <c r="AA150" s="64"/>
    </row>
    <row r="151" spans="3:27" ht="15.75" customHeight="1">
      <c r="C151" s="63"/>
      <c r="D151" s="16" t="s">
        <v>61</v>
      </c>
      <c r="E151" s="17">
        <v>1</v>
      </c>
      <c r="F151" s="17">
        <f>'1.1 FORM'!J27</f>
        <v>1</v>
      </c>
      <c r="G151" s="17">
        <f>'1.1 FORM'!K27</f>
        <v>1</v>
      </c>
      <c r="H151" s="17">
        <f>'1.1 FORM'!L27</f>
        <v>0.33333333333333331</v>
      </c>
      <c r="J151" s="20" t="s">
        <v>61</v>
      </c>
      <c r="K151" s="21">
        <f>+E151/SUM(E151:E154)</f>
        <v>0.16666666666666666</v>
      </c>
      <c r="L151" s="21">
        <f>+F151/SUM(F151:F154)</f>
        <v>0.25</v>
      </c>
      <c r="M151" s="21">
        <f>+G151/SUM(G151:G154)</f>
        <v>0.25</v>
      </c>
      <c r="N151" s="21">
        <f>+H151/SUM(H151:H154)</f>
        <v>0.1</v>
      </c>
      <c r="O151" s="25">
        <f>+AVERAGE(K151:N151)</f>
        <v>0.19166666666666665</v>
      </c>
      <c r="P151" s="8"/>
      <c r="Q151" s="35"/>
      <c r="R151" s="20" t="s">
        <v>61</v>
      </c>
      <c r="S151" s="20" t="s">
        <v>67</v>
      </c>
      <c r="T151" s="20" t="s">
        <v>128</v>
      </c>
      <c r="U151" s="20" t="s">
        <v>73</v>
      </c>
      <c r="V151" s="20" t="s">
        <v>105</v>
      </c>
      <c r="W151" s="20" t="s">
        <v>106</v>
      </c>
      <c r="X151" s="8"/>
      <c r="Y151" s="33" t="s">
        <v>123</v>
      </c>
      <c r="Z151" s="34">
        <f>+AVERAGE(W152:W155)</f>
        <v>4.154807211778726</v>
      </c>
      <c r="AA151" s="64"/>
    </row>
    <row r="152" spans="3:27" ht="15.75" customHeight="1">
      <c r="C152" s="63"/>
      <c r="D152" s="16" t="s">
        <v>67</v>
      </c>
      <c r="E152" s="17">
        <f>1/F151</f>
        <v>1</v>
      </c>
      <c r="F152" s="17">
        <v>1</v>
      </c>
      <c r="G152" s="17">
        <f>'1.1 FORM'!M27</f>
        <v>1</v>
      </c>
      <c r="H152" s="17">
        <f>'1.1 FORM'!N27</f>
        <v>1</v>
      </c>
      <c r="J152" s="16" t="s">
        <v>67</v>
      </c>
      <c r="K152" s="17">
        <f>+E152/SUM(E151:E154)</f>
        <v>0.16666666666666666</v>
      </c>
      <c r="L152" s="17">
        <f>+F152/SUM(F151:F154)</f>
        <v>0.25</v>
      </c>
      <c r="M152" s="17">
        <f>+G152/SUM(G151:G154)</f>
        <v>0.25</v>
      </c>
      <c r="N152" s="17">
        <f>+H152/SUM(H151:H154)</f>
        <v>0.30000000000000004</v>
      </c>
      <c r="O152" s="24">
        <f>+AVERAGE(K152:N152)</f>
        <v>0.24166666666666667</v>
      </c>
      <c r="P152" s="8"/>
      <c r="Q152" s="20" t="s">
        <v>61</v>
      </c>
      <c r="R152" s="21">
        <f>+R150*E151</f>
        <v>0.19166666666666665</v>
      </c>
      <c r="S152" s="21">
        <f>+S150*F151</f>
        <v>0.24166666666666667</v>
      </c>
      <c r="T152" s="21">
        <f>+T150*G151</f>
        <v>0.24166666666666667</v>
      </c>
      <c r="U152" s="21">
        <f>+U150*H151</f>
        <v>0.10833333333333334</v>
      </c>
      <c r="V152" s="21">
        <f>+SUM(R152:U152)</f>
        <v>0.78333333333333344</v>
      </c>
      <c r="W152" s="30">
        <f>+V152/O151</f>
        <v>4.0869565217391317</v>
      </c>
      <c r="X152" s="8"/>
      <c r="Y152" s="33" t="s">
        <v>96</v>
      </c>
      <c r="Z152" s="34">
        <v>4</v>
      </c>
      <c r="AA152" s="64"/>
    </row>
    <row r="153" spans="3:27" ht="15.75" customHeight="1">
      <c r="C153" s="63"/>
      <c r="D153" s="16" t="s">
        <v>128</v>
      </c>
      <c r="E153" s="17">
        <f>1/G151</f>
        <v>1</v>
      </c>
      <c r="F153" s="17">
        <f>1/G152</f>
        <v>1</v>
      </c>
      <c r="G153" s="17">
        <v>1</v>
      </c>
      <c r="H153" s="17">
        <f>'1.1 FORM'!O27</f>
        <v>1</v>
      </c>
      <c r="J153" s="16" t="s">
        <v>128</v>
      </c>
      <c r="K153" s="17">
        <f>+E153/SUM(E151:E154)</f>
        <v>0.16666666666666666</v>
      </c>
      <c r="L153" s="17">
        <f>+F153/SUM(F151:F154)</f>
        <v>0.25</v>
      </c>
      <c r="M153" s="17">
        <f>+G153/SUM(G151:G154)</f>
        <v>0.25</v>
      </c>
      <c r="N153" s="17">
        <f>+H153/SUM(H151:H154)</f>
        <v>0.30000000000000004</v>
      </c>
      <c r="O153" s="24">
        <f>+AVERAGE(K153:N153)</f>
        <v>0.24166666666666667</v>
      </c>
      <c r="P153" s="8"/>
      <c r="Q153" s="16" t="s">
        <v>67</v>
      </c>
      <c r="R153" s="17">
        <f>+R150*E152</f>
        <v>0.19166666666666665</v>
      </c>
      <c r="S153" s="17">
        <f>+S150*F152</f>
        <v>0.24166666666666667</v>
      </c>
      <c r="T153" s="17">
        <f>+T150*G152</f>
        <v>0.24166666666666667</v>
      </c>
      <c r="U153" s="17">
        <f>+U150*H152</f>
        <v>0.32500000000000001</v>
      </c>
      <c r="V153" s="17">
        <f>+SUM(R153:U153)</f>
        <v>1</v>
      </c>
      <c r="W153" s="28">
        <f>+V153/O152</f>
        <v>4.1379310344827589</v>
      </c>
      <c r="X153" s="8"/>
      <c r="Y153" s="33" t="s">
        <v>107</v>
      </c>
      <c r="Z153" s="34">
        <f>+(Z151-Z152)/(Z152-1)</f>
        <v>5.1602403926242012E-2</v>
      </c>
      <c r="AA153" s="64"/>
    </row>
    <row r="154" spans="3:27" ht="15.75" customHeight="1">
      <c r="C154" s="63"/>
      <c r="D154" s="22" t="s">
        <v>73</v>
      </c>
      <c r="E154" s="23">
        <f>1/H151</f>
        <v>3</v>
      </c>
      <c r="F154" s="23">
        <f>1/H152</f>
        <v>1</v>
      </c>
      <c r="G154" s="23">
        <f>1/H153</f>
        <v>1</v>
      </c>
      <c r="H154" s="23">
        <v>1</v>
      </c>
      <c r="J154" s="22" t="s">
        <v>73</v>
      </c>
      <c r="K154" s="23">
        <f>+E154/SUM(E151:E154)</f>
        <v>0.5</v>
      </c>
      <c r="L154" s="23">
        <f>+F154/SUM(F151:F154)</f>
        <v>0.25</v>
      </c>
      <c r="M154" s="23">
        <f>+G154/SUM(G151:G154)</f>
        <v>0.25</v>
      </c>
      <c r="N154" s="23">
        <f>+H154/SUM(H151:H154)</f>
        <v>0.30000000000000004</v>
      </c>
      <c r="O154" s="26">
        <f>+AVERAGE(K154:N154)</f>
        <v>0.32500000000000001</v>
      </c>
      <c r="P154" s="8"/>
      <c r="Q154" s="16" t="s">
        <v>128</v>
      </c>
      <c r="R154" s="17">
        <f>+R150*E153</f>
        <v>0.19166666666666665</v>
      </c>
      <c r="S154" s="17">
        <f>+S150*F153</f>
        <v>0.24166666666666667</v>
      </c>
      <c r="T154" s="17">
        <f>+T150*G153</f>
        <v>0.24166666666666667</v>
      </c>
      <c r="U154" s="17">
        <f>+U150*H153</f>
        <v>0.32500000000000001</v>
      </c>
      <c r="V154" s="17">
        <f>+SUM(R154:U154)</f>
        <v>1</v>
      </c>
      <c r="W154" s="28">
        <f>+V154/O153</f>
        <v>4.1379310344827589</v>
      </c>
      <c r="X154" s="8"/>
      <c r="Y154" s="33" t="s">
        <v>108</v>
      </c>
      <c r="Z154" s="34">
        <v>0.9</v>
      </c>
      <c r="AA154" s="64"/>
    </row>
    <row r="155" spans="3:27" ht="15.75" customHeight="1">
      <c r="C155" s="63"/>
      <c r="J155" s="8"/>
      <c r="K155" s="8"/>
      <c r="L155" s="8"/>
      <c r="M155" s="8"/>
      <c r="N155" s="8"/>
      <c r="O155" s="8"/>
      <c r="P155" s="8"/>
      <c r="Q155" s="22" t="s">
        <v>73</v>
      </c>
      <c r="R155" s="23">
        <f>+R150*E154</f>
        <v>0.57499999999999996</v>
      </c>
      <c r="S155" s="23">
        <f>+S150*F154</f>
        <v>0.24166666666666667</v>
      </c>
      <c r="T155" s="23">
        <f>+T150*G154</f>
        <v>0.24166666666666667</v>
      </c>
      <c r="U155" s="23">
        <f>+U150*H154</f>
        <v>0.32500000000000001</v>
      </c>
      <c r="V155" s="23">
        <f>+SUM(R155:U155)</f>
        <v>1.3833333333333333</v>
      </c>
      <c r="W155" s="32">
        <f>+V155/O154</f>
        <v>4.2564102564102564</v>
      </c>
      <c r="X155" s="8"/>
      <c r="Y155" s="33" t="s">
        <v>109</v>
      </c>
      <c r="Z155" s="34">
        <f>Z153/Z154</f>
        <v>5.7336004362491123E-2</v>
      </c>
      <c r="AA155" s="64"/>
    </row>
    <row r="156" spans="3:27" ht="15.75" customHeight="1">
      <c r="C156" s="63"/>
      <c r="AA156" s="64"/>
    </row>
    <row r="157" spans="3:27" ht="15.75" customHeight="1" thickBot="1">
      <c r="C157" s="65"/>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7"/>
    </row>
    <row r="158" spans="3:27" ht="15.75" customHeight="1" thickBot="1"/>
    <row r="159" spans="3:27" ht="15.75" customHeight="1">
      <c r="C159" s="53" t="s">
        <v>115</v>
      </c>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9"/>
    </row>
    <row r="160" spans="3:27" ht="15.75" customHeight="1">
      <c r="C160" s="63"/>
      <c r="AA160" s="64"/>
    </row>
    <row r="161" spans="3:27" ht="15.75" customHeight="1">
      <c r="C161" s="63"/>
      <c r="D161" s="46" t="s">
        <v>124</v>
      </c>
      <c r="E161" s="46"/>
      <c r="F161" s="46"/>
      <c r="J161" s="11" t="s">
        <v>103</v>
      </c>
      <c r="K161" s="14"/>
      <c r="L161" s="8"/>
      <c r="M161" s="14"/>
      <c r="N161" s="14"/>
      <c r="O161" s="8"/>
      <c r="P161" s="8"/>
      <c r="Q161" s="8"/>
      <c r="R161" s="8"/>
      <c r="S161" s="8"/>
      <c r="T161" s="8"/>
      <c r="U161" s="8"/>
      <c r="V161" s="8"/>
      <c r="W161" s="8"/>
      <c r="X161" s="8"/>
      <c r="Y161" s="8"/>
      <c r="Z161" s="8"/>
      <c r="AA161" s="64"/>
    </row>
    <row r="162" spans="3:27" ht="15.75" customHeight="1">
      <c r="C162" s="63"/>
      <c r="D162" s="35"/>
      <c r="E162" s="20" t="s">
        <v>57</v>
      </c>
      <c r="F162" s="20" t="s">
        <v>63</v>
      </c>
      <c r="J162" s="35"/>
      <c r="K162" s="20" t="s">
        <v>51</v>
      </c>
      <c r="L162" s="20" t="s">
        <v>53</v>
      </c>
      <c r="M162" s="36" t="s">
        <v>104</v>
      </c>
      <c r="N162" s="45"/>
      <c r="O162" s="45"/>
      <c r="P162" s="8"/>
      <c r="Q162" s="20" t="s">
        <v>104</v>
      </c>
      <c r="R162" s="21">
        <f>+M163</f>
        <v>0.83333333333333337</v>
      </c>
      <c r="S162" s="21">
        <f>+M164</f>
        <v>0.16666666666666669</v>
      </c>
      <c r="T162" s="15"/>
      <c r="U162" s="15"/>
      <c r="V162" s="8"/>
      <c r="W162" s="8"/>
      <c r="X162" s="8"/>
      <c r="Y162" s="8"/>
      <c r="Z162" s="8"/>
      <c r="AA162" s="64"/>
    </row>
    <row r="163" spans="3:27" ht="15.75" customHeight="1">
      <c r="C163" s="63"/>
      <c r="D163" s="20" t="s">
        <v>57</v>
      </c>
      <c r="E163" s="21">
        <v>1</v>
      </c>
      <c r="F163" s="21">
        <f>'1.1 FORM'!F28</f>
        <v>5</v>
      </c>
      <c r="J163" s="20" t="s">
        <v>51</v>
      </c>
      <c r="K163" s="21">
        <f>+E163/SUM(E163:E164)</f>
        <v>0.83333333333333337</v>
      </c>
      <c r="L163" s="21">
        <f>+F163/SUM(F163:F164)</f>
        <v>0.83333333333333337</v>
      </c>
      <c r="M163" s="25">
        <f>+AVERAGE(K163:L163)</f>
        <v>0.83333333333333337</v>
      </c>
      <c r="N163" s="24"/>
      <c r="O163" s="24"/>
      <c r="P163" s="8"/>
      <c r="Q163" s="18"/>
      <c r="R163" s="19" t="s">
        <v>51</v>
      </c>
      <c r="S163" s="19" t="s">
        <v>53</v>
      </c>
      <c r="T163" s="19" t="s">
        <v>105</v>
      </c>
      <c r="U163" s="19" t="s">
        <v>106</v>
      </c>
      <c r="V163" s="8"/>
      <c r="W163" s="8"/>
      <c r="X163" s="8"/>
      <c r="Y163" s="33" t="s">
        <v>123</v>
      </c>
      <c r="Z163" s="34">
        <f>+AVERAGE(U164:U166)</f>
        <v>2</v>
      </c>
      <c r="AA163" s="64"/>
    </row>
    <row r="164" spans="3:27" ht="15.75" customHeight="1">
      <c r="C164" s="63"/>
      <c r="D164" s="22" t="s">
        <v>63</v>
      </c>
      <c r="E164" s="23">
        <f>1/F163</f>
        <v>0.2</v>
      </c>
      <c r="F164" s="23">
        <v>1</v>
      </c>
      <c r="J164" s="22" t="s">
        <v>53</v>
      </c>
      <c r="K164" s="23">
        <f>+E164/SUM(E163:E164)</f>
        <v>0.16666666666666669</v>
      </c>
      <c r="L164" s="23">
        <f>+F164/SUM(F163:F164)</f>
        <v>0.16666666666666666</v>
      </c>
      <c r="M164" s="26">
        <f>+AVERAGE(K164:L164)</f>
        <v>0.16666666666666669</v>
      </c>
      <c r="N164" s="24"/>
      <c r="O164" s="24"/>
      <c r="P164" s="8"/>
      <c r="Q164" s="20" t="s">
        <v>51</v>
      </c>
      <c r="R164" s="21">
        <f>+R162*E163</f>
        <v>0.83333333333333337</v>
      </c>
      <c r="S164" s="21">
        <f>+S162*F163</f>
        <v>0.83333333333333348</v>
      </c>
      <c r="T164" s="29">
        <f>+SUM(R164:S164)</f>
        <v>1.666666666666667</v>
      </c>
      <c r="U164" s="30">
        <f>+T164/M163</f>
        <v>2.0000000000000004</v>
      </c>
      <c r="V164" s="8"/>
      <c r="W164" s="8"/>
      <c r="X164" s="8"/>
      <c r="Y164" s="33" t="s">
        <v>96</v>
      </c>
      <c r="Z164" s="34">
        <f>+COUNTA(R163:S163)</f>
        <v>2</v>
      </c>
      <c r="AA164" s="64"/>
    </row>
    <row r="165" spans="3:27" ht="15.75" customHeight="1">
      <c r="C165" s="63"/>
      <c r="D165" s="10"/>
      <c r="E165" s="10"/>
      <c r="F165" s="10"/>
      <c r="G165" s="10"/>
      <c r="J165" s="16"/>
      <c r="K165" s="17"/>
      <c r="L165" s="17"/>
      <c r="M165" s="24"/>
      <c r="N165" s="24"/>
      <c r="O165" s="24"/>
      <c r="P165" s="8"/>
      <c r="Q165" s="42" t="s">
        <v>53</v>
      </c>
      <c r="R165" s="40">
        <f>+R162*E164</f>
        <v>0.16666666666666669</v>
      </c>
      <c r="S165" s="40">
        <f>+S162*F164</f>
        <v>0.16666666666666669</v>
      </c>
      <c r="T165" s="43">
        <f>+SUM(R165:S165)</f>
        <v>0.33333333333333337</v>
      </c>
      <c r="U165" s="44">
        <f>+T165/M164</f>
        <v>2</v>
      </c>
      <c r="V165" s="8"/>
      <c r="W165" s="8"/>
      <c r="X165" s="8"/>
      <c r="Y165" s="33" t="s">
        <v>107</v>
      </c>
      <c r="Z165" s="34">
        <f>+(Z163-Z164)/(Z164-1)</f>
        <v>0</v>
      </c>
      <c r="AA165" s="64"/>
    </row>
    <row r="166" spans="3:27" ht="15.75" customHeight="1">
      <c r="C166" s="63"/>
      <c r="J166" s="10"/>
      <c r="K166" s="10"/>
      <c r="L166" s="10"/>
      <c r="M166" s="8"/>
      <c r="N166" s="8"/>
      <c r="O166" s="8"/>
      <c r="P166" s="8"/>
      <c r="Q166" s="16"/>
      <c r="R166" s="17"/>
      <c r="S166" s="17"/>
      <c r="T166" s="27"/>
      <c r="U166" s="28"/>
      <c r="V166" s="8"/>
      <c r="W166" s="8"/>
      <c r="X166" s="8"/>
      <c r="Y166" s="33" t="s">
        <v>108</v>
      </c>
      <c r="Z166" s="34">
        <v>0.57999999999999996</v>
      </c>
      <c r="AA166" s="64"/>
    </row>
    <row r="167" spans="3:27" ht="15.75" customHeight="1">
      <c r="C167" s="63"/>
      <c r="J167" s="8"/>
      <c r="K167" s="8"/>
      <c r="L167" s="8"/>
      <c r="M167" s="8"/>
      <c r="N167" s="8"/>
      <c r="O167" s="8"/>
      <c r="P167" s="8"/>
      <c r="Q167" s="16"/>
      <c r="R167" s="17"/>
      <c r="S167" s="17"/>
      <c r="T167" s="27"/>
      <c r="U167" s="28"/>
      <c r="V167" s="8"/>
      <c r="W167" s="8"/>
      <c r="X167" s="8"/>
      <c r="Y167" s="33" t="s">
        <v>109</v>
      </c>
      <c r="Z167" s="34">
        <f>Z165/Z166</f>
        <v>0</v>
      </c>
      <c r="AA167" s="64"/>
    </row>
    <row r="168" spans="3:27" ht="15.75" customHeight="1">
      <c r="C168" s="63"/>
      <c r="J168" s="10"/>
      <c r="L168" s="12"/>
      <c r="M168" s="13"/>
      <c r="N168" s="13"/>
      <c r="O168" s="13"/>
      <c r="P168" s="12"/>
      <c r="Q168" s="12"/>
      <c r="R168" s="8"/>
      <c r="S168" s="8"/>
      <c r="T168" s="8"/>
      <c r="U168" s="8"/>
      <c r="V168" s="8"/>
      <c r="W168" s="8"/>
      <c r="X168" s="8"/>
      <c r="Y168" s="8"/>
      <c r="Z168" s="8"/>
      <c r="AA168" s="64"/>
    </row>
    <row r="169" spans="3:27" ht="15.75" customHeight="1">
      <c r="C169" s="63"/>
      <c r="D169" s="3" t="s">
        <v>125</v>
      </c>
      <c r="E169" s="14"/>
      <c r="F169" s="8"/>
      <c r="G169" s="14"/>
      <c r="J169" s="11" t="s">
        <v>103</v>
      </c>
      <c r="K169" s="14"/>
      <c r="L169" s="8"/>
      <c r="M169" s="14"/>
      <c r="N169" s="8"/>
      <c r="O169" s="8"/>
      <c r="P169" s="8"/>
      <c r="Q169" s="48" t="s">
        <v>126</v>
      </c>
      <c r="R169" s="8"/>
      <c r="S169" s="8"/>
      <c r="T169" s="8"/>
      <c r="U169" s="8"/>
      <c r="V169" s="8"/>
      <c r="W169" s="8"/>
      <c r="X169" s="8"/>
      <c r="Y169" s="8"/>
      <c r="AA169" s="64"/>
    </row>
    <row r="170" spans="3:27" ht="15.75" customHeight="1">
      <c r="C170" s="63"/>
      <c r="D170" s="35"/>
      <c r="E170" s="20" t="s">
        <v>59</v>
      </c>
      <c r="F170" s="20" t="s">
        <v>65</v>
      </c>
      <c r="G170" s="20" t="s">
        <v>69</v>
      </c>
      <c r="J170" s="35"/>
      <c r="K170" s="20" t="s">
        <v>51</v>
      </c>
      <c r="L170" s="20" t="s">
        <v>53</v>
      </c>
      <c r="M170" s="20" t="s">
        <v>55</v>
      </c>
      <c r="N170" s="36" t="s">
        <v>104</v>
      </c>
      <c r="O170" s="45"/>
      <c r="P170" s="8"/>
      <c r="Q170" s="20" t="s">
        <v>104</v>
      </c>
      <c r="R170" s="21">
        <f>+N171</f>
        <v>0.45454545454545453</v>
      </c>
      <c r="S170" s="21">
        <f>+N172</f>
        <v>0.45454545454545453</v>
      </c>
      <c r="T170" s="21">
        <f>+N173</f>
        <v>9.0909090909090898E-2</v>
      </c>
      <c r="U170" s="15"/>
      <c r="V170" s="15"/>
      <c r="W170" s="15"/>
      <c r="X170" s="8"/>
      <c r="Y170" s="8"/>
      <c r="Z170" s="8"/>
      <c r="AA170" s="64"/>
    </row>
    <row r="171" spans="3:27" ht="15.75" customHeight="1">
      <c r="C171" s="63"/>
      <c r="D171" s="20" t="s">
        <v>59</v>
      </c>
      <c r="E171" s="21">
        <v>1</v>
      </c>
      <c r="F171" s="21">
        <f>'1.1 FORM'!G28</f>
        <v>1</v>
      </c>
      <c r="G171" s="21">
        <f>'1.1 FORM'!H28</f>
        <v>5</v>
      </c>
      <c r="J171" s="20" t="s">
        <v>51</v>
      </c>
      <c r="K171" s="21">
        <f>+E171/SUM(E171:E173)</f>
        <v>0.45454545454545453</v>
      </c>
      <c r="L171" s="21">
        <f>+F171/SUM(F171:F173)</f>
        <v>0.45454545454545453</v>
      </c>
      <c r="M171" s="21">
        <f>+G171/SUM(G171:G173)</f>
        <v>0.45454545454545453</v>
      </c>
      <c r="N171" s="25">
        <f>+AVERAGE(K171:M171)</f>
        <v>0.45454545454545453</v>
      </c>
      <c r="O171" s="24"/>
      <c r="P171" s="8"/>
      <c r="Q171" s="35"/>
      <c r="R171" s="20" t="s">
        <v>51</v>
      </c>
      <c r="S171" s="20" t="s">
        <v>53</v>
      </c>
      <c r="T171" s="20" t="s">
        <v>55</v>
      </c>
      <c r="U171" s="19" t="s">
        <v>105</v>
      </c>
      <c r="V171" s="19" t="s">
        <v>106</v>
      </c>
      <c r="W171" s="16"/>
      <c r="X171" s="8"/>
      <c r="Y171" s="33" t="s">
        <v>123</v>
      </c>
      <c r="Z171" s="34">
        <f>+AVERAGE(V172:V174)</f>
        <v>3</v>
      </c>
      <c r="AA171" s="64"/>
    </row>
    <row r="172" spans="3:27" ht="15.75" customHeight="1">
      <c r="C172" s="63"/>
      <c r="D172" s="16" t="s">
        <v>65</v>
      </c>
      <c r="E172" s="17">
        <f>1/F171</f>
        <v>1</v>
      </c>
      <c r="F172" s="17">
        <v>1</v>
      </c>
      <c r="G172" s="17">
        <f>'1.1 FORM'!I28</f>
        <v>5</v>
      </c>
      <c r="J172" s="16" t="s">
        <v>53</v>
      </c>
      <c r="K172" s="17">
        <f>+E172/SUM(E171:E173)</f>
        <v>0.45454545454545453</v>
      </c>
      <c r="L172" s="17">
        <f>+F172/SUM(F171:F173)</f>
        <v>0.45454545454545453</v>
      </c>
      <c r="M172" s="17">
        <f>+G172/SUM(G171:G173)</f>
        <v>0.45454545454545453</v>
      </c>
      <c r="N172" s="24">
        <f>+AVERAGE(K172:M172)</f>
        <v>0.45454545454545453</v>
      </c>
      <c r="O172" s="24"/>
      <c r="P172" s="8"/>
      <c r="Q172" s="20" t="s">
        <v>51</v>
      </c>
      <c r="R172" s="21">
        <f>+R170*E171</f>
        <v>0.45454545454545453</v>
      </c>
      <c r="S172" s="21">
        <f>+S170*F171</f>
        <v>0.45454545454545453</v>
      </c>
      <c r="T172" s="21">
        <f>+T170*G171</f>
        <v>0.45454545454545447</v>
      </c>
      <c r="U172" s="29">
        <f>+SUM(R172:T172)</f>
        <v>1.3636363636363635</v>
      </c>
      <c r="V172" s="30">
        <f>+U172/N171</f>
        <v>3</v>
      </c>
      <c r="W172" s="28"/>
      <c r="X172" s="8"/>
      <c r="Y172" s="33" t="s">
        <v>96</v>
      </c>
      <c r="Z172" s="34">
        <f>+COUNTA(R171:T171)</f>
        <v>3</v>
      </c>
      <c r="AA172" s="64"/>
    </row>
    <row r="173" spans="3:27" ht="15.75" customHeight="1">
      <c r="C173" s="63"/>
      <c r="D173" s="22" t="s">
        <v>69</v>
      </c>
      <c r="E173" s="23">
        <f>1/G171</f>
        <v>0.2</v>
      </c>
      <c r="F173" s="23">
        <f>1/G172</f>
        <v>0.2</v>
      </c>
      <c r="G173" s="23">
        <v>1</v>
      </c>
      <c r="J173" s="22" t="s">
        <v>55</v>
      </c>
      <c r="K173" s="23">
        <f>+E173/SUM(E171:E173)</f>
        <v>9.0909090909090912E-2</v>
      </c>
      <c r="L173" s="23">
        <f>+F173/SUM(F171:F173)</f>
        <v>9.0909090909090912E-2</v>
      </c>
      <c r="M173" s="23">
        <f>+G173/SUM(G171:G173)</f>
        <v>9.0909090909090912E-2</v>
      </c>
      <c r="N173" s="26">
        <f>+AVERAGE(K173:M173)</f>
        <v>9.0909090909090898E-2</v>
      </c>
      <c r="O173" s="24"/>
      <c r="P173" s="8"/>
      <c r="Q173" s="16" t="s">
        <v>53</v>
      </c>
      <c r="R173" s="17">
        <f>+R170*E172</f>
        <v>0.45454545454545453</v>
      </c>
      <c r="S173" s="17">
        <f>+S170*F172</f>
        <v>0.45454545454545453</v>
      </c>
      <c r="T173" s="17">
        <f>+T170*G172</f>
        <v>0.45454545454545447</v>
      </c>
      <c r="U173" s="27">
        <f>+SUM(R173:T173)</f>
        <v>1.3636363636363635</v>
      </c>
      <c r="V173" s="28">
        <f>+U173/N172</f>
        <v>3</v>
      </c>
      <c r="W173" s="28"/>
      <c r="X173" s="8"/>
      <c r="Y173" s="33" t="s">
        <v>107</v>
      </c>
      <c r="Z173" s="34">
        <f>+(Z171-Z172)/(Z172-1)</f>
        <v>0</v>
      </c>
      <c r="AA173" s="64"/>
    </row>
    <row r="174" spans="3:27" ht="15.75" customHeight="1">
      <c r="C174" s="63"/>
      <c r="J174" s="10"/>
      <c r="K174" s="10"/>
      <c r="L174" s="10"/>
      <c r="M174" s="10"/>
      <c r="N174" s="8"/>
      <c r="O174" s="8"/>
      <c r="P174" s="8"/>
      <c r="Q174" s="22" t="s">
        <v>55</v>
      </c>
      <c r="R174" s="23">
        <f>+R170*E173</f>
        <v>9.0909090909090912E-2</v>
      </c>
      <c r="S174" s="23">
        <f>+S170*F173</f>
        <v>9.0909090909090912E-2</v>
      </c>
      <c r="T174" s="23">
        <f>+T170*G173</f>
        <v>9.0909090909090898E-2</v>
      </c>
      <c r="U174" s="31">
        <f>+SUM(R174:T174)</f>
        <v>0.27272727272727271</v>
      </c>
      <c r="V174" s="32">
        <f>+U174/N173</f>
        <v>3</v>
      </c>
      <c r="W174" s="28"/>
      <c r="X174" s="8"/>
      <c r="Y174" s="33" t="s">
        <v>108</v>
      </c>
      <c r="Z174" s="34">
        <v>0.57999999999999996</v>
      </c>
      <c r="AA174" s="64"/>
    </row>
    <row r="175" spans="3:27" ht="15.75" customHeight="1">
      <c r="C175" s="63"/>
      <c r="J175" s="8"/>
      <c r="K175" s="8"/>
      <c r="L175" s="8"/>
      <c r="M175" s="8"/>
      <c r="N175" s="8"/>
      <c r="O175" s="8"/>
      <c r="P175" s="16"/>
      <c r="Q175" s="17"/>
      <c r="R175" s="17"/>
      <c r="S175" s="17"/>
      <c r="T175" s="27"/>
      <c r="U175" s="28"/>
      <c r="V175" s="8"/>
      <c r="W175" s="8"/>
      <c r="Y175" s="33" t="s">
        <v>109</v>
      </c>
      <c r="Z175" s="34">
        <f>Z173/Z174</f>
        <v>0</v>
      </c>
      <c r="AA175" s="64"/>
    </row>
    <row r="176" spans="3:27" ht="15.75" customHeight="1">
      <c r="C176" s="63"/>
      <c r="AA176" s="64"/>
    </row>
    <row r="177" spans="3:27" ht="15.75" customHeight="1">
      <c r="C177" s="63"/>
      <c r="D177" s="39" t="s">
        <v>127</v>
      </c>
      <c r="E177" s="14"/>
      <c r="F177" s="8"/>
      <c r="G177" s="14"/>
      <c r="H177" s="14"/>
      <c r="J177" s="11" t="s">
        <v>103</v>
      </c>
      <c r="K177" s="14"/>
      <c r="L177" s="8"/>
      <c r="M177" s="14"/>
      <c r="N177" s="8"/>
      <c r="O177" s="8"/>
      <c r="P177" s="8"/>
      <c r="Q177" s="8"/>
      <c r="R177" s="8"/>
      <c r="S177" s="8"/>
      <c r="T177" s="8"/>
      <c r="U177" s="8"/>
      <c r="V177" s="8"/>
      <c r="W177" s="8"/>
      <c r="X177" s="8"/>
      <c r="Y177" s="8"/>
      <c r="Z177" s="8"/>
      <c r="AA177" s="64"/>
    </row>
    <row r="178" spans="3:27" ht="15.75" customHeight="1">
      <c r="C178" s="63"/>
      <c r="D178" s="35"/>
      <c r="E178" s="20" t="s">
        <v>61</v>
      </c>
      <c r="F178" s="20" t="s">
        <v>67</v>
      </c>
      <c r="G178" s="20" t="s">
        <v>128</v>
      </c>
      <c r="H178" s="20" t="s">
        <v>73</v>
      </c>
      <c r="J178" s="35"/>
      <c r="K178" s="20" t="s">
        <v>61</v>
      </c>
      <c r="L178" s="20" t="s">
        <v>67</v>
      </c>
      <c r="M178" s="20" t="s">
        <v>128</v>
      </c>
      <c r="N178" s="20" t="s">
        <v>73</v>
      </c>
      <c r="O178" s="36" t="s">
        <v>104</v>
      </c>
      <c r="P178" s="8"/>
      <c r="Q178" s="20" t="s">
        <v>104</v>
      </c>
      <c r="R178" s="21">
        <f>+O179</f>
        <v>8.1914344685242516E-2</v>
      </c>
      <c r="S178" s="21">
        <f>+O180</f>
        <v>0.4173116615067079</v>
      </c>
      <c r="T178" s="21">
        <f>+O181</f>
        <v>0.37564499484004127</v>
      </c>
      <c r="U178" s="52">
        <f>+O182</f>
        <v>0.12512899896800825</v>
      </c>
      <c r="V178" s="15"/>
      <c r="W178" s="15"/>
      <c r="X178" s="8"/>
      <c r="Y178" s="8"/>
      <c r="Z178" s="8"/>
      <c r="AA178" s="64"/>
    </row>
    <row r="179" spans="3:27" ht="15.75" customHeight="1">
      <c r="C179" s="63"/>
      <c r="D179" s="16" t="s">
        <v>61</v>
      </c>
      <c r="E179" s="17">
        <v>1</v>
      </c>
      <c r="F179" s="17">
        <f>'1.1 FORM'!J28</f>
        <v>0.2</v>
      </c>
      <c r="G179" s="17">
        <f>'1.1 FORM'!K28</f>
        <v>0.33333333333333331</v>
      </c>
      <c r="H179" s="17">
        <f>'1.1 FORM'!L28</f>
        <v>0.33333333333333331</v>
      </c>
      <c r="J179" s="20" t="s">
        <v>61</v>
      </c>
      <c r="K179" s="21">
        <f>+E179/SUM(E179:E182)</f>
        <v>8.3333333333333329E-2</v>
      </c>
      <c r="L179" s="21">
        <f>+F179/SUM(F179:F182)</f>
        <v>8.3333333333333329E-2</v>
      </c>
      <c r="M179" s="21">
        <f>+G179/SUM(G179:G182)</f>
        <v>0.13157894736842105</v>
      </c>
      <c r="N179" s="21">
        <f>+H179/SUM(H179:H182)</f>
        <v>2.9411764705882356E-2</v>
      </c>
      <c r="O179" s="25">
        <f>+AVERAGE(K179:N179)</f>
        <v>8.1914344685242516E-2</v>
      </c>
      <c r="P179" s="8"/>
      <c r="Q179" s="35"/>
      <c r="R179" s="20" t="s">
        <v>61</v>
      </c>
      <c r="S179" s="20" t="s">
        <v>67</v>
      </c>
      <c r="T179" s="20" t="s">
        <v>128</v>
      </c>
      <c r="U179" s="20" t="s">
        <v>73</v>
      </c>
      <c r="V179" s="20" t="s">
        <v>105</v>
      </c>
      <c r="W179" s="20" t="s">
        <v>106</v>
      </c>
      <c r="X179" s="8"/>
      <c r="Y179" s="33" t="s">
        <v>123</v>
      </c>
      <c r="Z179" s="34">
        <f>+AVERAGE(W180:W183)</f>
        <v>4.2748749022581185</v>
      </c>
      <c r="AA179" s="64"/>
    </row>
    <row r="180" spans="3:27" ht="15.75" customHeight="1">
      <c r="C180" s="63"/>
      <c r="D180" s="16" t="s">
        <v>67</v>
      </c>
      <c r="E180" s="17">
        <f>1/F179</f>
        <v>5</v>
      </c>
      <c r="F180" s="17">
        <v>1</v>
      </c>
      <c r="G180" s="17">
        <f>'1.1 FORM'!M28</f>
        <v>1</v>
      </c>
      <c r="H180" s="17">
        <f>'1.1 FORM'!N28</f>
        <v>5</v>
      </c>
      <c r="J180" s="16" t="s">
        <v>67</v>
      </c>
      <c r="K180" s="17">
        <f>+E180/SUM(E179:E182)</f>
        <v>0.41666666666666669</v>
      </c>
      <c r="L180" s="17">
        <f>+F180/SUM(F179:F182)</f>
        <v>0.41666666666666663</v>
      </c>
      <c r="M180" s="17">
        <f>+G180/SUM(G179:G182)</f>
        <v>0.39473684210526316</v>
      </c>
      <c r="N180" s="17">
        <f>+H180/SUM(H179:H182)</f>
        <v>0.44117647058823534</v>
      </c>
      <c r="O180" s="24">
        <f>+AVERAGE(K180:N180)</f>
        <v>0.4173116615067079</v>
      </c>
      <c r="P180" s="8"/>
      <c r="Q180" s="20" t="s">
        <v>61</v>
      </c>
      <c r="R180" s="21">
        <f>+R178*E179</f>
        <v>8.1914344685242516E-2</v>
      </c>
      <c r="S180" s="21">
        <f>+S178*F179</f>
        <v>8.3462332301341591E-2</v>
      </c>
      <c r="T180" s="21">
        <f>+T178*G179</f>
        <v>0.12521499828001376</v>
      </c>
      <c r="U180" s="21">
        <f>+U178*H179</f>
        <v>4.1709666322669411E-2</v>
      </c>
      <c r="V180" s="21">
        <f>+SUM(R180:U180)</f>
        <v>0.33230134158926727</v>
      </c>
      <c r="W180" s="30">
        <f>+V180/O179</f>
        <v>4.0566929133858265</v>
      </c>
      <c r="X180" s="8"/>
      <c r="Y180" s="33" t="s">
        <v>96</v>
      </c>
      <c r="Z180" s="34">
        <v>4</v>
      </c>
      <c r="AA180" s="64"/>
    </row>
    <row r="181" spans="3:27" ht="15.75" customHeight="1">
      <c r="C181" s="63"/>
      <c r="D181" s="16" t="s">
        <v>128</v>
      </c>
      <c r="E181" s="17">
        <f>1/G179</f>
        <v>3</v>
      </c>
      <c r="F181" s="17">
        <f>1/G180</f>
        <v>1</v>
      </c>
      <c r="G181" s="17">
        <v>1</v>
      </c>
      <c r="H181" s="17">
        <f>'1.1 FORM'!O28</f>
        <v>5</v>
      </c>
      <c r="J181" s="16" t="s">
        <v>128</v>
      </c>
      <c r="K181" s="17">
        <f>+E181/SUM(E179:E182)</f>
        <v>0.25</v>
      </c>
      <c r="L181" s="17">
        <f>+F181/SUM(F179:F182)</f>
        <v>0.41666666666666663</v>
      </c>
      <c r="M181" s="17">
        <f>+G181/SUM(G179:G182)</f>
        <v>0.39473684210526316</v>
      </c>
      <c r="N181" s="17">
        <f>+H181/SUM(H179:H182)</f>
        <v>0.44117647058823534</v>
      </c>
      <c r="O181" s="24">
        <f>+AVERAGE(K181:N181)</f>
        <v>0.37564499484004127</v>
      </c>
      <c r="P181" s="8"/>
      <c r="Q181" s="16" t="s">
        <v>67</v>
      </c>
      <c r="R181" s="17">
        <f>+R178*E180</f>
        <v>0.40957172342621256</v>
      </c>
      <c r="S181" s="17">
        <f>+S178*F180</f>
        <v>0.4173116615067079</v>
      </c>
      <c r="T181" s="17">
        <f>+T178*G180</f>
        <v>0.37564499484004127</v>
      </c>
      <c r="U181" s="17">
        <f>+U178*H180</f>
        <v>0.62564499484004121</v>
      </c>
      <c r="V181" s="17">
        <f>+SUM(R181:U181)</f>
        <v>1.8281733746130029</v>
      </c>
      <c r="W181" s="28">
        <f>+V181/O180</f>
        <v>4.3808346213292122</v>
      </c>
      <c r="X181" s="8"/>
      <c r="Y181" s="33" t="s">
        <v>107</v>
      </c>
      <c r="Z181" s="34">
        <f>+(Z179-Z180)/(Z180-1)</f>
        <v>9.162496741937283E-2</v>
      </c>
      <c r="AA181" s="64"/>
    </row>
    <row r="182" spans="3:27" ht="15.75" customHeight="1">
      <c r="C182" s="63"/>
      <c r="D182" s="22" t="s">
        <v>73</v>
      </c>
      <c r="E182" s="23">
        <f>1/H179</f>
        <v>3</v>
      </c>
      <c r="F182" s="23">
        <f>1/H180</f>
        <v>0.2</v>
      </c>
      <c r="G182" s="23">
        <f>1/H181</f>
        <v>0.2</v>
      </c>
      <c r="H182" s="23">
        <v>1</v>
      </c>
      <c r="J182" s="22" t="s">
        <v>73</v>
      </c>
      <c r="K182" s="23">
        <f>+E182/SUM(E179:E182)</f>
        <v>0.25</v>
      </c>
      <c r="L182" s="23">
        <f>+F182/SUM(F179:F182)</f>
        <v>8.3333333333333329E-2</v>
      </c>
      <c r="M182" s="23">
        <f>+G182/SUM(G179:G182)</f>
        <v>7.8947368421052641E-2</v>
      </c>
      <c r="N182" s="23">
        <f>+H182/SUM(H179:H182)</f>
        <v>8.8235294117647065E-2</v>
      </c>
      <c r="O182" s="26">
        <f>+AVERAGE(K182:N182)</f>
        <v>0.12512899896800825</v>
      </c>
      <c r="P182" s="8"/>
      <c r="Q182" s="16" t="s">
        <v>128</v>
      </c>
      <c r="R182" s="17">
        <f>+R178*E181</f>
        <v>0.24574303405572756</v>
      </c>
      <c r="S182" s="17">
        <f>+S178*F181</f>
        <v>0.4173116615067079</v>
      </c>
      <c r="T182" s="17">
        <f>+T178*G181</f>
        <v>0.37564499484004127</v>
      </c>
      <c r="U182" s="17">
        <f>+U178*H181</f>
        <v>0.62564499484004121</v>
      </c>
      <c r="V182" s="17">
        <f>+SUM(R182:U182)</f>
        <v>1.6643446852425181</v>
      </c>
      <c r="W182" s="28">
        <f>+V182/O181</f>
        <v>4.4306318681318686</v>
      </c>
      <c r="X182" s="8"/>
      <c r="Y182" s="33" t="s">
        <v>108</v>
      </c>
      <c r="Z182" s="34">
        <v>0.9</v>
      </c>
      <c r="AA182" s="64"/>
    </row>
    <row r="183" spans="3:27" ht="15.75" customHeight="1">
      <c r="C183" s="63"/>
      <c r="J183" s="8"/>
      <c r="K183" s="8"/>
      <c r="L183" s="8"/>
      <c r="M183" s="8"/>
      <c r="N183" s="8"/>
      <c r="O183" s="8"/>
      <c r="P183" s="8"/>
      <c r="Q183" s="22" t="s">
        <v>73</v>
      </c>
      <c r="R183" s="23">
        <f>+R178*E182</f>
        <v>0.24574303405572756</v>
      </c>
      <c r="S183" s="23">
        <f>+S178*F182</f>
        <v>8.3462332301341591E-2</v>
      </c>
      <c r="T183" s="23">
        <f>+T178*G182</f>
        <v>7.5128998968008259E-2</v>
      </c>
      <c r="U183" s="23">
        <f>+U178*H182</f>
        <v>0.12512899896800825</v>
      </c>
      <c r="V183" s="23">
        <f>+SUM(R183:U183)</f>
        <v>0.5294633642930856</v>
      </c>
      <c r="W183" s="32">
        <f>+V183/O182</f>
        <v>4.2313402061855667</v>
      </c>
      <c r="X183" s="8"/>
      <c r="Y183" s="33" t="s">
        <v>109</v>
      </c>
      <c r="Z183" s="34">
        <f>Z181/Z182</f>
        <v>0.1018055193548587</v>
      </c>
      <c r="AA183" s="64"/>
    </row>
    <row r="184" spans="3:27" ht="15.75" customHeight="1">
      <c r="C184" s="63"/>
      <c r="AA184" s="64"/>
    </row>
    <row r="185" spans="3:27" ht="15.75" customHeight="1" thickBot="1">
      <c r="C185" s="65"/>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7"/>
    </row>
    <row r="186" spans="3:27" ht="15.75" customHeight="1" thickBot="1"/>
    <row r="187" spans="3:27" ht="15.75" customHeight="1">
      <c r="C187" s="53" t="s">
        <v>116</v>
      </c>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9"/>
    </row>
    <row r="188" spans="3:27" ht="15.75" customHeight="1">
      <c r="C188" s="63"/>
      <c r="AA188" s="64"/>
    </row>
    <row r="189" spans="3:27" ht="15.75" customHeight="1">
      <c r="C189" s="63"/>
      <c r="D189" s="46" t="s">
        <v>124</v>
      </c>
      <c r="E189" s="46"/>
      <c r="F189" s="46"/>
      <c r="J189" s="11" t="s">
        <v>103</v>
      </c>
      <c r="K189" s="14"/>
      <c r="L189" s="8"/>
      <c r="M189" s="14"/>
      <c r="N189" s="14"/>
      <c r="O189" s="8"/>
      <c r="P189" s="8"/>
      <c r="Q189" s="8"/>
      <c r="R189" s="8"/>
      <c r="S189" s="8"/>
      <c r="T189" s="8"/>
      <c r="U189" s="8"/>
      <c r="V189" s="8"/>
      <c r="W189" s="8"/>
      <c r="X189" s="8"/>
      <c r="Y189" s="8"/>
      <c r="Z189" s="8"/>
      <c r="AA189" s="64"/>
    </row>
    <row r="190" spans="3:27" ht="15.75" customHeight="1">
      <c r="C190" s="63"/>
      <c r="D190" s="35"/>
      <c r="E190" s="20" t="s">
        <v>57</v>
      </c>
      <c r="F190" s="20" t="s">
        <v>63</v>
      </c>
      <c r="J190" s="35"/>
      <c r="K190" s="20" t="s">
        <v>51</v>
      </c>
      <c r="L190" s="20" t="s">
        <v>53</v>
      </c>
      <c r="M190" s="36" t="s">
        <v>104</v>
      </c>
      <c r="N190" s="45"/>
      <c r="O190" s="45"/>
      <c r="P190" s="8"/>
      <c r="Q190" s="20" t="s">
        <v>104</v>
      </c>
      <c r="R190" s="21">
        <f>+M191</f>
        <v>0.125</v>
      </c>
      <c r="S190" s="21">
        <f>+M192</f>
        <v>0.875</v>
      </c>
      <c r="T190" s="15"/>
      <c r="U190" s="15"/>
      <c r="V190" s="8"/>
      <c r="W190" s="8"/>
      <c r="X190" s="8"/>
      <c r="Y190" s="8"/>
      <c r="Z190" s="8"/>
      <c r="AA190" s="64"/>
    </row>
    <row r="191" spans="3:27" ht="15.75" customHeight="1">
      <c r="C191" s="63"/>
      <c r="D191" s="20" t="s">
        <v>57</v>
      </c>
      <c r="E191" s="21">
        <v>1</v>
      </c>
      <c r="F191" s="21">
        <f>'1.1 FORM'!F29</f>
        <v>0.14285714285714285</v>
      </c>
      <c r="J191" s="20" t="s">
        <v>51</v>
      </c>
      <c r="K191" s="21">
        <f>+E191/SUM(E191:E192)</f>
        <v>0.125</v>
      </c>
      <c r="L191" s="21">
        <f>+F191/SUM(F191:F192)</f>
        <v>0.125</v>
      </c>
      <c r="M191" s="25">
        <f>+AVERAGE(K191:L191)</f>
        <v>0.125</v>
      </c>
      <c r="N191" s="24"/>
      <c r="O191" s="24"/>
      <c r="P191" s="8"/>
      <c r="Q191" s="18"/>
      <c r="R191" s="19" t="s">
        <v>51</v>
      </c>
      <c r="S191" s="19" t="s">
        <v>53</v>
      </c>
      <c r="T191" s="19" t="s">
        <v>105</v>
      </c>
      <c r="U191" s="19" t="s">
        <v>106</v>
      </c>
      <c r="V191" s="8"/>
      <c r="W191" s="8"/>
      <c r="X191" s="8"/>
      <c r="Y191" s="33" t="s">
        <v>123</v>
      </c>
      <c r="Z191" s="34">
        <f>+AVERAGE(U192:U194)</f>
        <v>2</v>
      </c>
      <c r="AA191" s="64"/>
    </row>
    <row r="192" spans="3:27" ht="15.75" customHeight="1">
      <c r="C192" s="63"/>
      <c r="D192" s="22" t="s">
        <v>63</v>
      </c>
      <c r="E192" s="23">
        <f>1/F191</f>
        <v>7</v>
      </c>
      <c r="F192" s="23">
        <v>1</v>
      </c>
      <c r="J192" s="22" t="s">
        <v>53</v>
      </c>
      <c r="K192" s="23">
        <f>+E192/SUM(E191:E192)</f>
        <v>0.875</v>
      </c>
      <c r="L192" s="23">
        <f>+F192/SUM(F191:F192)</f>
        <v>0.875</v>
      </c>
      <c r="M192" s="26">
        <f>+AVERAGE(K192:L192)</f>
        <v>0.875</v>
      </c>
      <c r="N192" s="24"/>
      <c r="O192" s="24"/>
      <c r="P192" s="8"/>
      <c r="Q192" s="20" t="s">
        <v>51</v>
      </c>
      <c r="R192" s="21">
        <f>+R190*E191</f>
        <v>0.125</v>
      </c>
      <c r="S192" s="21">
        <f>+S190*F191</f>
        <v>0.125</v>
      </c>
      <c r="T192" s="29">
        <f>+SUM(R192:S192)</f>
        <v>0.25</v>
      </c>
      <c r="U192" s="30">
        <f>+T192/M191</f>
        <v>2</v>
      </c>
      <c r="V192" s="8"/>
      <c r="W192" s="8"/>
      <c r="X192" s="8"/>
      <c r="Y192" s="33" t="s">
        <v>96</v>
      </c>
      <c r="Z192" s="34">
        <f>+COUNTA(R191:S191)</f>
        <v>2</v>
      </c>
      <c r="AA192" s="64"/>
    </row>
    <row r="193" spans="3:27" ht="15.75" customHeight="1">
      <c r="C193" s="63"/>
      <c r="D193" s="10"/>
      <c r="E193" s="10"/>
      <c r="F193" s="10"/>
      <c r="G193" s="10"/>
      <c r="J193" s="16"/>
      <c r="K193" s="17"/>
      <c r="L193" s="17"/>
      <c r="M193" s="24"/>
      <c r="N193" s="24"/>
      <c r="O193" s="24"/>
      <c r="P193" s="8"/>
      <c r="Q193" s="42" t="s">
        <v>53</v>
      </c>
      <c r="R193" s="40">
        <f>+R190*E192</f>
        <v>0.875</v>
      </c>
      <c r="S193" s="40">
        <f>+S190*F192</f>
        <v>0.875</v>
      </c>
      <c r="T193" s="43">
        <f>+SUM(R193:S193)</f>
        <v>1.75</v>
      </c>
      <c r="U193" s="44">
        <f>+T193/M192</f>
        <v>2</v>
      </c>
      <c r="V193" s="8"/>
      <c r="W193" s="8"/>
      <c r="X193" s="8"/>
      <c r="Y193" s="33" t="s">
        <v>107</v>
      </c>
      <c r="Z193" s="34">
        <f>+(Z191-Z192)/(Z192-1)</f>
        <v>0</v>
      </c>
      <c r="AA193" s="64"/>
    </row>
    <row r="194" spans="3:27" ht="15.75" customHeight="1">
      <c r="C194" s="63"/>
      <c r="J194" s="10"/>
      <c r="K194" s="10"/>
      <c r="L194" s="10"/>
      <c r="M194" s="8"/>
      <c r="N194" s="8"/>
      <c r="O194" s="8"/>
      <c r="P194" s="8"/>
      <c r="Q194" s="16"/>
      <c r="R194" s="17"/>
      <c r="S194" s="17"/>
      <c r="T194" s="27"/>
      <c r="U194" s="28"/>
      <c r="V194" s="8"/>
      <c r="W194" s="8"/>
      <c r="X194" s="8"/>
      <c r="Y194" s="33" t="s">
        <v>108</v>
      </c>
      <c r="Z194" s="34">
        <v>0.57999999999999996</v>
      </c>
      <c r="AA194" s="64"/>
    </row>
    <row r="195" spans="3:27" ht="15.75" customHeight="1">
      <c r="C195" s="63"/>
      <c r="J195" s="8"/>
      <c r="K195" s="8"/>
      <c r="L195" s="8"/>
      <c r="M195" s="8"/>
      <c r="N195" s="8"/>
      <c r="O195" s="8"/>
      <c r="P195" s="8"/>
      <c r="Q195" s="16"/>
      <c r="R195" s="17"/>
      <c r="S195" s="17"/>
      <c r="T195" s="27"/>
      <c r="U195" s="28"/>
      <c r="V195" s="8"/>
      <c r="W195" s="8"/>
      <c r="X195" s="8"/>
      <c r="Y195" s="33" t="s">
        <v>109</v>
      </c>
      <c r="Z195" s="34">
        <f>Z193/Z194</f>
        <v>0</v>
      </c>
      <c r="AA195" s="64"/>
    </row>
    <row r="196" spans="3:27" ht="15.75" customHeight="1">
      <c r="C196" s="63"/>
      <c r="J196" s="10"/>
      <c r="L196" s="12"/>
      <c r="M196" s="13"/>
      <c r="N196" s="13"/>
      <c r="O196" s="13"/>
      <c r="P196" s="12"/>
      <c r="Q196" s="12"/>
      <c r="R196" s="8"/>
      <c r="S196" s="8"/>
      <c r="T196" s="8"/>
      <c r="U196" s="8"/>
      <c r="V196" s="8"/>
      <c r="W196" s="8"/>
      <c r="X196" s="8"/>
      <c r="Y196" s="8"/>
      <c r="Z196" s="8"/>
      <c r="AA196" s="64"/>
    </row>
    <row r="197" spans="3:27" ht="15.75" customHeight="1">
      <c r="C197" s="63"/>
      <c r="D197" s="3" t="s">
        <v>125</v>
      </c>
      <c r="E197" s="14"/>
      <c r="F197" s="8"/>
      <c r="G197" s="14"/>
      <c r="J197" s="11" t="s">
        <v>103</v>
      </c>
      <c r="K197" s="14"/>
      <c r="L197" s="8"/>
      <c r="M197" s="14"/>
      <c r="N197" s="8"/>
      <c r="O197" s="8"/>
      <c r="P197" s="8"/>
      <c r="Q197" s="48" t="s">
        <v>126</v>
      </c>
      <c r="R197" s="8"/>
      <c r="S197" s="8"/>
      <c r="T197" s="8"/>
      <c r="U197" s="8"/>
      <c r="V197" s="8"/>
      <c r="W197" s="8"/>
      <c r="X197" s="8"/>
      <c r="Y197" s="8"/>
      <c r="AA197" s="64"/>
    </row>
    <row r="198" spans="3:27" ht="15.75" customHeight="1">
      <c r="C198" s="63"/>
      <c r="D198" s="35"/>
      <c r="E198" s="20" t="s">
        <v>59</v>
      </c>
      <c r="F198" s="20" t="s">
        <v>65</v>
      </c>
      <c r="G198" s="20" t="s">
        <v>69</v>
      </c>
      <c r="J198" s="35"/>
      <c r="K198" s="20" t="s">
        <v>51</v>
      </c>
      <c r="L198" s="20" t="s">
        <v>53</v>
      </c>
      <c r="M198" s="20" t="s">
        <v>55</v>
      </c>
      <c r="N198" s="36" t="s">
        <v>104</v>
      </c>
      <c r="O198" s="45"/>
      <c r="P198" s="8"/>
      <c r="Q198" s="20" t="s">
        <v>104</v>
      </c>
      <c r="R198" s="21">
        <f>+N199</f>
        <v>0.45454545454545453</v>
      </c>
      <c r="S198" s="21">
        <f>+N200</f>
        <v>0.45454545454545453</v>
      </c>
      <c r="T198" s="21">
        <f>+N201</f>
        <v>9.0909090909090898E-2</v>
      </c>
      <c r="U198" s="15"/>
      <c r="V198" s="15"/>
      <c r="W198" s="15"/>
      <c r="X198" s="8"/>
      <c r="Y198" s="8"/>
      <c r="Z198" s="8"/>
      <c r="AA198" s="64"/>
    </row>
    <row r="199" spans="3:27" ht="15.75" customHeight="1">
      <c r="C199" s="63"/>
      <c r="D199" s="20" t="s">
        <v>59</v>
      </c>
      <c r="E199" s="21">
        <v>1</v>
      </c>
      <c r="F199" s="21">
        <f>'1.1 FORM'!G29</f>
        <v>1</v>
      </c>
      <c r="G199" s="21">
        <f>'1.1 FORM'!H29</f>
        <v>5</v>
      </c>
      <c r="J199" s="20" t="s">
        <v>51</v>
      </c>
      <c r="K199" s="21">
        <f>+E199/SUM(E199:E201)</f>
        <v>0.45454545454545453</v>
      </c>
      <c r="L199" s="21">
        <f>+F199/SUM(F199:F201)</f>
        <v>0.45454545454545453</v>
      </c>
      <c r="M199" s="21">
        <f>+G199/SUM(G199:G201)</f>
        <v>0.45454545454545453</v>
      </c>
      <c r="N199" s="25">
        <f>+AVERAGE(K199:M199)</f>
        <v>0.45454545454545453</v>
      </c>
      <c r="O199" s="24"/>
      <c r="P199" s="8"/>
      <c r="Q199" s="35"/>
      <c r="R199" s="20" t="s">
        <v>51</v>
      </c>
      <c r="S199" s="20" t="s">
        <v>53</v>
      </c>
      <c r="T199" s="20" t="s">
        <v>55</v>
      </c>
      <c r="U199" s="19" t="s">
        <v>105</v>
      </c>
      <c r="V199" s="19" t="s">
        <v>106</v>
      </c>
      <c r="W199" s="16"/>
      <c r="X199" s="8"/>
      <c r="Y199" s="33" t="s">
        <v>123</v>
      </c>
      <c r="Z199" s="34">
        <f>+AVERAGE(V200:V202)</f>
        <v>3</v>
      </c>
      <c r="AA199" s="64"/>
    </row>
    <row r="200" spans="3:27" ht="15.75" customHeight="1">
      <c r="C200" s="63"/>
      <c r="D200" s="16" t="s">
        <v>65</v>
      </c>
      <c r="E200" s="17">
        <f>1/F199</f>
        <v>1</v>
      </c>
      <c r="F200" s="17">
        <v>1</v>
      </c>
      <c r="G200" s="17">
        <f>'1.1 FORM'!I29</f>
        <v>5</v>
      </c>
      <c r="J200" s="16" t="s">
        <v>53</v>
      </c>
      <c r="K200" s="17">
        <f>+E200/SUM(E199:E201)</f>
        <v>0.45454545454545453</v>
      </c>
      <c r="L200" s="17">
        <f>+F200/SUM(F199:F201)</f>
        <v>0.45454545454545453</v>
      </c>
      <c r="M200" s="17">
        <f>+G200/SUM(G199:G201)</f>
        <v>0.45454545454545453</v>
      </c>
      <c r="N200" s="24">
        <f>+AVERAGE(K200:M200)</f>
        <v>0.45454545454545453</v>
      </c>
      <c r="O200" s="24"/>
      <c r="P200" s="8"/>
      <c r="Q200" s="20" t="s">
        <v>51</v>
      </c>
      <c r="R200" s="21">
        <f>+R198*E199</f>
        <v>0.45454545454545453</v>
      </c>
      <c r="S200" s="21">
        <f>+S198*F199</f>
        <v>0.45454545454545453</v>
      </c>
      <c r="T200" s="21">
        <f>+T198*G199</f>
        <v>0.45454545454545447</v>
      </c>
      <c r="U200" s="29">
        <f>+SUM(R200:T200)</f>
        <v>1.3636363636363635</v>
      </c>
      <c r="V200" s="30">
        <f>+U200/N199</f>
        <v>3</v>
      </c>
      <c r="W200" s="28"/>
      <c r="X200" s="8"/>
      <c r="Y200" s="33" t="s">
        <v>96</v>
      </c>
      <c r="Z200" s="34">
        <f>+COUNTA(R199:T199)</f>
        <v>3</v>
      </c>
      <c r="AA200" s="64"/>
    </row>
    <row r="201" spans="3:27" ht="15.75" customHeight="1">
      <c r="C201" s="63"/>
      <c r="D201" s="22" t="s">
        <v>69</v>
      </c>
      <c r="E201" s="23">
        <f>1/G199</f>
        <v>0.2</v>
      </c>
      <c r="F201" s="23">
        <f>1/G200</f>
        <v>0.2</v>
      </c>
      <c r="G201" s="23">
        <v>1</v>
      </c>
      <c r="J201" s="22" t="s">
        <v>55</v>
      </c>
      <c r="K201" s="23">
        <f>+E201/SUM(E199:E201)</f>
        <v>9.0909090909090912E-2</v>
      </c>
      <c r="L201" s="23">
        <f>+F201/SUM(F199:F201)</f>
        <v>9.0909090909090912E-2</v>
      </c>
      <c r="M201" s="23">
        <f>+G201/SUM(G199:G201)</f>
        <v>9.0909090909090912E-2</v>
      </c>
      <c r="N201" s="26">
        <f>+AVERAGE(K201:M201)</f>
        <v>9.0909090909090898E-2</v>
      </c>
      <c r="O201" s="24"/>
      <c r="P201" s="8"/>
      <c r="Q201" s="16" t="s">
        <v>53</v>
      </c>
      <c r="R201" s="17">
        <f>+R198*E200</f>
        <v>0.45454545454545453</v>
      </c>
      <c r="S201" s="17">
        <f>+S198*F200</f>
        <v>0.45454545454545453</v>
      </c>
      <c r="T201" s="17">
        <f>+T198*G200</f>
        <v>0.45454545454545447</v>
      </c>
      <c r="U201" s="27">
        <f>+SUM(R201:T201)</f>
        <v>1.3636363636363635</v>
      </c>
      <c r="V201" s="28">
        <f>+U201/N200</f>
        <v>3</v>
      </c>
      <c r="W201" s="28"/>
      <c r="X201" s="8"/>
      <c r="Y201" s="33" t="s">
        <v>107</v>
      </c>
      <c r="Z201" s="34">
        <f>+(Z199-Z200)/(Z200-1)</f>
        <v>0</v>
      </c>
      <c r="AA201" s="64"/>
    </row>
    <row r="202" spans="3:27" ht="15.75" customHeight="1">
      <c r="C202" s="63"/>
      <c r="J202" s="10"/>
      <c r="K202" s="10"/>
      <c r="L202" s="10"/>
      <c r="M202" s="10"/>
      <c r="N202" s="8"/>
      <c r="O202" s="8"/>
      <c r="P202" s="8"/>
      <c r="Q202" s="22" t="s">
        <v>55</v>
      </c>
      <c r="R202" s="23">
        <f>+R198*E201</f>
        <v>9.0909090909090912E-2</v>
      </c>
      <c r="S202" s="23">
        <f>+S198*F201</f>
        <v>9.0909090909090912E-2</v>
      </c>
      <c r="T202" s="23">
        <f>+T198*G201</f>
        <v>9.0909090909090898E-2</v>
      </c>
      <c r="U202" s="31">
        <f>+SUM(R202:T202)</f>
        <v>0.27272727272727271</v>
      </c>
      <c r="V202" s="32">
        <f>+U202/N201</f>
        <v>3</v>
      </c>
      <c r="W202" s="28"/>
      <c r="X202" s="8"/>
      <c r="Y202" s="33" t="s">
        <v>108</v>
      </c>
      <c r="Z202" s="34">
        <v>0.57999999999999996</v>
      </c>
      <c r="AA202" s="64"/>
    </row>
    <row r="203" spans="3:27" ht="15.75" customHeight="1">
      <c r="C203" s="63"/>
      <c r="J203" s="8"/>
      <c r="K203" s="8"/>
      <c r="L203" s="8"/>
      <c r="M203" s="8"/>
      <c r="N203" s="8"/>
      <c r="O203" s="8"/>
      <c r="P203" s="16"/>
      <c r="Q203" s="17"/>
      <c r="R203" s="17"/>
      <c r="S203" s="17"/>
      <c r="T203" s="27"/>
      <c r="U203" s="28"/>
      <c r="V203" s="8"/>
      <c r="W203" s="8"/>
      <c r="Y203" s="33" t="s">
        <v>109</v>
      </c>
      <c r="Z203" s="34">
        <f>Z201/Z202</f>
        <v>0</v>
      </c>
      <c r="AA203" s="64"/>
    </row>
    <row r="204" spans="3:27" ht="15.75" customHeight="1">
      <c r="C204" s="63"/>
      <c r="AA204" s="64"/>
    </row>
    <row r="205" spans="3:27" ht="15.75" customHeight="1">
      <c r="C205" s="63"/>
      <c r="D205" s="39" t="s">
        <v>127</v>
      </c>
      <c r="E205" s="14"/>
      <c r="F205" s="8"/>
      <c r="G205" s="14"/>
      <c r="H205" s="14"/>
      <c r="J205" s="11" t="s">
        <v>103</v>
      </c>
      <c r="K205" s="14"/>
      <c r="L205" s="8"/>
      <c r="M205" s="14"/>
      <c r="N205" s="8"/>
      <c r="O205" s="8"/>
      <c r="P205" s="8"/>
      <c r="Q205" s="8"/>
      <c r="R205" s="8"/>
      <c r="S205" s="8"/>
      <c r="T205" s="8"/>
      <c r="U205" s="8"/>
      <c r="V205" s="8"/>
      <c r="W205" s="8"/>
      <c r="X205" s="8"/>
      <c r="Y205" s="8"/>
      <c r="Z205" s="8"/>
      <c r="AA205" s="64"/>
    </row>
    <row r="206" spans="3:27" ht="15.75" customHeight="1">
      <c r="C206" s="63"/>
      <c r="D206" s="35"/>
      <c r="E206" s="20" t="s">
        <v>61</v>
      </c>
      <c r="F206" s="20" t="s">
        <v>67</v>
      </c>
      <c r="G206" s="20" t="s">
        <v>128</v>
      </c>
      <c r="H206" s="20" t="s">
        <v>73</v>
      </c>
      <c r="J206" s="35"/>
      <c r="K206" s="20" t="s">
        <v>61</v>
      </c>
      <c r="L206" s="20" t="s">
        <v>67</v>
      </c>
      <c r="M206" s="20" t="s">
        <v>128</v>
      </c>
      <c r="N206" s="20" t="s">
        <v>73</v>
      </c>
      <c r="O206" s="36" t="s">
        <v>104</v>
      </c>
      <c r="P206" s="8"/>
      <c r="Q206" s="20" t="s">
        <v>104</v>
      </c>
      <c r="R206" s="21">
        <f>+O207</f>
        <v>0.2104166666666667</v>
      </c>
      <c r="S206" s="21">
        <f>+O208</f>
        <v>0.48125000000000001</v>
      </c>
      <c r="T206" s="21">
        <f>+O209</f>
        <v>0.2104166666666667</v>
      </c>
      <c r="U206" s="52">
        <f>+O210</f>
        <v>9.791666666666668E-2</v>
      </c>
      <c r="V206" s="15"/>
      <c r="W206" s="15"/>
      <c r="X206" s="8"/>
      <c r="Y206" s="8"/>
      <c r="Z206" s="8"/>
      <c r="AA206" s="64"/>
    </row>
    <row r="207" spans="3:27" ht="15.75" customHeight="1">
      <c r="C207" s="63"/>
      <c r="D207" s="16" t="s">
        <v>61</v>
      </c>
      <c r="E207" s="17">
        <v>1</v>
      </c>
      <c r="F207" s="17">
        <f>'1.1 FORM'!J29</f>
        <v>0.33333333333333331</v>
      </c>
      <c r="G207" s="17">
        <f>'1.1 FORM'!K29</f>
        <v>1</v>
      </c>
      <c r="H207" s="17">
        <f>'1.1 FORM'!L29</f>
        <v>3</v>
      </c>
      <c r="J207" s="20" t="s">
        <v>61</v>
      </c>
      <c r="K207" s="21">
        <f>+E207/SUM(E207:E210)</f>
        <v>0.1875</v>
      </c>
      <c r="L207" s="21">
        <f>+F207/SUM(F207:F210)</f>
        <v>0.16666666666666669</v>
      </c>
      <c r="M207" s="21">
        <f>+G207/SUM(G207:G210)</f>
        <v>0.1875</v>
      </c>
      <c r="N207" s="21">
        <f>+H207/SUM(H207:H210)</f>
        <v>0.3</v>
      </c>
      <c r="O207" s="25">
        <f>+AVERAGE(K207:N207)</f>
        <v>0.2104166666666667</v>
      </c>
      <c r="P207" s="8"/>
      <c r="Q207" s="35"/>
      <c r="R207" s="20" t="s">
        <v>61</v>
      </c>
      <c r="S207" s="20" t="s">
        <v>67</v>
      </c>
      <c r="T207" s="20" t="s">
        <v>128</v>
      </c>
      <c r="U207" s="20" t="s">
        <v>73</v>
      </c>
      <c r="V207" s="20" t="s">
        <v>105</v>
      </c>
      <c r="W207" s="20" t="s">
        <v>106</v>
      </c>
      <c r="X207" s="8"/>
      <c r="Y207" s="33" t="s">
        <v>123</v>
      </c>
      <c r="Z207" s="34">
        <f>+AVERAGE(W208:W211)</f>
        <v>4.1553799756875387</v>
      </c>
      <c r="AA207" s="64"/>
    </row>
    <row r="208" spans="3:27" ht="15.75" customHeight="1">
      <c r="C208" s="63"/>
      <c r="D208" s="16" t="s">
        <v>67</v>
      </c>
      <c r="E208" s="17">
        <f>1/F207</f>
        <v>3</v>
      </c>
      <c r="F208" s="17">
        <v>1</v>
      </c>
      <c r="G208" s="17">
        <f>'1.1 FORM'!M29</f>
        <v>3</v>
      </c>
      <c r="H208" s="17">
        <f>'1.1 FORM'!N29</f>
        <v>3</v>
      </c>
      <c r="J208" s="16" t="s">
        <v>67</v>
      </c>
      <c r="K208" s="17">
        <f>+E208/SUM(E207:E210)</f>
        <v>0.5625</v>
      </c>
      <c r="L208" s="17">
        <f>+F208/SUM(F207:F210)</f>
        <v>0.5</v>
      </c>
      <c r="M208" s="17">
        <f>+G208/SUM(G207:G210)</f>
        <v>0.5625</v>
      </c>
      <c r="N208" s="17">
        <f>+H208/SUM(H207:H210)</f>
        <v>0.3</v>
      </c>
      <c r="O208" s="24">
        <f>+AVERAGE(K208:N208)</f>
        <v>0.48125000000000001</v>
      </c>
      <c r="P208" s="8"/>
      <c r="Q208" s="20" t="s">
        <v>61</v>
      </c>
      <c r="R208" s="21">
        <f>+R206*E207</f>
        <v>0.2104166666666667</v>
      </c>
      <c r="S208" s="21">
        <f>+S206*F207</f>
        <v>0.16041666666666665</v>
      </c>
      <c r="T208" s="21">
        <f>+T206*G207</f>
        <v>0.2104166666666667</v>
      </c>
      <c r="U208" s="21">
        <f>+U206*H207</f>
        <v>0.29375000000000007</v>
      </c>
      <c r="V208" s="21">
        <f>+SUM(R208:U208)</f>
        <v>0.87500000000000011</v>
      </c>
      <c r="W208" s="30">
        <f>+V208/O207</f>
        <v>4.1584158415841586</v>
      </c>
      <c r="X208" s="8"/>
      <c r="Y208" s="33" t="s">
        <v>96</v>
      </c>
      <c r="Z208" s="34">
        <v>4</v>
      </c>
      <c r="AA208" s="64"/>
    </row>
    <row r="209" spans="3:27" ht="15.75" customHeight="1">
      <c r="C209" s="63"/>
      <c r="D209" s="16" t="s">
        <v>128</v>
      </c>
      <c r="E209" s="17">
        <f>1/G207</f>
        <v>1</v>
      </c>
      <c r="F209" s="17">
        <f>1/G208</f>
        <v>0.33333333333333331</v>
      </c>
      <c r="G209" s="17">
        <v>1</v>
      </c>
      <c r="H209" s="17">
        <f>'1.1 FORM'!O29</f>
        <v>3</v>
      </c>
      <c r="J209" s="16" t="s">
        <v>128</v>
      </c>
      <c r="K209" s="17">
        <f>+E209/SUM(E207:E210)</f>
        <v>0.1875</v>
      </c>
      <c r="L209" s="17">
        <f>+F209/SUM(F207:F210)</f>
        <v>0.16666666666666669</v>
      </c>
      <c r="M209" s="17">
        <f>+G209/SUM(G207:G210)</f>
        <v>0.1875</v>
      </c>
      <c r="N209" s="17">
        <f>+H209/SUM(H207:H210)</f>
        <v>0.3</v>
      </c>
      <c r="O209" s="24">
        <f>+AVERAGE(K209:N209)</f>
        <v>0.2104166666666667</v>
      </c>
      <c r="P209" s="8"/>
      <c r="Q209" s="16" t="s">
        <v>67</v>
      </c>
      <c r="R209" s="17">
        <f>+R206*E208</f>
        <v>0.63125000000000009</v>
      </c>
      <c r="S209" s="17">
        <f>+S206*F208</f>
        <v>0.48125000000000001</v>
      </c>
      <c r="T209" s="17">
        <f>+T206*G208</f>
        <v>0.63125000000000009</v>
      </c>
      <c r="U209" s="17">
        <f>+U206*H208</f>
        <v>0.29375000000000007</v>
      </c>
      <c r="V209" s="17">
        <f>+SUM(R209:U209)</f>
        <v>2.0375000000000001</v>
      </c>
      <c r="W209" s="28">
        <f>+V209/O208</f>
        <v>4.2337662337662341</v>
      </c>
      <c r="X209" s="8"/>
      <c r="Y209" s="33" t="s">
        <v>107</v>
      </c>
      <c r="Z209" s="34">
        <f>+(Z207-Z208)/(Z208-1)</f>
        <v>5.1793325229179565E-2</v>
      </c>
      <c r="AA209" s="64"/>
    </row>
    <row r="210" spans="3:27" ht="15.75" customHeight="1">
      <c r="C210" s="63"/>
      <c r="D210" s="22" t="s">
        <v>73</v>
      </c>
      <c r="E210" s="23">
        <f>1/H207</f>
        <v>0.33333333333333331</v>
      </c>
      <c r="F210" s="23">
        <f>1/H208</f>
        <v>0.33333333333333331</v>
      </c>
      <c r="G210" s="23">
        <f>1/H209</f>
        <v>0.33333333333333331</v>
      </c>
      <c r="H210" s="23">
        <v>1</v>
      </c>
      <c r="J210" s="22" t="s">
        <v>73</v>
      </c>
      <c r="K210" s="23">
        <f>+E210/SUM(E207:E210)</f>
        <v>6.25E-2</v>
      </c>
      <c r="L210" s="23">
        <f>+F210/SUM(F207:F210)</f>
        <v>0.16666666666666669</v>
      </c>
      <c r="M210" s="23">
        <f>+G210/SUM(G207:G210)</f>
        <v>6.25E-2</v>
      </c>
      <c r="N210" s="23">
        <f>+H210/SUM(H207:H210)</f>
        <v>0.1</v>
      </c>
      <c r="O210" s="26">
        <f>+AVERAGE(K210:N210)</f>
        <v>9.791666666666668E-2</v>
      </c>
      <c r="P210" s="8"/>
      <c r="Q210" s="16" t="s">
        <v>128</v>
      </c>
      <c r="R210" s="17">
        <f>+R206*E209</f>
        <v>0.2104166666666667</v>
      </c>
      <c r="S210" s="17">
        <f>+S206*F209</f>
        <v>0.16041666666666665</v>
      </c>
      <c r="T210" s="17">
        <f>+T206*G209</f>
        <v>0.2104166666666667</v>
      </c>
      <c r="U210" s="17">
        <f>+U206*H209</f>
        <v>0.29375000000000007</v>
      </c>
      <c r="V210" s="17">
        <f>+SUM(R210:U210)</f>
        <v>0.87500000000000011</v>
      </c>
      <c r="W210" s="28">
        <f>+V210/O209</f>
        <v>4.1584158415841586</v>
      </c>
      <c r="X210" s="8"/>
      <c r="Y210" s="33" t="s">
        <v>108</v>
      </c>
      <c r="Z210" s="34">
        <v>0.9</v>
      </c>
      <c r="AA210" s="64"/>
    </row>
    <row r="211" spans="3:27" ht="15.75" customHeight="1">
      <c r="C211" s="63"/>
      <c r="J211" s="8"/>
      <c r="K211" s="8"/>
      <c r="L211" s="8"/>
      <c r="M211" s="8"/>
      <c r="N211" s="8"/>
      <c r="O211" s="8"/>
      <c r="P211" s="8"/>
      <c r="Q211" s="22" t="s">
        <v>73</v>
      </c>
      <c r="R211" s="23">
        <f>+R206*E210</f>
        <v>7.013888888888889E-2</v>
      </c>
      <c r="S211" s="23">
        <f>+S206*F210</f>
        <v>0.16041666666666665</v>
      </c>
      <c r="T211" s="23">
        <f>+T206*G210</f>
        <v>7.013888888888889E-2</v>
      </c>
      <c r="U211" s="23">
        <f>+U206*H210</f>
        <v>9.791666666666668E-2</v>
      </c>
      <c r="V211" s="23">
        <f>+SUM(R211:U211)</f>
        <v>0.39861111111111114</v>
      </c>
      <c r="W211" s="32">
        <f>+V211/O210</f>
        <v>4.0709219858156027</v>
      </c>
      <c r="X211" s="8"/>
      <c r="Y211" s="33" t="s">
        <v>109</v>
      </c>
      <c r="Z211" s="34">
        <f>Z209/Z210</f>
        <v>5.754813914353285E-2</v>
      </c>
      <c r="AA211" s="64"/>
    </row>
    <row r="212" spans="3:27" ht="15.75" customHeight="1">
      <c r="C212" s="63"/>
      <c r="AA212" s="64"/>
    </row>
    <row r="213" spans="3:27" ht="15.75" customHeight="1" thickBot="1">
      <c r="C213" s="65"/>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7"/>
    </row>
    <row r="214" spans="3:27" ht="15.75" customHeight="1" thickBot="1"/>
    <row r="215" spans="3:27" ht="15.75" customHeight="1">
      <c r="C215" s="53" t="s">
        <v>117</v>
      </c>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9"/>
    </row>
    <row r="216" spans="3:27" ht="15.75" customHeight="1">
      <c r="C216" s="63"/>
      <c r="AA216" s="64"/>
    </row>
    <row r="217" spans="3:27" ht="15.75" customHeight="1">
      <c r="C217" s="63"/>
      <c r="D217" s="46" t="s">
        <v>124</v>
      </c>
      <c r="E217" s="46"/>
      <c r="F217" s="46"/>
      <c r="J217" s="11" t="s">
        <v>103</v>
      </c>
      <c r="K217" s="14"/>
      <c r="L217" s="8"/>
      <c r="M217" s="14"/>
      <c r="N217" s="14"/>
      <c r="O217" s="8"/>
      <c r="P217" s="8"/>
      <c r="Q217" s="8"/>
      <c r="R217" s="8"/>
      <c r="S217" s="8"/>
      <c r="T217" s="8"/>
      <c r="U217" s="8"/>
      <c r="V217" s="8"/>
      <c r="W217" s="8"/>
      <c r="X217" s="8"/>
      <c r="Y217" s="8"/>
      <c r="Z217" s="8"/>
      <c r="AA217" s="64"/>
    </row>
    <row r="218" spans="3:27" ht="15.75" customHeight="1">
      <c r="C218" s="63"/>
      <c r="D218" s="35"/>
      <c r="E218" s="20" t="s">
        <v>57</v>
      </c>
      <c r="F218" s="20" t="s">
        <v>63</v>
      </c>
      <c r="J218" s="35"/>
      <c r="K218" s="20" t="s">
        <v>51</v>
      </c>
      <c r="L218" s="20" t="s">
        <v>53</v>
      </c>
      <c r="M218" s="36" t="s">
        <v>104</v>
      </c>
      <c r="N218" s="45"/>
      <c r="O218" s="45"/>
      <c r="P218" s="8"/>
      <c r="Q218" s="20" t="s">
        <v>104</v>
      </c>
      <c r="R218" s="21">
        <f>+M219</f>
        <v>0.2</v>
      </c>
      <c r="S218" s="21">
        <f>+M220</f>
        <v>0.8</v>
      </c>
      <c r="T218" s="15"/>
      <c r="U218" s="15"/>
      <c r="V218" s="8"/>
      <c r="W218" s="8"/>
      <c r="X218" s="8"/>
      <c r="Y218" s="8"/>
      <c r="Z218" s="8"/>
      <c r="AA218" s="64"/>
    </row>
    <row r="219" spans="3:27" ht="15.75" customHeight="1">
      <c r="C219" s="63"/>
      <c r="D219" s="20" t="s">
        <v>57</v>
      </c>
      <c r="E219" s="21">
        <v>1</v>
      </c>
      <c r="F219" s="21">
        <v>0.25</v>
      </c>
      <c r="J219" s="20" t="s">
        <v>51</v>
      </c>
      <c r="K219" s="21">
        <f>+E219/SUM(E219:E220)</f>
        <v>0.2</v>
      </c>
      <c r="L219" s="21">
        <f>+F219/SUM(F219:F220)</f>
        <v>0.2</v>
      </c>
      <c r="M219" s="25">
        <f>+AVERAGE(K219:L219)</f>
        <v>0.2</v>
      </c>
      <c r="N219" s="24"/>
      <c r="O219" s="24"/>
      <c r="P219" s="8"/>
      <c r="Q219" s="18"/>
      <c r="R219" s="19" t="s">
        <v>51</v>
      </c>
      <c r="S219" s="19" t="s">
        <v>53</v>
      </c>
      <c r="T219" s="19" t="s">
        <v>105</v>
      </c>
      <c r="U219" s="19" t="s">
        <v>106</v>
      </c>
      <c r="V219" s="8"/>
      <c r="W219" s="8"/>
      <c r="X219" s="8"/>
      <c r="Y219" s="33" t="s">
        <v>123</v>
      </c>
      <c r="Z219" s="34">
        <f>+AVERAGE(U220:U222)</f>
        <v>2</v>
      </c>
      <c r="AA219" s="64"/>
    </row>
    <row r="220" spans="3:27" ht="15.75" customHeight="1">
      <c r="C220" s="63"/>
      <c r="D220" s="22" t="s">
        <v>63</v>
      </c>
      <c r="E220" s="23">
        <v>4</v>
      </c>
      <c r="F220" s="23">
        <v>1</v>
      </c>
      <c r="J220" s="22" t="s">
        <v>53</v>
      </c>
      <c r="K220" s="23">
        <f>+E220/SUM(E219:E220)</f>
        <v>0.8</v>
      </c>
      <c r="L220" s="23">
        <f>+F220/SUM(F219:F220)</f>
        <v>0.8</v>
      </c>
      <c r="M220" s="26">
        <f>+AVERAGE(K220:L220)</f>
        <v>0.8</v>
      </c>
      <c r="N220" s="24"/>
      <c r="O220" s="24"/>
      <c r="P220" s="8"/>
      <c r="Q220" s="20" t="s">
        <v>51</v>
      </c>
      <c r="R220" s="21">
        <f>+R218*E219</f>
        <v>0.2</v>
      </c>
      <c r="S220" s="21">
        <f>+S218*F219</f>
        <v>0.2</v>
      </c>
      <c r="T220" s="29">
        <f>+SUM(R220:S220)</f>
        <v>0.4</v>
      </c>
      <c r="U220" s="30">
        <f>+T220/M219</f>
        <v>2</v>
      </c>
      <c r="V220" s="8"/>
      <c r="W220" s="8"/>
      <c r="X220" s="8"/>
      <c r="Y220" s="33" t="s">
        <v>96</v>
      </c>
      <c r="Z220" s="34">
        <f>+COUNTA(R219:S219)</f>
        <v>2</v>
      </c>
      <c r="AA220" s="64"/>
    </row>
    <row r="221" spans="3:27" ht="15.75" customHeight="1">
      <c r="C221" s="63"/>
      <c r="D221" s="10"/>
      <c r="E221" s="10"/>
      <c r="F221" s="10"/>
      <c r="G221" s="10"/>
      <c r="J221" s="16"/>
      <c r="K221" s="17"/>
      <c r="L221" s="17"/>
      <c r="M221" s="24"/>
      <c r="N221" s="24"/>
      <c r="O221" s="24"/>
      <c r="P221" s="8"/>
      <c r="Q221" s="42" t="s">
        <v>53</v>
      </c>
      <c r="R221" s="40">
        <f>+R218*E220</f>
        <v>0.8</v>
      </c>
      <c r="S221" s="40">
        <f>+S218*F220</f>
        <v>0.8</v>
      </c>
      <c r="T221" s="43">
        <f>+SUM(R221:S221)</f>
        <v>1.6</v>
      </c>
      <c r="U221" s="44">
        <f>+T221/M220</f>
        <v>2</v>
      </c>
      <c r="V221" s="8"/>
      <c r="W221" s="8"/>
      <c r="X221" s="8"/>
      <c r="Y221" s="33" t="s">
        <v>107</v>
      </c>
      <c r="Z221" s="34">
        <f>+(Z219-Z220)/(Z220-1)</f>
        <v>0</v>
      </c>
      <c r="AA221" s="64"/>
    </row>
    <row r="222" spans="3:27" ht="15.75" customHeight="1">
      <c r="C222" s="63"/>
      <c r="J222" s="10"/>
      <c r="K222" s="10"/>
      <c r="L222" s="10"/>
      <c r="M222" s="8"/>
      <c r="N222" s="8"/>
      <c r="O222" s="8"/>
      <c r="P222" s="8"/>
      <c r="Q222" s="16"/>
      <c r="R222" s="17"/>
      <c r="S222" s="17"/>
      <c r="T222" s="27"/>
      <c r="U222" s="28"/>
      <c r="V222" s="8"/>
      <c r="W222" s="8"/>
      <c r="X222" s="8"/>
      <c r="Y222" s="33" t="s">
        <v>108</v>
      </c>
      <c r="Z222" s="34">
        <v>0.57999999999999996</v>
      </c>
      <c r="AA222" s="64"/>
    </row>
    <row r="223" spans="3:27" ht="15.75" customHeight="1">
      <c r="C223" s="63"/>
      <c r="J223" s="8"/>
      <c r="K223" s="8"/>
      <c r="L223" s="8"/>
      <c r="M223" s="8"/>
      <c r="N223" s="8"/>
      <c r="O223" s="8"/>
      <c r="P223" s="8"/>
      <c r="Q223" s="16"/>
      <c r="R223" s="17"/>
      <c r="S223" s="17"/>
      <c r="T223" s="27"/>
      <c r="U223" s="28"/>
      <c r="V223" s="8"/>
      <c r="W223" s="8"/>
      <c r="X223" s="8"/>
      <c r="Y223" s="33" t="s">
        <v>109</v>
      </c>
      <c r="Z223" s="34">
        <f>Z221/Z222</f>
        <v>0</v>
      </c>
      <c r="AA223" s="64"/>
    </row>
    <row r="224" spans="3:27" ht="15.75" customHeight="1">
      <c r="C224" s="63"/>
      <c r="J224" s="10"/>
      <c r="L224" s="12"/>
      <c r="M224" s="13"/>
      <c r="N224" s="13"/>
      <c r="O224" s="13"/>
      <c r="P224" s="12"/>
      <c r="Q224" s="12"/>
      <c r="R224" s="8"/>
      <c r="S224" s="8"/>
      <c r="T224" s="8"/>
      <c r="U224" s="8"/>
      <c r="V224" s="8"/>
      <c r="W224" s="8"/>
      <c r="X224" s="8"/>
      <c r="Y224" s="8"/>
      <c r="Z224" s="8"/>
      <c r="AA224" s="64"/>
    </row>
    <row r="225" spans="3:27" ht="15.75" customHeight="1">
      <c r="C225" s="63"/>
      <c r="D225" s="3" t="s">
        <v>125</v>
      </c>
      <c r="E225" s="14"/>
      <c r="F225" s="8"/>
      <c r="G225" s="14"/>
      <c r="J225" s="11" t="s">
        <v>103</v>
      </c>
      <c r="K225" s="14"/>
      <c r="L225" s="8"/>
      <c r="M225" s="14"/>
      <c r="N225" s="8"/>
      <c r="O225" s="8"/>
      <c r="P225" s="8"/>
      <c r="Q225" t="s">
        <v>126</v>
      </c>
      <c r="R225" s="8"/>
      <c r="S225" s="8"/>
      <c r="T225" s="8"/>
      <c r="U225" s="8"/>
      <c r="V225" s="8"/>
      <c r="W225" s="8"/>
      <c r="X225" s="8"/>
      <c r="Y225" s="8"/>
      <c r="AA225" s="64"/>
    </row>
    <row r="226" spans="3:27" ht="15.75" customHeight="1">
      <c r="C226" s="63"/>
      <c r="D226" s="35"/>
      <c r="E226" s="20" t="s">
        <v>59</v>
      </c>
      <c r="F226" s="20" t="s">
        <v>65</v>
      </c>
      <c r="G226" s="20" t="s">
        <v>69</v>
      </c>
      <c r="J226" s="35"/>
      <c r="K226" s="20" t="s">
        <v>51</v>
      </c>
      <c r="L226" s="20" t="s">
        <v>53</v>
      </c>
      <c r="M226" s="20" t="s">
        <v>55</v>
      </c>
      <c r="N226" s="36" t="s">
        <v>104</v>
      </c>
      <c r="O226" s="45"/>
      <c r="P226" s="8"/>
      <c r="Q226" s="20" t="s">
        <v>104</v>
      </c>
      <c r="R226" s="21">
        <f>+N227</f>
        <v>0.10067340067340068</v>
      </c>
      <c r="S226" s="21">
        <f>+N228</f>
        <v>0.46632996632996632</v>
      </c>
      <c r="T226" s="21">
        <f>+N229</f>
        <v>0.43299663299663299</v>
      </c>
      <c r="U226" s="15"/>
      <c r="V226" s="15"/>
      <c r="W226" s="15"/>
      <c r="X226" s="8"/>
      <c r="Y226" s="8"/>
      <c r="Z226" s="8"/>
      <c r="AA226" s="64"/>
    </row>
    <row r="227" spans="3:27" ht="15.75" customHeight="1">
      <c r="C227" s="63"/>
      <c r="D227" s="20" t="s">
        <v>59</v>
      </c>
      <c r="E227" s="21">
        <v>1</v>
      </c>
      <c r="F227" s="21">
        <v>0.2</v>
      </c>
      <c r="G227" s="21">
        <v>0.25</v>
      </c>
      <c r="J227" s="20" t="s">
        <v>51</v>
      </c>
      <c r="K227" s="21">
        <f>+E227/SUM(E227:E229)</f>
        <v>0.1</v>
      </c>
      <c r="L227" s="21">
        <f>+F227/SUM(F227:F229)</f>
        <v>9.0909090909090912E-2</v>
      </c>
      <c r="M227" s="21">
        <f>+G227/SUM(G227:G229)</f>
        <v>0.1111111111111111</v>
      </c>
      <c r="N227" s="25">
        <f>+AVERAGE(K227:M227)</f>
        <v>0.10067340067340068</v>
      </c>
      <c r="O227" s="24"/>
      <c r="P227" s="8"/>
      <c r="Q227" s="35"/>
      <c r="R227" s="20" t="s">
        <v>51</v>
      </c>
      <c r="S227" s="20" t="s">
        <v>53</v>
      </c>
      <c r="T227" s="20" t="s">
        <v>55</v>
      </c>
      <c r="U227" s="19" t="s">
        <v>105</v>
      </c>
      <c r="V227" s="19" t="s">
        <v>106</v>
      </c>
      <c r="W227" s="16"/>
      <c r="X227" s="8"/>
      <c r="Y227" s="33" t="s">
        <v>123</v>
      </c>
      <c r="Z227" s="34">
        <f>+AVERAGE(V228:V230)</f>
        <v>3.0055376412866237</v>
      </c>
      <c r="AA227" s="64"/>
    </row>
    <row r="228" spans="3:27" ht="15.75" customHeight="1">
      <c r="C228" s="63"/>
      <c r="D228" s="16" t="s">
        <v>65</v>
      </c>
      <c r="E228" s="17">
        <v>5</v>
      </c>
      <c r="F228" s="17">
        <v>1</v>
      </c>
      <c r="G228" s="17">
        <v>1</v>
      </c>
      <c r="J228" s="16" t="s">
        <v>53</v>
      </c>
      <c r="K228" s="17">
        <f>+E228/SUM(E227:E229)</f>
        <v>0.5</v>
      </c>
      <c r="L228" s="17">
        <f>+F228/SUM(F227:F229)</f>
        <v>0.45454545454545453</v>
      </c>
      <c r="M228" s="17">
        <f>+G228/SUM(G227:G229)</f>
        <v>0.44444444444444442</v>
      </c>
      <c r="N228" s="24">
        <f>+AVERAGE(K228:M228)</f>
        <v>0.46632996632996632</v>
      </c>
      <c r="O228" s="24"/>
      <c r="P228" s="8"/>
      <c r="Q228" s="20" t="s">
        <v>51</v>
      </c>
      <c r="R228" s="21">
        <f>+R226*E227</f>
        <v>0.10067340067340068</v>
      </c>
      <c r="S228" s="21">
        <f>+S226*F227</f>
        <v>9.3265993265993274E-2</v>
      </c>
      <c r="T228" s="21">
        <f>+T226*G227</f>
        <v>0.10824915824915825</v>
      </c>
      <c r="U228" s="29">
        <f>+SUM(R228:T228)</f>
        <v>0.30218855218855223</v>
      </c>
      <c r="V228" s="30">
        <f>+U228/N227</f>
        <v>3.0016722408026757</v>
      </c>
      <c r="W228" s="28"/>
      <c r="X228" s="8"/>
      <c r="Y228" s="33" t="s">
        <v>96</v>
      </c>
      <c r="Z228" s="34">
        <f>+COUNTA(R227:T227)</f>
        <v>3</v>
      </c>
      <c r="AA228" s="64"/>
    </row>
    <row r="229" spans="3:27" ht="15.75" customHeight="1">
      <c r="C229" s="63"/>
      <c r="D229" s="22" t="s">
        <v>69</v>
      </c>
      <c r="E229" s="23">
        <v>4</v>
      </c>
      <c r="F229" s="23">
        <v>1</v>
      </c>
      <c r="G229" s="23">
        <v>1</v>
      </c>
      <c r="J229" s="22" t="s">
        <v>55</v>
      </c>
      <c r="K229" s="23">
        <f>+E229/SUM(E227:E229)</f>
        <v>0.4</v>
      </c>
      <c r="L229" s="23">
        <f>+F229/SUM(F227:F229)</f>
        <v>0.45454545454545453</v>
      </c>
      <c r="M229" s="23">
        <f>+G229/SUM(G227:G229)</f>
        <v>0.44444444444444442</v>
      </c>
      <c r="N229" s="26">
        <f>+AVERAGE(K229:M229)</f>
        <v>0.43299663299663299</v>
      </c>
      <c r="O229" s="24"/>
      <c r="P229" s="8"/>
      <c r="Q229" s="16" t="s">
        <v>53</v>
      </c>
      <c r="R229" s="17">
        <f>+R226*E228</f>
        <v>0.50336700336700335</v>
      </c>
      <c r="S229" s="17">
        <f>+S226*F228</f>
        <v>0.46632996632996632</v>
      </c>
      <c r="T229" s="17">
        <f>+T226*G228</f>
        <v>0.43299663299663299</v>
      </c>
      <c r="U229" s="27">
        <f>+SUM(R229:T229)</f>
        <v>1.4026936026936028</v>
      </c>
      <c r="V229" s="28">
        <f>+U229/N228</f>
        <v>3.0079422382671481</v>
      </c>
      <c r="W229" s="28"/>
      <c r="X229" s="8"/>
      <c r="Y229" s="33" t="s">
        <v>107</v>
      </c>
      <c r="Z229" s="34">
        <f>+(Z227-Z228)/(Z228-1)</f>
        <v>2.7688206433118534E-3</v>
      </c>
      <c r="AA229" s="64"/>
    </row>
    <row r="230" spans="3:27" ht="15.75" customHeight="1">
      <c r="C230" s="63"/>
      <c r="J230" s="10"/>
      <c r="K230" s="10"/>
      <c r="L230" s="10"/>
      <c r="M230" s="10"/>
      <c r="N230" s="8"/>
      <c r="O230" s="8"/>
      <c r="P230" s="8"/>
      <c r="Q230" s="22" t="s">
        <v>55</v>
      </c>
      <c r="R230" s="23">
        <f>+R226*E229</f>
        <v>0.40269360269360271</v>
      </c>
      <c r="S230" s="23">
        <f>+S226*F229</f>
        <v>0.46632996632996632</v>
      </c>
      <c r="T230" s="23">
        <f>+T226*G229</f>
        <v>0.43299663299663299</v>
      </c>
      <c r="U230" s="31">
        <f>+SUM(R230:T230)</f>
        <v>1.3020202020202021</v>
      </c>
      <c r="V230" s="32">
        <f>+U230/N229</f>
        <v>3.0069984447900469</v>
      </c>
      <c r="W230" s="28"/>
      <c r="X230" s="8"/>
      <c r="Y230" s="33" t="s">
        <v>108</v>
      </c>
      <c r="Z230" s="34">
        <v>0.57999999999999996</v>
      </c>
      <c r="AA230" s="64"/>
    </row>
    <row r="231" spans="3:27" ht="15.75" customHeight="1">
      <c r="C231" s="63"/>
      <c r="J231" s="8"/>
      <c r="K231" s="8"/>
      <c r="L231" s="8"/>
      <c r="M231" s="8"/>
      <c r="N231" s="8"/>
      <c r="O231" s="8"/>
      <c r="P231" s="16"/>
      <c r="Q231" s="17"/>
      <c r="R231" s="17"/>
      <c r="S231" s="17"/>
      <c r="T231" s="27"/>
      <c r="U231" s="28"/>
      <c r="V231" s="8"/>
      <c r="W231" s="8"/>
      <c r="Y231" s="33" t="s">
        <v>109</v>
      </c>
      <c r="Z231" s="34">
        <f>Z229/Z230</f>
        <v>4.7738286953652644E-3</v>
      </c>
      <c r="AA231" s="64"/>
    </row>
    <row r="232" spans="3:27" ht="15.75" customHeight="1">
      <c r="C232" s="63"/>
      <c r="AA232" s="64"/>
    </row>
    <row r="233" spans="3:27" ht="15.75" customHeight="1">
      <c r="C233" s="63"/>
      <c r="D233" s="39" t="s">
        <v>127</v>
      </c>
      <c r="E233" s="14"/>
      <c r="F233" s="8"/>
      <c r="G233" s="14"/>
      <c r="H233" s="14"/>
      <c r="J233" s="11" t="s">
        <v>103</v>
      </c>
      <c r="K233" s="14"/>
      <c r="L233" s="8"/>
      <c r="M233" s="14"/>
      <c r="N233" s="8"/>
      <c r="O233" s="8"/>
      <c r="P233" s="8"/>
      <c r="Q233" s="8"/>
      <c r="R233" s="8"/>
      <c r="S233" s="8"/>
      <c r="T233" s="8"/>
      <c r="U233" s="8"/>
      <c r="V233" s="8"/>
      <c r="W233" s="8"/>
      <c r="X233" s="8"/>
      <c r="Y233" s="8"/>
      <c r="Z233" s="8"/>
      <c r="AA233" s="64"/>
    </row>
    <row r="234" spans="3:27" ht="15.75" customHeight="1">
      <c r="C234" s="63"/>
      <c r="D234" s="35"/>
      <c r="E234" s="20" t="s">
        <v>61</v>
      </c>
      <c r="F234" s="20" t="s">
        <v>67</v>
      </c>
      <c r="G234" s="20" t="s">
        <v>128</v>
      </c>
      <c r="H234" s="20" t="s">
        <v>73</v>
      </c>
      <c r="J234" s="35"/>
      <c r="K234" s="20" t="s">
        <v>61</v>
      </c>
      <c r="L234" s="20" t="s">
        <v>67</v>
      </c>
      <c r="M234" s="20" t="s">
        <v>128</v>
      </c>
      <c r="N234" s="20" t="s">
        <v>73</v>
      </c>
      <c r="O234" s="36" t="s">
        <v>104</v>
      </c>
      <c r="P234" s="8"/>
      <c r="Q234" s="20" t="s">
        <v>104</v>
      </c>
      <c r="R234" s="21">
        <f>+O235</f>
        <v>0.22395833333333331</v>
      </c>
      <c r="S234" s="21">
        <f>+O236</f>
        <v>0.16145833333333331</v>
      </c>
      <c r="T234" s="21">
        <f>+O237</f>
        <v>0.13020833333333331</v>
      </c>
      <c r="U234" s="52">
        <f>+O238</f>
        <v>0.484375</v>
      </c>
      <c r="V234" s="15"/>
      <c r="W234" s="15"/>
      <c r="X234" s="8"/>
      <c r="Y234" s="8"/>
      <c r="Z234" s="8"/>
      <c r="AA234" s="64"/>
    </row>
    <row r="235" spans="3:27" ht="15.75" customHeight="1">
      <c r="C235" s="63"/>
      <c r="D235" s="16" t="s">
        <v>61</v>
      </c>
      <c r="E235" s="17">
        <v>1</v>
      </c>
      <c r="F235" s="17">
        <v>1</v>
      </c>
      <c r="G235" s="17">
        <v>3</v>
      </c>
      <c r="H235" s="17">
        <v>0.33333333333333331</v>
      </c>
      <c r="J235" s="20" t="s">
        <v>61</v>
      </c>
      <c r="K235" s="21">
        <f>+E235/SUM(E235:E238)</f>
        <v>0.18749999999999997</v>
      </c>
      <c r="L235" s="21">
        <f>+F235/SUM(F235:F238)</f>
        <v>0.16666666666666666</v>
      </c>
      <c r="M235" s="21">
        <f>+G235/SUM(G235:G238)</f>
        <v>0.375</v>
      </c>
      <c r="N235" s="21">
        <f>+H235/SUM(H235:H238)</f>
        <v>0.16666666666666666</v>
      </c>
      <c r="O235" s="25">
        <f>+AVERAGE(K235:N235)</f>
        <v>0.22395833333333331</v>
      </c>
      <c r="P235" s="8"/>
      <c r="Q235" s="35"/>
      <c r="R235" s="20" t="s">
        <v>61</v>
      </c>
      <c r="S235" s="20" t="s">
        <v>67</v>
      </c>
      <c r="T235" s="20" t="s">
        <v>128</v>
      </c>
      <c r="U235" s="20" t="s">
        <v>73</v>
      </c>
      <c r="V235" s="20" t="s">
        <v>105</v>
      </c>
      <c r="W235" s="20" t="s">
        <v>106</v>
      </c>
      <c r="X235" s="8"/>
      <c r="Y235" s="33" t="s">
        <v>123</v>
      </c>
      <c r="Z235" s="34">
        <f>+AVERAGE(W236:W239)</f>
        <v>4.1566191547886966</v>
      </c>
      <c r="AA235" s="64"/>
    </row>
    <row r="236" spans="3:27" ht="15.75" customHeight="1">
      <c r="C236" s="63"/>
      <c r="D236" s="16" t="s">
        <v>67</v>
      </c>
      <c r="E236" s="17">
        <v>1</v>
      </c>
      <c r="F236" s="17">
        <v>1</v>
      </c>
      <c r="G236" s="17">
        <v>1</v>
      </c>
      <c r="H236" s="17">
        <v>0.33333333333333331</v>
      </c>
      <c r="J236" s="16" t="s">
        <v>67</v>
      </c>
      <c r="K236" s="17">
        <f>+E236/SUM(E235:E238)</f>
        <v>0.18749999999999997</v>
      </c>
      <c r="L236" s="17">
        <f>+F236/SUM(F235:F238)</f>
        <v>0.16666666666666666</v>
      </c>
      <c r="M236" s="17">
        <f>+G236/SUM(G235:G238)</f>
        <v>0.125</v>
      </c>
      <c r="N236" s="17">
        <f>+H236/SUM(H235:H238)</f>
        <v>0.16666666666666666</v>
      </c>
      <c r="O236" s="24">
        <f>+AVERAGE(K236:N236)</f>
        <v>0.16145833333333331</v>
      </c>
      <c r="P236" s="8"/>
      <c r="Q236" s="20" t="s">
        <v>61</v>
      </c>
      <c r="R236" s="21">
        <f>+R234*E235</f>
        <v>0.22395833333333331</v>
      </c>
      <c r="S236" s="21">
        <f>+S234*F235</f>
        <v>0.16145833333333331</v>
      </c>
      <c r="T236" s="21">
        <f>+T234*G235</f>
        <v>0.39062499999999994</v>
      </c>
      <c r="U236" s="21">
        <f>+U234*H235</f>
        <v>0.16145833333333331</v>
      </c>
      <c r="V236" s="21">
        <f>+SUM(R236:U236)</f>
        <v>0.93749999999999978</v>
      </c>
      <c r="W236" s="30">
        <f>+V236/O235</f>
        <v>4.1860465116279064</v>
      </c>
      <c r="X236" s="8"/>
      <c r="Y236" s="33" t="s">
        <v>96</v>
      </c>
      <c r="Z236" s="34">
        <v>4</v>
      </c>
      <c r="AA236" s="64"/>
    </row>
    <row r="237" spans="3:27" ht="15.75" customHeight="1">
      <c r="C237" s="63"/>
      <c r="D237" s="16" t="s">
        <v>128</v>
      </c>
      <c r="E237" s="17">
        <v>0.33333333333333331</v>
      </c>
      <c r="F237" s="17">
        <v>1</v>
      </c>
      <c r="G237" s="17">
        <v>1</v>
      </c>
      <c r="H237" s="17">
        <v>0.33333333333333331</v>
      </c>
      <c r="J237" s="16" t="s">
        <v>128</v>
      </c>
      <c r="K237" s="17">
        <f>+E237/SUM(E235:E238)</f>
        <v>6.2499999999999986E-2</v>
      </c>
      <c r="L237" s="17">
        <f>+F237/SUM(F235:F238)</f>
        <v>0.16666666666666666</v>
      </c>
      <c r="M237" s="17">
        <f>+G237/SUM(G235:G238)</f>
        <v>0.125</v>
      </c>
      <c r="N237" s="17">
        <f>+H237/SUM(H235:H238)</f>
        <v>0.16666666666666666</v>
      </c>
      <c r="O237" s="24">
        <f>+AVERAGE(K237:N237)</f>
        <v>0.13020833333333331</v>
      </c>
      <c r="P237" s="8"/>
      <c r="Q237" s="16" t="s">
        <v>67</v>
      </c>
      <c r="R237" s="17">
        <f>+R234*E236</f>
        <v>0.22395833333333331</v>
      </c>
      <c r="S237" s="17">
        <f>+S234*F236</f>
        <v>0.16145833333333331</v>
      </c>
      <c r="T237" s="17">
        <f>+T234*G236</f>
        <v>0.13020833333333331</v>
      </c>
      <c r="U237" s="17">
        <f>+U234*H236</f>
        <v>0.16145833333333331</v>
      </c>
      <c r="V237" s="17">
        <f>+SUM(R237:U237)</f>
        <v>0.67708333333333326</v>
      </c>
      <c r="W237" s="28">
        <f>+V237/O236</f>
        <v>4.193548387096774</v>
      </c>
      <c r="X237" s="8"/>
      <c r="Y237" s="33" t="s">
        <v>107</v>
      </c>
      <c r="Z237" s="34">
        <f>+(Z235-Z236)/(Z236-1)</f>
        <v>5.220638492956553E-2</v>
      </c>
      <c r="AA237" s="64"/>
    </row>
    <row r="238" spans="3:27" ht="15.75" customHeight="1">
      <c r="C238" s="63"/>
      <c r="D238" s="22" t="s">
        <v>73</v>
      </c>
      <c r="E238" s="23">
        <v>3</v>
      </c>
      <c r="F238" s="23">
        <v>3</v>
      </c>
      <c r="G238" s="23">
        <v>3</v>
      </c>
      <c r="H238" s="23">
        <v>1</v>
      </c>
      <c r="J238" s="22" t="s">
        <v>73</v>
      </c>
      <c r="K238" s="23">
        <f>+E238/SUM(E235:E238)</f>
        <v>0.56249999999999989</v>
      </c>
      <c r="L238" s="23">
        <f>+F238/SUM(F235:F238)</f>
        <v>0.5</v>
      </c>
      <c r="M238" s="23">
        <f>+G238/SUM(G235:G238)</f>
        <v>0.375</v>
      </c>
      <c r="N238" s="23">
        <f>+H238/SUM(H235:H238)</f>
        <v>0.5</v>
      </c>
      <c r="O238" s="26">
        <f>+AVERAGE(K238:N238)</f>
        <v>0.484375</v>
      </c>
      <c r="P238" s="8"/>
      <c r="Q238" s="16" t="s">
        <v>128</v>
      </c>
      <c r="R238" s="17">
        <f>+R234*E237</f>
        <v>7.4652777777777762E-2</v>
      </c>
      <c r="S238" s="17">
        <f>+S234*F237</f>
        <v>0.16145833333333331</v>
      </c>
      <c r="T238" s="17">
        <f>+T234*G237</f>
        <v>0.13020833333333331</v>
      </c>
      <c r="U238" s="17">
        <f>+U234*H237</f>
        <v>0.16145833333333331</v>
      </c>
      <c r="V238" s="17">
        <f>+SUM(R238:U238)</f>
        <v>0.52777777777777768</v>
      </c>
      <c r="W238" s="28">
        <f>+V238/O237</f>
        <v>4.0533333333333328</v>
      </c>
      <c r="X238" s="8"/>
      <c r="Y238" s="33" t="s">
        <v>108</v>
      </c>
      <c r="Z238" s="34">
        <v>0.9</v>
      </c>
      <c r="AA238" s="64"/>
    </row>
    <row r="239" spans="3:27" ht="15.75" customHeight="1">
      <c r="C239" s="63"/>
      <c r="J239" s="8"/>
      <c r="K239" s="8"/>
      <c r="L239" s="8"/>
      <c r="M239" s="8"/>
      <c r="N239" s="8"/>
      <c r="O239" s="8"/>
      <c r="P239" s="8"/>
      <c r="Q239" s="22" t="s">
        <v>73</v>
      </c>
      <c r="R239" s="23">
        <f>+R234*E238</f>
        <v>0.671875</v>
      </c>
      <c r="S239" s="23">
        <f>+S234*F238</f>
        <v>0.48437499999999994</v>
      </c>
      <c r="T239" s="23">
        <f>+T234*G238</f>
        <v>0.39062499999999994</v>
      </c>
      <c r="U239" s="23">
        <f>+U234*H238</f>
        <v>0.484375</v>
      </c>
      <c r="V239" s="23">
        <f>+SUM(R239:U239)</f>
        <v>2.03125</v>
      </c>
      <c r="W239" s="32">
        <f>+V239/O238</f>
        <v>4.193548387096774</v>
      </c>
      <c r="X239" s="8"/>
      <c r="Y239" s="33" t="s">
        <v>109</v>
      </c>
      <c r="Z239" s="34">
        <f>Z237/Z238</f>
        <v>5.8007094366183919E-2</v>
      </c>
      <c r="AA239" s="64"/>
    </row>
    <row r="240" spans="3:27" ht="15.75" customHeight="1">
      <c r="C240" s="63"/>
      <c r="AA240" s="64"/>
    </row>
    <row r="241" spans="3:27" ht="15.75" customHeight="1" thickBot="1">
      <c r="C241" s="65"/>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7"/>
    </row>
    <row r="242" spans="3:27" ht="15.75" customHeight="1" thickBot="1"/>
    <row r="243" spans="3:27" ht="15.75" customHeight="1">
      <c r="C243" s="53" t="s">
        <v>118</v>
      </c>
      <c r="D243" s="68"/>
      <c r="E243" s="68"/>
      <c r="F243" s="68"/>
      <c r="G243" s="68"/>
      <c r="H243" s="68"/>
      <c r="I243" s="68"/>
      <c r="J243" s="68"/>
      <c r="K243" s="68"/>
      <c r="L243" s="68"/>
      <c r="M243" s="68"/>
      <c r="N243" s="68"/>
      <c r="O243" s="68"/>
      <c r="P243" s="68"/>
      <c r="Q243" s="68"/>
      <c r="R243" s="68"/>
      <c r="S243" s="68"/>
      <c r="T243" s="68"/>
      <c r="U243" s="68"/>
      <c r="V243" s="68"/>
      <c r="W243" s="68"/>
      <c r="X243" s="68"/>
      <c r="Y243" s="68"/>
      <c r="Z243" s="68"/>
      <c r="AA243" s="69"/>
    </row>
    <row r="244" spans="3:27" ht="15.75" customHeight="1">
      <c r="C244" s="63"/>
      <c r="AA244" s="64"/>
    </row>
    <row r="245" spans="3:27" ht="15.75" customHeight="1">
      <c r="C245" s="63"/>
      <c r="D245" s="46" t="s">
        <v>124</v>
      </c>
      <c r="E245" s="46"/>
      <c r="F245" s="46"/>
      <c r="J245" s="11" t="s">
        <v>103</v>
      </c>
      <c r="K245" s="14"/>
      <c r="L245" s="8"/>
      <c r="M245" s="14"/>
      <c r="N245" s="14"/>
      <c r="O245" s="8"/>
      <c r="P245" s="8"/>
      <c r="Q245" s="8"/>
      <c r="R245" s="8"/>
      <c r="S245" s="8"/>
      <c r="T245" s="8"/>
      <c r="U245" s="8"/>
      <c r="V245" s="8"/>
      <c r="W245" s="8"/>
      <c r="X245" s="8"/>
      <c r="Y245" s="8"/>
      <c r="Z245" s="8"/>
      <c r="AA245" s="64"/>
    </row>
    <row r="246" spans="3:27" ht="15.75" customHeight="1">
      <c r="C246" s="63"/>
      <c r="D246" s="35"/>
      <c r="E246" s="20" t="s">
        <v>57</v>
      </c>
      <c r="F246" s="20" t="s">
        <v>63</v>
      </c>
      <c r="J246" s="35"/>
      <c r="K246" s="20" t="s">
        <v>51</v>
      </c>
      <c r="L246" s="20" t="s">
        <v>53</v>
      </c>
      <c r="M246" s="36" t="s">
        <v>104</v>
      </c>
      <c r="N246" s="45"/>
      <c r="O246" s="45"/>
      <c r="P246" s="8"/>
      <c r="Q246" s="20" t="s">
        <v>104</v>
      </c>
      <c r="R246" s="21">
        <f>+M247</f>
        <v>0.5</v>
      </c>
      <c r="S246" s="21">
        <f>+M248</f>
        <v>0.5</v>
      </c>
      <c r="T246" s="15"/>
      <c r="U246" s="15"/>
      <c r="V246" s="8"/>
      <c r="W246" s="8"/>
      <c r="X246" s="8"/>
      <c r="Y246" s="8"/>
      <c r="Z246" s="8"/>
      <c r="AA246" s="64"/>
    </row>
    <row r="247" spans="3:27" ht="15.75" customHeight="1">
      <c r="C247" s="63"/>
      <c r="D247" s="20" t="s">
        <v>57</v>
      </c>
      <c r="E247" s="21">
        <v>1</v>
      </c>
      <c r="F247" s="21">
        <f>+'1.1 FORM'!F31</f>
        <v>1</v>
      </c>
      <c r="J247" s="20" t="s">
        <v>51</v>
      </c>
      <c r="K247" s="21">
        <f>+E247/SUM(E247:E248)</f>
        <v>0.5</v>
      </c>
      <c r="L247" s="21">
        <f>+F247/SUM(F247:F248)</f>
        <v>0.5</v>
      </c>
      <c r="M247" s="25">
        <f>+AVERAGE(K247:L247)</f>
        <v>0.5</v>
      </c>
      <c r="N247" s="24"/>
      <c r="O247" s="24"/>
      <c r="P247" s="8"/>
      <c r="Q247" s="18"/>
      <c r="R247" s="19" t="s">
        <v>51</v>
      </c>
      <c r="S247" s="19" t="s">
        <v>53</v>
      </c>
      <c r="T247" s="19" t="s">
        <v>105</v>
      </c>
      <c r="U247" s="19" t="s">
        <v>106</v>
      </c>
      <c r="V247" s="8"/>
      <c r="W247" s="8"/>
      <c r="X247" s="8"/>
      <c r="Y247" s="33" t="s">
        <v>123</v>
      </c>
      <c r="Z247" s="34">
        <f>+AVERAGE(U248:U250)</f>
        <v>2</v>
      </c>
      <c r="AA247" s="64"/>
    </row>
    <row r="248" spans="3:27" ht="15.75" customHeight="1">
      <c r="C248" s="63"/>
      <c r="D248" s="22" t="s">
        <v>63</v>
      </c>
      <c r="E248" s="23">
        <f>1/F247</f>
        <v>1</v>
      </c>
      <c r="F248" s="23">
        <v>1</v>
      </c>
      <c r="J248" s="22" t="s">
        <v>53</v>
      </c>
      <c r="K248" s="23">
        <f>+E248/SUM(E247:E248)</f>
        <v>0.5</v>
      </c>
      <c r="L248" s="23">
        <f>+F248/SUM(F247:F248)</f>
        <v>0.5</v>
      </c>
      <c r="M248" s="26">
        <f>+AVERAGE(K248:L248)</f>
        <v>0.5</v>
      </c>
      <c r="N248" s="24"/>
      <c r="O248" s="24"/>
      <c r="P248" s="8"/>
      <c r="Q248" s="20" t="s">
        <v>51</v>
      </c>
      <c r="R248" s="21">
        <f>+R246*E247</f>
        <v>0.5</v>
      </c>
      <c r="S248" s="21">
        <f>+S246*F247</f>
        <v>0.5</v>
      </c>
      <c r="T248" s="29">
        <f>+SUM(R248:S248)</f>
        <v>1</v>
      </c>
      <c r="U248" s="30">
        <f>+T248/M247</f>
        <v>2</v>
      </c>
      <c r="V248" s="8"/>
      <c r="W248" s="8"/>
      <c r="X248" s="8"/>
      <c r="Y248" s="33" t="s">
        <v>96</v>
      </c>
      <c r="Z248" s="34">
        <f>+COUNTA(R247:S247)</f>
        <v>2</v>
      </c>
      <c r="AA248" s="64"/>
    </row>
    <row r="249" spans="3:27" ht="15.75" customHeight="1">
      <c r="C249" s="63"/>
      <c r="D249" s="10"/>
      <c r="E249" s="10"/>
      <c r="F249" s="10"/>
      <c r="G249" s="10"/>
      <c r="J249" s="16"/>
      <c r="K249" s="17"/>
      <c r="L249" s="17"/>
      <c r="M249" s="24"/>
      <c r="N249" s="24"/>
      <c r="O249" s="24"/>
      <c r="P249" s="8"/>
      <c r="Q249" s="42" t="s">
        <v>53</v>
      </c>
      <c r="R249" s="40">
        <f>+R246*E248</f>
        <v>0.5</v>
      </c>
      <c r="S249" s="40">
        <f>+S246*F248</f>
        <v>0.5</v>
      </c>
      <c r="T249" s="43">
        <f>+SUM(R249:S249)</f>
        <v>1</v>
      </c>
      <c r="U249" s="44">
        <f>+T249/M248</f>
        <v>2</v>
      </c>
      <c r="V249" s="8"/>
      <c r="W249" s="8"/>
      <c r="X249" s="8"/>
      <c r="Y249" s="33" t="s">
        <v>107</v>
      </c>
      <c r="Z249" s="34">
        <f>+(Z247-Z248)/(Z248-1)</f>
        <v>0</v>
      </c>
      <c r="AA249" s="64"/>
    </row>
    <row r="250" spans="3:27" ht="15.75" customHeight="1">
      <c r="C250" s="63"/>
      <c r="J250" s="10"/>
      <c r="K250" s="10"/>
      <c r="L250" s="10"/>
      <c r="M250" s="8"/>
      <c r="N250" s="8"/>
      <c r="O250" s="8"/>
      <c r="P250" s="8"/>
      <c r="Q250" s="16"/>
      <c r="R250" s="17"/>
      <c r="S250" s="17"/>
      <c r="T250" s="27"/>
      <c r="U250" s="28"/>
      <c r="V250" s="8"/>
      <c r="W250" s="8"/>
      <c r="X250" s="8"/>
      <c r="Y250" s="33" t="s">
        <v>108</v>
      </c>
      <c r="Z250" s="34">
        <v>0.57999999999999996</v>
      </c>
      <c r="AA250" s="64"/>
    </row>
    <row r="251" spans="3:27" ht="15.75" customHeight="1">
      <c r="C251" s="63"/>
      <c r="J251" s="8"/>
      <c r="K251" s="8"/>
      <c r="L251" s="8"/>
      <c r="M251" s="8"/>
      <c r="N251" s="8"/>
      <c r="O251" s="8"/>
      <c r="P251" s="8"/>
      <c r="Q251" s="16"/>
      <c r="R251" s="17"/>
      <c r="S251" s="17"/>
      <c r="T251" s="27"/>
      <c r="U251" s="28"/>
      <c r="V251" s="8"/>
      <c r="W251" s="8"/>
      <c r="X251" s="8"/>
      <c r="Y251" s="33" t="s">
        <v>109</v>
      </c>
      <c r="Z251" s="34">
        <f>Z249/Z250</f>
        <v>0</v>
      </c>
      <c r="AA251" s="64"/>
    </row>
    <row r="252" spans="3:27" ht="15.75" customHeight="1">
      <c r="C252" s="63"/>
      <c r="J252" s="10"/>
      <c r="L252" s="12"/>
      <c r="M252" s="13"/>
      <c r="N252" s="13"/>
      <c r="O252" s="13"/>
      <c r="P252" s="12"/>
      <c r="Q252" s="12"/>
      <c r="R252" s="8"/>
      <c r="S252" s="8"/>
      <c r="T252" s="8"/>
      <c r="U252" s="8"/>
      <c r="V252" s="8"/>
      <c r="W252" s="8"/>
      <c r="X252" s="8"/>
      <c r="Y252" s="8"/>
      <c r="Z252" s="8"/>
      <c r="AA252" s="64"/>
    </row>
    <row r="253" spans="3:27" ht="15.75" customHeight="1">
      <c r="C253" s="63"/>
      <c r="D253" s="3" t="s">
        <v>125</v>
      </c>
      <c r="E253" s="14"/>
      <c r="F253" s="8"/>
      <c r="G253" s="14"/>
      <c r="J253" s="11" t="s">
        <v>103</v>
      </c>
      <c r="K253" s="14"/>
      <c r="L253" s="8"/>
      <c r="M253" s="14"/>
      <c r="N253" s="8"/>
      <c r="O253" s="8"/>
      <c r="P253" s="8"/>
      <c r="Q253" s="48" t="s">
        <v>126</v>
      </c>
      <c r="R253" s="8"/>
      <c r="S253" s="8"/>
      <c r="T253" s="8"/>
      <c r="U253" s="8"/>
      <c r="V253" s="8"/>
      <c r="W253" s="8"/>
      <c r="X253" s="8"/>
      <c r="Y253" s="8"/>
      <c r="AA253" s="64"/>
    </row>
    <row r="254" spans="3:27" ht="15.75" customHeight="1">
      <c r="C254" s="63"/>
      <c r="D254" s="35"/>
      <c r="E254" s="20" t="s">
        <v>59</v>
      </c>
      <c r="F254" s="20" t="s">
        <v>65</v>
      </c>
      <c r="G254" s="20" t="s">
        <v>69</v>
      </c>
      <c r="J254" s="35"/>
      <c r="K254" s="20" t="s">
        <v>51</v>
      </c>
      <c r="L254" s="20" t="s">
        <v>53</v>
      </c>
      <c r="M254" s="20" t="s">
        <v>55</v>
      </c>
      <c r="N254" s="36" t="s">
        <v>104</v>
      </c>
      <c r="O254" s="45"/>
      <c r="P254" s="8"/>
      <c r="Q254" s="20" t="s">
        <v>104</v>
      </c>
      <c r="R254" s="21">
        <f>+N255</f>
        <v>0.20000000000000004</v>
      </c>
      <c r="S254" s="21">
        <f>+N256</f>
        <v>0.60000000000000009</v>
      </c>
      <c r="T254" s="21">
        <f>+N257</f>
        <v>0.20000000000000004</v>
      </c>
      <c r="U254" s="15"/>
      <c r="V254" s="15"/>
      <c r="W254" s="15"/>
      <c r="X254" s="8"/>
      <c r="Y254" s="8"/>
      <c r="Z254" s="8"/>
      <c r="AA254" s="64"/>
    </row>
    <row r="255" spans="3:27" ht="15.75" customHeight="1">
      <c r="C255" s="63"/>
      <c r="D255" s="20" t="s">
        <v>59</v>
      </c>
      <c r="E255" s="21">
        <v>1</v>
      </c>
      <c r="F255" s="21">
        <f>+'1.1 FORM'!G31</f>
        <v>0.33333333333333331</v>
      </c>
      <c r="G255" s="21">
        <f>+'1.1 FORM'!H31</f>
        <v>1</v>
      </c>
      <c r="J255" s="20" t="s">
        <v>51</v>
      </c>
      <c r="K255" s="21">
        <f>+E255/SUM(E255:E257)</f>
        <v>0.2</v>
      </c>
      <c r="L255" s="21">
        <f>+F255/SUM(F255:F257)</f>
        <v>0.2</v>
      </c>
      <c r="M255" s="21">
        <f>+G255/SUM(G255:G257)</f>
        <v>0.2</v>
      </c>
      <c r="N255" s="25">
        <f>+AVERAGE(K255:M255)</f>
        <v>0.20000000000000004</v>
      </c>
      <c r="O255" s="24"/>
      <c r="P255" s="8"/>
      <c r="Q255" s="35"/>
      <c r="R255" s="20" t="s">
        <v>51</v>
      </c>
      <c r="S255" s="20" t="s">
        <v>53</v>
      </c>
      <c r="T255" s="20" t="s">
        <v>55</v>
      </c>
      <c r="U255" s="19" t="s">
        <v>105</v>
      </c>
      <c r="V255" s="19" t="s">
        <v>106</v>
      </c>
      <c r="W255" s="16"/>
      <c r="X255" s="8"/>
      <c r="Y255" s="33" t="s">
        <v>123</v>
      </c>
      <c r="Z255" s="34">
        <f>+AVERAGE(V256:V258)</f>
        <v>3</v>
      </c>
      <c r="AA255" s="64"/>
    </row>
    <row r="256" spans="3:27" ht="15.75" customHeight="1">
      <c r="C256" s="63"/>
      <c r="D256" s="16" t="s">
        <v>65</v>
      </c>
      <c r="E256" s="17">
        <f>1/F255</f>
        <v>3</v>
      </c>
      <c r="F256" s="17">
        <v>1</v>
      </c>
      <c r="G256" s="17">
        <f>+'1.1 FORM'!I31</f>
        <v>3</v>
      </c>
      <c r="J256" s="16" t="s">
        <v>53</v>
      </c>
      <c r="K256" s="17">
        <f>+E256/SUM(E255:E257)</f>
        <v>0.6</v>
      </c>
      <c r="L256" s="17">
        <f>+F256/SUM(F255:F257)</f>
        <v>0.60000000000000009</v>
      </c>
      <c r="M256" s="17">
        <f>+G256/SUM(G255:G257)</f>
        <v>0.6</v>
      </c>
      <c r="N256" s="24">
        <f>+AVERAGE(K256:M256)</f>
        <v>0.60000000000000009</v>
      </c>
      <c r="O256" s="24"/>
      <c r="P256" s="8"/>
      <c r="Q256" s="20" t="s">
        <v>51</v>
      </c>
      <c r="R256" s="21">
        <f>+R254*E255</f>
        <v>0.20000000000000004</v>
      </c>
      <c r="S256" s="21">
        <f>+S254*F255</f>
        <v>0.2</v>
      </c>
      <c r="T256" s="21">
        <f>+T254*G255</f>
        <v>0.20000000000000004</v>
      </c>
      <c r="U256" s="29">
        <f>+SUM(R256:T256)</f>
        <v>0.60000000000000009</v>
      </c>
      <c r="V256" s="30">
        <f>+U256/N255</f>
        <v>3</v>
      </c>
      <c r="W256" s="28"/>
      <c r="X256" s="8"/>
      <c r="Y256" s="33" t="s">
        <v>96</v>
      </c>
      <c r="Z256" s="34">
        <f>+COUNTA(R255:T255)</f>
        <v>3</v>
      </c>
      <c r="AA256" s="64"/>
    </row>
    <row r="257" spans="3:27" ht="15.75" customHeight="1">
      <c r="C257" s="63"/>
      <c r="D257" s="22" t="s">
        <v>69</v>
      </c>
      <c r="E257" s="23">
        <f>1/G255</f>
        <v>1</v>
      </c>
      <c r="F257" s="23">
        <f>1/G256</f>
        <v>0.33333333333333331</v>
      </c>
      <c r="G257" s="23">
        <v>1</v>
      </c>
      <c r="J257" s="22" t="s">
        <v>55</v>
      </c>
      <c r="K257" s="23">
        <f>+E257/SUM(E255:E257)</f>
        <v>0.2</v>
      </c>
      <c r="L257" s="23">
        <f>+F257/SUM(F255:F257)</f>
        <v>0.2</v>
      </c>
      <c r="M257" s="23">
        <f>+G257/SUM(G255:G257)</f>
        <v>0.2</v>
      </c>
      <c r="N257" s="26">
        <f>+AVERAGE(K257:M257)</f>
        <v>0.20000000000000004</v>
      </c>
      <c r="O257" s="24"/>
      <c r="P257" s="8"/>
      <c r="Q257" s="16" t="s">
        <v>53</v>
      </c>
      <c r="R257" s="17">
        <f>+R254*E256</f>
        <v>0.60000000000000009</v>
      </c>
      <c r="S257" s="17">
        <f>+S254*F256</f>
        <v>0.60000000000000009</v>
      </c>
      <c r="T257" s="17">
        <f>+T254*G256</f>
        <v>0.60000000000000009</v>
      </c>
      <c r="U257" s="27">
        <f>+SUM(R257:T257)</f>
        <v>1.8000000000000003</v>
      </c>
      <c r="V257" s="28">
        <f>+U257/N256</f>
        <v>3</v>
      </c>
      <c r="W257" s="28"/>
      <c r="X257" s="8"/>
      <c r="Y257" s="33" t="s">
        <v>107</v>
      </c>
      <c r="Z257" s="34">
        <f>+(Z255-Z256)/(Z256-1)</f>
        <v>0</v>
      </c>
      <c r="AA257" s="64"/>
    </row>
    <row r="258" spans="3:27" ht="15.75" customHeight="1">
      <c r="C258" s="63"/>
      <c r="J258" s="10"/>
      <c r="K258" s="10"/>
      <c r="L258" s="10"/>
      <c r="M258" s="10"/>
      <c r="N258" s="8"/>
      <c r="O258" s="8"/>
      <c r="P258" s="8"/>
      <c r="Q258" s="22" t="s">
        <v>55</v>
      </c>
      <c r="R258" s="23">
        <f>+R254*E257</f>
        <v>0.20000000000000004</v>
      </c>
      <c r="S258" s="23">
        <f>+S254*F257</f>
        <v>0.2</v>
      </c>
      <c r="T258" s="23">
        <f>+T254*G257</f>
        <v>0.20000000000000004</v>
      </c>
      <c r="U258" s="31">
        <f>+SUM(R258:T258)</f>
        <v>0.60000000000000009</v>
      </c>
      <c r="V258" s="32">
        <f>+U258/N257</f>
        <v>3</v>
      </c>
      <c r="W258" s="28"/>
      <c r="X258" s="8"/>
      <c r="Y258" s="33" t="s">
        <v>108</v>
      </c>
      <c r="Z258" s="34">
        <v>0.57999999999999996</v>
      </c>
      <c r="AA258" s="64"/>
    </row>
    <row r="259" spans="3:27" ht="15.75" customHeight="1">
      <c r="C259" s="63"/>
      <c r="J259" s="8"/>
      <c r="K259" s="8"/>
      <c r="L259" s="8"/>
      <c r="M259" s="8"/>
      <c r="N259" s="8"/>
      <c r="O259" s="8"/>
      <c r="P259" s="16"/>
      <c r="Q259" s="17"/>
      <c r="R259" s="17"/>
      <c r="S259" s="17"/>
      <c r="T259" s="27"/>
      <c r="U259" s="28"/>
      <c r="V259" s="8"/>
      <c r="W259" s="8"/>
      <c r="Y259" s="33" t="s">
        <v>109</v>
      </c>
      <c r="Z259" s="34">
        <f>Z257/Z258</f>
        <v>0</v>
      </c>
      <c r="AA259" s="64"/>
    </row>
    <row r="260" spans="3:27" ht="15.75" customHeight="1">
      <c r="C260" s="63"/>
      <c r="AA260" s="64"/>
    </row>
    <row r="261" spans="3:27" ht="15.75" customHeight="1">
      <c r="C261" s="63"/>
      <c r="D261" s="39" t="s">
        <v>127</v>
      </c>
      <c r="E261" s="14"/>
      <c r="F261" s="8"/>
      <c r="G261" s="14"/>
      <c r="H261" s="14"/>
      <c r="J261" s="11" t="s">
        <v>103</v>
      </c>
      <c r="K261" s="14"/>
      <c r="L261" s="8"/>
      <c r="M261" s="14"/>
      <c r="N261" s="8"/>
      <c r="O261" s="8"/>
      <c r="P261" s="8"/>
      <c r="Q261" s="8"/>
      <c r="R261" s="8"/>
      <c r="S261" s="8"/>
      <c r="T261" s="8"/>
      <c r="U261" s="8"/>
      <c r="V261" s="8"/>
      <c r="W261" s="8"/>
      <c r="X261" s="8"/>
      <c r="Y261" s="8"/>
      <c r="Z261" s="8"/>
      <c r="AA261" s="64"/>
    </row>
    <row r="262" spans="3:27" ht="15.75" customHeight="1">
      <c r="C262" s="63"/>
      <c r="D262" s="35"/>
      <c r="E262" s="20" t="s">
        <v>61</v>
      </c>
      <c r="F262" s="20" t="s">
        <v>67</v>
      </c>
      <c r="G262" s="20" t="s">
        <v>128</v>
      </c>
      <c r="H262" s="20" t="s">
        <v>73</v>
      </c>
      <c r="J262" s="35"/>
      <c r="K262" s="20" t="s">
        <v>61</v>
      </c>
      <c r="L262" s="20" t="s">
        <v>67</v>
      </c>
      <c r="M262" s="20" t="s">
        <v>128</v>
      </c>
      <c r="N262" s="20" t="s">
        <v>73</v>
      </c>
      <c r="O262" s="36" t="s">
        <v>104</v>
      </c>
      <c r="P262" s="8"/>
      <c r="Q262" s="20" t="s">
        <v>104</v>
      </c>
      <c r="R262" s="21">
        <f>+O263</f>
        <v>6.25E-2</v>
      </c>
      <c r="S262" s="21">
        <f>+O264</f>
        <v>0.3125</v>
      </c>
      <c r="T262" s="21">
        <f>+O265</f>
        <v>0.3125</v>
      </c>
      <c r="U262" s="52">
        <f>+O266</f>
        <v>0.3125</v>
      </c>
      <c r="V262" s="15"/>
      <c r="W262" s="15"/>
      <c r="X262" s="8"/>
      <c r="Y262" s="8"/>
      <c r="Z262" s="8"/>
      <c r="AA262" s="64"/>
    </row>
    <row r="263" spans="3:27" ht="15.75" customHeight="1">
      <c r="C263" s="63"/>
      <c r="D263" s="16" t="s">
        <v>61</v>
      </c>
      <c r="E263" s="17">
        <v>1</v>
      </c>
      <c r="F263" s="17">
        <f>+'1.1 FORM'!J31</f>
        <v>0.2</v>
      </c>
      <c r="G263" s="17">
        <f>+'1.1 FORM'!K31</f>
        <v>0.2</v>
      </c>
      <c r="H263" s="17">
        <f>+'1.1 FORM'!L31</f>
        <v>0.2</v>
      </c>
      <c r="J263" s="20" t="s">
        <v>61</v>
      </c>
      <c r="K263" s="21">
        <f>+E263/SUM(E263:E266)</f>
        <v>6.25E-2</v>
      </c>
      <c r="L263" s="21">
        <f>+F263/SUM(F263:F266)</f>
        <v>6.25E-2</v>
      </c>
      <c r="M263" s="21">
        <f>+G263/SUM(G263:G266)</f>
        <v>6.25E-2</v>
      </c>
      <c r="N263" s="21">
        <f>+H263/SUM(H263:H266)</f>
        <v>6.25E-2</v>
      </c>
      <c r="O263" s="25">
        <f>+AVERAGE(K263:N263)</f>
        <v>6.25E-2</v>
      </c>
      <c r="P263" s="8"/>
      <c r="Q263" s="35"/>
      <c r="R263" s="20" t="s">
        <v>61</v>
      </c>
      <c r="S263" s="20" t="s">
        <v>67</v>
      </c>
      <c r="T263" s="20" t="s">
        <v>128</v>
      </c>
      <c r="U263" s="20" t="s">
        <v>73</v>
      </c>
      <c r="V263" s="20" t="s">
        <v>105</v>
      </c>
      <c r="W263" s="20" t="s">
        <v>106</v>
      </c>
      <c r="X263" s="8"/>
      <c r="Y263" s="33" t="s">
        <v>123</v>
      </c>
      <c r="Z263" s="34">
        <f>+AVERAGE(W264:W267)</f>
        <v>4</v>
      </c>
      <c r="AA263" s="64"/>
    </row>
    <row r="264" spans="3:27" ht="15.75" customHeight="1">
      <c r="C264" s="63"/>
      <c r="D264" s="16" t="s">
        <v>67</v>
      </c>
      <c r="E264" s="17">
        <f>1/F263</f>
        <v>5</v>
      </c>
      <c r="F264" s="17">
        <v>1</v>
      </c>
      <c r="G264" s="17">
        <f>+'1.1 FORM'!M31</f>
        <v>1</v>
      </c>
      <c r="H264" s="17">
        <f>+'1.1 FORM'!N31</f>
        <v>1</v>
      </c>
      <c r="J264" s="16" t="s">
        <v>67</v>
      </c>
      <c r="K264" s="17">
        <f>+E264/SUM(E263:E266)</f>
        <v>0.3125</v>
      </c>
      <c r="L264" s="17">
        <f>+F264/SUM(F263:F266)</f>
        <v>0.3125</v>
      </c>
      <c r="M264" s="17">
        <f>+G264/SUM(G263:G266)</f>
        <v>0.3125</v>
      </c>
      <c r="N264" s="17">
        <f>+H264/SUM(H263:H266)</f>
        <v>0.3125</v>
      </c>
      <c r="O264" s="24">
        <f>+AVERAGE(K264:N264)</f>
        <v>0.3125</v>
      </c>
      <c r="P264" s="8"/>
      <c r="Q264" s="20" t="s">
        <v>61</v>
      </c>
      <c r="R264" s="21">
        <f>+R262*E263</f>
        <v>6.25E-2</v>
      </c>
      <c r="S264" s="21">
        <f>+S262*F263</f>
        <v>6.25E-2</v>
      </c>
      <c r="T264" s="21">
        <f>+T262*G263</f>
        <v>6.25E-2</v>
      </c>
      <c r="U264" s="21">
        <f>+U262*H263</f>
        <v>6.25E-2</v>
      </c>
      <c r="V264" s="21">
        <f>+SUM(R264:U264)</f>
        <v>0.25</v>
      </c>
      <c r="W264" s="30">
        <f>+V264/O263</f>
        <v>4</v>
      </c>
      <c r="X264" s="8"/>
      <c r="Y264" s="33" t="s">
        <v>96</v>
      </c>
      <c r="Z264" s="34">
        <v>4</v>
      </c>
      <c r="AA264" s="64"/>
    </row>
    <row r="265" spans="3:27" ht="15.75" customHeight="1">
      <c r="C265" s="63"/>
      <c r="D265" s="16" t="s">
        <v>128</v>
      </c>
      <c r="E265" s="17">
        <f>1/G263</f>
        <v>5</v>
      </c>
      <c r="F265" s="17">
        <f>1/G264</f>
        <v>1</v>
      </c>
      <c r="G265" s="17">
        <v>1</v>
      </c>
      <c r="H265" s="17">
        <f>+'1.1 FORM'!O31</f>
        <v>1</v>
      </c>
      <c r="J265" s="16" t="s">
        <v>128</v>
      </c>
      <c r="K265" s="17">
        <f>+E265/SUM(E263:E266)</f>
        <v>0.3125</v>
      </c>
      <c r="L265" s="17">
        <f>+F265/SUM(F263:F266)</f>
        <v>0.3125</v>
      </c>
      <c r="M265" s="17">
        <f>+G265/SUM(G263:G266)</f>
        <v>0.3125</v>
      </c>
      <c r="N265" s="17">
        <f>+H265/SUM(H263:H266)</f>
        <v>0.3125</v>
      </c>
      <c r="O265" s="24">
        <f>+AVERAGE(K265:N265)</f>
        <v>0.3125</v>
      </c>
      <c r="P265" s="8"/>
      <c r="Q265" s="16" t="s">
        <v>67</v>
      </c>
      <c r="R265" s="17">
        <f>+R262*E264</f>
        <v>0.3125</v>
      </c>
      <c r="S265" s="17">
        <f>+S262*F264</f>
        <v>0.3125</v>
      </c>
      <c r="T265" s="17">
        <f>+T262*G264</f>
        <v>0.3125</v>
      </c>
      <c r="U265" s="17">
        <f>+U262*H264</f>
        <v>0.3125</v>
      </c>
      <c r="V265" s="17">
        <f>+SUM(R265:U265)</f>
        <v>1.25</v>
      </c>
      <c r="W265" s="28">
        <f>+V265/O264</f>
        <v>4</v>
      </c>
      <c r="X265" s="8"/>
      <c r="Y265" s="33" t="s">
        <v>107</v>
      </c>
      <c r="Z265" s="34">
        <f>+(Z263-Z264)/(Z264-1)</f>
        <v>0</v>
      </c>
      <c r="AA265" s="64"/>
    </row>
    <row r="266" spans="3:27" ht="15.75" customHeight="1">
      <c r="C266" s="63"/>
      <c r="D266" s="22" t="s">
        <v>73</v>
      </c>
      <c r="E266" s="23">
        <f>1/H263</f>
        <v>5</v>
      </c>
      <c r="F266" s="23">
        <f>1/H264</f>
        <v>1</v>
      </c>
      <c r="G266" s="23">
        <f>1/H265</f>
        <v>1</v>
      </c>
      <c r="H266" s="23">
        <v>1</v>
      </c>
      <c r="J266" s="22" t="s">
        <v>73</v>
      </c>
      <c r="K266" s="23">
        <f>+E266/SUM(E263:E266)</f>
        <v>0.3125</v>
      </c>
      <c r="L266" s="23">
        <f>+F266/SUM(F263:F266)</f>
        <v>0.3125</v>
      </c>
      <c r="M266" s="23">
        <f>+G266/SUM(G263:G266)</f>
        <v>0.3125</v>
      </c>
      <c r="N266" s="23">
        <f>+H266/SUM(H263:H266)</f>
        <v>0.3125</v>
      </c>
      <c r="O266" s="26">
        <f>+AVERAGE(K266:N266)</f>
        <v>0.3125</v>
      </c>
      <c r="P266" s="8"/>
      <c r="Q266" s="16" t="s">
        <v>128</v>
      </c>
      <c r="R266" s="17">
        <f>+R262*E265</f>
        <v>0.3125</v>
      </c>
      <c r="S266" s="17">
        <f>+S262*F265</f>
        <v>0.3125</v>
      </c>
      <c r="T266" s="17">
        <f>+T262*G265</f>
        <v>0.3125</v>
      </c>
      <c r="U266" s="17">
        <f>+U262*H265</f>
        <v>0.3125</v>
      </c>
      <c r="V266" s="17">
        <f>+SUM(R266:U266)</f>
        <v>1.25</v>
      </c>
      <c r="W266" s="28">
        <f>+V266/O265</f>
        <v>4</v>
      </c>
      <c r="X266" s="8"/>
      <c r="Y266" s="33" t="s">
        <v>108</v>
      </c>
      <c r="Z266" s="34">
        <v>0.9</v>
      </c>
      <c r="AA266" s="64"/>
    </row>
    <row r="267" spans="3:27" ht="15.75" customHeight="1">
      <c r="C267" s="63"/>
      <c r="J267" s="8"/>
      <c r="K267" s="8"/>
      <c r="L267" s="8"/>
      <c r="M267" s="8"/>
      <c r="N267" s="8"/>
      <c r="O267" s="8"/>
      <c r="P267" s="8"/>
      <c r="Q267" s="22" t="s">
        <v>73</v>
      </c>
      <c r="R267" s="23">
        <f>+R262*E266</f>
        <v>0.3125</v>
      </c>
      <c r="S267" s="23">
        <f>+S262*F266</f>
        <v>0.3125</v>
      </c>
      <c r="T267" s="23">
        <f>+T262*G266</f>
        <v>0.3125</v>
      </c>
      <c r="U267" s="23">
        <f>+U262*H266</f>
        <v>0.3125</v>
      </c>
      <c r="V267" s="23">
        <f>+SUM(R267:U267)</f>
        <v>1.25</v>
      </c>
      <c r="W267" s="32">
        <f>+V267/O266</f>
        <v>4</v>
      </c>
      <c r="X267" s="8"/>
      <c r="Y267" s="33" t="s">
        <v>109</v>
      </c>
      <c r="Z267" s="34">
        <f>Z265/Z266</f>
        <v>0</v>
      </c>
      <c r="AA267" s="64"/>
    </row>
    <row r="268" spans="3:27" ht="15.75" customHeight="1">
      <c r="C268" s="63"/>
      <c r="AA268" s="64"/>
    </row>
    <row r="269" spans="3:27" ht="15.75" customHeight="1" thickBot="1">
      <c r="C269" s="65"/>
      <c r="D269" s="66"/>
      <c r="E269" s="66"/>
      <c r="F269" s="66"/>
      <c r="G269" s="66"/>
      <c r="H269" s="66"/>
      <c r="I269" s="66"/>
      <c r="J269" s="66"/>
      <c r="K269" s="66"/>
      <c r="L269" s="66"/>
      <c r="M269" s="66"/>
      <c r="N269" s="66"/>
      <c r="O269" s="66"/>
      <c r="P269" s="66"/>
      <c r="Q269" s="66"/>
      <c r="R269" s="66"/>
      <c r="S269" s="66"/>
      <c r="T269" s="66"/>
      <c r="U269" s="66"/>
      <c r="V269" s="66"/>
      <c r="W269" s="66"/>
      <c r="X269" s="66"/>
      <c r="Y269" s="66"/>
      <c r="Z269" s="66"/>
      <c r="AA269" s="67"/>
    </row>
    <row r="270" spans="3:27" ht="15.75" customHeight="1" thickBot="1"/>
    <row r="271" spans="3:27" ht="15.75" customHeight="1">
      <c r="C271" s="155" t="s">
        <v>129</v>
      </c>
      <c r="D271" s="148"/>
      <c r="E271" s="148"/>
      <c r="F271" s="148"/>
      <c r="G271" s="148"/>
      <c r="H271" s="148"/>
      <c r="I271" s="148"/>
      <c r="J271" s="148"/>
      <c r="K271" s="148"/>
      <c r="L271" s="148"/>
      <c r="M271" s="148"/>
      <c r="N271" s="148"/>
      <c r="O271" s="148"/>
      <c r="P271" s="148"/>
      <c r="Q271" s="148"/>
      <c r="R271" s="148"/>
      <c r="S271" s="148"/>
      <c r="T271" s="148"/>
      <c r="U271" s="148"/>
      <c r="V271" s="148"/>
      <c r="W271" s="148"/>
      <c r="X271" s="148"/>
      <c r="Y271" s="148"/>
      <c r="Z271" s="148"/>
      <c r="AA271" s="149"/>
    </row>
    <row r="272" spans="3:27" ht="15.75" customHeight="1">
      <c r="C272" s="150"/>
      <c r="AA272" s="151"/>
    </row>
    <row r="273" spans="3:27" ht="15.75" customHeight="1">
      <c r="C273" s="150"/>
      <c r="D273" s="46" t="s">
        <v>124</v>
      </c>
      <c r="E273" s="46"/>
      <c r="F273" s="46"/>
      <c r="J273" s="11" t="s">
        <v>103</v>
      </c>
      <c r="K273" s="14"/>
      <c r="L273" s="8"/>
      <c r="M273" s="14"/>
      <c r="N273" s="14"/>
      <c r="O273" s="8"/>
      <c r="P273" s="8"/>
      <c r="Q273" s="8"/>
      <c r="R273" s="8"/>
      <c r="S273" s="8"/>
      <c r="T273" s="8"/>
      <c r="U273" s="8"/>
      <c r="V273" s="8"/>
      <c r="W273" s="8"/>
      <c r="X273" s="8"/>
      <c r="Y273" s="8"/>
      <c r="Z273" s="8"/>
      <c r="AA273" s="151"/>
    </row>
    <row r="274" spans="3:27" ht="15.75" customHeight="1">
      <c r="C274" s="150"/>
      <c r="D274" s="35"/>
      <c r="E274" s="20" t="s">
        <v>57</v>
      </c>
      <c r="F274" s="20" t="s">
        <v>63</v>
      </c>
      <c r="J274" s="35"/>
      <c r="K274" s="20" t="s">
        <v>51</v>
      </c>
      <c r="L274" s="20" t="s">
        <v>53</v>
      </c>
      <c r="M274" s="36" t="s">
        <v>104</v>
      </c>
      <c r="N274" s="45"/>
      <c r="O274" s="45"/>
      <c r="P274" s="8"/>
      <c r="Q274" s="20" t="s">
        <v>104</v>
      </c>
      <c r="R274" s="21">
        <f>+M275</f>
        <v>0.49527811182678017</v>
      </c>
      <c r="S274" s="21">
        <f>+M276</f>
        <v>0.50472188817321983</v>
      </c>
      <c r="T274" s="15"/>
      <c r="U274" s="15"/>
      <c r="V274" s="8"/>
      <c r="W274" s="8"/>
      <c r="X274" s="8"/>
      <c r="Y274" s="8"/>
      <c r="Z274" s="8"/>
      <c r="AA274" s="151"/>
    </row>
    <row r="275" spans="3:27" ht="15.75" customHeight="1">
      <c r="C275" s="150"/>
      <c r="D275" s="20" t="s">
        <v>57</v>
      </c>
      <c r="E275" s="21">
        <f>+GEOMEAN(E107,E135,E163,E191,E219,E247)</f>
        <v>1</v>
      </c>
      <c r="F275" s="21">
        <f>+GEOMEAN(F107,F135,F163,F191,F219,F247)</f>
        <v>0.98128914840483661</v>
      </c>
      <c r="J275" s="20" t="s">
        <v>51</v>
      </c>
      <c r="K275" s="21">
        <f>+E275/SUM(E275:E276)</f>
        <v>0.49527811182678017</v>
      </c>
      <c r="L275" s="21">
        <f>+F275/SUM(F275:F276)</f>
        <v>0.49527811182678011</v>
      </c>
      <c r="M275" s="25">
        <f>+AVERAGE(K275:L275)</f>
        <v>0.49527811182678017</v>
      </c>
      <c r="N275" s="24"/>
      <c r="O275" s="24"/>
      <c r="P275" s="8"/>
      <c r="Q275" s="18"/>
      <c r="R275" s="19" t="s">
        <v>51</v>
      </c>
      <c r="S275" s="19" t="s">
        <v>53</v>
      </c>
      <c r="T275" s="19" t="s">
        <v>105</v>
      </c>
      <c r="U275" s="19" t="s">
        <v>106</v>
      </c>
      <c r="V275" s="8"/>
      <c r="W275" s="8"/>
      <c r="X275" s="8"/>
      <c r="Y275" s="33" t="s">
        <v>123</v>
      </c>
      <c r="Z275" s="34">
        <f>+AVERAGE(U276:U278)</f>
        <v>2</v>
      </c>
      <c r="AA275" s="151"/>
    </row>
    <row r="276" spans="3:27" ht="15.75" customHeight="1">
      <c r="C276" s="150"/>
      <c r="D276" s="22" t="s">
        <v>63</v>
      </c>
      <c r="E276" s="23">
        <f>+GEOMEAN(E108,E136,E164,E192,E220,E248)</f>
        <v>1.0190676230605213</v>
      </c>
      <c r="F276" s="23">
        <f>+GEOMEAN(F108,F136,F164,F192,F220,F248)</f>
        <v>1</v>
      </c>
      <c r="J276" s="22" t="s">
        <v>53</v>
      </c>
      <c r="K276" s="23">
        <f>+E276/SUM(E275:E276)</f>
        <v>0.50472188817321995</v>
      </c>
      <c r="L276" s="23">
        <f>+F276/SUM(F275:F276)</f>
        <v>0.50472188817321983</v>
      </c>
      <c r="M276" s="26">
        <f>+AVERAGE(K276:L276)</f>
        <v>0.50472188817321983</v>
      </c>
      <c r="N276" s="24"/>
      <c r="O276" s="24"/>
      <c r="P276" s="8"/>
      <c r="Q276" s="20" t="s">
        <v>51</v>
      </c>
      <c r="R276" s="21">
        <f>+R274*E275</f>
        <v>0.49527811182678017</v>
      </c>
      <c r="S276" s="21">
        <f>+S274*F275</f>
        <v>0.49527811182678005</v>
      </c>
      <c r="T276" s="29">
        <f>+SUM(R276:S276)</f>
        <v>0.99055622365356022</v>
      </c>
      <c r="U276" s="30">
        <f>+T276/M275</f>
        <v>1.9999999999999998</v>
      </c>
      <c r="V276" s="8"/>
      <c r="W276" s="8"/>
      <c r="X276" s="8"/>
      <c r="Y276" s="33" t="s">
        <v>96</v>
      </c>
      <c r="Z276" s="34">
        <f>+COUNTA(R275:S275)</f>
        <v>2</v>
      </c>
      <c r="AA276" s="151"/>
    </row>
    <row r="277" spans="3:27" ht="15.75" customHeight="1">
      <c r="C277" s="150"/>
      <c r="D277" s="10"/>
      <c r="E277" s="10"/>
      <c r="F277" s="10"/>
      <c r="G277" s="10"/>
      <c r="J277" s="16"/>
      <c r="K277" s="17"/>
      <c r="L277" s="17"/>
      <c r="M277" s="24"/>
      <c r="N277" s="24"/>
      <c r="O277" s="24"/>
      <c r="P277" s="8"/>
      <c r="Q277" s="42" t="s">
        <v>53</v>
      </c>
      <c r="R277" s="40">
        <f>+R274*E276</f>
        <v>0.50472188817321995</v>
      </c>
      <c r="S277" s="40">
        <f>+S274*F276</f>
        <v>0.50472188817321983</v>
      </c>
      <c r="T277" s="43">
        <f>+SUM(R277:S277)</f>
        <v>1.0094437763464397</v>
      </c>
      <c r="U277" s="44">
        <f>+T277/M276</f>
        <v>2</v>
      </c>
      <c r="V277" s="8"/>
      <c r="W277" s="8"/>
      <c r="X277" s="8"/>
      <c r="Y277" s="33" t="s">
        <v>107</v>
      </c>
      <c r="Z277" s="34">
        <f>+(Z275-Z276)/(Z276-1)</f>
        <v>0</v>
      </c>
      <c r="AA277" s="151"/>
    </row>
    <row r="278" spans="3:27" ht="15.75" customHeight="1">
      <c r="C278" s="150"/>
      <c r="J278" s="10"/>
      <c r="K278" s="10"/>
      <c r="L278" s="10"/>
      <c r="M278" s="8"/>
      <c r="N278" s="8"/>
      <c r="O278" s="8"/>
      <c r="P278" s="8"/>
      <c r="Q278" s="16"/>
      <c r="R278" s="17"/>
      <c r="S278" s="17"/>
      <c r="T278" s="27"/>
      <c r="U278" s="28"/>
      <c r="V278" s="8"/>
      <c r="W278" s="8"/>
      <c r="X278" s="8"/>
      <c r="Y278" s="33" t="s">
        <v>108</v>
      </c>
      <c r="Z278" s="34">
        <v>0.57999999999999996</v>
      </c>
      <c r="AA278" s="151"/>
    </row>
    <row r="279" spans="3:27" ht="15.75" customHeight="1">
      <c r="C279" s="150"/>
      <c r="J279" s="8"/>
      <c r="K279" s="8"/>
      <c r="L279" s="8"/>
      <c r="M279" s="8"/>
      <c r="N279" s="8"/>
      <c r="O279" s="8"/>
      <c r="P279" s="8"/>
      <c r="Q279" s="16"/>
      <c r="R279" s="17"/>
      <c r="S279" s="17"/>
      <c r="T279" s="27"/>
      <c r="U279" s="28"/>
      <c r="V279" s="8"/>
      <c r="W279" s="8"/>
      <c r="X279" s="8"/>
      <c r="Y279" s="33" t="s">
        <v>109</v>
      </c>
      <c r="Z279" s="34">
        <f>Z277/Z278</f>
        <v>0</v>
      </c>
      <c r="AA279" s="151"/>
    </row>
    <row r="280" spans="3:27" ht="15.75" customHeight="1">
      <c r="C280" s="150"/>
      <c r="J280" s="10"/>
      <c r="L280" s="12"/>
      <c r="M280" s="13"/>
      <c r="N280" s="13"/>
      <c r="O280" s="13"/>
      <c r="P280" s="12"/>
      <c r="Q280" s="12"/>
      <c r="R280" s="8"/>
      <c r="S280" s="8"/>
      <c r="T280" s="8"/>
      <c r="U280" s="8"/>
      <c r="V280" s="8"/>
      <c r="W280" s="8"/>
      <c r="X280" s="8"/>
      <c r="Y280" s="8"/>
      <c r="Z280" s="8"/>
      <c r="AA280" s="151"/>
    </row>
    <row r="281" spans="3:27" ht="15.75" customHeight="1">
      <c r="C281" s="150"/>
      <c r="D281" s="3" t="s">
        <v>125</v>
      </c>
      <c r="E281" s="14"/>
      <c r="F281" s="8"/>
      <c r="G281" s="14"/>
      <c r="J281" s="11" t="s">
        <v>103</v>
      </c>
      <c r="K281" s="14"/>
      <c r="L281" s="8"/>
      <c r="M281" s="14"/>
      <c r="N281" s="8"/>
      <c r="O281" s="8"/>
      <c r="P281" s="8"/>
      <c r="Q281" t="s">
        <v>126</v>
      </c>
      <c r="R281" s="8"/>
      <c r="S281" s="8"/>
      <c r="T281" s="8"/>
      <c r="U281" s="8"/>
      <c r="V281" s="8"/>
      <c r="W281" s="8"/>
      <c r="X281" s="8"/>
      <c r="Y281" s="8"/>
      <c r="AA281" s="151"/>
    </row>
    <row r="282" spans="3:27" ht="15.75" customHeight="1">
      <c r="C282" s="150"/>
      <c r="D282" s="35"/>
      <c r="E282" s="20" t="s">
        <v>59</v>
      </c>
      <c r="F282" s="20" t="s">
        <v>65</v>
      </c>
      <c r="G282" s="20" t="s">
        <v>69</v>
      </c>
      <c r="J282" s="35"/>
      <c r="K282" s="20" t="s">
        <v>51</v>
      </c>
      <c r="L282" s="20" t="s">
        <v>53</v>
      </c>
      <c r="M282" s="20" t="s">
        <v>55</v>
      </c>
      <c r="N282" s="36" t="s">
        <v>104</v>
      </c>
      <c r="O282" s="45"/>
      <c r="P282" s="8"/>
      <c r="Q282" s="20" t="s">
        <v>104</v>
      </c>
      <c r="R282" s="21">
        <f>+N283</f>
        <v>0.34332195788297865</v>
      </c>
      <c r="S282" s="21">
        <f>+N284</f>
        <v>0.44340808370044354</v>
      </c>
      <c r="T282" s="21">
        <f>+N285</f>
        <v>0.21326995841657778</v>
      </c>
      <c r="U282" s="15"/>
      <c r="V282" s="15"/>
      <c r="W282" s="15"/>
      <c r="X282" s="8"/>
      <c r="Y282" s="8"/>
      <c r="Z282" s="8"/>
      <c r="AA282" s="151"/>
    </row>
    <row r="283" spans="3:27" ht="15.75" customHeight="1">
      <c r="C283" s="150"/>
      <c r="D283" s="20" t="s">
        <v>59</v>
      </c>
      <c r="E283" s="21">
        <f t="shared" ref="E283:G285" si="0">+GEOMEAN(E115,E143,E171,E199,E227,E255)</f>
        <v>1</v>
      </c>
      <c r="F283" s="21">
        <f t="shared" si="0"/>
        <v>0.76472449133173004</v>
      </c>
      <c r="G283" s="21">
        <f t="shared" si="0"/>
        <v>1.6299222137747946</v>
      </c>
      <c r="J283" s="20" t="s">
        <v>51</v>
      </c>
      <c r="K283" s="21">
        <f>+E283/SUM(E283:E285)</f>
        <v>0.3423266308284052</v>
      </c>
      <c r="L283" s="21">
        <f>+F283/SUM(F283:F285)</f>
        <v>0.33962265597966468</v>
      </c>
      <c r="M283" s="21">
        <f>+G283/SUM(G283:G285)</f>
        <v>0.348016586840866</v>
      </c>
      <c r="N283" s="25">
        <f>+AVERAGE(K283:M283)</f>
        <v>0.34332195788297865</v>
      </c>
      <c r="O283" s="24"/>
      <c r="P283" s="8"/>
      <c r="Q283" s="35"/>
      <c r="R283" s="20" t="s">
        <v>51</v>
      </c>
      <c r="S283" s="20" t="s">
        <v>53</v>
      </c>
      <c r="T283" s="20" t="s">
        <v>55</v>
      </c>
      <c r="U283" s="19" t="s">
        <v>105</v>
      </c>
      <c r="V283" s="19" t="s">
        <v>106</v>
      </c>
      <c r="W283" s="16"/>
      <c r="X283" s="8"/>
      <c r="Y283" s="33" t="s">
        <v>123</v>
      </c>
      <c r="Z283" s="34">
        <f>+AVERAGE(V284:V286)</f>
        <v>3.0001538226169249</v>
      </c>
      <c r="AA283" s="151"/>
    </row>
    <row r="284" spans="3:27" ht="15.75" customHeight="1">
      <c r="C284" s="150"/>
      <c r="D284" s="16" t="s">
        <v>65</v>
      </c>
      <c r="E284" s="17">
        <f t="shared" si="0"/>
        <v>1.3076604860118306</v>
      </c>
      <c r="F284" s="17">
        <f t="shared" si="0"/>
        <v>1</v>
      </c>
      <c r="G284" s="17">
        <f t="shared" si="0"/>
        <v>2.0535390791781549</v>
      </c>
      <c r="J284" s="16" t="s">
        <v>53</v>
      </c>
      <c r="K284" s="17">
        <f>+E284/SUM(E283:E285)</f>
        <v>0.44764700844386485</v>
      </c>
      <c r="L284" s="17">
        <f>+F284/SUM(F283:F285)</f>
        <v>0.44411112737899705</v>
      </c>
      <c r="M284" s="17">
        <f>+G284/SUM(G283:G285)</f>
        <v>0.4384661152784689</v>
      </c>
      <c r="N284" s="24">
        <f>+AVERAGE(K284:M284)</f>
        <v>0.44340808370044354</v>
      </c>
      <c r="O284" s="24"/>
      <c r="P284" s="8"/>
      <c r="Q284" s="20" t="s">
        <v>51</v>
      </c>
      <c r="R284" s="21">
        <f>+R282*E283</f>
        <v>0.34332195788297865</v>
      </c>
      <c r="S284" s="21">
        <f>+S282*F283</f>
        <v>0.33908502126019885</v>
      </c>
      <c r="T284" s="21">
        <f>+T282*G283</f>
        <v>0.34761344275400685</v>
      </c>
      <c r="U284" s="29">
        <f>+SUM(R284:T284)</f>
        <v>1.0300204218971842</v>
      </c>
      <c r="V284" s="30">
        <f>+U284/N283</f>
        <v>3.00015888365715</v>
      </c>
      <c r="W284" s="28"/>
      <c r="X284" s="8"/>
      <c r="Y284" s="33" t="s">
        <v>96</v>
      </c>
      <c r="Z284" s="34">
        <f>+COUNTA(R283:T283)</f>
        <v>3</v>
      </c>
      <c r="AA284" s="151"/>
    </row>
    <row r="285" spans="3:27" ht="15.75" customHeight="1">
      <c r="C285" s="150"/>
      <c r="D285" s="22" t="s">
        <v>69</v>
      </c>
      <c r="E285" s="23">
        <f t="shared" si="0"/>
        <v>0.61352621097424309</v>
      </c>
      <c r="F285" s="23">
        <f t="shared" si="0"/>
        <v>0.48696419276335812</v>
      </c>
      <c r="G285" s="23">
        <f t="shared" si="0"/>
        <v>1</v>
      </c>
      <c r="J285" s="22" t="s">
        <v>55</v>
      </c>
      <c r="K285" s="23">
        <f>+E285/SUM(E283:E285)</f>
        <v>0.21002636072772995</v>
      </c>
      <c r="L285" s="23">
        <f>+F285/SUM(F283:F285)</f>
        <v>0.21626621664133822</v>
      </c>
      <c r="M285" s="23">
        <f>+G285/SUM(G283:G285)</f>
        <v>0.21351729788066515</v>
      </c>
      <c r="N285" s="26">
        <f>+AVERAGE(K285:M285)</f>
        <v>0.21326995841657778</v>
      </c>
      <c r="O285" s="24"/>
      <c r="P285" s="8"/>
      <c r="Q285" s="16" t="s">
        <v>53</v>
      </c>
      <c r="R285" s="17">
        <f>+R282*E284</f>
        <v>0.4489485583037891</v>
      </c>
      <c r="S285" s="17">
        <f>+S282*F284</f>
        <v>0.44340808370044354</v>
      </c>
      <c r="T285" s="17">
        <f>+T282*G284</f>
        <v>0.43795819402314251</v>
      </c>
      <c r="U285" s="27">
        <f>+SUM(R285:T285)</f>
        <v>1.3303148360273751</v>
      </c>
      <c r="V285" s="28">
        <f>+U285/N284</f>
        <v>3.0002042924551318</v>
      </c>
      <c r="W285" s="28"/>
      <c r="X285" s="8"/>
      <c r="Y285" s="33" t="s">
        <v>107</v>
      </c>
      <c r="Z285" s="34">
        <f>+(Z283-Z284)/(Z284-1)</f>
        <v>7.6911308462435102E-5</v>
      </c>
      <c r="AA285" s="151"/>
    </row>
    <row r="286" spans="3:27" ht="15.75" customHeight="1">
      <c r="C286" s="150"/>
      <c r="J286" s="10"/>
      <c r="K286" s="10"/>
      <c r="L286" s="10"/>
      <c r="M286" s="10"/>
      <c r="N286" s="8"/>
      <c r="O286" s="8"/>
      <c r="P286" s="8"/>
      <c r="Q286" s="22" t="s">
        <v>55</v>
      </c>
      <c r="R286" s="23">
        <f>+R282*E285</f>
        <v>0.21063701996420256</v>
      </c>
      <c r="S286" s="23">
        <f>+S282*F285</f>
        <v>0.21592385954393403</v>
      </c>
      <c r="T286" s="23">
        <f>+T282*G285</f>
        <v>0.21326995841657778</v>
      </c>
      <c r="U286" s="31">
        <f>+SUM(R286:T286)</f>
        <v>0.6398308379247144</v>
      </c>
      <c r="V286" s="32">
        <f>+U286/N285</f>
        <v>3.0000982917384929</v>
      </c>
      <c r="W286" s="28"/>
      <c r="X286" s="8"/>
      <c r="Y286" s="33" t="s">
        <v>108</v>
      </c>
      <c r="Z286" s="34">
        <v>0.57999999999999996</v>
      </c>
      <c r="AA286" s="151"/>
    </row>
    <row r="287" spans="3:27" ht="15.75" customHeight="1">
      <c r="C287" s="150"/>
      <c r="J287" s="8"/>
      <c r="K287" s="8"/>
      <c r="L287" s="8"/>
      <c r="M287" s="8"/>
      <c r="N287" s="8"/>
      <c r="O287" s="8"/>
      <c r="P287" s="16"/>
      <c r="Q287" s="17"/>
      <c r="R287" s="17"/>
      <c r="S287" s="17"/>
      <c r="T287" s="27"/>
      <c r="U287" s="28"/>
      <c r="V287" s="8"/>
      <c r="W287" s="8"/>
      <c r="Y287" s="33" t="s">
        <v>109</v>
      </c>
      <c r="Z287" s="34">
        <f>Z285/Z286</f>
        <v>1.3260570424557778E-4</v>
      </c>
      <c r="AA287" s="151"/>
    </row>
    <row r="288" spans="3:27" ht="15.75" customHeight="1">
      <c r="C288" s="150"/>
      <c r="AA288" s="151"/>
    </row>
    <row r="289" spans="3:27" ht="15.75" customHeight="1">
      <c r="C289" s="150"/>
      <c r="D289" s="39" t="s">
        <v>127</v>
      </c>
      <c r="E289" s="14"/>
      <c r="F289" s="8"/>
      <c r="G289" s="14"/>
      <c r="H289" s="14"/>
      <c r="J289" s="11" t="s">
        <v>103</v>
      </c>
      <c r="K289" s="14"/>
      <c r="L289" s="8"/>
      <c r="M289" s="14"/>
      <c r="N289" s="8"/>
      <c r="O289" s="8"/>
      <c r="P289" s="8"/>
      <c r="Q289" s="8"/>
      <c r="R289" s="8"/>
      <c r="S289" s="8"/>
      <c r="T289" s="8"/>
      <c r="U289" s="8"/>
      <c r="V289" s="8"/>
      <c r="W289" s="8"/>
      <c r="X289" s="8"/>
      <c r="Y289" s="8"/>
      <c r="Z289" s="8"/>
      <c r="AA289" s="151"/>
    </row>
    <row r="290" spans="3:27" ht="15.75" customHeight="1">
      <c r="C290" s="150"/>
      <c r="D290" s="35"/>
      <c r="E290" s="20" t="s">
        <v>61</v>
      </c>
      <c r="F290" s="20" t="s">
        <v>67</v>
      </c>
      <c r="G290" s="20" t="s">
        <v>128</v>
      </c>
      <c r="H290" s="20" t="s">
        <v>73</v>
      </c>
      <c r="J290" s="35"/>
      <c r="K290" s="20" t="s">
        <v>61</v>
      </c>
      <c r="L290" s="20" t="s">
        <v>67</v>
      </c>
      <c r="M290" s="20" t="s">
        <v>128</v>
      </c>
      <c r="N290" s="20" t="s">
        <v>73</v>
      </c>
      <c r="O290" s="36" t="s">
        <v>104</v>
      </c>
      <c r="P290" s="8"/>
      <c r="Q290" s="20" t="s">
        <v>104</v>
      </c>
      <c r="R290" s="21">
        <f>+O291</f>
        <v>0.18391191499475304</v>
      </c>
      <c r="S290" s="21">
        <f>+O292</f>
        <v>0.37380331026874447</v>
      </c>
      <c r="T290" s="21">
        <f>+O293</f>
        <v>0.23802974796390003</v>
      </c>
      <c r="U290" s="52">
        <f>+O294</f>
        <v>0.20425502677260243</v>
      </c>
      <c r="V290" s="15"/>
      <c r="W290" s="15"/>
      <c r="X290" s="8"/>
      <c r="Y290" s="8"/>
      <c r="Z290" s="8"/>
      <c r="AA290" s="151"/>
    </row>
    <row r="291" spans="3:27" ht="15.75" customHeight="1">
      <c r="C291" s="150"/>
      <c r="D291" s="16" t="s">
        <v>61</v>
      </c>
      <c r="E291" s="17">
        <f t="shared" ref="E291:H294" si="1">+GEOMEAN(E123,E151,E179,E207,E235,E263)</f>
        <v>1</v>
      </c>
      <c r="F291" s="17">
        <f t="shared" si="1"/>
        <v>0.48695607635528848</v>
      </c>
      <c r="G291" s="17">
        <f t="shared" si="1"/>
        <v>1</v>
      </c>
      <c r="H291" s="17">
        <f t="shared" si="1"/>
        <v>0.69336127435063466</v>
      </c>
      <c r="J291" s="20" t="s">
        <v>61</v>
      </c>
      <c r="K291" s="21">
        <f>+E291/SUM(E291:E294)</f>
        <v>0.18195637347788282</v>
      </c>
      <c r="L291" s="21">
        <f>+F291/SUM(F291:F294)</f>
        <v>0.18431944080156087</v>
      </c>
      <c r="M291" s="21">
        <f>+G291/SUM(G291:G294)</f>
        <v>0.23267858178041798</v>
      </c>
      <c r="N291" s="21">
        <f>+H291/SUM(H291:H294)</f>
        <v>0.13669326391915051</v>
      </c>
      <c r="O291" s="25">
        <f>+AVERAGE(K291:N291)</f>
        <v>0.18391191499475304</v>
      </c>
      <c r="P291" s="8"/>
      <c r="Q291" s="35"/>
      <c r="R291" s="20" t="s">
        <v>61</v>
      </c>
      <c r="S291" s="20" t="s">
        <v>67</v>
      </c>
      <c r="T291" s="20" t="s">
        <v>128</v>
      </c>
      <c r="U291" s="20" t="s">
        <v>73</v>
      </c>
      <c r="V291" s="20" t="s">
        <v>105</v>
      </c>
      <c r="W291" s="20" t="s">
        <v>106</v>
      </c>
      <c r="X291" s="8"/>
      <c r="Y291" s="33" t="s">
        <v>123</v>
      </c>
      <c r="Z291" s="34">
        <f>+AVERAGE(W292:W295)</f>
        <v>4.0571527030426626</v>
      </c>
      <c r="AA291" s="151"/>
    </row>
    <row r="292" spans="3:27" ht="15.75" customHeight="1">
      <c r="C292" s="150"/>
      <c r="D292" s="16" t="s">
        <v>67</v>
      </c>
      <c r="E292" s="17">
        <f t="shared" si="1"/>
        <v>2.0535733068261153</v>
      </c>
      <c r="F292" s="17">
        <f t="shared" si="1"/>
        <v>1</v>
      </c>
      <c r="G292" s="17">
        <f t="shared" si="1"/>
        <v>1.661000956165023</v>
      </c>
      <c r="H292" s="17">
        <f t="shared" si="1"/>
        <v>1.8086089434116457</v>
      </c>
      <c r="J292" s="16" t="s">
        <v>67</v>
      </c>
      <c r="K292" s="17">
        <f>+E292/SUM(E291:E294)</f>
        <v>0.37366075158106349</v>
      </c>
      <c r="L292" s="17">
        <f>+F292/SUM(F291:F294)</f>
        <v>0.37851348355920178</v>
      </c>
      <c r="M292" s="17">
        <f>+G292/SUM(G291:G294)</f>
        <v>0.38647934681639573</v>
      </c>
      <c r="N292" s="17">
        <f>+H292/SUM(H291:H294)</f>
        <v>0.35655965911831683</v>
      </c>
      <c r="O292" s="24">
        <f>+AVERAGE(K292:N292)</f>
        <v>0.37380331026874447</v>
      </c>
      <c r="P292" s="8"/>
      <c r="Q292" s="20" t="s">
        <v>61</v>
      </c>
      <c r="R292" s="21">
        <f>+R290*E291</f>
        <v>0.18391191499475304</v>
      </c>
      <c r="S292" s="21">
        <f>+S290*F291</f>
        <v>0.18202579329708632</v>
      </c>
      <c r="T292" s="21">
        <f>+T290*G291</f>
        <v>0.23802974796390003</v>
      </c>
      <c r="U292" s="21">
        <f>+U290*H291</f>
        <v>0.14162252565557462</v>
      </c>
      <c r="V292" s="21">
        <f>+SUM(R292:U292)</f>
        <v>0.74558998191131398</v>
      </c>
      <c r="W292" s="30">
        <f>+V292/O291</f>
        <v>4.0540602381992787</v>
      </c>
      <c r="X292" s="8"/>
      <c r="Y292" s="33" t="s">
        <v>96</v>
      </c>
      <c r="Z292" s="34">
        <v>4</v>
      </c>
      <c r="AA292" s="151"/>
    </row>
    <row r="293" spans="3:27" ht="15.75" customHeight="1">
      <c r="C293" s="150"/>
      <c r="D293" s="16" t="s">
        <v>128</v>
      </c>
      <c r="E293" s="17">
        <f t="shared" si="1"/>
        <v>1</v>
      </c>
      <c r="F293" s="17">
        <f t="shared" si="1"/>
        <v>0.60204661309096108</v>
      </c>
      <c r="G293" s="17">
        <f t="shared" si="1"/>
        <v>1</v>
      </c>
      <c r="H293" s="17">
        <f t="shared" si="1"/>
        <v>1.5704178024750197</v>
      </c>
      <c r="J293" s="16" t="s">
        <v>128</v>
      </c>
      <c r="K293" s="17">
        <f>+E293/SUM(E291:E294)</f>
        <v>0.18195637347788282</v>
      </c>
      <c r="L293" s="17">
        <f>+F293/SUM(F291:F294)</f>
        <v>0.22788276078607861</v>
      </c>
      <c r="M293" s="17">
        <f>+G293/SUM(G291:G294)</f>
        <v>0.23267858178041798</v>
      </c>
      <c r="N293" s="17">
        <f>+H293/SUM(H291:H294)</f>
        <v>0.30960127581122066</v>
      </c>
      <c r="O293" s="24">
        <f>+AVERAGE(K293:N293)</f>
        <v>0.23802974796390003</v>
      </c>
      <c r="P293" s="8"/>
      <c r="Q293" s="16" t="s">
        <v>67</v>
      </c>
      <c r="R293" s="17">
        <f>+R290*E292</f>
        <v>0.37767659944049842</v>
      </c>
      <c r="S293" s="17">
        <f>+S290*F292</f>
        <v>0.37380331026874447</v>
      </c>
      <c r="T293" s="17">
        <f>+T290*G292</f>
        <v>0.39536763896375737</v>
      </c>
      <c r="U293" s="17">
        <f>+U290*H292</f>
        <v>0.36941746815771387</v>
      </c>
      <c r="V293" s="17">
        <f>+SUM(R293:U293)</f>
        <v>1.5162650168307139</v>
      </c>
      <c r="W293" s="28">
        <f>+V293/O292</f>
        <v>4.0563177884663482</v>
      </c>
      <c r="X293" s="8"/>
      <c r="Y293" s="33" t="s">
        <v>107</v>
      </c>
      <c r="Z293" s="34">
        <f>+(Z291-Z292)/(Z292-1)</f>
        <v>1.9050901014220873E-2</v>
      </c>
      <c r="AA293" s="151"/>
    </row>
    <row r="294" spans="3:27" ht="15.75" customHeight="1">
      <c r="C294" s="150"/>
      <c r="D294" s="22" t="s">
        <v>73</v>
      </c>
      <c r="E294" s="23">
        <f t="shared" si="1"/>
        <v>1.4422495703074083</v>
      </c>
      <c r="F294" s="23">
        <f t="shared" si="1"/>
        <v>0.55291112191099923</v>
      </c>
      <c r="G294" s="23">
        <f t="shared" si="1"/>
        <v>0.63677321947317056</v>
      </c>
      <c r="H294" s="23">
        <f t="shared" si="1"/>
        <v>1</v>
      </c>
      <c r="J294" s="22" t="s">
        <v>73</v>
      </c>
      <c r="K294" s="23">
        <f>+E294/SUM(E291:E294)</f>
        <v>0.26242650146317081</v>
      </c>
      <c r="L294" s="23">
        <f>+F294/SUM(F291:F294)</f>
        <v>0.20928431485315879</v>
      </c>
      <c r="M294" s="23">
        <f>+G294/SUM(G291:G294)</f>
        <v>0.14816348962276815</v>
      </c>
      <c r="N294" s="23">
        <f>+H294/SUM(H291:H294)</f>
        <v>0.19714580115131203</v>
      </c>
      <c r="O294" s="26">
        <f>+AVERAGE(K294:N294)</f>
        <v>0.20425502677260243</v>
      </c>
      <c r="P294" s="8"/>
      <c r="Q294" s="16" t="s">
        <v>128</v>
      </c>
      <c r="R294" s="17">
        <f>+R290*E293</f>
        <v>0.18391191499475304</v>
      </c>
      <c r="S294" s="17">
        <f>+S290*F293</f>
        <v>0.22504701690948728</v>
      </c>
      <c r="T294" s="17">
        <f>+T290*G293</f>
        <v>0.23802974796390003</v>
      </c>
      <c r="U294" s="17">
        <f>+U290*H293</f>
        <v>0.32076573028870664</v>
      </c>
      <c r="V294" s="17">
        <f>+SUM(R294:U294)</f>
        <v>0.96775441015684693</v>
      </c>
      <c r="W294" s="28">
        <f>+V294/O293</f>
        <v>4.0656868245880684</v>
      </c>
      <c r="X294" s="8"/>
      <c r="Y294" s="33" t="s">
        <v>108</v>
      </c>
      <c r="Z294" s="34">
        <v>0.9</v>
      </c>
      <c r="AA294" s="151"/>
    </row>
    <row r="295" spans="3:27" ht="15.75" customHeight="1">
      <c r="C295" s="150"/>
      <c r="J295" s="8"/>
      <c r="K295" s="8"/>
      <c r="L295" s="8"/>
      <c r="M295" s="8"/>
      <c r="N295" s="8"/>
      <c r="O295" s="8"/>
      <c r="P295" s="8"/>
      <c r="Q295" s="22" t="s">
        <v>73</v>
      </c>
      <c r="R295" s="23">
        <f>+R290*E294</f>
        <v>0.26524688037559518</v>
      </c>
      <c r="S295" s="23">
        <f>+S290*F294</f>
        <v>0.20668000765473685</v>
      </c>
      <c r="T295" s="23">
        <f>+T290*G294</f>
        <v>0.15157096894135999</v>
      </c>
      <c r="U295" s="23">
        <f>+U290*H294</f>
        <v>0.20425502677260243</v>
      </c>
      <c r="V295" s="23">
        <f>+SUM(R295:U295)</f>
        <v>0.82775288374429445</v>
      </c>
      <c r="W295" s="32">
        <f>+V295/O294</f>
        <v>4.0525459609169552</v>
      </c>
      <c r="X295" s="8"/>
      <c r="Y295" s="33" t="s">
        <v>109</v>
      </c>
      <c r="Z295" s="34">
        <f>Z293/Z294</f>
        <v>2.1167667793578749E-2</v>
      </c>
      <c r="AA295" s="151"/>
    </row>
    <row r="296" spans="3:27" ht="15.75" customHeight="1">
      <c r="C296" s="150"/>
      <c r="AA296" s="151"/>
    </row>
    <row r="297" spans="3:27" ht="15.75" customHeight="1" thickBot="1">
      <c r="C297" s="152"/>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4"/>
    </row>
  </sheetData>
  <conditionalFormatting sqref="Z27">
    <cfRule type="cellIs" dxfId="71" priority="69" operator="greaterThan">
      <formula>0.1</formula>
    </cfRule>
    <cfRule type="cellIs" dxfId="70" priority="70" operator="lessThan">
      <formula>0.1</formula>
    </cfRule>
  </conditionalFormatting>
  <conditionalFormatting sqref="Z35">
    <cfRule type="cellIs" dxfId="69" priority="58" operator="lessThan">
      <formula>0.1</formula>
    </cfRule>
    <cfRule type="cellIs" dxfId="68" priority="57" operator="greaterThan">
      <formula>0.1</formula>
    </cfRule>
  </conditionalFormatting>
  <conditionalFormatting sqref="Z43">
    <cfRule type="cellIs" dxfId="67" priority="56" operator="lessThan">
      <formula>0.1</formula>
    </cfRule>
    <cfRule type="cellIs" dxfId="66" priority="55" operator="greaterThan">
      <formula>0.1</formula>
    </cfRule>
  </conditionalFormatting>
  <conditionalFormatting sqref="Z55">
    <cfRule type="cellIs" dxfId="65" priority="48" operator="lessThan">
      <formula>0.1</formula>
    </cfRule>
    <cfRule type="cellIs" dxfId="64" priority="47" operator="greaterThan">
      <formula>0.1</formula>
    </cfRule>
  </conditionalFormatting>
  <conditionalFormatting sqref="Z63">
    <cfRule type="cellIs" dxfId="63" priority="46" operator="lessThan">
      <formula>0.1</formula>
    </cfRule>
    <cfRule type="cellIs" dxfId="62" priority="45" operator="greaterThan">
      <formula>0.1</formula>
    </cfRule>
  </conditionalFormatting>
  <conditionalFormatting sqref="Z71">
    <cfRule type="cellIs" dxfId="61" priority="44" operator="lessThan">
      <formula>0.1</formula>
    </cfRule>
    <cfRule type="cellIs" dxfId="60" priority="43" operator="greaterThan">
      <formula>0.1</formula>
    </cfRule>
  </conditionalFormatting>
  <conditionalFormatting sqref="Z83">
    <cfRule type="cellIs" dxfId="59" priority="29" operator="greaterThan">
      <formula>0.1</formula>
    </cfRule>
    <cfRule type="cellIs" dxfId="58" priority="30" operator="lessThan">
      <formula>0.1</formula>
    </cfRule>
  </conditionalFormatting>
  <conditionalFormatting sqref="Z91">
    <cfRule type="cellIs" dxfId="57" priority="27" operator="greaterThan">
      <formula>0.1</formula>
    </cfRule>
    <cfRule type="cellIs" dxfId="56" priority="28" operator="lessThan">
      <formula>0.1</formula>
    </cfRule>
  </conditionalFormatting>
  <conditionalFormatting sqref="Z99">
    <cfRule type="cellIs" dxfId="55" priority="25" operator="greaterThan">
      <formula>0.1</formula>
    </cfRule>
    <cfRule type="cellIs" dxfId="54" priority="26" operator="lessThan">
      <formula>0.1</formula>
    </cfRule>
  </conditionalFormatting>
  <conditionalFormatting sqref="Z111">
    <cfRule type="cellIs" dxfId="53" priority="23" operator="greaterThan">
      <formula>0.1</formula>
    </cfRule>
    <cfRule type="cellIs" dxfId="52" priority="24" operator="lessThan">
      <formula>0.1</formula>
    </cfRule>
  </conditionalFormatting>
  <conditionalFormatting sqref="Z119">
    <cfRule type="cellIs" dxfId="51" priority="21" operator="greaterThan">
      <formula>0.1</formula>
    </cfRule>
    <cfRule type="cellIs" dxfId="50" priority="22" operator="lessThan">
      <formula>0.1</formula>
    </cfRule>
  </conditionalFormatting>
  <conditionalFormatting sqref="Z127">
    <cfRule type="cellIs" dxfId="49" priority="19" operator="greaterThan">
      <formula>0.1</formula>
    </cfRule>
    <cfRule type="cellIs" dxfId="48" priority="20" operator="lessThan">
      <formula>0.1</formula>
    </cfRule>
  </conditionalFormatting>
  <conditionalFormatting sqref="Z139">
    <cfRule type="cellIs" dxfId="47" priority="36" operator="lessThan">
      <formula>0.1</formula>
    </cfRule>
    <cfRule type="cellIs" dxfId="46" priority="35" operator="greaterThan">
      <formula>0.1</formula>
    </cfRule>
  </conditionalFormatting>
  <conditionalFormatting sqref="Z147">
    <cfRule type="cellIs" dxfId="45" priority="34" operator="lessThan">
      <formula>0.1</formula>
    </cfRule>
    <cfRule type="cellIs" dxfId="44" priority="33" operator="greaterThan">
      <formula>0.1</formula>
    </cfRule>
  </conditionalFormatting>
  <conditionalFormatting sqref="Z155">
    <cfRule type="cellIs" dxfId="43" priority="31" operator="greaterThan">
      <formula>0.1</formula>
    </cfRule>
    <cfRule type="cellIs" dxfId="42" priority="32" operator="lessThan">
      <formula>0.1</formula>
    </cfRule>
  </conditionalFormatting>
  <conditionalFormatting sqref="Z167">
    <cfRule type="cellIs" dxfId="41" priority="41" operator="greaterThan">
      <formula>0.1</formula>
    </cfRule>
    <cfRule type="cellIs" dxfId="40" priority="42" operator="lessThan">
      <formula>0.1</formula>
    </cfRule>
  </conditionalFormatting>
  <conditionalFormatting sqref="Z175">
    <cfRule type="cellIs" dxfId="39" priority="39" operator="greaterThan">
      <formula>0.1</formula>
    </cfRule>
    <cfRule type="cellIs" dxfId="38" priority="40" operator="lessThan">
      <formula>0.1</formula>
    </cfRule>
  </conditionalFormatting>
  <conditionalFormatting sqref="Z183">
    <cfRule type="cellIs" dxfId="37" priority="37" operator="greaterThan">
      <formula>0.1</formula>
    </cfRule>
    <cfRule type="cellIs" dxfId="36" priority="38" operator="lessThan">
      <formula>0.1</formula>
    </cfRule>
  </conditionalFormatting>
  <conditionalFormatting sqref="Z195">
    <cfRule type="cellIs" dxfId="35" priority="54" operator="lessThan">
      <formula>0.1</formula>
    </cfRule>
    <cfRule type="cellIs" dxfId="34" priority="53" operator="greaterThan">
      <formula>0.1</formula>
    </cfRule>
  </conditionalFormatting>
  <conditionalFormatting sqref="Z203">
    <cfRule type="cellIs" dxfId="33" priority="51" operator="greaterThan">
      <formula>0.1</formula>
    </cfRule>
    <cfRule type="cellIs" dxfId="32" priority="52" operator="lessThan">
      <formula>0.1</formula>
    </cfRule>
  </conditionalFormatting>
  <conditionalFormatting sqref="Z211">
    <cfRule type="cellIs" dxfId="31" priority="49" operator="greaterThan">
      <formula>0.1</formula>
    </cfRule>
    <cfRule type="cellIs" dxfId="30" priority="50" operator="lessThan">
      <formula>0.1</formula>
    </cfRule>
  </conditionalFormatting>
  <conditionalFormatting sqref="Z223">
    <cfRule type="cellIs" dxfId="29" priority="18" operator="lessThan">
      <formula>0.1</formula>
    </cfRule>
    <cfRule type="cellIs" dxfId="28" priority="17" operator="greaterThan">
      <formula>0.1</formula>
    </cfRule>
  </conditionalFormatting>
  <conditionalFormatting sqref="Z231">
    <cfRule type="cellIs" dxfId="27" priority="15" operator="greaterThan">
      <formula>0.1</formula>
    </cfRule>
    <cfRule type="cellIs" dxfId="26" priority="16" operator="lessThan">
      <formula>0.1</formula>
    </cfRule>
  </conditionalFormatting>
  <conditionalFormatting sqref="Z239">
    <cfRule type="cellIs" dxfId="25" priority="14" operator="lessThan">
      <formula>0.1</formula>
    </cfRule>
    <cfRule type="cellIs" dxfId="24" priority="13" operator="greaterThan">
      <formula>0.1</formula>
    </cfRule>
  </conditionalFormatting>
  <conditionalFormatting sqref="Z251">
    <cfRule type="cellIs" dxfId="23" priority="6" operator="lessThan">
      <formula>0.1</formula>
    </cfRule>
    <cfRule type="cellIs" dxfId="22" priority="5" operator="greaterThan">
      <formula>0.1</formula>
    </cfRule>
  </conditionalFormatting>
  <conditionalFormatting sqref="Z259">
    <cfRule type="cellIs" dxfId="21" priority="4" operator="lessThan">
      <formula>0.1</formula>
    </cfRule>
    <cfRule type="cellIs" dxfId="20" priority="3" operator="greaterThan">
      <formula>0.1</formula>
    </cfRule>
  </conditionalFormatting>
  <conditionalFormatting sqref="Z267">
    <cfRule type="cellIs" dxfId="19" priority="2" operator="lessThan">
      <formula>0.1</formula>
    </cfRule>
    <cfRule type="cellIs" dxfId="18" priority="1" operator="greaterThan">
      <formula>0.1</formula>
    </cfRule>
  </conditionalFormatting>
  <conditionalFormatting sqref="Z279">
    <cfRule type="cellIs" dxfId="17" priority="12" operator="lessThan">
      <formula>0.1</formula>
    </cfRule>
    <cfRule type="cellIs" dxfId="16" priority="11" operator="greaterThan">
      <formula>0.1</formula>
    </cfRule>
  </conditionalFormatting>
  <conditionalFormatting sqref="Z287">
    <cfRule type="cellIs" dxfId="15" priority="10" operator="lessThan">
      <formula>0.1</formula>
    </cfRule>
    <cfRule type="cellIs" dxfId="14" priority="9" operator="greaterThan">
      <formula>0.1</formula>
    </cfRule>
  </conditionalFormatting>
  <conditionalFormatting sqref="Z295">
    <cfRule type="cellIs" dxfId="13" priority="8" operator="lessThan">
      <formula>0.1</formula>
    </cfRule>
    <cfRule type="cellIs" dxfId="12" priority="7" operator="greaterThan">
      <formula>0.1</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536B9-B303-473B-81DF-06690233D96E}">
  <sheetPr>
    <tabColor theme="7" tint="0.79998168889431442"/>
  </sheetPr>
  <dimension ref="B2:Z40"/>
  <sheetViews>
    <sheetView showGridLines="0" zoomScale="50" zoomScaleNormal="50" workbookViewId="0">
      <selection activeCell="AB44" sqref="AB44"/>
    </sheetView>
  </sheetViews>
  <sheetFormatPr defaultColWidth="11.42578125" defaultRowHeight="12.75"/>
  <cols>
    <col min="2" max="2" width="5" customWidth="1"/>
    <col min="3" max="7" width="8.140625" customWidth="1"/>
    <col min="8" max="8" width="4.5703125" customWidth="1"/>
    <col min="9" max="14" width="8.140625" customWidth="1"/>
    <col min="15" max="15" width="5.28515625" customWidth="1"/>
    <col min="16" max="19" width="8.140625" customWidth="1"/>
    <col min="23" max="23" width="7" customWidth="1"/>
    <col min="24" max="24" width="7.28515625" customWidth="1"/>
    <col min="26" max="26" width="3" customWidth="1"/>
  </cols>
  <sheetData>
    <row r="2" spans="2:26" ht="13.5" thickBot="1"/>
    <row r="3" spans="2:26" ht="15">
      <c r="B3" s="53" t="s">
        <v>130</v>
      </c>
      <c r="C3" s="68"/>
      <c r="D3" s="68"/>
      <c r="E3" s="68"/>
      <c r="F3" s="68"/>
      <c r="G3" s="68"/>
      <c r="H3" s="68"/>
      <c r="I3" s="68"/>
      <c r="J3" s="68"/>
      <c r="K3" s="68"/>
      <c r="L3" s="68"/>
      <c r="M3" s="68"/>
      <c r="N3" s="68"/>
      <c r="O3" s="68"/>
      <c r="P3" s="68"/>
      <c r="Q3" s="68"/>
      <c r="R3" s="68"/>
      <c r="S3" s="68"/>
      <c r="T3" s="68"/>
      <c r="U3" s="68"/>
      <c r="V3" s="68"/>
      <c r="W3" s="68"/>
      <c r="X3" s="68"/>
      <c r="Y3" s="68"/>
      <c r="Z3" s="69"/>
    </row>
    <row r="4" spans="2:26">
      <c r="B4" s="63"/>
      <c r="Z4" s="64"/>
    </row>
    <row r="5" spans="2:26" ht="15">
      <c r="B5" s="63"/>
      <c r="C5" s="46" t="s">
        <v>124</v>
      </c>
      <c r="D5" s="46"/>
      <c r="E5" s="46"/>
      <c r="I5" s="11" t="s">
        <v>103</v>
      </c>
      <c r="J5" s="14"/>
      <c r="K5" s="8"/>
      <c r="L5" s="14"/>
      <c r="M5" s="14"/>
      <c r="N5" s="8"/>
      <c r="O5" s="8"/>
      <c r="P5" s="8"/>
      <c r="Q5" s="8"/>
      <c r="R5" s="8"/>
      <c r="S5" s="8"/>
      <c r="T5" s="8"/>
      <c r="U5" s="8"/>
      <c r="V5" s="8"/>
      <c r="W5" s="8"/>
      <c r="X5" s="8"/>
      <c r="Y5" s="8"/>
      <c r="Z5" s="64"/>
    </row>
    <row r="6" spans="2:26">
      <c r="B6" s="63"/>
      <c r="C6" s="35"/>
      <c r="D6" s="20" t="s">
        <v>57</v>
      </c>
      <c r="E6" s="20" t="s">
        <v>63</v>
      </c>
      <c r="I6" s="35"/>
      <c r="J6" s="20" t="s">
        <v>51</v>
      </c>
      <c r="K6" s="20" t="s">
        <v>53</v>
      </c>
      <c r="L6" s="36" t="s">
        <v>104</v>
      </c>
      <c r="M6" s="45"/>
      <c r="N6" s="45"/>
      <c r="O6" s="8"/>
      <c r="P6" s="20" t="s">
        <v>104</v>
      </c>
      <c r="Q6" s="21">
        <f>+L7</f>
        <v>0.49527811182678017</v>
      </c>
      <c r="R6" s="21">
        <f>+L8</f>
        <v>0.50472188817321983</v>
      </c>
      <c r="S6" s="15"/>
      <c r="T6" s="15"/>
      <c r="U6" s="8"/>
      <c r="V6" s="8"/>
      <c r="W6" s="8"/>
      <c r="X6" s="8"/>
      <c r="Y6" s="8"/>
      <c r="Z6" s="64"/>
    </row>
    <row r="7" spans="2:26" ht="25.5">
      <c r="B7" s="63"/>
      <c r="C7" s="20" t="s">
        <v>57</v>
      </c>
      <c r="D7" s="21">
        <f>+GEOMEAN('1.3 SBCR_CONSISTENCIA'!E107,'1.3 SBCR_CONSISTENCIA'!E135,'1.3 SBCR_CONSISTENCIA'!E163,'1.3 SBCR_CONSISTENCIA'!E191,'1.3 SBCR_CONSISTENCIA'!E219,'1.3 SBCR_CONSISTENCIA'!E247)</f>
        <v>1</v>
      </c>
      <c r="E7" s="21">
        <f>+GEOMEAN('1.3 SBCR_CONSISTENCIA'!F107,'1.3 SBCR_CONSISTENCIA'!F135,'1.3 SBCR_CONSISTENCIA'!F163,'1.3 SBCR_CONSISTENCIA'!F191,'1.3 SBCR_CONSISTENCIA'!F219,'1.3 SBCR_CONSISTENCIA'!F247)</f>
        <v>0.98128914840483661</v>
      </c>
      <c r="I7" s="20" t="s">
        <v>57</v>
      </c>
      <c r="J7" s="21">
        <f>+D7/SUM(D7:D8)</f>
        <v>0.49527811182678017</v>
      </c>
      <c r="K7" s="21">
        <f>+E7/SUM(E7:E8)</f>
        <v>0.49527811182678011</v>
      </c>
      <c r="L7" s="125">
        <f>+AVERAGE(J7:K7)</f>
        <v>0.49527811182678017</v>
      </c>
      <c r="M7" s="24"/>
      <c r="N7" s="24"/>
      <c r="O7" s="8"/>
      <c r="P7" s="18"/>
      <c r="Q7" s="19" t="s">
        <v>51</v>
      </c>
      <c r="R7" s="19" t="s">
        <v>53</v>
      </c>
      <c r="S7" s="19" t="s">
        <v>105</v>
      </c>
      <c r="T7" s="19" t="s">
        <v>106</v>
      </c>
      <c r="U7" s="8"/>
      <c r="V7" s="8"/>
      <c r="W7" s="8"/>
      <c r="X7" s="33" t="s">
        <v>123</v>
      </c>
      <c r="Y7" s="34">
        <f>+AVERAGE(T8:T10)</f>
        <v>2</v>
      </c>
      <c r="Z7" s="64"/>
    </row>
    <row r="8" spans="2:26" ht="23.25" customHeight="1">
      <c r="B8" s="63"/>
      <c r="C8" s="22" t="s">
        <v>63</v>
      </c>
      <c r="D8" s="23">
        <f>+GEOMEAN('1.3 SBCR_CONSISTENCIA'!E108,'1.3 SBCR_CONSISTENCIA'!E136,'1.3 SBCR_CONSISTENCIA'!E164,'1.3 SBCR_CONSISTENCIA'!E192,'1.3 SBCR_CONSISTENCIA'!E220,'1.3 SBCR_CONSISTENCIA'!E248)</f>
        <v>1.0190676230605213</v>
      </c>
      <c r="E8" s="23">
        <f>+GEOMEAN('1.3 SBCR_CONSISTENCIA'!F108,'1.3 SBCR_CONSISTENCIA'!F136,'1.3 SBCR_CONSISTENCIA'!F164,'1.3 SBCR_CONSISTENCIA'!F192,'1.3 SBCR_CONSISTENCIA'!F220,'1.3 SBCR_CONSISTENCIA'!F248)</f>
        <v>1</v>
      </c>
      <c r="I8" s="22" t="s">
        <v>63</v>
      </c>
      <c r="J8" s="23">
        <f>+D8/SUM(D7:D8)</f>
        <v>0.50472188817321995</v>
      </c>
      <c r="K8" s="23">
        <f>+E8/SUM(E7:E8)</f>
        <v>0.50472188817321983</v>
      </c>
      <c r="L8" s="126">
        <f>+AVERAGE(J8:K8)</f>
        <v>0.50472188817321983</v>
      </c>
      <c r="M8" s="24"/>
      <c r="N8" s="24"/>
      <c r="O8" s="8"/>
      <c r="P8" s="20" t="s">
        <v>51</v>
      </c>
      <c r="Q8" s="21">
        <f>+Q6*D7</f>
        <v>0.49527811182678017</v>
      </c>
      <c r="R8" s="21">
        <f>+R6*E7</f>
        <v>0.49527811182678005</v>
      </c>
      <c r="S8" s="29">
        <f>+SUM(Q8:R8)</f>
        <v>0.99055622365356022</v>
      </c>
      <c r="T8" s="30">
        <f>+S8/L7</f>
        <v>1.9999999999999998</v>
      </c>
      <c r="U8" s="8"/>
      <c r="V8" s="8"/>
      <c r="W8" s="8"/>
      <c r="X8" s="33" t="s">
        <v>96</v>
      </c>
      <c r="Y8" s="34">
        <f>+COUNTA(Q7:R7)</f>
        <v>2</v>
      </c>
      <c r="Z8" s="64"/>
    </row>
    <row r="9" spans="2:26">
      <c r="B9" s="63"/>
      <c r="C9" s="10"/>
      <c r="D9" s="10"/>
      <c r="E9" s="10"/>
      <c r="F9" s="10"/>
      <c r="I9" s="16"/>
      <c r="J9" s="17"/>
      <c r="K9" s="17"/>
      <c r="L9" s="24"/>
      <c r="M9" s="24"/>
      <c r="N9" s="24"/>
      <c r="O9" s="8"/>
      <c r="P9" s="42" t="s">
        <v>53</v>
      </c>
      <c r="Q9" s="40">
        <f>+Q6*D8</f>
        <v>0.50472188817321995</v>
      </c>
      <c r="R9" s="40">
        <f>+R6*E8</f>
        <v>0.50472188817321983</v>
      </c>
      <c r="S9" s="43">
        <f>+SUM(Q9:R9)</f>
        <v>1.0094437763464397</v>
      </c>
      <c r="T9" s="44">
        <f>+S9/L8</f>
        <v>2</v>
      </c>
      <c r="U9" s="8"/>
      <c r="V9" s="8"/>
      <c r="W9" s="8"/>
      <c r="X9" s="33" t="s">
        <v>107</v>
      </c>
      <c r="Y9" s="34">
        <f>+(Y7-Y8)/(Y8-1)</f>
        <v>0</v>
      </c>
      <c r="Z9" s="64"/>
    </row>
    <row r="10" spans="2:26">
      <c r="B10" s="63"/>
      <c r="I10" s="10"/>
      <c r="J10" s="10"/>
      <c r="K10" s="10"/>
      <c r="L10" s="8"/>
      <c r="M10" s="8"/>
      <c r="N10" s="8"/>
      <c r="O10" s="8"/>
      <c r="P10" s="16"/>
      <c r="Q10" s="17"/>
      <c r="R10" s="17"/>
      <c r="S10" s="27"/>
      <c r="T10" s="28"/>
      <c r="U10" s="8"/>
      <c r="V10" s="8"/>
      <c r="W10" s="8"/>
      <c r="X10" s="33" t="s">
        <v>108</v>
      </c>
      <c r="Y10" s="34">
        <v>0.57999999999999996</v>
      </c>
      <c r="Z10" s="64"/>
    </row>
    <row r="11" spans="2:26">
      <c r="B11" s="63"/>
      <c r="I11" s="8"/>
      <c r="J11" s="8"/>
      <c r="K11" s="8"/>
      <c r="L11" s="8"/>
      <c r="M11" s="8"/>
      <c r="N11" s="8"/>
      <c r="O11" s="8"/>
      <c r="P11" s="16"/>
      <c r="Q11" s="17"/>
      <c r="R11" s="17"/>
      <c r="S11" s="27"/>
      <c r="T11" s="28"/>
      <c r="U11" s="8"/>
      <c r="V11" s="8"/>
      <c r="W11" s="8"/>
      <c r="X11" s="33" t="s">
        <v>109</v>
      </c>
      <c r="Y11" s="34">
        <f>Y9/Y10</f>
        <v>0</v>
      </c>
      <c r="Z11" s="64"/>
    </row>
    <row r="12" spans="2:26" ht="15">
      <c r="B12" s="63"/>
      <c r="I12" s="10"/>
      <c r="K12" s="12"/>
      <c r="L12" s="13"/>
      <c r="M12" s="13"/>
      <c r="N12" s="13"/>
      <c r="O12" s="12"/>
      <c r="P12" s="12"/>
      <c r="Q12" s="8"/>
      <c r="R12" s="8"/>
      <c r="S12" s="8"/>
      <c r="T12" s="8"/>
      <c r="U12" s="8"/>
      <c r="V12" s="8"/>
      <c r="W12" s="8"/>
      <c r="X12" s="8"/>
      <c r="Y12" s="8"/>
      <c r="Z12" s="64"/>
    </row>
    <row r="13" spans="2:26" ht="15">
      <c r="B13" s="63"/>
      <c r="C13" s="3" t="s">
        <v>125</v>
      </c>
      <c r="D13" s="14"/>
      <c r="E13" s="8"/>
      <c r="F13" s="14"/>
      <c r="I13" s="11" t="s">
        <v>103</v>
      </c>
      <c r="J13" s="14"/>
      <c r="K13" s="8"/>
      <c r="L13" s="14"/>
      <c r="M13" s="8"/>
      <c r="N13" s="8"/>
      <c r="O13" s="8"/>
      <c r="P13" t="s">
        <v>126</v>
      </c>
      <c r="Q13" s="8"/>
      <c r="R13" s="8"/>
      <c r="S13" s="8"/>
      <c r="T13" s="8"/>
      <c r="U13" s="8"/>
      <c r="V13" s="8"/>
      <c r="W13" s="8"/>
      <c r="X13" s="8"/>
      <c r="Z13" s="64"/>
    </row>
    <row r="14" spans="2:26">
      <c r="B14" s="63"/>
      <c r="C14" s="35"/>
      <c r="D14" s="20" t="s">
        <v>59</v>
      </c>
      <c r="E14" s="20" t="s">
        <v>65</v>
      </c>
      <c r="F14" s="20" t="s">
        <v>69</v>
      </c>
      <c r="I14" s="35"/>
      <c r="J14" s="20" t="s">
        <v>51</v>
      </c>
      <c r="K14" s="20" t="s">
        <v>53</v>
      </c>
      <c r="L14" s="20" t="s">
        <v>55</v>
      </c>
      <c r="M14" s="36" t="s">
        <v>104</v>
      </c>
      <c r="N14" s="45"/>
      <c r="O14" s="8"/>
      <c r="P14" s="20" t="s">
        <v>104</v>
      </c>
      <c r="Q14" s="21">
        <f>+M15</f>
        <v>0.34332195788297865</v>
      </c>
      <c r="R14" s="21">
        <f>+M16</f>
        <v>0.44340808370044354</v>
      </c>
      <c r="S14" s="21">
        <f>+M17</f>
        <v>0.21326995841657778</v>
      </c>
      <c r="T14" s="15"/>
      <c r="U14" s="15"/>
      <c r="V14" s="15"/>
      <c r="W14" s="8"/>
      <c r="X14" s="8"/>
      <c r="Y14" s="8"/>
      <c r="Z14" s="64"/>
    </row>
    <row r="15" spans="2:26" ht="25.5">
      <c r="B15" s="63"/>
      <c r="C15" s="20" t="s">
        <v>59</v>
      </c>
      <c r="D15" s="21">
        <f>+GEOMEAN('1.3 SBCR_CONSISTENCIA'!E115,'1.3 SBCR_CONSISTENCIA'!E143,'1.3 SBCR_CONSISTENCIA'!E171,'1.3 SBCR_CONSISTENCIA'!E199,'1.3 SBCR_CONSISTENCIA'!E227,'1.3 SBCR_CONSISTENCIA'!E255)</f>
        <v>1</v>
      </c>
      <c r="E15" s="21">
        <f>+GEOMEAN('1.3 SBCR_CONSISTENCIA'!F115,'1.3 SBCR_CONSISTENCIA'!F143,'1.3 SBCR_CONSISTENCIA'!F171,'1.3 SBCR_CONSISTENCIA'!F199,'1.3 SBCR_CONSISTENCIA'!F227,'1.3 SBCR_CONSISTENCIA'!F255)</f>
        <v>0.76472449133173004</v>
      </c>
      <c r="F15" s="21">
        <f>+GEOMEAN('1.3 SBCR_CONSISTENCIA'!G115,'1.3 SBCR_CONSISTENCIA'!G143,'1.3 SBCR_CONSISTENCIA'!G171,'1.3 SBCR_CONSISTENCIA'!G199,'1.3 SBCR_CONSISTENCIA'!G227,'1.3 SBCR_CONSISTENCIA'!G255)</f>
        <v>1.6299222137747946</v>
      </c>
      <c r="I15" s="20" t="s">
        <v>59</v>
      </c>
      <c r="J15" s="21">
        <f>+D15/SUM(D15:D17)</f>
        <v>0.3423266308284052</v>
      </c>
      <c r="K15" s="21">
        <f>+E15/SUM(E15:E17)</f>
        <v>0.33962265597966468</v>
      </c>
      <c r="L15" s="21">
        <f>+F15/SUM(F15:F17)</f>
        <v>0.348016586840866</v>
      </c>
      <c r="M15" s="125">
        <f>+AVERAGE(J15:L15)</f>
        <v>0.34332195788297865</v>
      </c>
      <c r="N15" s="24"/>
      <c r="O15" s="8"/>
      <c r="P15" s="35"/>
      <c r="Q15" s="20" t="s">
        <v>51</v>
      </c>
      <c r="R15" s="20" t="s">
        <v>53</v>
      </c>
      <c r="S15" s="20" t="s">
        <v>55</v>
      </c>
      <c r="T15" s="19" t="s">
        <v>105</v>
      </c>
      <c r="U15" s="19" t="s">
        <v>106</v>
      </c>
      <c r="V15" s="16"/>
      <c r="W15" s="8"/>
      <c r="X15" s="33" t="s">
        <v>123</v>
      </c>
      <c r="Y15" s="34">
        <f>+AVERAGE(U16:U18)</f>
        <v>3.0001538226169249</v>
      </c>
      <c r="Z15" s="64"/>
    </row>
    <row r="16" spans="2:26">
      <c r="B16" s="63"/>
      <c r="C16" s="16" t="s">
        <v>65</v>
      </c>
      <c r="D16" s="17">
        <f>+GEOMEAN('1.3 SBCR_CONSISTENCIA'!E116,'1.3 SBCR_CONSISTENCIA'!E144,'1.3 SBCR_CONSISTENCIA'!E172,'1.3 SBCR_CONSISTENCIA'!E200,'1.3 SBCR_CONSISTENCIA'!E228,'1.3 SBCR_CONSISTENCIA'!E256)</f>
        <v>1.3076604860118306</v>
      </c>
      <c r="E16" s="17">
        <f>+GEOMEAN('1.3 SBCR_CONSISTENCIA'!F116,'1.3 SBCR_CONSISTENCIA'!F144,'1.3 SBCR_CONSISTENCIA'!F172,'1.3 SBCR_CONSISTENCIA'!F200,'1.3 SBCR_CONSISTENCIA'!F228,'1.3 SBCR_CONSISTENCIA'!F256)</f>
        <v>1</v>
      </c>
      <c r="F16" s="17">
        <f>+GEOMEAN('1.3 SBCR_CONSISTENCIA'!G116,'1.3 SBCR_CONSISTENCIA'!G144,'1.3 SBCR_CONSISTENCIA'!G172,'1.3 SBCR_CONSISTENCIA'!G200,'1.3 SBCR_CONSISTENCIA'!G228,'1.3 SBCR_CONSISTENCIA'!G256)</f>
        <v>2.0535390791781549</v>
      </c>
      <c r="I16" s="16" t="s">
        <v>65</v>
      </c>
      <c r="J16" s="17">
        <f>+D16/SUM(D15:D17)</f>
        <v>0.44764700844386485</v>
      </c>
      <c r="K16" s="17">
        <f>+E16/SUM(E15:E17)</f>
        <v>0.44411112737899705</v>
      </c>
      <c r="L16" s="17">
        <f>+F16/SUM(F15:F17)</f>
        <v>0.4384661152784689</v>
      </c>
      <c r="M16" s="127">
        <f>+AVERAGE(J16:L16)</f>
        <v>0.44340808370044354</v>
      </c>
      <c r="N16" s="24"/>
      <c r="O16" s="8"/>
      <c r="P16" s="20" t="s">
        <v>51</v>
      </c>
      <c r="Q16" s="21">
        <f>+Q14*D15</f>
        <v>0.34332195788297865</v>
      </c>
      <c r="R16" s="21">
        <f>+R14*E15</f>
        <v>0.33908502126019885</v>
      </c>
      <c r="S16" s="21">
        <f>+S14*F15</f>
        <v>0.34761344275400685</v>
      </c>
      <c r="T16" s="29">
        <f>+SUM(Q16:S16)</f>
        <v>1.0300204218971842</v>
      </c>
      <c r="U16" s="30">
        <f>+T16/M15</f>
        <v>3.00015888365715</v>
      </c>
      <c r="V16" s="28"/>
      <c r="W16" s="8"/>
      <c r="X16" s="33" t="s">
        <v>96</v>
      </c>
      <c r="Y16" s="34">
        <f>+COUNTA(Q15:S15)</f>
        <v>3</v>
      </c>
      <c r="Z16" s="64"/>
    </row>
    <row r="17" spans="2:26">
      <c r="B17" s="63"/>
      <c r="C17" s="22" t="s">
        <v>69</v>
      </c>
      <c r="D17" s="23">
        <f>+GEOMEAN('1.3 SBCR_CONSISTENCIA'!E117,'1.3 SBCR_CONSISTENCIA'!E145,'1.3 SBCR_CONSISTENCIA'!E173,'1.3 SBCR_CONSISTENCIA'!E201,'1.3 SBCR_CONSISTENCIA'!E229,'1.3 SBCR_CONSISTENCIA'!E257)</f>
        <v>0.61352621097424309</v>
      </c>
      <c r="E17" s="23">
        <f>+GEOMEAN('1.3 SBCR_CONSISTENCIA'!F117,'1.3 SBCR_CONSISTENCIA'!F145,'1.3 SBCR_CONSISTENCIA'!F173,'1.3 SBCR_CONSISTENCIA'!F201,'1.3 SBCR_CONSISTENCIA'!F229,'1.3 SBCR_CONSISTENCIA'!F257)</f>
        <v>0.48696419276335812</v>
      </c>
      <c r="F17" s="23">
        <f>+GEOMEAN('1.3 SBCR_CONSISTENCIA'!G117,'1.3 SBCR_CONSISTENCIA'!G145,'1.3 SBCR_CONSISTENCIA'!G173,'1.3 SBCR_CONSISTENCIA'!G201,'1.3 SBCR_CONSISTENCIA'!G229,'1.3 SBCR_CONSISTENCIA'!G257)</f>
        <v>1</v>
      </c>
      <c r="I17" s="22" t="s">
        <v>69</v>
      </c>
      <c r="J17" s="23">
        <f>+D17/SUM(D15:D17)</f>
        <v>0.21002636072772995</v>
      </c>
      <c r="K17" s="23">
        <f>+E17/SUM(E15:E17)</f>
        <v>0.21626621664133822</v>
      </c>
      <c r="L17" s="23">
        <f>+F17/SUM(F15:F17)</f>
        <v>0.21351729788066515</v>
      </c>
      <c r="M17" s="126">
        <f>+AVERAGE(J17:L17)</f>
        <v>0.21326995841657778</v>
      </c>
      <c r="N17" s="24"/>
      <c r="O17" s="8"/>
      <c r="P17" s="16" t="s">
        <v>53</v>
      </c>
      <c r="Q17" s="17">
        <f>+Q14*D16</f>
        <v>0.4489485583037891</v>
      </c>
      <c r="R17" s="17">
        <f>+R14*E16</f>
        <v>0.44340808370044354</v>
      </c>
      <c r="S17" s="17">
        <f>+S14*F16</f>
        <v>0.43795819402314251</v>
      </c>
      <c r="T17" s="27">
        <f>+SUM(Q17:S17)</f>
        <v>1.3303148360273751</v>
      </c>
      <c r="U17" s="28">
        <f>+T17/M16</f>
        <v>3.0002042924551318</v>
      </c>
      <c r="V17" s="28"/>
      <c r="W17" s="8"/>
      <c r="X17" s="33" t="s">
        <v>107</v>
      </c>
      <c r="Y17" s="34">
        <f>+(Y15-Y16)/(Y16-1)</f>
        <v>7.6911308462435102E-5</v>
      </c>
      <c r="Z17" s="64"/>
    </row>
    <row r="18" spans="2:26">
      <c r="B18" s="63"/>
      <c r="D18" s="17"/>
      <c r="E18" s="17"/>
      <c r="F18" s="17"/>
      <c r="I18" s="10"/>
      <c r="J18" s="10"/>
      <c r="K18" s="10"/>
      <c r="L18" s="10"/>
      <c r="M18" s="8"/>
      <c r="N18" s="8"/>
      <c r="O18" s="8"/>
      <c r="P18" s="22" t="s">
        <v>55</v>
      </c>
      <c r="Q18" s="23">
        <f>+Q14*D17</f>
        <v>0.21063701996420256</v>
      </c>
      <c r="R18" s="23">
        <f>+R14*E17</f>
        <v>0.21592385954393403</v>
      </c>
      <c r="S18" s="23">
        <f>+S14*F17</f>
        <v>0.21326995841657778</v>
      </c>
      <c r="T18" s="31">
        <f>+SUM(Q18:S18)</f>
        <v>0.6398308379247144</v>
      </c>
      <c r="U18" s="32">
        <f>+T18/M17</f>
        <v>3.0000982917384929</v>
      </c>
      <c r="V18" s="28"/>
      <c r="W18" s="8"/>
      <c r="X18" s="33" t="s">
        <v>108</v>
      </c>
      <c r="Y18" s="34">
        <v>0.57999999999999996</v>
      </c>
      <c r="Z18" s="64"/>
    </row>
    <row r="19" spans="2:26">
      <c r="B19" s="63"/>
      <c r="I19" s="8"/>
      <c r="J19" s="8"/>
      <c r="K19" s="8"/>
      <c r="L19" s="8"/>
      <c r="M19" s="8"/>
      <c r="N19" s="8"/>
      <c r="O19" s="16"/>
      <c r="P19" s="17"/>
      <c r="Q19" s="17"/>
      <c r="R19" s="17"/>
      <c r="S19" s="27"/>
      <c r="T19" s="28"/>
      <c r="U19" s="8"/>
      <c r="V19" s="8"/>
      <c r="X19" s="33" t="s">
        <v>109</v>
      </c>
      <c r="Y19" s="34">
        <f>Y17/Y18</f>
        <v>1.3260570424557778E-4</v>
      </c>
      <c r="Z19" s="64"/>
    </row>
    <row r="20" spans="2:26">
      <c r="B20" s="63"/>
      <c r="Z20" s="64"/>
    </row>
    <row r="21" spans="2:26" ht="15">
      <c r="B21" s="63"/>
      <c r="C21" s="39" t="s">
        <v>127</v>
      </c>
      <c r="D21" s="14"/>
      <c r="E21" s="8"/>
      <c r="F21" s="14"/>
      <c r="G21" s="14"/>
      <c r="I21" s="11" t="s">
        <v>103</v>
      </c>
      <c r="J21" s="14"/>
      <c r="K21" s="8"/>
      <c r="L21" s="14"/>
      <c r="M21" s="8"/>
      <c r="N21" s="8"/>
      <c r="O21" s="8"/>
      <c r="P21" s="8"/>
      <c r="Q21" s="8"/>
      <c r="R21" s="8"/>
      <c r="S21" s="8"/>
      <c r="T21" s="8"/>
      <c r="U21" s="8"/>
      <c r="V21" s="8"/>
      <c r="W21" s="8"/>
      <c r="X21" s="8"/>
      <c r="Y21" s="8"/>
      <c r="Z21" s="64"/>
    </row>
    <row r="22" spans="2:26">
      <c r="B22" s="63"/>
      <c r="C22" s="38"/>
      <c r="D22" s="37" t="s">
        <v>61</v>
      </c>
      <c r="E22" s="37" t="s">
        <v>67</v>
      </c>
      <c r="F22" s="37" t="s">
        <v>128</v>
      </c>
      <c r="G22" s="37" t="s">
        <v>73</v>
      </c>
      <c r="I22" s="35"/>
      <c r="J22" s="20" t="s">
        <v>61</v>
      </c>
      <c r="K22" s="20" t="s">
        <v>67</v>
      </c>
      <c r="L22" s="20" t="s">
        <v>128</v>
      </c>
      <c r="M22" s="20" t="s">
        <v>73</v>
      </c>
      <c r="N22" s="36" t="s">
        <v>104</v>
      </c>
      <c r="O22" s="8"/>
      <c r="P22" s="20" t="s">
        <v>104</v>
      </c>
      <c r="Q22" s="21">
        <f>+N23</f>
        <v>0.18391191499475304</v>
      </c>
      <c r="R22" s="21">
        <f>+N24</f>
        <v>0.37380331026874447</v>
      </c>
      <c r="S22" s="21">
        <f>+N25</f>
        <v>0.23802974796390003</v>
      </c>
      <c r="T22" s="52">
        <f>+N26</f>
        <v>0.20425502677260243</v>
      </c>
      <c r="U22" s="15"/>
      <c r="V22" s="15"/>
      <c r="W22" s="8"/>
      <c r="X22" s="8"/>
      <c r="Y22" s="8"/>
      <c r="Z22" s="64"/>
    </row>
    <row r="23" spans="2:26" ht="25.5">
      <c r="B23" s="63"/>
      <c r="C23" s="192" t="s">
        <v>61</v>
      </c>
      <c r="D23" s="124">
        <f>+GEOMEAN('1.3 SBCR_CONSISTENCIA'!E123,'1.3 SBCR_CONSISTENCIA'!E151,'1.3 SBCR_CONSISTENCIA'!E179,'1.3 SBCR_CONSISTENCIA'!E207,'1.3 SBCR_CONSISTENCIA'!E235,'1.3 SBCR_CONSISTENCIA'!E263)</f>
        <v>1</v>
      </c>
      <c r="E23" s="124">
        <f>+GEOMEAN('1.3 SBCR_CONSISTENCIA'!F123,'1.3 SBCR_CONSISTENCIA'!F151,'1.3 SBCR_CONSISTENCIA'!F179,'1.3 SBCR_CONSISTENCIA'!F207,'1.3 SBCR_CONSISTENCIA'!F235,'1.3 SBCR_CONSISTENCIA'!F263)</f>
        <v>0.48695607635528848</v>
      </c>
      <c r="F23" s="124">
        <f>+GEOMEAN('1.3 SBCR_CONSISTENCIA'!G123,'1.3 SBCR_CONSISTENCIA'!G151,'1.3 SBCR_CONSISTENCIA'!G179,'1.3 SBCR_CONSISTENCIA'!G207,'1.3 SBCR_CONSISTENCIA'!G235,'1.3 SBCR_CONSISTENCIA'!G263)</f>
        <v>1</v>
      </c>
      <c r="G23" s="124">
        <f>+GEOMEAN('1.3 SBCR_CONSISTENCIA'!H123,'1.3 SBCR_CONSISTENCIA'!H151,'1.3 SBCR_CONSISTENCIA'!H179,'1.3 SBCR_CONSISTENCIA'!H207,'1.3 SBCR_CONSISTENCIA'!H235,'1.3 SBCR_CONSISTENCIA'!H263)</f>
        <v>0.69336127435063466</v>
      </c>
      <c r="I23" s="20" t="s">
        <v>61</v>
      </c>
      <c r="J23" s="21">
        <f>+D23/SUM(D23:D26)</f>
        <v>0.18195637347788282</v>
      </c>
      <c r="K23" s="21">
        <f>+E23/SUM(E23:E26)</f>
        <v>0.18431944080156087</v>
      </c>
      <c r="L23" s="21">
        <f>+F23/SUM(F23:F26)</f>
        <v>0.23267858178041798</v>
      </c>
      <c r="M23" s="21">
        <f>+G23/SUM(G23:G26)</f>
        <v>0.13669326391915051</v>
      </c>
      <c r="N23" s="125">
        <f>+AVERAGE(J23:M23)</f>
        <v>0.18391191499475304</v>
      </c>
      <c r="O23" s="8"/>
      <c r="P23" s="35"/>
      <c r="Q23" s="20" t="s">
        <v>61</v>
      </c>
      <c r="R23" s="20" t="s">
        <v>67</v>
      </c>
      <c r="S23" s="20" t="s">
        <v>128</v>
      </c>
      <c r="T23" s="20" t="s">
        <v>73</v>
      </c>
      <c r="U23" s="20" t="s">
        <v>105</v>
      </c>
      <c r="V23" s="20" t="s">
        <v>106</v>
      </c>
      <c r="W23" s="8"/>
      <c r="X23" s="33" t="s">
        <v>123</v>
      </c>
      <c r="Y23" s="34">
        <f>+AVERAGE(V24:V27)</f>
        <v>4.0571527030426626</v>
      </c>
      <c r="Z23" s="64"/>
    </row>
    <row r="24" spans="2:26">
      <c r="B24" s="63"/>
      <c r="C24" s="16" t="s">
        <v>67</v>
      </c>
      <c r="D24" s="17">
        <f>+GEOMEAN('1.3 SBCR_CONSISTENCIA'!E124,'1.3 SBCR_CONSISTENCIA'!E152,'1.3 SBCR_CONSISTENCIA'!E180,'1.3 SBCR_CONSISTENCIA'!E208,'1.3 SBCR_CONSISTENCIA'!E236,'1.3 SBCR_CONSISTENCIA'!E264)</f>
        <v>2.0535733068261153</v>
      </c>
      <c r="E24" s="17">
        <f>+GEOMEAN('1.3 SBCR_CONSISTENCIA'!F124,'1.3 SBCR_CONSISTENCIA'!F152,'1.3 SBCR_CONSISTENCIA'!F180,'1.3 SBCR_CONSISTENCIA'!F208,'1.3 SBCR_CONSISTENCIA'!F236,'1.3 SBCR_CONSISTENCIA'!F264)</f>
        <v>1</v>
      </c>
      <c r="F24" s="17">
        <f>+GEOMEAN('1.3 SBCR_CONSISTENCIA'!G124,'1.3 SBCR_CONSISTENCIA'!G152,'1.3 SBCR_CONSISTENCIA'!G180,'1.3 SBCR_CONSISTENCIA'!G208,'1.3 SBCR_CONSISTENCIA'!G236,'1.3 SBCR_CONSISTENCIA'!G264)</f>
        <v>1.661000956165023</v>
      </c>
      <c r="G24" s="17">
        <f>+GEOMEAN('1.3 SBCR_CONSISTENCIA'!H124,'1.3 SBCR_CONSISTENCIA'!H152,'1.3 SBCR_CONSISTENCIA'!H180,'1.3 SBCR_CONSISTENCIA'!H208,'1.3 SBCR_CONSISTENCIA'!H236,'1.3 SBCR_CONSISTENCIA'!H264)</f>
        <v>1.8086089434116457</v>
      </c>
      <c r="I24" s="16" t="s">
        <v>67</v>
      </c>
      <c r="J24" s="17">
        <f>+D24/SUM(D23:D26)</f>
        <v>0.37366075158106349</v>
      </c>
      <c r="K24" s="17">
        <f>+E24/SUM(E23:E26)</f>
        <v>0.37851348355920178</v>
      </c>
      <c r="L24" s="17">
        <f>+F24/SUM(F23:F26)</f>
        <v>0.38647934681639573</v>
      </c>
      <c r="M24" s="17">
        <f>+G24/SUM(G23:G26)</f>
        <v>0.35655965911831683</v>
      </c>
      <c r="N24" s="127">
        <f>+AVERAGE(J24:M24)</f>
        <v>0.37380331026874447</v>
      </c>
      <c r="O24" s="8"/>
      <c r="P24" s="20" t="s">
        <v>61</v>
      </c>
      <c r="Q24" s="21">
        <f>+Q22*D23</f>
        <v>0.18391191499475304</v>
      </c>
      <c r="R24" s="21">
        <f>+R22*E23</f>
        <v>0.18202579329708632</v>
      </c>
      <c r="S24" s="21">
        <f>+S22*F23</f>
        <v>0.23802974796390003</v>
      </c>
      <c r="T24" s="21">
        <f>+T22*G23</f>
        <v>0.14162252565557462</v>
      </c>
      <c r="U24" s="21">
        <f>+SUM(Q24:T24)</f>
        <v>0.74558998191131398</v>
      </c>
      <c r="V24" s="30">
        <f>+U24/N23</f>
        <v>4.0540602381992787</v>
      </c>
      <c r="W24" s="8"/>
      <c r="X24" s="33" t="s">
        <v>96</v>
      </c>
      <c r="Y24" s="34">
        <v>4</v>
      </c>
      <c r="Z24" s="64"/>
    </row>
    <row r="25" spans="2:26">
      <c r="B25" s="63"/>
      <c r="C25" s="16" t="s">
        <v>128</v>
      </c>
      <c r="D25" s="17">
        <f>+GEOMEAN('1.3 SBCR_CONSISTENCIA'!E125,'1.3 SBCR_CONSISTENCIA'!E153,'1.3 SBCR_CONSISTENCIA'!E181,'1.3 SBCR_CONSISTENCIA'!E209,'1.3 SBCR_CONSISTENCIA'!E237,'1.3 SBCR_CONSISTENCIA'!E265)</f>
        <v>1</v>
      </c>
      <c r="E25" s="17">
        <f>+GEOMEAN('1.3 SBCR_CONSISTENCIA'!F125,'1.3 SBCR_CONSISTENCIA'!F153,'1.3 SBCR_CONSISTENCIA'!F181,'1.3 SBCR_CONSISTENCIA'!F209,'1.3 SBCR_CONSISTENCIA'!F237,'1.3 SBCR_CONSISTENCIA'!F265)</f>
        <v>0.60204661309096108</v>
      </c>
      <c r="F25" s="17">
        <f>+GEOMEAN('1.3 SBCR_CONSISTENCIA'!G125,'1.3 SBCR_CONSISTENCIA'!G153,'1.3 SBCR_CONSISTENCIA'!G181,'1.3 SBCR_CONSISTENCIA'!G209,'1.3 SBCR_CONSISTENCIA'!G237,'1.3 SBCR_CONSISTENCIA'!G265)</f>
        <v>1</v>
      </c>
      <c r="G25" s="17">
        <f>+GEOMEAN('1.3 SBCR_CONSISTENCIA'!H125,'1.3 SBCR_CONSISTENCIA'!H153,'1.3 SBCR_CONSISTENCIA'!H181,'1.3 SBCR_CONSISTENCIA'!H209,'1.3 SBCR_CONSISTENCIA'!H237,'1.3 SBCR_CONSISTENCIA'!H265)</f>
        <v>1.5704178024750197</v>
      </c>
      <c r="I25" s="16" t="s">
        <v>128</v>
      </c>
      <c r="J25" s="17">
        <f>+D25/SUM(D23:D26)</f>
        <v>0.18195637347788282</v>
      </c>
      <c r="K25" s="17">
        <f>+E25/SUM(E23:E26)</f>
        <v>0.22788276078607861</v>
      </c>
      <c r="L25" s="17">
        <f>+F25/SUM(F23:F26)</f>
        <v>0.23267858178041798</v>
      </c>
      <c r="M25" s="17">
        <f>+G25/SUM(G23:G26)</f>
        <v>0.30960127581122066</v>
      </c>
      <c r="N25" s="127">
        <f>+AVERAGE(J25:M25)</f>
        <v>0.23802974796390003</v>
      </c>
      <c r="O25" s="8"/>
      <c r="P25" s="16" t="s">
        <v>67</v>
      </c>
      <c r="Q25" s="17">
        <f>+Q22*D24</f>
        <v>0.37767659944049842</v>
      </c>
      <c r="R25" s="17">
        <f>+R22*E24</f>
        <v>0.37380331026874447</v>
      </c>
      <c r="S25" s="17">
        <f>+S22*F24</f>
        <v>0.39536763896375737</v>
      </c>
      <c r="T25" s="17">
        <f>+T22*G24</f>
        <v>0.36941746815771387</v>
      </c>
      <c r="U25" s="17">
        <f>+SUM(Q25:T25)</f>
        <v>1.5162650168307139</v>
      </c>
      <c r="V25" s="28">
        <f>+U25/N24</f>
        <v>4.0563177884663482</v>
      </c>
      <c r="W25" s="8"/>
      <c r="X25" s="33" t="s">
        <v>107</v>
      </c>
      <c r="Y25" s="34">
        <f>+(Y23-Y24)/(Y24-1)</f>
        <v>1.9050901014220873E-2</v>
      </c>
      <c r="Z25" s="64"/>
    </row>
    <row r="26" spans="2:26">
      <c r="B26" s="63"/>
      <c r="C26" s="22" t="s">
        <v>73</v>
      </c>
      <c r="D26" s="23">
        <f>+GEOMEAN('1.3 SBCR_CONSISTENCIA'!E126,'1.3 SBCR_CONSISTENCIA'!E154,'1.3 SBCR_CONSISTENCIA'!E182,'1.3 SBCR_CONSISTENCIA'!E210,'1.3 SBCR_CONSISTENCIA'!E238,'1.3 SBCR_CONSISTENCIA'!E266)</f>
        <v>1.4422495703074083</v>
      </c>
      <c r="E26" s="23">
        <f>+GEOMEAN('1.3 SBCR_CONSISTENCIA'!F126,'1.3 SBCR_CONSISTENCIA'!F154,'1.3 SBCR_CONSISTENCIA'!F182,'1.3 SBCR_CONSISTENCIA'!F210,'1.3 SBCR_CONSISTENCIA'!F238,'1.3 SBCR_CONSISTENCIA'!F266)</f>
        <v>0.55291112191099923</v>
      </c>
      <c r="F26" s="23">
        <f>+GEOMEAN('1.3 SBCR_CONSISTENCIA'!G126,'1.3 SBCR_CONSISTENCIA'!G154,'1.3 SBCR_CONSISTENCIA'!G182,'1.3 SBCR_CONSISTENCIA'!G210,'1.3 SBCR_CONSISTENCIA'!G238,'1.3 SBCR_CONSISTENCIA'!G266)</f>
        <v>0.63677321947317056</v>
      </c>
      <c r="G26" s="23">
        <f>+GEOMEAN('1.3 SBCR_CONSISTENCIA'!H126,'1.3 SBCR_CONSISTENCIA'!H154,'1.3 SBCR_CONSISTENCIA'!H182,'1.3 SBCR_CONSISTENCIA'!H210,'1.3 SBCR_CONSISTENCIA'!H238,'1.3 SBCR_CONSISTENCIA'!H266)</f>
        <v>1</v>
      </c>
      <c r="I26" s="22" t="s">
        <v>73</v>
      </c>
      <c r="J26" s="23">
        <f>+D26/SUM(D23:D26)</f>
        <v>0.26242650146317081</v>
      </c>
      <c r="K26" s="23">
        <f>+E26/SUM(E23:E26)</f>
        <v>0.20928431485315879</v>
      </c>
      <c r="L26" s="23">
        <f>+F26/SUM(F23:F26)</f>
        <v>0.14816348962276815</v>
      </c>
      <c r="M26" s="23">
        <f>+G26/SUM(G23:G26)</f>
        <v>0.19714580115131203</v>
      </c>
      <c r="N26" s="126">
        <f>+AVERAGE(J26:M26)</f>
        <v>0.20425502677260243</v>
      </c>
      <c r="O26" s="8"/>
      <c r="P26" s="16" t="s">
        <v>128</v>
      </c>
      <c r="Q26" s="17">
        <f>+Q22*D25</f>
        <v>0.18391191499475304</v>
      </c>
      <c r="R26" s="17">
        <f>+R22*E25</f>
        <v>0.22504701690948728</v>
      </c>
      <c r="S26" s="17">
        <f>+S22*F25</f>
        <v>0.23802974796390003</v>
      </c>
      <c r="T26" s="17">
        <f>+T22*G25</f>
        <v>0.32076573028870664</v>
      </c>
      <c r="U26" s="17">
        <f>+SUM(Q26:T26)</f>
        <v>0.96775441015684693</v>
      </c>
      <c r="V26" s="28">
        <f>+U26/N25</f>
        <v>4.0656868245880684</v>
      </c>
      <c r="W26" s="8"/>
      <c r="X26" s="33" t="s">
        <v>108</v>
      </c>
      <c r="Y26" s="34">
        <v>0.9</v>
      </c>
      <c r="Z26" s="64"/>
    </row>
    <row r="27" spans="2:26">
      <c r="B27" s="63"/>
      <c r="I27" s="8"/>
      <c r="J27" s="8"/>
      <c r="K27" s="8"/>
      <c r="L27" s="8"/>
      <c r="M27" s="8"/>
      <c r="N27" s="8"/>
      <c r="O27" s="8"/>
      <c r="P27" s="22" t="s">
        <v>73</v>
      </c>
      <c r="Q27" s="23">
        <f>+Q22*D26</f>
        <v>0.26524688037559518</v>
      </c>
      <c r="R27" s="23">
        <f>+R22*E26</f>
        <v>0.20668000765473685</v>
      </c>
      <c r="S27" s="23">
        <f>+S22*F26</f>
        <v>0.15157096894135999</v>
      </c>
      <c r="T27" s="23">
        <f>+T22*G26</f>
        <v>0.20425502677260243</v>
      </c>
      <c r="U27" s="23">
        <f>+SUM(Q27:T27)</f>
        <v>0.82775288374429445</v>
      </c>
      <c r="V27" s="32">
        <f>+U27/N26</f>
        <v>4.0525459609169552</v>
      </c>
      <c r="W27" s="8"/>
      <c r="X27" s="33" t="s">
        <v>109</v>
      </c>
      <c r="Y27" s="34">
        <f>Y25/Y26</f>
        <v>2.1167667793578749E-2</v>
      </c>
      <c r="Z27" s="64"/>
    </row>
    <row r="28" spans="2:26">
      <c r="B28" s="63"/>
      <c r="Z28" s="64"/>
    </row>
    <row r="29" spans="2:26" ht="13.5" thickBot="1">
      <c r="B29" s="65"/>
      <c r="C29" s="66"/>
      <c r="D29" s="66"/>
      <c r="E29" s="66"/>
      <c r="F29" s="66"/>
      <c r="G29" s="66"/>
      <c r="H29" s="66"/>
      <c r="I29" s="66"/>
      <c r="J29" s="66"/>
      <c r="K29" s="66"/>
      <c r="L29" s="66"/>
      <c r="M29" s="66"/>
      <c r="N29" s="66"/>
      <c r="O29" s="66"/>
      <c r="P29" s="66"/>
      <c r="Q29" s="66"/>
      <c r="R29" s="66"/>
      <c r="S29" s="66"/>
      <c r="T29" s="66"/>
      <c r="U29" s="66"/>
      <c r="V29" s="66"/>
      <c r="W29" s="66"/>
      <c r="X29" s="66"/>
      <c r="Y29" s="66"/>
      <c r="Z29" s="67"/>
    </row>
    <row r="31" spans="2:26">
      <c r="P31" s="7"/>
    </row>
    <row r="32" spans="2:26" ht="14.25">
      <c r="B32" s="49" t="s">
        <v>58</v>
      </c>
      <c r="C32" s="1" t="s">
        <v>57</v>
      </c>
      <c r="D32" s="128">
        <f>L7</f>
        <v>0.49527811182678017</v>
      </c>
      <c r="P32" s="7"/>
    </row>
    <row r="33" spans="2:13" ht="14.25">
      <c r="B33" s="49" t="s">
        <v>64</v>
      </c>
      <c r="C33" s="1" t="s">
        <v>63</v>
      </c>
      <c r="D33" s="128">
        <f>L8</f>
        <v>0.50472188817321983</v>
      </c>
    </row>
    <row r="34" spans="2:13" ht="14.25">
      <c r="B34" s="49" t="s">
        <v>60</v>
      </c>
      <c r="C34" s="1" t="s">
        <v>59</v>
      </c>
      <c r="D34" s="128">
        <f>M15</f>
        <v>0.34332195788297865</v>
      </c>
    </row>
    <row r="35" spans="2:13" ht="14.25">
      <c r="B35" s="49" t="s">
        <v>66</v>
      </c>
      <c r="C35" s="1" t="s">
        <v>65</v>
      </c>
      <c r="D35" s="128">
        <f>M16</f>
        <v>0.44340808370044354</v>
      </c>
    </row>
    <row r="36" spans="2:13" ht="14.25">
      <c r="B36" s="49" t="s">
        <v>70</v>
      </c>
      <c r="C36" s="1" t="s">
        <v>69</v>
      </c>
      <c r="D36" s="128">
        <f>M17</f>
        <v>0.21326995841657778</v>
      </c>
    </row>
    <row r="37" spans="2:13" ht="14.25">
      <c r="B37" s="49" t="s">
        <v>62</v>
      </c>
      <c r="C37" s="1" t="s">
        <v>61</v>
      </c>
      <c r="D37" s="128">
        <f>N23</f>
        <v>0.18391191499475304</v>
      </c>
      <c r="M37" s="7">
        <f>SUM(N23:N26,M15:M17,L7:L8)</f>
        <v>3</v>
      </c>
    </row>
    <row r="38" spans="2:13" ht="14.25">
      <c r="B38" s="49" t="s">
        <v>68</v>
      </c>
      <c r="C38" s="1" t="s">
        <v>67</v>
      </c>
      <c r="D38" s="128">
        <f>N24</f>
        <v>0.37380331026874447</v>
      </c>
    </row>
    <row r="39" spans="2:13" ht="14.25">
      <c r="B39" s="49" t="s">
        <v>72</v>
      </c>
      <c r="C39" s="1" t="s">
        <v>71</v>
      </c>
      <c r="D39" s="128">
        <f>N25</f>
        <v>0.23802974796390003</v>
      </c>
    </row>
    <row r="40" spans="2:13" ht="14.25">
      <c r="B40" s="49" t="s">
        <v>74</v>
      </c>
      <c r="C40" s="1" t="s">
        <v>73</v>
      </c>
      <c r="D40" s="128">
        <f>N26</f>
        <v>0.20425502677260243</v>
      </c>
    </row>
  </sheetData>
  <sortState xmlns:xlrd2="http://schemas.microsoft.com/office/spreadsheetml/2017/richdata2" ref="C51:D59">
    <sortCondition descending="1" ref="D50:D59"/>
  </sortState>
  <conditionalFormatting sqref="Y11">
    <cfRule type="cellIs" dxfId="11" priority="5" operator="greaterThan">
      <formula>0.1</formula>
    </cfRule>
    <cfRule type="cellIs" dxfId="10" priority="6" operator="lessThan">
      <formula>0.1</formula>
    </cfRule>
  </conditionalFormatting>
  <conditionalFormatting sqref="Y19">
    <cfRule type="cellIs" dxfId="9" priority="3" operator="greaterThan">
      <formula>0.1</formula>
    </cfRule>
    <cfRule type="cellIs" dxfId="8" priority="4" operator="lessThan">
      <formula>0.1</formula>
    </cfRule>
  </conditionalFormatting>
  <conditionalFormatting sqref="Y27">
    <cfRule type="cellIs" dxfId="7" priority="1" operator="greaterThan">
      <formula>0.1</formula>
    </cfRule>
    <cfRule type="cellIs" dxfId="6" priority="2" operator="lessThan">
      <formula>0.1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A4BA8-BE0B-4BCD-87C7-7C1376C2A350}">
  <sheetPr>
    <tabColor theme="7" tint="0.79998168889431442"/>
  </sheetPr>
  <dimension ref="B2:Z79"/>
  <sheetViews>
    <sheetView topLeftCell="A37" zoomScale="60" zoomScaleNormal="60" workbookViewId="0">
      <selection activeCell="Y77" sqref="Y77"/>
    </sheetView>
  </sheetViews>
  <sheetFormatPr defaultColWidth="11.42578125" defaultRowHeight="12.75"/>
  <cols>
    <col min="1" max="1" width="11.42578125" style="71"/>
    <col min="2" max="2" width="29.7109375" style="71" customWidth="1"/>
    <col min="3" max="3" width="21.5703125" style="71" bestFit="1" customWidth="1"/>
    <col min="4" max="4" width="20.28515625" style="71" customWidth="1"/>
    <col min="5" max="5" width="21.5703125" style="71" customWidth="1"/>
    <col min="6" max="6" width="20.5703125" style="71" customWidth="1"/>
    <col min="7" max="7" width="18.42578125" style="71" customWidth="1"/>
    <col min="8" max="8" width="17.42578125" style="71" customWidth="1"/>
    <col min="9" max="9" width="11.42578125" style="71" customWidth="1"/>
    <col min="10" max="10" width="14.5703125" style="71" customWidth="1"/>
    <col min="11" max="13" width="11.42578125" style="71"/>
    <col min="14" max="14" width="23.42578125" style="71" customWidth="1"/>
    <col min="15" max="16384" width="11.42578125" style="71"/>
  </cols>
  <sheetData>
    <row r="2" spans="2:24" ht="25.5">
      <c r="C2" s="229" t="s">
        <v>131</v>
      </c>
    </row>
    <row r="3" spans="2:24" ht="15">
      <c r="B3" s="305" t="s">
        <v>102</v>
      </c>
      <c r="C3" s="305" t="s">
        <v>132</v>
      </c>
    </row>
    <row r="4" spans="2:24" ht="15">
      <c r="B4" s="305" t="s">
        <v>110</v>
      </c>
      <c r="C4" s="305" t="s">
        <v>132</v>
      </c>
    </row>
    <row r="5" spans="2:24" ht="15">
      <c r="B5" s="305" t="s">
        <v>111</v>
      </c>
      <c r="C5" s="305" t="s">
        <v>132</v>
      </c>
    </row>
    <row r="6" spans="2:24" ht="15">
      <c r="B6" s="306" t="s">
        <v>133</v>
      </c>
      <c r="C6" s="306" t="s">
        <v>134</v>
      </c>
    </row>
    <row r="7" spans="2:24" ht="15">
      <c r="B7" s="306" t="s">
        <v>135</v>
      </c>
      <c r="C7" s="306" t="s">
        <v>134</v>
      </c>
    </row>
    <row r="8" spans="2:24" ht="15">
      <c r="B8" s="306" t="s">
        <v>136</v>
      </c>
      <c r="C8" s="306" t="s">
        <v>134</v>
      </c>
    </row>
    <row r="9" spans="2:24" ht="15">
      <c r="B9" s="306" t="s">
        <v>137</v>
      </c>
      <c r="C9" s="306" t="s">
        <v>134</v>
      </c>
    </row>
    <row r="10" spans="2:24" ht="15">
      <c r="B10" s="306" t="s">
        <v>138</v>
      </c>
      <c r="C10" s="306" t="s">
        <v>134</v>
      </c>
    </row>
    <row r="11" spans="2:24" ht="15">
      <c r="B11" s="306" t="s">
        <v>139</v>
      </c>
      <c r="C11" s="306" t="s">
        <v>134</v>
      </c>
    </row>
    <row r="16" spans="2:24">
      <c r="B16" s="455" t="s">
        <v>140</v>
      </c>
      <c r="C16" s="455"/>
      <c r="D16" s="455"/>
      <c r="E16" s="455"/>
      <c r="F16" s="455"/>
      <c r="G16" s="455"/>
      <c r="H16" s="455"/>
      <c r="I16" s="455"/>
      <c r="J16" s="455"/>
      <c r="K16" s="455"/>
      <c r="L16" s="455"/>
      <c r="M16" s="455"/>
      <c r="N16" s="455"/>
      <c r="O16" s="455"/>
      <c r="P16" s="455"/>
      <c r="Q16" s="455"/>
      <c r="R16" s="455"/>
      <c r="S16" s="455"/>
      <c r="T16" s="455"/>
      <c r="U16" s="455"/>
      <c r="V16" s="455"/>
      <c r="W16" s="455"/>
      <c r="X16" s="455"/>
    </row>
    <row r="17" spans="2:24">
      <c r="B17" s="455"/>
      <c r="C17" s="455"/>
      <c r="D17" s="455"/>
      <c r="E17" s="455"/>
      <c r="F17" s="455"/>
      <c r="G17" s="455"/>
      <c r="H17" s="455"/>
      <c r="I17" s="455"/>
      <c r="J17" s="455"/>
      <c r="K17" s="455"/>
      <c r="L17" s="455"/>
      <c r="M17" s="455"/>
      <c r="N17" s="455"/>
      <c r="O17" s="455"/>
      <c r="P17" s="455"/>
      <c r="Q17" s="455"/>
      <c r="R17" s="455"/>
      <c r="S17" s="455"/>
      <c r="T17" s="455"/>
      <c r="U17" s="455"/>
      <c r="V17" s="455"/>
      <c r="W17" s="455"/>
      <c r="X17" s="455"/>
    </row>
    <row r="18" spans="2:24" ht="15.75">
      <c r="B18" s="307"/>
      <c r="C18" s="456" t="s">
        <v>141</v>
      </c>
      <c r="D18" s="456"/>
      <c r="E18" s="456"/>
      <c r="F18" s="456"/>
      <c r="G18" s="456"/>
      <c r="H18" s="456"/>
      <c r="I18" s="456"/>
      <c r="J18" s="456"/>
      <c r="K18" s="456"/>
      <c r="L18" s="456"/>
      <c r="M18" s="308"/>
      <c r="N18" s="308"/>
      <c r="O18" s="308"/>
      <c r="P18" s="308"/>
      <c r="Q18" s="308"/>
      <c r="R18" s="308"/>
      <c r="S18" s="308"/>
      <c r="T18" s="308"/>
      <c r="U18" s="308"/>
      <c r="V18" s="308"/>
      <c r="W18" s="308"/>
      <c r="X18" s="308"/>
    </row>
    <row r="19" spans="2:24" ht="15.75">
      <c r="B19" s="309" t="s">
        <v>142</v>
      </c>
      <c r="C19" s="309" t="s">
        <v>143</v>
      </c>
      <c r="D19" s="309" t="s">
        <v>144</v>
      </c>
      <c r="E19" s="309" t="s">
        <v>145</v>
      </c>
      <c r="F19" s="309" t="s">
        <v>146</v>
      </c>
      <c r="G19" s="309" t="s">
        <v>147</v>
      </c>
      <c r="H19" s="309" t="s">
        <v>148</v>
      </c>
      <c r="I19" s="309" t="s">
        <v>68</v>
      </c>
      <c r="J19" s="309" t="s">
        <v>149</v>
      </c>
      <c r="K19" s="309" t="s">
        <v>150</v>
      </c>
      <c r="L19" s="310"/>
      <c r="M19" s="310"/>
      <c r="N19" s="309"/>
      <c r="O19" s="456" t="s">
        <v>141</v>
      </c>
      <c r="P19" s="456"/>
      <c r="Q19" s="456"/>
      <c r="R19" s="456"/>
      <c r="S19" s="456"/>
      <c r="T19" s="456"/>
      <c r="U19" s="456"/>
      <c r="V19" s="456"/>
      <c r="W19" s="456"/>
      <c r="X19" s="456"/>
    </row>
    <row r="20" spans="2:24" ht="15.75">
      <c r="B20" s="309" t="s">
        <v>143</v>
      </c>
      <c r="C20" s="311">
        <v>1</v>
      </c>
      <c r="D20" s="311"/>
      <c r="E20" s="311"/>
      <c r="F20" s="311"/>
      <c r="G20" s="311"/>
      <c r="H20" s="311"/>
      <c r="I20" s="311"/>
      <c r="J20" s="311"/>
      <c r="K20" s="311"/>
      <c r="L20" s="310"/>
      <c r="M20" s="310"/>
      <c r="N20" s="309" t="s">
        <v>142</v>
      </c>
      <c r="O20" s="309" t="s">
        <v>143</v>
      </c>
      <c r="P20" s="309" t="s">
        <v>144</v>
      </c>
      <c r="Q20" s="309" t="s">
        <v>145</v>
      </c>
      <c r="R20" s="309" t="s">
        <v>146</v>
      </c>
      <c r="S20" s="309" t="s">
        <v>147</v>
      </c>
      <c r="T20" s="309" t="s">
        <v>148</v>
      </c>
      <c r="U20" s="309" t="s">
        <v>68</v>
      </c>
      <c r="V20" s="309" t="s">
        <v>149</v>
      </c>
      <c r="W20" s="309" t="s">
        <v>150</v>
      </c>
      <c r="X20" s="310"/>
    </row>
    <row r="21" spans="2:24" ht="15.75">
      <c r="B21" s="307" t="s">
        <v>144</v>
      </c>
      <c r="C21" s="312">
        <v>4</v>
      </c>
      <c r="D21" s="312">
        <v>1</v>
      </c>
      <c r="E21" s="312"/>
      <c r="F21" s="312"/>
      <c r="G21" s="312"/>
      <c r="H21" s="312"/>
      <c r="I21" s="312"/>
      <c r="J21" s="312"/>
      <c r="K21" s="312"/>
      <c r="L21" s="308"/>
      <c r="M21" s="308"/>
      <c r="N21" s="307"/>
      <c r="O21" s="312"/>
      <c r="P21" s="312"/>
      <c r="Q21" s="312"/>
      <c r="R21" s="312"/>
      <c r="S21" s="312"/>
      <c r="T21" s="312"/>
      <c r="U21" s="312"/>
      <c r="V21" s="312"/>
      <c r="W21" s="312"/>
      <c r="X21" s="308"/>
    </row>
    <row r="22" spans="2:24" ht="15.75">
      <c r="B22" s="307"/>
      <c r="C22" s="312"/>
      <c r="D22" s="312"/>
      <c r="E22" s="312"/>
      <c r="F22" s="312"/>
      <c r="G22" s="312"/>
      <c r="H22" s="312"/>
      <c r="I22" s="312"/>
      <c r="J22" s="312"/>
      <c r="K22" s="312"/>
      <c r="L22" s="308"/>
      <c r="M22" s="308"/>
      <c r="N22" s="307" t="s">
        <v>145</v>
      </c>
      <c r="O22" s="312">
        <v>0.25</v>
      </c>
      <c r="P22" s="312">
        <v>0.25</v>
      </c>
      <c r="Q22" s="312">
        <v>1</v>
      </c>
      <c r="R22" s="312"/>
      <c r="S22" s="312"/>
      <c r="T22" s="312"/>
      <c r="U22" s="312"/>
      <c r="V22" s="312"/>
      <c r="W22" s="312"/>
      <c r="X22" s="308"/>
    </row>
    <row r="23" spans="2:24" ht="15.75">
      <c r="B23" s="307" t="s">
        <v>145</v>
      </c>
      <c r="C23" s="312">
        <v>0.25</v>
      </c>
      <c r="D23" s="312">
        <v>0.25</v>
      </c>
      <c r="E23" s="312">
        <v>1</v>
      </c>
      <c r="F23" s="312"/>
      <c r="G23" s="312"/>
      <c r="H23" s="312"/>
      <c r="I23" s="312"/>
      <c r="J23" s="312"/>
      <c r="K23" s="312"/>
      <c r="L23" s="308"/>
      <c r="M23" s="308"/>
      <c r="N23" s="307" t="s">
        <v>146</v>
      </c>
      <c r="O23" s="312">
        <v>5</v>
      </c>
      <c r="P23" s="312">
        <v>5</v>
      </c>
      <c r="Q23" s="312">
        <v>5</v>
      </c>
      <c r="R23" s="312">
        <v>1</v>
      </c>
      <c r="S23" s="312"/>
      <c r="T23" s="312"/>
      <c r="U23" s="312"/>
      <c r="V23" s="312"/>
      <c r="W23" s="312"/>
      <c r="X23" s="308"/>
    </row>
    <row r="24" spans="2:24" ht="15.75">
      <c r="B24" s="307" t="s">
        <v>146</v>
      </c>
      <c r="C24" s="312">
        <v>5</v>
      </c>
      <c r="D24" s="312">
        <v>5</v>
      </c>
      <c r="E24" s="312">
        <v>5</v>
      </c>
      <c r="F24" s="312">
        <v>1</v>
      </c>
      <c r="G24" s="312"/>
      <c r="H24" s="312"/>
      <c r="I24" s="312"/>
      <c r="J24" s="312"/>
      <c r="K24" s="312"/>
      <c r="L24" s="308"/>
      <c r="M24" s="308"/>
      <c r="N24" s="307" t="s">
        <v>147</v>
      </c>
      <c r="O24" s="312">
        <v>5</v>
      </c>
      <c r="P24" s="312">
        <v>4</v>
      </c>
      <c r="Q24" s="312">
        <v>4</v>
      </c>
      <c r="R24" s="312">
        <v>4</v>
      </c>
      <c r="S24" s="312">
        <v>1</v>
      </c>
      <c r="T24" s="312"/>
      <c r="U24" s="312"/>
      <c r="V24" s="312"/>
      <c r="W24" s="312"/>
      <c r="X24" s="308"/>
    </row>
    <row r="25" spans="2:24" ht="15.75">
      <c r="B25" s="307" t="s">
        <v>147</v>
      </c>
      <c r="C25" s="312">
        <v>5</v>
      </c>
      <c r="D25" s="312">
        <v>4</v>
      </c>
      <c r="E25" s="312">
        <v>4</v>
      </c>
      <c r="F25" s="312">
        <v>1</v>
      </c>
      <c r="G25" s="312">
        <v>1</v>
      </c>
      <c r="H25" s="312"/>
      <c r="I25" s="312"/>
      <c r="J25" s="312"/>
      <c r="K25" s="312"/>
      <c r="L25" s="308"/>
      <c r="M25" s="308"/>
      <c r="N25" s="307"/>
      <c r="O25" s="312"/>
      <c r="P25" s="312"/>
      <c r="Q25" s="312"/>
      <c r="R25" s="312"/>
      <c r="S25" s="312"/>
      <c r="T25" s="312"/>
      <c r="U25" s="312"/>
      <c r="V25" s="312"/>
      <c r="W25" s="312"/>
      <c r="X25" s="308"/>
    </row>
    <row r="26" spans="2:24" ht="15.75">
      <c r="B26" s="307"/>
      <c r="C26" s="312"/>
      <c r="D26" s="312"/>
      <c r="E26" s="312"/>
      <c r="F26" s="312"/>
      <c r="G26" s="312"/>
      <c r="H26" s="312"/>
      <c r="I26" s="312"/>
      <c r="J26" s="312"/>
      <c r="K26" s="312"/>
      <c r="L26" s="308"/>
      <c r="M26" s="308"/>
      <c r="N26" s="307" t="s">
        <v>148</v>
      </c>
      <c r="O26" s="312">
        <v>0.2</v>
      </c>
      <c r="P26" s="312">
        <v>0.2</v>
      </c>
      <c r="Q26" s="312">
        <v>0.2</v>
      </c>
      <c r="R26" s="312">
        <v>0.2</v>
      </c>
      <c r="S26" s="312">
        <v>0.2</v>
      </c>
      <c r="T26" s="312">
        <v>1</v>
      </c>
      <c r="U26" s="312"/>
      <c r="V26" s="312"/>
      <c r="W26" s="312"/>
      <c r="X26" s="308"/>
    </row>
    <row r="27" spans="2:24" ht="15.75">
      <c r="B27" s="307" t="s">
        <v>148</v>
      </c>
      <c r="C27" s="312">
        <v>0.2</v>
      </c>
      <c r="D27" s="312">
        <v>0.2</v>
      </c>
      <c r="E27" s="312">
        <v>0.2</v>
      </c>
      <c r="F27" s="312">
        <v>0.2</v>
      </c>
      <c r="G27" s="312">
        <v>0.2</v>
      </c>
      <c r="H27" s="312">
        <v>1</v>
      </c>
      <c r="I27" s="312"/>
      <c r="J27" s="312"/>
      <c r="K27" s="312"/>
      <c r="L27" s="308"/>
      <c r="M27" s="308"/>
      <c r="N27" s="307" t="s">
        <v>68</v>
      </c>
      <c r="O27" s="312">
        <v>0.25</v>
      </c>
      <c r="P27" s="312">
        <v>0.25</v>
      </c>
      <c r="Q27" s="312">
        <v>0.25</v>
      </c>
      <c r="R27" s="312">
        <v>0.25</v>
      </c>
      <c r="S27" s="312">
        <v>0.25</v>
      </c>
      <c r="T27" s="312">
        <v>1</v>
      </c>
      <c r="U27" s="312">
        <v>1</v>
      </c>
      <c r="V27" s="312"/>
      <c r="W27" s="312"/>
      <c r="X27" s="308"/>
    </row>
    <row r="28" spans="2:24" ht="15.75">
      <c r="B28" s="307" t="s">
        <v>68</v>
      </c>
      <c r="C28" s="312">
        <v>0.25</v>
      </c>
      <c r="D28" s="312">
        <v>0.25</v>
      </c>
      <c r="E28" s="312">
        <v>0.25</v>
      </c>
      <c r="F28" s="312">
        <v>0.25</v>
      </c>
      <c r="G28" s="312">
        <v>0.25</v>
      </c>
      <c r="H28" s="312">
        <v>1</v>
      </c>
      <c r="I28" s="312">
        <v>1</v>
      </c>
      <c r="J28" s="312"/>
      <c r="K28" s="312"/>
      <c r="L28" s="308"/>
      <c r="M28" s="308"/>
      <c r="N28" s="307" t="s">
        <v>149</v>
      </c>
      <c r="O28" s="312">
        <v>0.5</v>
      </c>
      <c r="P28" s="312">
        <v>0.5</v>
      </c>
      <c r="Q28" s="312">
        <v>0.5</v>
      </c>
      <c r="R28" s="312">
        <v>0.5</v>
      </c>
      <c r="S28" s="312">
        <v>0.5</v>
      </c>
      <c r="T28" s="312">
        <v>0.33333333333333331</v>
      </c>
      <c r="U28" s="312">
        <v>1</v>
      </c>
      <c r="V28" s="312">
        <v>1</v>
      </c>
      <c r="W28" s="312"/>
      <c r="X28" s="308"/>
    </row>
    <row r="29" spans="2:24" ht="15.75">
      <c r="B29" s="307" t="s">
        <v>149</v>
      </c>
      <c r="C29" s="312">
        <v>0.5</v>
      </c>
      <c r="D29" s="312">
        <v>0.5</v>
      </c>
      <c r="E29" s="312">
        <v>0.5</v>
      </c>
      <c r="F29" s="312">
        <v>0.5</v>
      </c>
      <c r="G29" s="312">
        <v>0.5</v>
      </c>
      <c r="H29" s="312">
        <v>0.33333333333333331</v>
      </c>
      <c r="I29" s="312">
        <v>1</v>
      </c>
      <c r="J29" s="312">
        <v>1</v>
      </c>
      <c r="K29" s="312"/>
      <c r="L29" s="308"/>
      <c r="M29" s="308"/>
      <c r="N29" s="307" t="s">
        <v>150</v>
      </c>
      <c r="O29" s="312">
        <v>0.33333333333333331</v>
      </c>
      <c r="P29" s="312">
        <v>0.33333333333333331</v>
      </c>
      <c r="Q29" s="312">
        <v>0.33333333333333331</v>
      </c>
      <c r="R29" s="312">
        <v>0.33333333333333331</v>
      </c>
      <c r="S29" s="312">
        <v>0.33333333333333331</v>
      </c>
      <c r="T29" s="312">
        <v>3</v>
      </c>
      <c r="U29" s="312">
        <v>3</v>
      </c>
      <c r="V29" s="312">
        <v>3</v>
      </c>
      <c r="W29" s="312">
        <v>1</v>
      </c>
      <c r="X29" s="308"/>
    </row>
    <row r="30" spans="2:24" ht="15.75">
      <c r="B30" s="307" t="s">
        <v>150</v>
      </c>
      <c r="C30" s="312">
        <v>0.33333333333333331</v>
      </c>
      <c r="D30" s="312">
        <v>0.33333333333333331</v>
      </c>
      <c r="E30" s="312">
        <v>0.33333333333333331</v>
      </c>
      <c r="F30" s="312">
        <v>0.33333333333333331</v>
      </c>
      <c r="G30" s="312">
        <v>0.33333333333333331</v>
      </c>
      <c r="H30" s="312">
        <v>3</v>
      </c>
      <c r="I30" s="312">
        <v>3</v>
      </c>
      <c r="J30" s="312">
        <v>3</v>
      </c>
      <c r="K30" s="312">
        <v>1</v>
      </c>
      <c r="L30" s="308"/>
      <c r="M30" s="308"/>
      <c r="N30" s="308"/>
      <c r="O30" s="308"/>
      <c r="P30" s="308"/>
      <c r="Q30" s="308"/>
      <c r="R30" s="308"/>
      <c r="S30" s="308"/>
      <c r="T30" s="308"/>
      <c r="U30" s="308"/>
      <c r="V30" s="308"/>
      <c r="W30" s="308"/>
      <c r="X30" s="308"/>
    </row>
    <row r="31" spans="2:24">
      <c r="B31" s="308"/>
      <c r="C31" s="308"/>
      <c r="D31" s="308"/>
      <c r="E31" s="308"/>
      <c r="F31" s="308"/>
      <c r="G31" s="308"/>
      <c r="H31" s="308"/>
      <c r="I31" s="308"/>
      <c r="J31" s="308"/>
      <c r="K31" s="308"/>
      <c r="L31" s="308"/>
      <c r="M31" s="308"/>
      <c r="N31" s="308"/>
      <c r="O31" s="308"/>
      <c r="P31" s="308"/>
      <c r="Q31" s="308"/>
      <c r="R31" s="308"/>
      <c r="S31" s="308"/>
      <c r="T31" s="308"/>
      <c r="U31" s="308"/>
      <c r="V31" s="308"/>
      <c r="W31" s="308"/>
      <c r="X31" s="308"/>
    </row>
    <row r="32" spans="2:24" ht="15.75">
      <c r="B32" s="308"/>
      <c r="C32" s="308"/>
      <c r="D32" s="308"/>
      <c r="E32" s="308"/>
      <c r="F32" s="308"/>
      <c r="G32" s="308"/>
      <c r="H32" s="308"/>
      <c r="I32" s="308"/>
      <c r="J32" s="308"/>
      <c r="K32" s="308"/>
      <c r="L32" s="308"/>
      <c r="M32" s="308"/>
      <c r="N32" s="307"/>
      <c r="O32" s="307" t="s">
        <v>141</v>
      </c>
      <c r="P32" s="307"/>
      <c r="Q32" s="308"/>
      <c r="R32" s="308"/>
      <c r="S32" s="308"/>
      <c r="T32" s="308"/>
      <c r="U32" s="308"/>
      <c r="V32" s="308"/>
      <c r="W32" s="308"/>
      <c r="X32" s="308"/>
    </row>
    <row r="33" spans="2:24" ht="15.75">
      <c r="B33" s="308"/>
      <c r="C33" s="308"/>
      <c r="D33" s="308"/>
      <c r="E33" s="308"/>
      <c r="F33" s="308"/>
      <c r="G33" s="308"/>
      <c r="H33" s="308"/>
      <c r="I33" s="308"/>
      <c r="J33" s="308"/>
      <c r="K33" s="308"/>
      <c r="L33" s="308"/>
      <c r="M33" s="308"/>
      <c r="N33" s="307" t="s">
        <v>142</v>
      </c>
      <c r="O33" s="307" t="s">
        <v>143</v>
      </c>
      <c r="P33" s="307" t="s">
        <v>144</v>
      </c>
      <c r="Q33" s="308"/>
      <c r="R33" s="308"/>
      <c r="S33" s="308"/>
      <c r="T33" s="308"/>
      <c r="U33" s="308"/>
      <c r="V33" s="308"/>
      <c r="W33" s="308"/>
      <c r="X33" s="308"/>
    </row>
    <row r="34" spans="2:24" ht="15.75">
      <c r="B34" s="308"/>
      <c r="C34" s="308"/>
      <c r="D34" s="308"/>
      <c r="E34" s="308"/>
      <c r="F34" s="308"/>
      <c r="G34" s="308"/>
      <c r="H34" s="308"/>
      <c r="I34" s="308"/>
      <c r="J34" s="308"/>
      <c r="K34" s="308"/>
      <c r="L34" s="308"/>
      <c r="M34" s="308"/>
      <c r="N34" s="307" t="s">
        <v>143</v>
      </c>
      <c r="O34" s="312">
        <v>1</v>
      </c>
      <c r="P34" s="312">
        <f>1/O35</f>
        <v>0.25</v>
      </c>
      <c r="Q34" s="308"/>
      <c r="R34" s="308"/>
      <c r="S34" s="308"/>
      <c r="T34" s="308"/>
      <c r="U34" s="308"/>
      <c r="V34" s="308"/>
      <c r="W34" s="308"/>
      <c r="X34" s="308"/>
    </row>
    <row r="35" spans="2:24" ht="15.75">
      <c r="B35" s="308"/>
      <c r="C35" s="308"/>
      <c r="D35" s="308"/>
      <c r="E35" s="308"/>
      <c r="F35" s="308"/>
      <c r="G35" s="308"/>
      <c r="H35" s="308"/>
      <c r="I35" s="308"/>
      <c r="J35" s="308"/>
      <c r="K35" s="308"/>
      <c r="L35" s="308"/>
      <c r="M35" s="308"/>
      <c r="N35" s="307" t="s">
        <v>144</v>
      </c>
      <c r="O35" s="312">
        <v>4</v>
      </c>
      <c r="P35" s="312">
        <v>1</v>
      </c>
      <c r="Q35" s="308"/>
      <c r="R35" s="308"/>
      <c r="S35" s="308"/>
      <c r="T35" s="308"/>
      <c r="U35" s="308"/>
      <c r="V35" s="308"/>
      <c r="W35" s="308"/>
      <c r="X35" s="308"/>
    </row>
    <row r="36" spans="2:24">
      <c r="B36" s="308"/>
      <c r="C36" s="308"/>
      <c r="D36" s="308"/>
      <c r="E36" s="308"/>
      <c r="F36" s="308"/>
      <c r="G36" s="308"/>
      <c r="H36" s="308"/>
      <c r="I36" s="308"/>
      <c r="J36" s="308"/>
      <c r="K36" s="308"/>
      <c r="L36" s="308"/>
      <c r="M36" s="308"/>
      <c r="N36" s="308"/>
      <c r="O36" s="308"/>
      <c r="P36" s="308"/>
      <c r="Q36" s="308"/>
      <c r="R36" s="308"/>
      <c r="S36" s="308"/>
      <c r="T36" s="308"/>
      <c r="U36" s="308"/>
      <c r="V36" s="308"/>
      <c r="W36" s="308"/>
      <c r="X36" s="308"/>
    </row>
    <row r="37" spans="2:24">
      <c r="B37" s="308"/>
      <c r="C37" s="308"/>
      <c r="D37" s="308"/>
      <c r="E37" s="308"/>
      <c r="F37" s="308"/>
      <c r="G37" s="308"/>
      <c r="H37" s="308"/>
      <c r="I37" s="308"/>
      <c r="J37" s="308"/>
      <c r="K37" s="308"/>
      <c r="L37" s="308"/>
      <c r="M37" s="308"/>
      <c r="N37" s="308"/>
      <c r="O37" s="308" t="s">
        <v>151</v>
      </c>
      <c r="P37" s="308" t="s">
        <v>152</v>
      </c>
      <c r="Q37" s="308" t="s">
        <v>153</v>
      </c>
      <c r="R37" s="308"/>
      <c r="S37" s="308"/>
      <c r="T37" s="308"/>
      <c r="U37" s="308"/>
      <c r="V37" s="308"/>
      <c r="W37" s="308"/>
      <c r="X37" s="308"/>
    </row>
    <row r="38" spans="2:24">
      <c r="B38" s="308"/>
      <c r="C38" s="308"/>
      <c r="D38" s="308"/>
      <c r="E38" s="308"/>
      <c r="F38" s="308"/>
      <c r="G38" s="308"/>
      <c r="H38" s="308"/>
      <c r="I38" s="308"/>
      <c r="J38" s="308"/>
      <c r="K38" s="308"/>
      <c r="L38" s="308"/>
      <c r="M38" s="308"/>
      <c r="N38" s="308" t="s">
        <v>154</v>
      </c>
      <c r="O38" s="308">
        <v>1</v>
      </c>
      <c r="P38" s="308">
        <f>1/O39</f>
        <v>0.2</v>
      </c>
      <c r="Q38" s="308">
        <f>1/O40</f>
        <v>0.25</v>
      </c>
      <c r="R38" s="308"/>
      <c r="S38" s="308"/>
      <c r="T38" s="308"/>
      <c r="U38" s="308"/>
      <c r="V38" s="308"/>
      <c r="W38" s="308"/>
      <c r="X38" s="308"/>
    </row>
    <row r="39" spans="2:24">
      <c r="B39" s="308"/>
      <c r="C39" s="308"/>
      <c r="D39" s="308"/>
      <c r="E39" s="308"/>
      <c r="F39" s="308"/>
      <c r="G39" s="308"/>
      <c r="H39" s="308"/>
      <c r="I39" s="308"/>
      <c r="J39" s="308"/>
      <c r="K39" s="308"/>
      <c r="L39" s="308"/>
      <c r="M39" s="308"/>
      <c r="N39" s="308" t="s">
        <v>152</v>
      </c>
      <c r="O39" s="308">
        <v>5</v>
      </c>
      <c r="P39" s="308">
        <v>1</v>
      </c>
      <c r="Q39" s="308">
        <f>1/P40</f>
        <v>1</v>
      </c>
      <c r="R39" s="308"/>
      <c r="S39" s="308"/>
      <c r="T39" s="308"/>
      <c r="U39" s="308"/>
      <c r="V39" s="308"/>
      <c r="W39" s="308"/>
      <c r="X39" s="308"/>
    </row>
    <row r="40" spans="2:24">
      <c r="B40" s="308"/>
      <c r="C40" s="308"/>
      <c r="D40" s="308"/>
      <c r="E40" s="308"/>
      <c r="F40" s="308"/>
      <c r="G40" s="308"/>
      <c r="H40" s="308"/>
      <c r="I40" s="308"/>
      <c r="J40" s="308"/>
      <c r="K40" s="308"/>
      <c r="L40" s="308"/>
      <c r="M40" s="308"/>
      <c r="N40" s="308" t="s">
        <v>153</v>
      </c>
      <c r="O40" s="308">
        <v>4</v>
      </c>
      <c r="P40" s="308">
        <v>1</v>
      </c>
      <c r="Q40" s="308">
        <v>1</v>
      </c>
      <c r="R40" s="308"/>
      <c r="S40" s="308"/>
      <c r="T40" s="308"/>
      <c r="U40" s="308"/>
      <c r="V40" s="308"/>
      <c r="W40" s="308"/>
      <c r="X40" s="308"/>
    </row>
    <row r="41" spans="2:24">
      <c r="B41" s="308"/>
      <c r="C41" s="308"/>
      <c r="D41" s="308"/>
      <c r="E41" s="308"/>
      <c r="F41" s="308"/>
      <c r="G41" s="308"/>
      <c r="H41" s="308"/>
      <c r="I41" s="308"/>
      <c r="J41" s="308"/>
      <c r="K41" s="308"/>
      <c r="L41" s="308"/>
      <c r="M41" s="308"/>
      <c r="N41" s="308"/>
      <c r="O41" s="308"/>
      <c r="P41" s="308"/>
      <c r="Q41" s="308"/>
      <c r="R41" s="308"/>
      <c r="S41" s="308"/>
      <c r="T41" s="308"/>
      <c r="U41" s="308"/>
      <c r="V41" s="308"/>
      <c r="W41" s="308"/>
      <c r="X41" s="308"/>
    </row>
    <row r="42" spans="2:24" ht="15.75">
      <c r="B42" s="308"/>
      <c r="C42" s="308"/>
      <c r="D42" s="308"/>
      <c r="E42" s="308"/>
      <c r="F42" s="308"/>
      <c r="G42" s="308"/>
      <c r="H42" s="308"/>
      <c r="I42" s="308"/>
      <c r="J42" s="308"/>
      <c r="K42" s="308"/>
      <c r="L42" s="308"/>
      <c r="M42" s="308"/>
      <c r="N42" s="308"/>
      <c r="O42" s="307" t="s">
        <v>148</v>
      </c>
      <c r="P42" s="307" t="s">
        <v>68</v>
      </c>
      <c r="Q42" s="307" t="s">
        <v>149</v>
      </c>
      <c r="R42" s="307" t="s">
        <v>150</v>
      </c>
      <c r="S42" s="308"/>
      <c r="T42" s="308"/>
      <c r="U42" s="308"/>
      <c r="V42" s="308"/>
      <c r="W42" s="308"/>
      <c r="X42" s="308"/>
    </row>
    <row r="43" spans="2:24" ht="15.75">
      <c r="B43" s="308"/>
      <c r="C43" s="308"/>
      <c r="D43" s="308"/>
      <c r="E43" s="308"/>
      <c r="F43" s="308"/>
      <c r="G43" s="308"/>
      <c r="H43" s="308"/>
      <c r="I43" s="308"/>
      <c r="J43" s="308"/>
      <c r="K43" s="308"/>
      <c r="L43" s="308"/>
      <c r="M43" s="308"/>
      <c r="N43" s="307" t="s">
        <v>148</v>
      </c>
      <c r="O43" s="308">
        <v>1</v>
      </c>
      <c r="P43" s="308">
        <f>1/O44</f>
        <v>1</v>
      </c>
      <c r="Q43" s="308">
        <f>1/O45</f>
        <v>3</v>
      </c>
      <c r="R43" s="308">
        <f>1/O46</f>
        <v>0.33333333333333331</v>
      </c>
      <c r="S43" s="308"/>
      <c r="T43" s="308"/>
      <c r="U43" s="308"/>
      <c r="V43" s="308"/>
      <c r="W43" s="308"/>
      <c r="X43" s="308"/>
    </row>
    <row r="44" spans="2:24" ht="15.75">
      <c r="B44" s="308"/>
      <c r="C44" s="308"/>
      <c r="D44" s="308"/>
      <c r="E44" s="308"/>
      <c r="F44" s="308"/>
      <c r="G44" s="308"/>
      <c r="H44" s="308"/>
      <c r="I44" s="308"/>
      <c r="J44" s="308"/>
      <c r="K44" s="308"/>
      <c r="L44" s="308"/>
      <c r="M44" s="308"/>
      <c r="N44" s="307" t="s">
        <v>68</v>
      </c>
      <c r="O44" s="312">
        <v>1</v>
      </c>
      <c r="P44" s="308">
        <v>1</v>
      </c>
      <c r="Q44" s="308">
        <f>1/P45</f>
        <v>1</v>
      </c>
      <c r="R44" s="308">
        <f>1/P46</f>
        <v>0.33333333333333331</v>
      </c>
      <c r="S44" s="308"/>
      <c r="T44" s="308"/>
      <c r="U44" s="308"/>
      <c r="V44" s="308"/>
      <c r="W44" s="308"/>
      <c r="X44" s="308"/>
    </row>
    <row r="45" spans="2:24" ht="15.75">
      <c r="B45" s="308"/>
      <c r="C45" s="308"/>
      <c r="D45" s="308"/>
      <c r="E45" s="308"/>
      <c r="F45" s="308"/>
      <c r="G45" s="308"/>
      <c r="H45" s="308"/>
      <c r="I45" s="308"/>
      <c r="J45" s="308"/>
      <c r="K45" s="308"/>
      <c r="L45" s="308"/>
      <c r="M45" s="308"/>
      <c r="N45" s="307" t="s">
        <v>149</v>
      </c>
      <c r="O45" s="312">
        <v>0.33333333333333331</v>
      </c>
      <c r="P45" s="312">
        <v>1</v>
      </c>
      <c r="Q45" s="308">
        <v>1</v>
      </c>
      <c r="R45" s="308">
        <f>1/Q46</f>
        <v>0.33333333333333331</v>
      </c>
      <c r="S45" s="308"/>
      <c r="T45" s="308"/>
      <c r="U45" s="308"/>
      <c r="V45" s="308"/>
      <c r="W45" s="308"/>
      <c r="X45" s="308"/>
    </row>
    <row r="46" spans="2:24" ht="15.75">
      <c r="B46" s="308"/>
      <c r="C46" s="308"/>
      <c r="D46" s="308"/>
      <c r="E46" s="308"/>
      <c r="F46" s="308"/>
      <c r="G46" s="308"/>
      <c r="H46" s="308"/>
      <c r="I46" s="308"/>
      <c r="J46" s="308"/>
      <c r="K46" s="308"/>
      <c r="L46" s="308"/>
      <c r="M46" s="308"/>
      <c r="N46" s="307" t="s">
        <v>150</v>
      </c>
      <c r="O46" s="312">
        <v>3</v>
      </c>
      <c r="P46" s="312">
        <v>3</v>
      </c>
      <c r="Q46" s="312">
        <v>3</v>
      </c>
      <c r="R46" s="308">
        <v>1</v>
      </c>
      <c r="S46" s="308"/>
      <c r="T46" s="308"/>
      <c r="U46" s="308"/>
      <c r="V46" s="308"/>
      <c r="W46" s="308"/>
      <c r="X46" s="308"/>
    </row>
    <row r="52" spans="2:26" ht="13.5" thickBot="1"/>
    <row r="53" spans="2:26" ht="14.25">
      <c r="B53" s="300" t="s">
        <v>138</v>
      </c>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4"/>
    </row>
    <row r="54" spans="2:26">
      <c r="B54" s="315"/>
      <c r="Z54" s="316"/>
    </row>
    <row r="55" spans="2:26" ht="14.25">
      <c r="B55" s="315"/>
      <c r="C55" s="134" t="s">
        <v>124</v>
      </c>
      <c r="D55" s="134"/>
      <c r="E55" s="134"/>
      <c r="I55" s="105" t="s">
        <v>103</v>
      </c>
      <c r="J55" s="108"/>
      <c r="L55" s="108"/>
      <c r="M55" s="108"/>
      <c r="Z55" s="316"/>
    </row>
    <row r="56" spans="2:26">
      <c r="B56" s="315"/>
      <c r="C56" s="84"/>
      <c r="D56" s="78" t="s">
        <v>57</v>
      </c>
      <c r="E56" s="78" t="s">
        <v>63</v>
      </c>
      <c r="I56" s="84"/>
      <c r="J56" s="78" t="s">
        <v>51</v>
      </c>
      <c r="K56" s="78" t="s">
        <v>53</v>
      </c>
      <c r="L56" s="210" t="s">
        <v>104</v>
      </c>
      <c r="M56" s="72"/>
      <c r="N56" s="72"/>
      <c r="P56" s="78" t="s">
        <v>104</v>
      </c>
      <c r="Q56" s="79">
        <f>+L57</f>
        <v>0.2</v>
      </c>
      <c r="R56" s="79">
        <f>+L58</f>
        <v>0.8</v>
      </c>
      <c r="S56" s="80"/>
      <c r="T56" s="80"/>
      <c r="Z56" s="316"/>
    </row>
    <row r="57" spans="2:26" ht="17.25">
      <c r="B57" s="315"/>
      <c r="C57" s="78" t="s">
        <v>57</v>
      </c>
      <c r="D57" s="79">
        <v>1</v>
      </c>
      <c r="E57" s="79">
        <v>0.25</v>
      </c>
      <c r="I57" s="78" t="s">
        <v>51</v>
      </c>
      <c r="J57" s="79">
        <f>+D57/SUM(D57:D58)</f>
        <v>0.2</v>
      </c>
      <c r="K57" s="79">
        <f>+E57/SUM(E57:E58)</f>
        <v>0.2</v>
      </c>
      <c r="L57" s="112">
        <f>+AVERAGE(J57:K57)</f>
        <v>0.2</v>
      </c>
      <c r="M57" s="87"/>
      <c r="N57" s="87"/>
      <c r="P57" s="109"/>
      <c r="Q57" s="110" t="s">
        <v>51</v>
      </c>
      <c r="R57" s="110" t="s">
        <v>53</v>
      </c>
      <c r="S57" s="110" t="s">
        <v>105</v>
      </c>
      <c r="T57" s="110" t="s">
        <v>106</v>
      </c>
      <c r="X57" s="90" t="s">
        <v>94</v>
      </c>
      <c r="Y57" s="91">
        <f>+AVERAGE(T58:T60)</f>
        <v>2</v>
      </c>
      <c r="Z57" s="316"/>
    </row>
    <row r="58" spans="2:26">
      <c r="B58" s="315"/>
      <c r="C58" s="92" t="s">
        <v>63</v>
      </c>
      <c r="D58" s="115">
        <v>4</v>
      </c>
      <c r="E58" s="115">
        <v>1</v>
      </c>
      <c r="I58" s="92" t="s">
        <v>53</v>
      </c>
      <c r="J58" s="115">
        <f>+D58/SUM(D57:D58)</f>
        <v>0.8</v>
      </c>
      <c r="K58" s="115">
        <f>+E58/SUM(E57:E58)</f>
        <v>0.8</v>
      </c>
      <c r="L58" s="93">
        <f>+AVERAGE(J58:K58)</f>
        <v>0.8</v>
      </c>
      <c r="M58" s="87"/>
      <c r="N58" s="87"/>
      <c r="P58" s="78" t="s">
        <v>51</v>
      </c>
      <c r="Q58" s="79">
        <f>+Q56*D57</f>
        <v>0.2</v>
      </c>
      <c r="R58" s="79">
        <f>+R56*E57</f>
        <v>0.2</v>
      </c>
      <c r="S58" s="113">
        <f>+SUM(Q58:R58)</f>
        <v>0.4</v>
      </c>
      <c r="T58" s="114">
        <f>+S58/L57</f>
        <v>2</v>
      </c>
      <c r="X58" s="90" t="s">
        <v>96</v>
      </c>
      <c r="Y58" s="91">
        <f>+COUNTA(Q57:R57)</f>
        <v>2</v>
      </c>
      <c r="Z58" s="316"/>
    </row>
    <row r="59" spans="2:26">
      <c r="B59" s="315"/>
      <c r="C59" s="97"/>
      <c r="D59" s="97"/>
      <c r="E59" s="97"/>
      <c r="F59" s="97"/>
      <c r="I59" s="85"/>
      <c r="J59" s="86"/>
      <c r="K59" s="86"/>
      <c r="L59" s="87"/>
      <c r="M59" s="87"/>
      <c r="N59" s="87"/>
      <c r="P59" s="301" t="s">
        <v>53</v>
      </c>
      <c r="Q59" s="122">
        <f>+Q56*D58</f>
        <v>0.8</v>
      </c>
      <c r="R59" s="122">
        <f>+R56*E58</f>
        <v>0.8</v>
      </c>
      <c r="S59" s="302">
        <f>+SUM(Q59:R59)</f>
        <v>1.6</v>
      </c>
      <c r="T59" s="303">
        <f>+S59/L58</f>
        <v>2</v>
      </c>
      <c r="X59" s="90" t="s">
        <v>107</v>
      </c>
      <c r="Y59" s="91">
        <f>+(Y57-Y58)/(Y58-1)</f>
        <v>0</v>
      </c>
      <c r="Z59" s="316"/>
    </row>
    <row r="60" spans="2:26">
      <c r="B60" s="315"/>
      <c r="I60" s="97"/>
      <c r="J60" s="97"/>
      <c r="K60" s="97"/>
      <c r="P60" s="85"/>
      <c r="Q60" s="86"/>
      <c r="R60" s="86"/>
      <c r="S60" s="88"/>
      <c r="T60" s="89"/>
      <c r="X60" s="90" t="s">
        <v>108</v>
      </c>
      <c r="Y60" s="91">
        <v>0.57999999999999996</v>
      </c>
      <c r="Z60" s="316"/>
    </row>
    <row r="61" spans="2:26">
      <c r="B61" s="315"/>
      <c r="P61" s="85"/>
      <c r="Q61" s="86"/>
      <c r="R61" s="86"/>
      <c r="S61" s="88"/>
      <c r="T61" s="89"/>
      <c r="X61" s="90" t="s">
        <v>109</v>
      </c>
      <c r="Y61" s="91">
        <f>Y59/Y60</f>
        <v>0</v>
      </c>
      <c r="Z61" s="316"/>
    </row>
    <row r="62" spans="2:26" ht="14.25">
      <c r="B62" s="315"/>
      <c r="I62" s="97"/>
      <c r="K62" s="106"/>
      <c r="L62" s="107"/>
      <c r="M62" s="107"/>
      <c r="N62" s="107"/>
      <c r="O62" s="106"/>
      <c r="P62" s="106"/>
      <c r="Z62" s="316"/>
    </row>
    <row r="63" spans="2:26" ht="14.25">
      <c r="B63" s="315"/>
      <c r="C63" s="275" t="s">
        <v>125</v>
      </c>
      <c r="D63" s="108"/>
      <c r="F63" s="108"/>
      <c r="I63" s="105" t="s">
        <v>103</v>
      </c>
      <c r="J63" s="108"/>
      <c r="L63" s="108"/>
      <c r="P63" s="71" t="s">
        <v>126</v>
      </c>
      <c r="Z63" s="316"/>
    </row>
    <row r="64" spans="2:26">
      <c r="B64" s="315"/>
      <c r="C64" s="84"/>
      <c r="D64" s="78" t="s">
        <v>59</v>
      </c>
      <c r="E64" s="78" t="s">
        <v>65</v>
      </c>
      <c r="F64" s="78" t="s">
        <v>69</v>
      </c>
      <c r="I64" s="84"/>
      <c r="J64" s="78" t="s">
        <v>51</v>
      </c>
      <c r="K64" s="78" t="s">
        <v>53</v>
      </c>
      <c r="L64" s="78" t="s">
        <v>55</v>
      </c>
      <c r="M64" s="210" t="s">
        <v>104</v>
      </c>
      <c r="N64" s="72"/>
      <c r="P64" s="78" t="s">
        <v>104</v>
      </c>
      <c r="Q64" s="79">
        <f>+M65</f>
        <v>0.10067340067340068</v>
      </c>
      <c r="R64" s="79">
        <f>+M66</f>
        <v>0.46632996632996632</v>
      </c>
      <c r="S64" s="79">
        <f>+M67</f>
        <v>0.43299663299663299</v>
      </c>
      <c r="T64" s="80"/>
      <c r="U64" s="80"/>
      <c r="V64" s="80"/>
      <c r="Z64" s="316"/>
    </row>
    <row r="65" spans="2:26" ht="17.25">
      <c r="B65" s="315"/>
      <c r="C65" s="78" t="s">
        <v>59</v>
      </c>
      <c r="D65" s="71">
        <v>1</v>
      </c>
      <c r="E65" s="71">
        <v>0.2</v>
      </c>
      <c r="F65" s="71">
        <v>0.25</v>
      </c>
      <c r="I65" s="78" t="s">
        <v>51</v>
      </c>
      <c r="J65" s="79">
        <f>+D65/SUM(D65:D67)</f>
        <v>0.1</v>
      </c>
      <c r="K65" s="79">
        <f>+E65/SUM(E65:E67)</f>
        <v>9.0909090909090912E-2</v>
      </c>
      <c r="L65" s="79">
        <f>+F65/SUM(F65:F67)</f>
        <v>0.1111111111111111</v>
      </c>
      <c r="M65" s="112">
        <f>+AVERAGE(J65:L65)</f>
        <v>0.10067340067340068</v>
      </c>
      <c r="N65" s="87"/>
      <c r="P65" s="84"/>
      <c r="Q65" s="78" t="s">
        <v>51</v>
      </c>
      <c r="R65" s="78" t="s">
        <v>53</v>
      </c>
      <c r="S65" s="78" t="s">
        <v>55</v>
      </c>
      <c r="T65" s="110" t="s">
        <v>105</v>
      </c>
      <c r="U65" s="110" t="s">
        <v>106</v>
      </c>
      <c r="V65" s="85"/>
      <c r="X65" s="90" t="s">
        <v>94</v>
      </c>
      <c r="Y65" s="91">
        <f>+AVERAGE(U66:U68)</f>
        <v>3.0055376412866237</v>
      </c>
      <c r="Z65" s="316"/>
    </row>
    <row r="66" spans="2:26">
      <c r="B66" s="315"/>
      <c r="C66" s="85" t="s">
        <v>65</v>
      </c>
      <c r="D66" s="71">
        <v>5</v>
      </c>
      <c r="E66" s="71">
        <v>1</v>
      </c>
      <c r="F66" s="71">
        <v>1</v>
      </c>
      <c r="I66" s="85" t="s">
        <v>53</v>
      </c>
      <c r="J66" s="86">
        <f>+D66/SUM(D65:D67)</f>
        <v>0.5</v>
      </c>
      <c r="K66" s="86">
        <f>+E66/SUM(E65:E67)</f>
        <v>0.45454545454545453</v>
      </c>
      <c r="L66" s="86">
        <f>+F66/SUM(F65:F67)</f>
        <v>0.44444444444444442</v>
      </c>
      <c r="M66" s="87">
        <f>+AVERAGE(J66:L66)</f>
        <v>0.46632996632996632</v>
      </c>
      <c r="N66" s="87"/>
      <c r="P66" s="78" t="s">
        <v>51</v>
      </c>
      <c r="Q66" s="79">
        <f>+Q64*D65</f>
        <v>0.10067340067340068</v>
      </c>
      <c r="R66" s="79">
        <f>+R64*E65</f>
        <v>9.3265993265993274E-2</v>
      </c>
      <c r="S66" s="79">
        <f>+S64*F65</f>
        <v>0.10824915824915825</v>
      </c>
      <c r="T66" s="113">
        <f>+SUM(Q66:S66)</f>
        <v>0.30218855218855223</v>
      </c>
      <c r="U66" s="114">
        <f>+T66/M65</f>
        <v>3.0016722408026757</v>
      </c>
      <c r="V66" s="89"/>
      <c r="X66" s="90" t="s">
        <v>96</v>
      </c>
      <c r="Y66" s="91">
        <f>+COUNTA(Q65:S65)</f>
        <v>3</v>
      </c>
      <c r="Z66" s="316"/>
    </row>
    <row r="67" spans="2:26">
      <c r="B67" s="315"/>
      <c r="C67" s="92" t="s">
        <v>69</v>
      </c>
      <c r="D67" s="71">
        <v>4</v>
      </c>
      <c r="E67" s="71">
        <v>1</v>
      </c>
      <c r="F67" s="71">
        <v>1</v>
      </c>
      <c r="I67" s="92" t="s">
        <v>55</v>
      </c>
      <c r="J67" s="115">
        <f>+D67/SUM(D65:D67)</f>
        <v>0.4</v>
      </c>
      <c r="K67" s="115">
        <f>+E67/SUM(E65:E67)</f>
        <v>0.45454545454545453</v>
      </c>
      <c r="L67" s="115">
        <f>+F67/SUM(F65:F67)</f>
        <v>0.44444444444444442</v>
      </c>
      <c r="M67" s="93">
        <f>+AVERAGE(J67:L67)</f>
        <v>0.43299663299663299</v>
      </c>
      <c r="N67" s="87"/>
      <c r="P67" s="85" t="s">
        <v>53</v>
      </c>
      <c r="Q67" s="86">
        <f>+Q64*D66</f>
        <v>0.50336700336700335</v>
      </c>
      <c r="R67" s="86">
        <f>+R64*E66</f>
        <v>0.46632996632996632</v>
      </c>
      <c r="S67" s="86">
        <f>+S64*F66</f>
        <v>0.43299663299663299</v>
      </c>
      <c r="T67" s="88">
        <f>+SUM(Q67:S67)</f>
        <v>1.4026936026936028</v>
      </c>
      <c r="U67" s="89">
        <f>+T67/M66</f>
        <v>3.0079422382671481</v>
      </c>
      <c r="V67" s="89"/>
      <c r="X67" s="90" t="s">
        <v>107</v>
      </c>
      <c r="Y67" s="91">
        <f>+(Y65-Y66)/(Y66-1)</f>
        <v>2.7688206433118534E-3</v>
      </c>
      <c r="Z67" s="316"/>
    </row>
    <row r="68" spans="2:26">
      <c r="B68" s="315"/>
      <c r="I68" s="97"/>
      <c r="J68" s="97"/>
      <c r="K68" s="97"/>
      <c r="L68" s="97"/>
      <c r="P68" s="92" t="s">
        <v>55</v>
      </c>
      <c r="Q68" s="115">
        <f>+Q64*D67</f>
        <v>0.40269360269360271</v>
      </c>
      <c r="R68" s="115">
        <f>+R64*E67</f>
        <v>0.46632996632996632</v>
      </c>
      <c r="S68" s="115">
        <f>+S64*F67</f>
        <v>0.43299663299663299</v>
      </c>
      <c r="T68" s="94">
        <f>+SUM(Q68:S68)</f>
        <v>1.3020202020202021</v>
      </c>
      <c r="U68" s="95">
        <f>+T68/M67</f>
        <v>3.0069984447900469</v>
      </c>
      <c r="V68" s="89"/>
      <c r="X68" s="90" t="s">
        <v>108</v>
      </c>
      <c r="Y68" s="91">
        <v>0.57999999999999996</v>
      </c>
      <c r="Z68" s="316"/>
    </row>
    <row r="69" spans="2:26">
      <c r="B69" s="315"/>
      <c r="O69" s="85"/>
      <c r="P69" s="86"/>
      <c r="Q69" s="86"/>
      <c r="R69" s="86"/>
      <c r="S69" s="88"/>
      <c r="T69" s="89"/>
      <c r="X69" s="90" t="s">
        <v>109</v>
      </c>
      <c r="Y69" s="91">
        <f>Y67/Y68</f>
        <v>4.7738286953652644E-3</v>
      </c>
      <c r="Z69" s="316"/>
    </row>
    <row r="70" spans="2:26">
      <c r="B70" s="315"/>
      <c r="Z70" s="316"/>
    </row>
    <row r="71" spans="2:26" ht="14.25">
      <c r="B71" s="315"/>
      <c r="C71" s="275" t="s">
        <v>127</v>
      </c>
      <c r="D71" s="108"/>
      <c r="F71" s="108"/>
      <c r="G71" s="108"/>
      <c r="I71" s="105" t="s">
        <v>103</v>
      </c>
      <c r="J71" s="108"/>
      <c r="L71" s="108"/>
      <c r="Z71" s="316"/>
    </row>
    <row r="72" spans="2:26">
      <c r="B72" s="315"/>
      <c r="C72" s="84"/>
      <c r="D72" s="78" t="s">
        <v>61</v>
      </c>
      <c r="E72" s="78" t="s">
        <v>67</v>
      </c>
      <c r="F72" s="78" t="s">
        <v>128</v>
      </c>
      <c r="G72" s="78" t="s">
        <v>73</v>
      </c>
      <c r="I72" s="84"/>
      <c r="J72" s="78" t="s">
        <v>61</v>
      </c>
      <c r="K72" s="78" t="s">
        <v>67</v>
      </c>
      <c r="L72" s="78" t="s">
        <v>128</v>
      </c>
      <c r="M72" s="78" t="s">
        <v>73</v>
      </c>
      <c r="N72" s="210" t="s">
        <v>104</v>
      </c>
      <c r="P72" s="78" t="s">
        <v>104</v>
      </c>
      <c r="Q72" s="79">
        <f>+N73</f>
        <v>0.22395833333333331</v>
      </c>
      <c r="R72" s="79">
        <f>+N74</f>
        <v>0.16145833333333331</v>
      </c>
      <c r="S72" s="79">
        <f>+N75</f>
        <v>0.13020833333333331</v>
      </c>
      <c r="T72" s="304">
        <f>+N76</f>
        <v>0.484375</v>
      </c>
      <c r="U72" s="80"/>
      <c r="V72" s="80"/>
      <c r="Z72" s="316"/>
    </row>
    <row r="73" spans="2:26" ht="17.25">
      <c r="B73" s="315"/>
      <c r="C73" s="85" t="s">
        <v>61</v>
      </c>
      <c r="D73" s="86">
        <v>1</v>
      </c>
      <c r="E73" s="86">
        <v>1</v>
      </c>
      <c r="F73" s="86">
        <v>3</v>
      </c>
      <c r="G73" s="86">
        <v>0.33333333333333331</v>
      </c>
      <c r="I73" s="78" t="s">
        <v>61</v>
      </c>
      <c r="J73" s="79">
        <f>+D73/SUM(D73:D76)</f>
        <v>0.18749999999999997</v>
      </c>
      <c r="K73" s="79">
        <f>+E73/SUM(E73:E76)</f>
        <v>0.16666666666666666</v>
      </c>
      <c r="L73" s="79">
        <f>+F73/SUM(F73:F76)</f>
        <v>0.375</v>
      </c>
      <c r="M73" s="79">
        <f>+G73/SUM(G73:G76)</f>
        <v>0.16666666666666666</v>
      </c>
      <c r="N73" s="112">
        <f>+AVERAGE(J73:M73)</f>
        <v>0.22395833333333331</v>
      </c>
      <c r="P73" s="84"/>
      <c r="Q73" s="78" t="s">
        <v>61</v>
      </c>
      <c r="R73" s="78" t="s">
        <v>67</v>
      </c>
      <c r="S73" s="78" t="s">
        <v>128</v>
      </c>
      <c r="T73" s="78" t="s">
        <v>73</v>
      </c>
      <c r="U73" s="78" t="s">
        <v>105</v>
      </c>
      <c r="V73" s="78" t="s">
        <v>106</v>
      </c>
      <c r="X73" s="90" t="s">
        <v>94</v>
      </c>
      <c r="Y73" s="91">
        <f>+AVERAGE(V74:V77)</f>
        <v>4.1566191547886966</v>
      </c>
      <c r="Z73" s="316"/>
    </row>
    <row r="74" spans="2:26">
      <c r="B74" s="315"/>
      <c r="C74" s="85" t="s">
        <v>67</v>
      </c>
      <c r="D74" s="86">
        <v>1</v>
      </c>
      <c r="E74" s="86">
        <v>1</v>
      </c>
      <c r="F74" s="86">
        <v>1</v>
      </c>
      <c r="G74" s="86">
        <v>0.33333333333333331</v>
      </c>
      <c r="I74" s="85" t="s">
        <v>67</v>
      </c>
      <c r="J74" s="86">
        <f>+D74/SUM(D73:D76)</f>
        <v>0.18749999999999997</v>
      </c>
      <c r="K74" s="86">
        <f>+E74/SUM(E73:E76)</f>
        <v>0.16666666666666666</v>
      </c>
      <c r="L74" s="86">
        <f>+F74/SUM(F73:F76)</f>
        <v>0.125</v>
      </c>
      <c r="M74" s="86">
        <f>+G74/SUM(G73:G76)</f>
        <v>0.16666666666666666</v>
      </c>
      <c r="N74" s="87">
        <f>+AVERAGE(J74:M74)</f>
        <v>0.16145833333333331</v>
      </c>
      <c r="P74" s="78" t="s">
        <v>61</v>
      </c>
      <c r="Q74" s="79">
        <f>+Q72*D73</f>
        <v>0.22395833333333331</v>
      </c>
      <c r="R74" s="79">
        <f>+R72*E73</f>
        <v>0.16145833333333331</v>
      </c>
      <c r="S74" s="79">
        <f>+S72*F73</f>
        <v>0.39062499999999994</v>
      </c>
      <c r="T74" s="79">
        <f>+T72*G73</f>
        <v>0.16145833333333331</v>
      </c>
      <c r="U74" s="79">
        <f>+SUM(Q74:T74)</f>
        <v>0.93749999999999978</v>
      </c>
      <c r="V74" s="114">
        <f>+U74/N73</f>
        <v>4.1860465116279064</v>
      </c>
      <c r="X74" s="90" t="s">
        <v>96</v>
      </c>
      <c r="Y74" s="91">
        <v>4</v>
      </c>
      <c r="Z74" s="316"/>
    </row>
    <row r="75" spans="2:26">
      <c r="B75" s="315"/>
      <c r="C75" s="85" t="s">
        <v>128</v>
      </c>
      <c r="D75" s="86">
        <v>0.33333333333333331</v>
      </c>
      <c r="E75" s="86">
        <v>1</v>
      </c>
      <c r="F75" s="86">
        <v>1</v>
      </c>
      <c r="G75" s="86">
        <v>0.33333333333333331</v>
      </c>
      <c r="I75" s="85" t="s">
        <v>128</v>
      </c>
      <c r="J75" s="86">
        <f>+D75/SUM(D73:D76)</f>
        <v>6.2499999999999986E-2</v>
      </c>
      <c r="K75" s="86">
        <f>+E75/SUM(E73:E76)</f>
        <v>0.16666666666666666</v>
      </c>
      <c r="L75" s="86">
        <f>+F75/SUM(F73:F76)</f>
        <v>0.125</v>
      </c>
      <c r="M75" s="86">
        <f>+G75/SUM(G73:G76)</f>
        <v>0.16666666666666666</v>
      </c>
      <c r="N75" s="87">
        <f>+AVERAGE(J75:M75)</f>
        <v>0.13020833333333331</v>
      </c>
      <c r="P75" s="85" t="s">
        <v>67</v>
      </c>
      <c r="Q75" s="86">
        <f>+Q72*D74</f>
        <v>0.22395833333333331</v>
      </c>
      <c r="R75" s="86">
        <f>+R72*E74</f>
        <v>0.16145833333333331</v>
      </c>
      <c r="S75" s="86">
        <f>+S72*F74</f>
        <v>0.13020833333333331</v>
      </c>
      <c r="T75" s="86">
        <f>+T72*G74</f>
        <v>0.16145833333333331</v>
      </c>
      <c r="U75" s="86">
        <f>+SUM(Q75:T75)</f>
        <v>0.67708333333333326</v>
      </c>
      <c r="V75" s="89">
        <f>+U75/N74</f>
        <v>4.193548387096774</v>
      </c>
      <c r="X75" s="90" t="s">
        <v>107</v>
      </c>
      <c r="Y75" s="91">
        <f>+(Y73-Y74)/(Y74-1)</f>
        <v>5.220638492956553E-2</v>
      </c>
      <c r="Z75" s="316"/>
    </row>
    <row r="76" spans="2:26">
      <c r="B76" s="315"/>
      <c r="C76" s="92" t="s">
        <v>73</v>
      </c>
      <c r="D76" s="115">
        <v>3</v>
      </c>
      <c r="E76" s="115">
        <v>3</v>
      </c>
      <c r="F76" s="115">
        <v>3</v>
      </c>
      <c r="G76" s="115">
        <v>1</v>
      </c>
      <c r="I76" s="92" t="s">
        <v>73</v>
      </c>
      <c r="J76" s="115">
        <f>+D76/SUM(D73:D76)</f>
        <v>0.56249999999999989</v>
      </c>
      <c r="K76" s="115">
        <f>+E76/SUM(E73:E76)</f>
        <v>0.5</v>
      </c>
      <c r="L76" s="115">
        <f>+F76/SUM(F73:F76)</f>
        <v>0.375</v>
      </c>
      <c r="M76" s="115">
        <f>+G76/SUM(G73:G76)</f>
        <v>0.5</v>
      </c>
      <c r="N76" s="93">
        <f>+AVERAGE(J76:M76)</f>
        <v>0.484375</v>
      </c>
      <c r="P76" s="85" t="s">
        <v>128</v>
      </c>
      <c r="Q76" s="86">
        <f>+Q72*D75</f>
        <v>7.4652777777777762E-2</v>
      </c>
      <c r="R76" s="86">
        <f>+R72*E75</f>
        <v>0.16145833333333331</v>
      </c>
      <c r="S76" s="86">
        <f>+S72*F75</f>
        <v>0.13020833333333331</v>
      </c>
      <c r="T76" s="86">
        <f>+T72*G75</f>
        <v>0.16145833333333331</v>
      </c>
      <c r="U76" s="86">
        <f>+SUM(Q76:T76)</f>
        <v>0.52777777777777768</v>
      </c>
      <c r="V76" s="89">
        <f>+U76/N75</f>
        <v>4.0533333333333328</v>
      </c>
      <c r="X76" s="90" t="s">
        <v>108</v>
      </c>
      <c r="Y76" s="91">
        <v>0.9</v>
      </c>
      <c r="Z76" s="316"/>
    </row>
    <row r="77" spans="2:26">
      <c r="B77" s="315"/>
      <c r="P77" s="92" t="s">
        <v>73</v>
      </c>
      <c r="Q77" s="115">
        <f>+Q72*D76</f>
        <v>0.671875</v>
      </c>
      <c r="R77" s="115">
        <f>+R72*E76</f>
        <v>0.48437499999999994</v>
      </c>
      <c r="S77" s="115">
        <f>+S72*F76</f>
        <v>0.39062499999999994</v>
      </c>
      <c r="T77" s="115">
        <f>+T72*G76</f>
        <v>0.484375</v>
      </c>
      <c r="U77" s="115">
        <f>+SUM(Q77:T77)</f>
        <v>2.03125</v>
      </c>
      <c r="V77" s="95">
        <f>+U77/N76</f>
        <v>4.193548387096774</v>
      </c>
      <c r="X77" s="90" t="s">
        <v>109</v>
      </c>
      <c r="Y77" s="91">
        <f>Y75/Y76</f>
        <v>5.8007094366183919E-2</v>
      </c>
      <c r="Z77" s="316"/>
    </row>
    <row r="78" spans="2:26">
      <c r="B78" s="315"/>
      <c r="Z78" s="316"/>
    </row>
    <row r="79" spans="2:26" ht="13.5" thickBot="1">
      <c r="B79" s="317"/>
      <c r="C79" s="318"/>
      <c r="D79" s="318"/>
      <c r="E79" s="318"/>
      <c r="F79" s="318"/>
      <c r="G79" s="318"/>
      <c r="H79" s="318"/>
      <c r="I79" s="318"/>
      <c r="J79" s="318"/>
      <c r="K79" s="318"/>
      <c r="L79" s="318"/>
      <c r="M79" s="318"/>
      <c r="N79" s="318"/>
      <c r="O79" s="318"/>
      <c r="P79" s="318"/>
      <c r="Q79" s="318"/>
      <c r="R79" s="318"/>
      <c r="S79" s="318"/>
      <c r="T79" s="318"/>
      <c r="U79" s="318"/>
      <c r="V79" s="318"/>
      <c r="W79" s="318"/>
      <c r="X79" s="318"/>
      <c r="Y79" s="318"/>
      <c r="Z79" s="319"/>
    </row>
  </sheetData>
  <mergeCells count="3">
    <mergeCell ref="B16:X17"/>
    <mergeCell ref="C18:L18"/>
    <mergeCell ref="O19:X19"/>
  </mergeCells>
  <phoneticPr fontId="4" type="noConversion"/>
  <conditionalFormatting sqref="Y61">
    <cfRule type="cellIs" dxfId="5" priority="5" operator="greaterThan">
      <formula>0.1</formula>
    </cfRule>
    <cfRule type="cellIs" dxfId="4" priority="6" operator="lessThan">
      <formula>0.1</formula>
    </cfRule>
  </conditionalFormatting>
  <conditionalFormatting sqref="Y69">
    <cfRule type="cellIs" dxfId="3" priority="3" operator="greaterThan">
      <formula>0.1</formula>
    </cfRule>
    <cfRule type="cellIs" dxfId="2" priority="4" operator="lessThan">
      <formula>0.1</formula>
    </cfRule>
  </conditionalFormatting>
  <conditionalFormatting sqref="Y77">
    <cfRule type="cellIs" dxfId="1" priority="1" operator="greaterThan">
      <formula>0.1</formula>
    </cfRule>
    <cfRule type="cellIs" dxfId="0" priority="2" operator="lessThan">
      <formula>0.1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A8B21-EEBA-4943-A318-A794B7C5D1B7}">
  <sheetPr>
    <tabColor theme="7" tint="0.79998168889431442"/>
  </sheetPr>
  <dimension ref="C2:AL58"/>
  <sheetViews>
    <sheetView showGridLines="0" topLeftCell="H1" zoomScale="70" zoomScaleNormal="70" workbookViewId="0">
      <selection activeCell="T17" sqref="C3:T17"/>
    </sheetView>
  </sheetViews>
  <sheetFormatPr defaultColWidth="11.42578125" defaultRowHeight="12.75"/>
  <cols>
    <col min="1" max="2" width="11.42578125" style="129"/>
    <col min="3" max="3" width="16.28515625" style="129" bestFit="1" customWidth="1"/>
    <col min="4" max="4" width="4" style="129" customWidth="1"/>
    <col min="5" max="5" width="16.28515625" style="129" bestFit="1" customWidth="1"/>
    <col min="6" max="7" width="1.7109375" style="129" customWidth="1"/>
    <col min="8" max="8" width="17.85546875" style="129" bestFit="1" customWidth="1"/>
    <col min="9" max="9" width="3.5703125" style="129" customWidth="1"/>
    <col min="10" max="10" width="22.5703125" style="129" bestFit="1" customWidth="1"/>
    <col min="11" max="11" width="6.140625" style="129" customWidth="1"/>
    <col min="12" max="12" width="25.42578125" style="129" bestFit="1" customWidth="1"/>
    <col min="13" max="13" width="2" style="129" customWidth="1"/>
    <col min="14" max="14" width="17.85546875" style="129" bestFit="1" customWidth="1"/>
    <col min="15" max="15" width="4.42578125" style="129" customWidth="1"/>
    <col min="16" max="16" width="10.140625" style="129" bestFit="1" customWidth="1"/>
    <col min="17" max="17" width="6.140625" style="129" customWidth="1"/>
    <col min="18" max="18" width="18.140625" style="129" bestFit="1" customWidth="1"/>
    <col min="19" max="19" width="3.5703125" style="129" customWidth="1"/>
    <col min="20" max="20" width="19.7109375" style="129" bestFit="1" customWidth="1"/>
    <col min="21" max="21" width="14.5703125" style="108" bestFit="1" customWidth="1"/>
    <col min="22" max="22" width="7.140625" style="108" bestFit="1" customWidth="1"/>
    <col min="23" max="23" width="43.42578125" style="108" bestFit="1" customWidth="1"/>
    <col min="24" max="24" width="13.85546875" style="108" bestFit="1" customWidth="1"/>
    <col min="25" max="25" width="7.28515625" style="108" bestFit="1" customWidth="1"/>
    <col min="26" max="26" width="11.42578125" style="108"/>
    <col min="27" max="33" width="11.42578125" style="129"/>
    <col min="34" max="34" width="4.7109375" style="129" bestFit="1" customWidth="1"/>
    <col min="35" max="35" width="22.5703125" style="129" bestFit="1" customWidth="1"/>
    <col min="36" max="36" width="11.5703125" style="129" bestFit="1" customWidth="1"/>
    <col min="37" max="37" width="5.7109375" style="129" bestFit="1" customWidth="1"/>
    <col min="38" max="38" width="48.7109375" style="129" customWidth="1"/>
    <col min="39" max="16384" width="11.42578125" style="129"/>
  </cols>
  <sheetData>
    <row r="2" spans="3:25" ht="13.5" thickBot="1"/>
    <row r="3" spans="3:25">
      <c r="G3" s="458" t="s">
        <v>155</v>
      </c>
      <c r="H3" s="459"/>
      <c r="I3" s="459"/>
      <c r="J3" s="459"/>
      <c r="K3" s="459"/>
      <c r="L3" s="459"/>
      <c r="M3" s="459"/>
      <c r="N3" s="459"/>
      <c r="O3" s="459"/>
      <c r="P3" s="460"/>
    </row>
    <row r="4" spans="3:25">
      <c r="G4" s="461"/>
      <c r="H4" s="462"/>
      <c r="I4" s="462"/>
      <c r="J4" s="462"/>
      <c r="K4" s="462"/>
      <c r="L4" s="462"/>
      <c r="M4" s="462"/>
      <c r="N4" s="462"/>
      <c r="O4" s="462"/>
      <c r="P4" s="463"/>
    </row>
    <row r="5" spans="3:25" ht="13.5" thickBot="1">
      <c r="G5" s="464"/>
      <c r="H5" s="465"/>
      <c r="I5" s="465"/>
      <c r="J5" s="465"/>
      <c r="K5" s="465"/>
      <c r="L5" s="465"/>
      <c r="M5" s="465"/>
      <c r="N5" s="465"/>
      <c r="O5" s="465"/>
      <c r="P5" s="466"/>
    </row>
    <row r="8" spans="3:25">
      <c r="X8" s="72" t="s">
        <v>156</v>
      </c>
      <c r="Y8" s="72" t="s">
        <v>157</v>
      </c>
    </row>
    <row r="9" spans="3:25" ht="15.75" thickBot="1">
      <c r="V9" s="72" t="s">
        <v>51</v>
      </c>
      <c r="W9" s="73" t="s">
        <v>52</v>
      </c>
      <c r="X9" s="108" t="s">
        <v>158</v>
      </c>
      <c r="Y9" s="87">
        <f>'1.2.1 PROC_CR'!K5</f>
        <v>0.43373502940594766</v>
      </c>
    </row>
    <row r="10" spans="3:25" ht="15">
      <c r="C10" s="467" t="s">
        <v>52</v>
      </c>
      <c r="D10" s="468"/>
      <c r="E10" s="469"/>
      <c r="G10" s="75"/>
      <c r="J10" s="132" t="s">
        <v>54</v>
      </c>
      <c r="P10" s="467" t="s">
        <v>56</v>
      </c>
      <c r="Q10" s="468"/>
      <c r="R10" s="469"/>
      <c r="V10" s="72" t="s">
        <v>53</v>
      </c>
      <c r="W10" s="73" t="s">
        <v>54</v>
      </c>
      <c r="X10" s="108" t="s">
        <v>159</v>
      </c>
      <c r="Y10" s="87">
        <f>'1.2.1 PROC_CR'!K6</f>
        <v>0.36940365258336122</v>
      </c>
    </row>
    <row r="11" spans="3:25" ht="15.75" thickBot="1">
      <c r="C11" s="470">
        <f>+'1.2 CR_CONSISTENCIA'!L114</f>
        <v>0.43373502940594766</v>
      </c>
      <c r="D11" s="471"/>
      <c r="E11" s="472"/>
      <c r="F11" s="130"/>
      <c r="G11" s="130"/>
      <c r="I11" s="130"/>
      <c r="J11" s="131">
        <f>+'1.2 CR_CONSISTENCIA'!L115</f>
        <v>0.36940365258336122</v>
      </c>
      <c r="K11" s="130"/>
      <c r="L11" s="130"/>
      <c r="M11" s="130"/>
      <c r="O11" s="130"/>
      <c r="P11" s="470">
        <f>+'1.2 CR_CONSISTENCIA'!L116</f>
        <v>0.19686131801069118</v>
      </c>
      <c r="Q11" s="471"/>
      <c r="R11" s="472"/>
      <c r="S11" s="130"/>
      <c r="T11" s="130"/>
      <c r="V11" s="72" t="s">
        <v>55</v>
      </c>
      <c r="W11" s="73" t="s">
        <v>56</v>
      </c>
      <c r="X11" s="108" t="s">
        <v>160</v>
      </c>
      <c r="Y11" s="87">
        <f>'1.2.1 PROC_CR'!K7</f>
        <v>0.19686131801069118</v>
      </c>
    </row>
    <row r="12" spans="3:25">
      <c r="C12" s="130"/>
      <c r="D12" s="130"/>
      <c r="E12" s="130"/>
      <c r="F12" s="130"/>
      <c r="G12" s="130"/>
      <c r="H12" s="130"/>
      <c r="I12" s="130"/>
      <c r="J12" s="130"/>
      <c r="K12" s="130"/>
      <c r="L12" s="130"/>
      <c r="M12" s="130"/>
      <c r="N12" s="130"/>
      <c r="O12" s="130"/>
      <c r="P12" s="130"/>
      <c r="Q12" s="130"/>
      <c r="R12" s="130"/>
      <c r="S12" s="130"/>
      <c r="T12" s="130"/>
      <c r="V12" s="72"/>
      <c r="W12" s="74"/>
    </row>
    <row r="13" spans="3:25" ht="15">
      <c r="C13" s="130"/>
      <c r="D13" s="130"/>
      <c r="E13" s="130"/>
      <c r="F13" s="130"/>
      <c r="G13" s="130"/>
      <c r="H13" s="130"/>
      <c r="I13" s="130"/>
      <c r="J13" s="130"/>
      <c r="K13" s="130"/>
      <c r="L13" s="130"/>
      <c r="M13" s="130"/>
      <c r="N13" s="130"/>
      <c r="O13" s="130"/>
      <c r="P13" s="130"/>
      <c r="Q13" s="130"/>
      <c r="R13" s="130"/>
      <c r="S13" s="130"/>
      <c r="T13" s="130"/>
      <c r="V13" s="72"/>
      <c r="W13" s="73"/>
    </row>
    <row r="14" spans="3:25" ht="15.75" thickBot="1">
      <c r="C14" s="130"/>
      <c r="D14" s="130"/>
      <c r="E14" s="130"/>
      <c r="F14" s="130"/>
      <c r="G14" s="130"/>
      <c r="H14" s="130"/>
      <c r="I14" s="130"/>
      <c r="J14" s="130"/>
      <c r="K14" s="130"/>
      <c r="L14" s="130"/>
      <c r="M14" s="130"/>
      <c r="N14" s="130"/>
      <c r="O14" s="130"/>
      <c r="P14" s="130"/>
      <c r="Q14" s="130"/>
      <c r="R14" s="130"/>
      <c r="S14" s="130"/>
      <c r="T14" s="130"/>
      <c r="V14" s="72" t="s">
        <v>57</v>
      </c>
      <c r="W14" s="73" t="s">
        <v>58</v>
      </c>
      <c r="X14" s="108" t="s">
        <v>161</v>
      </c>
      <c r="Y14" s="87">
        <f>'1.3.1 PROC_SBCR'!L7</f>
        <v>0.49527811182678017</v>
      </c>
    </row>
    <row r="15" spans="3:25" ht="15">
      <c r="C15" s="133" t="s">
        <v>162</v>
      </c>
      <c r="D15" s="130"/>
      <c r="E15" s="133" t="s">
        <v>163</v>
      </c>
      <c r="F15" s="130"/>
      <c r="G15" s="130"/>
      <c r="H15" s="133" t="s">
        <v>164</v>
      </c>
      <c r="J15" s="133" t="s">
        <v>165</v>
      </c>
      <c r="K15" s="130"/>
      <c r="L15" s="133" t="s">
        <v>70</v>
      </c>
      <c r="M15" s="130"/>
      <c r="N15" s="133" t="s">
        <v>166</v>
      </c>
      <c r="O15" s="130"/>
      <c r="P15" s="133" t="s">
        <v>68</v>
      </c>
      <c r="Q15" s="130"/>
      <c r="R15" s="133" t="s">
        <v>167</v>
      </c>
      <c r="S15" s="130"/>
      <c r="T15" s="133" t="s">
        <v>168</v>
      </c>
      <c r="V15" s="72" t="s">
        <v>63</v>
      </c>
      <c r="W15" s="73" t="s">
        <v>64</v>
      </c>
      <c r="X15" s="108" t="s">
        <v>169</v>
      </c>
      <c r="Y15" s="87">
        <f>'1.3.1 PROC_SBCR'!L8</f>
        <v>0.50472188817321983</v>
      </c>
    </row>
    <row r="16" spans="3:25" ht="15.75" thickBot="1">
      <c r="C16" s="131">
        <f>'1.3.1 PROC_SBCR'!L7</f>
        <v>0.49527811182678017</v>
      </c>
      <c r="D16" s="130"/>
      <c r="E16" s="131">
        <f>'1.3.1 PROC_SBCR'!L8</f>
        <v>0.50472188817321983</v>
      </c>
      <c r="F16" s="130"/>
      <c r="G16" s="130"/>
      <c r="H16" s="131">
        <f>+'1.3.1 PROC_SBCR'!M15</f>
        <v>0.34332195788297865</v>
      </c>
      <c r="J16" s="131">
        <f>+'1.3.1 PROC_SBCR'!M16</f>
        <v>0.44340808370044354</v>
      </c>
      <c r="K16" s="130"/>
      <c r="L16" s="131">
        <f>+'1.3.1 PROC_SBCR'!M17</f>
        <v>0.21326995841657778</v>
      </c>
      <c r="M16" s="130"/>
      <c r="N16" s="131">
        <f>+'1.3.1 PROC_SBCR'!N23</f>
        <v>0.18391191499475304</v>
      </c>
      <c r="O16" s="130"/>
      <c r="P16" s="131">
        <f>+'1.3.1 PROC_SBCR'!N24</f>
        <v>0.37380331026874447</v>
      </c>
      <c r="Q16" s="130"/>
      <c r="R16" s="131">
        <f>+'1.3.1 PROC_SBCR'!N25</f>
        <v>0.23802974796390003</v>
      </c>
      <c r="S16" s="130"/>
      <c r="T16" s="131">
        <f>+'1.3.1 PROC_SBCR'!N26</f>
        <v>0.20425502677260243</v>
      </c>
      <c r="V16" s="72" t="s">
        <v>59</v>
      </c>
      <c r="W16" s="73" t="s">
        <v>60</v>
      </c>
      <c r="X16" s="108" t="s">
        <v>170</v>
      </c>
      <c r="Y16" s="87">
        <f>'1.3.1 PROC_SBCR'!M15</f>
        <v>0.34332195788297865</v>
      </c>
    </row>
    <row r="17" spans="9:27" ht="15">
      <c r="V17" s="72" t="s">
        <v>65</v>
      </c>
      <c r="W17" s="73" t="s">
        <v>66</v>
      </c>
      <c r="X17" s="108" t="s">
        <v>171</v>
      </c>
      <c r="Y17" s="87">
        <f>'1.3.1 PROC_SBCR'!M16</f>
        <v>0.44340808370044354</v>
      </c>
    </row>
    <row r="18" spans="9:27" ht="15">
      <c r="V18" s="72" t="s">
        <v>69</v>
      </c>
      <c r="W18" s="73" t="s">
        <v>70</v>
      </c>
      <c r="X18" s="108" t="s">
        <v>172</v>
      </c>
      <c r="Y18" s="87">
        <f>'1.3.1 PROC_SBCR'!M17</f>
        <v>0.21326995841657778</v>
      </c>
      <c r="AA18" s="87"/>
    </row>
    <row r="19" spans="9:27" ht="15">
      <c r="V19" s="72" t="s">
        <v>61</v>
      </c>
      <c r="W19" s="73" t="s">
        <v>173</v>
      </c>
      <c r="X19" s="108" t="s">
        <v>174</v>
      </c>
      <c r="Y19" s="87">
        <f>'1.3.1 PROC_SBCR'!N23</f>
        <v>0.18391191499475304</v>
      </c>
    </row>
    <row r="20" spans="9:27" ht="15">
      <c r="I20" s="130"/>
      <c r="V20" s="72" t="s">
        <v>67</v>
      </c>
      <c r="W20" s="73" t="s">
        <v>68</v>
      </c>
      <c r="X20" s="108" t="s">
        <v>175</v>
      </c>
      <c r="Y20" s="87">
        <f>'1.3.1 PROC_SBCR'!N24</f>
        <v>0.37380331026874447</v>
      </c>
    </row>
    <row r="21" spans="9:27" ht="15">
      <c r="V21" s="72" t="s">
        <v>71</v>
      </c>
      <c r="W21" s="73" t="s">
        <v>72</v>
      </c>
      <c r="X21" s="108" t="s">
        <v>176</v>
      </c>
      <c r="Y21" s="87">
        <f>'1.3.1 PROC_SBCR'!N25</f>
        <v>0.23802974796390003</v>
      </c>
    </row>
    <row r="22" spans="9:27" ht="15">
      <c r="V22" s="72" t="s">
        <v>73</v>
      </c>
      <c r="W22" s="73" t="s">
        <v>74</v>
      </c>
      <c r="X22" s="108" t="s">
        <v>177</v>
      </c>
      <c r="Y22" s="87">
        <f>'1.3.1 PROC_SBCR'!N26</f>
        <v>0.20425502677260243</v>
      </c>
    </row>
    <row r="23" spans="9:27">
      <c r="Y23" s="87"/>
    </row>
    <row r="24" spans="9:27">
      <c r="Q24" s="130"/>
    </row>
    <row r="25" spans="9:27">
      <c r="Q25" s="130"/>
    </row>
    <row r="43" spans="21:38">
      <c r="W43" s="74"/>
    </row>
    <row r="45" spans="21:38">
      <c r="U45" s="129"/>
      <c r="V45" s="129"/>
      <c r="W45" s="129"/>
      <c r="X45" s="129"/>
      <c r="Y45" s="129"/>
      <c r="Z45" s="129"/>
      <c r="AH45" s="457" t="s">
        <v>178</v>
      </c>
      <c r="AI45" s="457"/>
      <c r="AJ45" s="75" t="s">
        <v>156</v>
      </c>
      <c r="AK45" s="75" t="s">
        <v>157</v>
      </c>
      <c r="AL45" s="75" t="s">
        <v>179</v>
      </c>
    </row>
    <row r="46" spans="21:38" ht="38.25">
      <c r="U46" s="129"/>
      <c r="V46" s="129"/>
      <c r="W46" s="129"/>
      <c r="X46" s="129"/>
      <c r="Y46" s="129"/>
      <c r="Z46" s="129"/>
      <c r="AH46" s="248" t="s">
        <v>51</v>
      </c>
      <c r="AI46" s="249" t="s">
        <v>52</v>
      </c>
      <c r="AJ46" s="250" t="s">
        <v>158</v>
      </c>
      <c r="AK46" s="251">
        <f>+C11</f>
        <v>0.43373502940594766</v>
      </c>
      <c r="AL46" s="247" t="s">
        <v>180</v>
      </c>
    </row>
    <row r="47" spans="21:38" ht="63.75">
      <c r="U47" s="129"/>
      <c r="V47" s="129"/>
      <c r="W47" s="129"/>
      <c r="X47" s="129"/>
      <c r="Y47" s="129"/>
      <c r="Z47" s="129"/>
      <c r="AH47" s="221" t="s">
        <v>57</v>
      </c>
      <c r="AI47" s="214" t="s">
        <v>58</v>
      </c>
      <c r="AJ47" s="129" t="s">
        <v>161</v>
      </c>
      <c r="AK47" s="130">
        <f>+C16</f>
        <v>0.49527811182678017</v>
      </c>
      <c r="AL47" s="247" t="s">
        <v>181</v>
      </c>
    </row>
    <row r="48" spans="21:38" ht="25.5">
      <c r="U48" s="129"/>
      <c r="V48" s="129"/>
      <c r="W48" s="129"/>
      <c r="X48" s="129"/>
      <c r="Y48" s="129"/>
      <c r="Z48" s="129"/>
      <c r="AH48" s="252" t="s">
        <v>63</v>
      </c>
      <c r="AI48" s="253" t="s">
        <v>64</v>
      </c>
      <c r="AJ48" s="254" t="s">
        <v>169</v>
      </c>
      <c r="AK48" s="255">
        <f>+E16</f>
        <v>0.50472188817321983</v>
      </c>
      <c r="AL48" s="247" t="s">
        <v>182</v>
      </c>
    </row>
    <row r="49" spans="21:38" ht="51">
      <c r="U49" s="129"/>
      <c r="V49" s="129"/>
      <c r="W49" s="129"/>
      <c r="X49" s="129"/>
      <c r="Y49" s="129"/>
      <c r="Z49" s="129"/>
      <c r="AH49" s="248" t="s">
        <v>53</v>
      </c>
      <c r="AI49" s="249" t="s">
        <v>54</v>
      </c>
      <c r="AJ49" s="250" t="s">
        <v>159</v>
      </c>
      <c r="AK49" s="251">
        <f>+J11</f>
        <v>0.36940365258336122</v>
      </c>
      <c r="AL49" s="226" t="s">
        <v>183</v>
      </c>
    </row>
    <row r="50" spans="21:38" ht="51">
      <c r="U50" s="129"/>
      <c r="V50" s="129"/>
      <c r="W50" s="129"/>
      <c r="X50" s="129"/>
      <c r="Y50" s="129"/>
      <c r="Z50" s="129"/>
      <c r="AH50" s="221" t="s">
        <v>59</v>
      </c>
      <c r="AI50" s="214" t="s">
        <v>60</v>
      </c>
      <c r="AJ50" s="129" t="s">
        <v>170</v>
      </c>
      <c r="AK50" s="130">
        <f>+H16</f>
        <v>0.34332195788297865</v>
      </c>
      <c r="AL50" s="247" t="s">
        <v>184</v>
      </c>
    </row>
    <row r="51" spans="21:38" ht="25.5">
      <c r="U51" s="129"/>
      <c r="V51" s="129"/>
      <c r="W51" s="129"/>
      <c r="X51" s="129"/>
      <c r="Y51" s="129"/>
      <c r="Z51" s="129"/>
      <c r="AH51" s="221" t="s">
        <v>65</v>
      </c>
      <c r="AI51" s="214" t="s">
        <v>66</v>
      </c>
      <c r="AJ51" s="129" t="s">
        <v>171</v>
      </c>
      <c r="AK51" s="130">
        <f>+J16</f>
        <v>0.44340808370044354</v>
      </c>
      <c r="AL51" s="247" t="s">
        <v>185</v>
      </c>
    </row>
    <row r="52" spans="21:38" ht="76.5">
      <c r="U52" s="129"/>
      <c r="V52" s="129"/>
      <c r="W52" s="129"/>
      <c r="X52" s="129"/>
      <c r="Y52" s="129"/>
      <c r="Z52" s="129"/>
      <c r="AH52" s="252" t="s">
        <v>69</v>
      </c>
      <c r="AI52" s="253" t="s">
        <v>70</v>
      </c>
      <c r="AJ52" s="254" t="s">
        <v>172</v>
      </c>
      <c r="AK52" s="255">
        <f>+L16</f>
        <v>0.21326995841657778</v>
      </c>
      <c r="AL52" s="247" t="s">
        <v>186</v>
      </c>
    </row>
    <row r="53" spans="21:38" ht="51">
      <c r="U53" s="129"/>
      <c r="V53" s="129"/>
      <c r="W53" s="129"/>
      <c r="X53" s="129"/>
      <c r="Y53" s="129"/>
      <c r="Z53" s="129"/>
      <c r="AH53" s="248" t="s">
        <v>55</v>
      </c>
      <c r="AI53" s="249" t="s">
        <v>56</v>
      </c>
      <c r="AJ53" s="250" t="s">
        <v>160</v>
      </c>
      <c r="AK53" s="251">
        <f>+P11</f>
        <v>0.19686131801069118</v>
      </c>
      <c r="AL53" s="226" t="s">
        <v>187</v>
      </c>
    </row>
    <row r="54" spans="21:38" ht="25.5">
      <c r="U54" s="129"/>
      <c r="V54" s="129"/>
      <c r="W54" s="129"/>
      <c r="X54" s="129"/>
      <c r="Y54" s="129"/>
      <c r="Z54" s="129"/>
      <c r="AH54" s="221" t="s">
        <v>61</v>
      </c>
      <c r="AI54" s="214" t="s">
        <v>173</v>
      </c>
      <c r="AJ54" s="129" t="s">
        <v>174</v>
      </c>
      <c r="AK54" s="130">
        <f>+N16</f>
        <v>0.18391191499475304</v>
      </c>
      <c r="AL54" s="246" t="s">
        <v>188</v>
      </c>
    </row>
    <row r="55" spans="21:38" ht="89.25">
      <c r="U55" s="129"/>
      <c r="V55" s="129"/>
      <c r="W55" s="129"/>
      <c r="X55" s="129"/>
      <c r="Y55" s="129"/>
      <c r="Z55" s="129"/>
      <c r="AH55" s="221" t="s">
        <v>67</v>
      </c>
      <c r="AI55" s="214" t="s">
        <v>68</v>
      </c>
      <c r="AJ55" s="129" t="s">
        <v>175</v>
      </c>
      <c r="AK55" s="130">
        <f>+P16</f>
        <v>0.37380331026874447</v>
      </c>
      <c r="AL55" s="246" t="s">
        <v>189</v>
      </c>
    </row>
    <row r="56" spans="21:38" ht="38.25">
      <c r="U56" s="129"/>
      <c r="V56" s="129"/>
      <c r="W56" s="129"/>
      <c r="X56" s="129"/>
      <c r="Y56" s="129"/>
      <c r="Z56" s="129"/>
      <c r="AH56" s="221" t="s">
        <v>128</v>
      </c>
      <c r="AI56" s="214" t="s">
        <v>72</v>
      </c>
      <c r="AJ56" s="129" t="s">
        <v>176</v>
      </c>
      <c r="AK56" s="130">
        <f>+R16</f>
        <v>0.23802974796390003</v>
      </c>
      <c r="AL56" s="247" t="s">
        <v>190</v>
      </c>
    </row>
    <row r="57" spans="21:38" ht="63.75">
      <c r="U57" s="129"/>
      <c r="V57" s="129"/>
      <c r="W57" s="129"/>
      <c r="X57" s="129"/>
      <c r="Y57" s="129"/>
      <c r="Z57" s="129"/>
      <c r="AH57" s="252" t="s">
        <v>73</v>
      </c>
      <c r="AI57" s="253" t="s">
        <v>74</v>
      </c>
      <c r="AJ57" s="254" t="s">
        <v>177</v>
      </c>
      <c r="AK57" s="255">
        <f>+T16</f>
        <v>0.20425502677260243</v>
      </c>
      <c r="AL57" s="247" t="s">
        <v>191</v>
      </c>
    </row>
    <row r="58" spans="21:38">
      <c r="U58" s="129"/>
      <c r="V58" s="129"/>
      <c r="W58" s="129"/>
      <c r="X58" s="129"/>
      <c r="Y58" s="129"/>
      <c r="Z58" s="129"/>
    </row>
  </sheetData>
  <mergeCells count="6">
    <mergeCell ref="AH45:AI45"/>
    <mergeCell ref="G3:P5"/>
    <mergeCell ref="P10:R10"/>
    <mergeCell ref="P11:R11"/>
    <mergeCell ref="C10:E10"/>
    <mergeCell ref="C11:E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43223-0E41-4AEC-96FE-5C8495FFD13D}">
  <sheetPr>
    <tabColor theme="6" tint="0.79998168889431442"/>
  </sheetPr>
  <dimension ref="C1:DW199"/>
  <sheetViews>
    <sheetView showGridLines="0" topLeftCell="A19" zoomScale="55" zoomScaleNormal="55" workbookViewId="0">
      <selection activeCell="C26" sqref="C26:N44"/>
    </sheetView>
  </sheetViews>
  <sheetFormatPr defaultColWidth="9.140625" defaultRowHeight="12.75"/>
  <cols>
    <col min="1" max="1" width="9.140625" style="215"/>
    <col min="2" max="2" width="9.140625" style="215" customWidth="1"/>
    <col min="3" max="3" width="5.28515625" style="218" bestFit="1" customWidth="1"/>
    <col min="4" max="4" width="15.7109375" style="239" bestFit="1" customWidth="1"/>
    <col min="5" max="5" width="6.42578125" style="215" bestFit="1" customWidth="1"/>
    <col min="6" max="6" width="23.7109375" style="237" customWidth="1"/>
    <col min="7" max="7" width="29.7109375" style="237" customWidth="1"/>
    <col min="8" max="8" width="28.5703125" style="237" bestFit="1" customWidth="1"/>
    <col min="9" max="9" width="3.140625" style="215" bestFit="1" customWidth="1"/>
    <col min="10" max="10" width="4.85546875" style="215" customWidth="1"/>
    <col min="11" max="11" width="14.7109375" style="215" customWidth="1"/>
    <col min="12" max="12" width="7.140625" style="215" customWidth="1"/>
    <col min="13" max="13" width="17.42578125" style="215" customWidth="1"/>
    <col min="14" max="14" width="5.7109375" style="215" customWidth="1"/>
    <col min="15" max="15" width="10.85546875" style="156" customWidth="1"/>
    <col min="16" max="16" width="55.28515625" style="217" bestFit="1" customWidth="1"/>
    <col min="17" max="17" width="5.85546875" style="215" customWidth="1"/>
    <col min="18" max="18" width="7.28515625" style="215" bestFit="1" customWidth="1"/>
    <col min="19" max="19" width="15.28515625" style="215" bestFit="1" customWidth="1"/>
    <col min="20" max="20" width="16.85546875" style="215" customWidth="1"/>
    <col min="21" max="21" width="18.5703125" style="215" bestFit="1" customWidth="1"/>
    <col min="22" max="27" width="9.140625" style="215"/>
    <col min="28" max="28" width="26.42578125" style="215" bestFit="1" customWidth="1"/>
    <col min="29" max="29" width="8.7109375" style="215" bestFit="1" customWidth="1"/>
    <col min="30" max="35" width="9.140625" style="215"/>
    <col min="36" max="36" width="5.7109375" style="215" bestFit="1" customWidth="1"/>
    <col min="37" max="37" width="50.42578125" style="215" customWidth="1"/>
    <col min="38" max="38" width="9.140625" style="215" bestFit="1" customWidth="1"/>
    <col min="39" max="39" width="20.5703125" style="215" bestFit="1" customWidth="1"/>
    <col min="40" max="40" width="39.42578125" style="215" customWidth="1"/>
    <col min="41" max="41" width="19.7109375" style="215" customWidth="1"/>
    <col min="42" max="42" width="18.7109375" style="156" customWidth="1"/>
    <col min="43" max="44" width="10.85546875" style="156" bestFit="1" customWidth="1"/>
    <col min="45" max="161" width="9.140625" style="215"/>
    <col min="162" max="162" width="9.140625" style="215" customWidth="1"/>
    <col min="163" max="16384" width="9.140625" style="215"/>
  </cols>
  <sheetData>
    <row r="1" spans="3:46" s="156" customFormat="1">
      <c r="C1" s="506" t="s">
        <v>192</v>
      </c>
      <c r="D1" s="507"/>
      <c r="E1" s="507"/>
      <c r="F1" s="507"/>
      <c r="G1" s="374" t="s">
        <v>193</v>
      </c>
      <c r="H1" s="507" t="s">
        <v>194</v>
      </c>
      <c r="I1" s="507"/>
      <c r="J1" s="507"/>
      <c r="K1" s="502" t="s">
        <v>195</v>
      </c>
      <c r="L1" s="502"/>
      <c r="M1" s="502" t="s">
        <v>196</v>
      </c>
      <c r="N1" s="503"/>
      <c r="AM1" s="218" t="s">
        <v>194</v>
      </c>
      <c r="AN1" s="218" t="s">
        <v>195</v>
      </c>
      <c r="AO1" s="218" t="s">
        <v>196</v>
      </c>
      <c r="AP1" s="504" t="s">
        <v>197</v>
      </c>
      <c r="AQ1" s="504"/>
      <c r="AR1" s="504"/>
    </row>
    <row r="2" spans="3:46" ht="30">
      <c r="C2" s="513" t="s">
        <v>198</v>
      </c>
      <c r="D2" s="479" t="s">
        <v>52</v>
      </c>
      <c r="E2" s="224" t="s">
        <v>57</v>
      </c>
      <c r="F2" s="235" t="s">
        <v>58</v>
      </c>
      <c r="G2" s="285" t="s">
        <v>199</v>
      </c>
      <c r="H2" s="483" t="s">
        <v>200</v>
      </c>
      <c r="I2" s="508"/>
      <c r="J2" s="191">
        <v>3</v>
      </c>
      <c r="K2" s="226" t="s">
        <v>201</v>
      </c>
      <c r="L2" s="191">
        <v>5</v>
      </c>
      <c r="M2" s="225" t="s">
        <v>202</v>
      </c>
      <c r="N2" s="375">
        <v>1</v>
      </c>
      <c r="P2" s="217" t="s">
        <v>203</v>
      </c>
    </row>
    <row r="3" spans="3:46" ht="30">
      <c r="C3" s="514"/>
      <c r="D3" s="481"/>
      <c r="E3" s="223" t="s">
        <v>63</v>
      </c>
      <c r="F3" s="236" t="s">
        <v>64</v>
      </c>
      <c r="G3" s="281" t="s">
        <v>204</v>
      </c>
      <c r="H3" s="483" t="s">
        <v>205</v>
      </c>
      <c r="I3" s="508"/>
      <c r="J3" s="191">
        <v>5</v>
      </c>
      <c r="K3" s="226" t="s">
        <v>206</v>
      </c>
      <c r="L3" s="191">
        <v>3</v>
      </c>
      <c r="M3" s="225" t="s">
        <v>206</v>
      </c>
      <c r="N3" s="375">
        <v>3</v>
      </c>
      <c r="P3" s="217" t="s">
        <v>207</v>
      </c>
    </row>
    <row r="4" spans="3:46" ht="45">
      <c r="C4" s="513" t="s">
        <v>208</v>
      </c>
      <c r="D4" s="479" t="s">
        <v>54</v>
      </c>
      <c r="E4" s="224" t="s">
        <v>59</v>
      </c>
      <c r="F4" s="235" t="s">
        <v>60</v>
      </c>
      <c r="G4" s="285" t="s">
        <v>209</v>
      </c>
      <c r="H4" s="483" t="s">
        <v>210</v>
      </c>
      <c r="I4" s="511"/>
      <c r="J4" s="191">
        <v>5</v>
      </c>
      <c r="K4" s="227" t="s">
        <v>211</v>
      </c>
      <c r="L4" s="191">
        <v>1</v>
      </c>
      <c r="M4" s="227" t="s">
        <v>212</v>
      </c>
      <c r="N4" s="375">
        <v>3</v>
      </c>
      <c r="P4" s="217" t="s">
        <v>213</v>
      </c>
    </row>
    <row r="5" spans="3:46" ht="15">
      <c r="C5" s="515"/>
      <c r="D5" s="480"/>
      <c r="E5" s="476" t="s">
        <v>65</v>
      </c>
      <c r="F5" s="500" t="s">
        <v>66</v>
      </c>
      <c r="G5" s="500" t="s">
        <v>214</v>
      </c>
      <c r="H5" s="145" t="s">
        <v>215</v>
      </c>
      <c r="I5" s="244" t="s">
        <v>216</v>
      </c>
      <c r="J5" s="491">
        <f>5*5/5</f>
        <v>5</v>
      </c>
      <c r="K5" s="244" t="s">
        <v>216</v>
      </c>
      <c r="L5" s="491">
        <f>5*4/5</f>
        <v>4</v>
      </c>
      <c r="M5" s="244" t="s">
        <v>216</v>
      </c>
      <c r="N5" s="497">
        <f>5*4/5</f>
        <v>4</v>
      </c>
    </row>
    <row r="6" spans="3:46" ht="15">
      <c r="C6" s="515"/>
      <c r="D6" s="480"/>
      <c r="E6" s="477"/>
      <c r="F6" s="487"/>
      <c r="G6" s="487"/>
      <c r="H6" s="145" t="s">
        <v>217</v>
      </c>
      <c r="I6" s="242" t="s">
        <v>216</v>
      </c>
      <c r="J6" s="492"/>
      <c r="K6" s="242" t="s">
        <v>216</v>
      </c>
      <c r="L6" s="492"/>
      <c r="M6" s="244" t="s">
        <v>216</v>
      </c>
      <c r="N6" s="498"/>
    </row>
    <row r="7" spans="3:46" ht="15" customHeight="1">
      <c r="C7" s="515"/>
      <c r="D7" s="480"/>
      <c r="E7" s="477"/>
      <c r="F7" s="487"/>
      <c r="G7" s="487"/>
      <c r="H7" s="145" t="s">
        <v>218</v>
      </c>
      <c r="I7" s="241" t="s">
        <v>216</v>
      </c>
      <c r="J7" s="492"/>
      <c r="K7" s="241" t="s">
        <v>216</v>
      </c>
      <c r="L7" s="492"/>
      <c r="M7" s="233"/>
      <c r="N7" s="498"/>
      <c r="P7" s="216" t="s">
        <v>219</v>
      </c>
      <c r="AM7" s="218" t="s">
        <v>51</v>
      </c>
      <c r="AN7" s="505" t="s">
        <v>52</v>
      </c>
      <c r="AO7" s="505"/>
      <c r="AP7" s="215" t="s">
        <v>220</v>
      </c>
      <c r="AQ7" s="215"/>
      <c r="AR7" s="215"/>
      <c r="AS7" s="156"/>
      <c r="AT7" s="156"/>
    </row>
    <row r="8" spans="3:46" ht="15">
      <c r="C8" s="515"/>
      <c r="D8" s="480"/>
      <c r="E8" s="477"/>
      <c r="F8" s="487"/>
      <c r="G8" s="487"/>
      <c r="H8" s="145" t="s">
        <v>221</v>
      </c>
      <c r="I8" s="244" t="s">
        <v>216</v>
      </c>
      <c r="J8" s="492"/>
      <c r="K8" s="244" t="s">
        <v>216</v>
      </c>
      <c r="L8" s="492"/>
      <c r="M8" s="244" t="s">
        <v>216</v>
      </c>
      <c r="N8" s="498"/>
      <c r="AM8" s="218" t="s">
        <v>53</v>
      </c>
      <c r="AN8" s="505" t="s">
        <v>54</v>
      </c>
      <c r="AO8" s="505"/>
      <c r="AP8" s="215"/>
      <c r="AQ8" s="215"/>
      <c r="AR8" s="215"/>
      <c r="AS8" s="156"/>
      <c r="AT8" s="156"/>
    </row>
    <row r="9" spans="3:46" ht="15">
      <c r="C9" s="515"/>
      <c r="D9" s="480"/>
      <c r="E9" s="478"/>
      <c r="F9" s="501"/>
      <c r="G9" s="501"/>
      <c r="H9" s="190" t="s">
        <v>222</v>
      </c>
      <c r="I9" s="244" t="s">
        <v>216</v>
      </c>
      <c r="J9" s="493"/>
      <c r="K9" s="234"/>
      <c r="L9" s="493"/>
      <c r="M9" s="244" t="s">
        <v>216</v>
      </c>
      <c r="N9" s="499"/>
      <c r="AM9" s="218" t="s">
        <v>55</v>
      </c>
      <c r="AN9" s="505" t="s">
        <v>56</v>
      </c>
      <c r="AO9" s="505"/>
      <c r="AP9" s="215"/>
      <c r="AQ9" s="215"/>
      <c r="AR9" s="215"/>
      <c r="AS9" s="156"/>
      <c r="AT9" s="156"/>
    </row>
    <row r="10" spans="3:46" ht="15">
      <c r="C10" s="515"/>
      <c r="D10" s="480"/>
      <c r="E10" s="476" t="s">
        <v>69</v>
      </c>
      <c r="F10" s="473" t="s">
        <v>70</v>
      </c>
      <c r="G10" s="473" t="s">
        <v>223</v>
      </c>
      <c r="H10" s="145" t="s">
        <v>224</v>
      </c>
      <c r="I10" s="244" t="s">
        <v>216</v>
      </c>
      <c r="J10" s="491">
        <f>6*5/6</f>
        <v>5</v>
      </c>
      <c r="K10" s="233"/>
      <c r="L10" s="494">
        <f>3*5/6</f>
        <v>2.5</v>
      </c>
      <c r="M10" s="244" t="s">
        <v>216</v>
      </c>
      <c r="N10" s="497">
        <f>6*5/6</f>
        <v>5</v>
      </c>
      <c r="AP10" s="215"/>
      <c r="AQ10" s="215"/>
      <c r="AR10" s="215"/>
      <c r="AS10" s="156"/>
      <c r="AT10" s="156"/>
    </row>
    <row r="11" spans="3:46" ht="15">
      <c r="C11" s="515"/>
      <c r="D11" s="480"/>
      <c r="E11" s="477"/>
      <c r="F11" s="474"/>
      <c r="G11" s="474"/>
      <c r="H11" s="145" t="s">
        <v>225</v>
      </c>
      <c r="I11" s="244" t="s">
        <v>216</v>
      </c>
      <c r="J11" s="492"/>
      <c r="K11" s="244" t="s">
        <v>216</v>
      </c>
      <c r="L11" s="495"/>
      <c r="M11" s="244" t="s">
        <v>216</v>
      </c>
      <c r="N11" s="498"/>
      <c r="AM11" s="75" t="s">
        <v>51</v>
      </c>
      <c r="AN11" s="220" t="s">
        <v>52</v>
      </c>
      <c r="AO11" s="129"/>
      <c r="AP11" s="130">
        <f>+AVERAGE(AP12:AP17)</f>
        <v>5</v>
      </c>
      <c r="AQ11" s="130">
        <f>+AVERAGE(AQ12:AQ17)</f>
        <v>3.5</v>
      </c>
      <c r="AR11" s="130">
        <f>+AVERAGE(AR12:AR17)</f>
        <v>2</v>
      </c>
      <c r="AS11" s="156"/>
      <c r="AT11" s="156"/>
    </row>
    <row r="12" spans="3:46" ht="15">
      <c r="C12" s="515"/>
      <c r="D12" s="480"/>
      <c r="E12" s="477"/>
      <c r="F12" s="474"/>
      <c r="G12" s="474"/>
      <c r="H12" s="145" t="s">
        <v>226</v>
      </c>
      <c r="I12" s="244" t="s">
        <v>216</v>
      </c>
      <c r="J12" s="492"/>
      <c r="K12" s="244" t="s">
        <v>216</v>
      </c>
      <c r="L12" s="495"/>
      <c r="M12" s="244" t="s">
        <v>216</v>
      </c>
      <c r="N12" s="498"/>
      <c r="P12" s="453" t="s">
        <v>227</v>
      </c>
      <c r="Q12" s="453"/>
      <c r="R12" s="453"/>
      <c r="AM12" s="218" t="s">
        <v>57</v>
      </c>
      <c r="AN12" s="474" t="s">
        <v>58</v>
      </c>
      <c r="AO12" s="474"/>
      <c r="AP12" s="156">
        <v>5</v>
      </c>
      <c r="AQ12" s="156">
        <v>3</v>
      </c>
      <c r="AR12" s="156">
        <v>1</v>
      </c>
      <c r="AS12" s="156"/>
      <c r="AT12" s="156"/>
    </row>
    <row r="13" spans="3:46" ht="15">
      <c r="C13" s="515"/>
      <c r="D13" s="480"/>
      <c r="E13" s="477"/>
      <c r="F13" s="474"/>
      <c r="G13" s="474"/>
      <c r="H13" s="145" t="s">
        <v>228</v>
      </c>
      <c r="I13" s="244" t="s">
        <v>216</v>
      </c>
      <c r="J13" s="492"/>
      <c r="K13" s="233"/>
      <c r="L13" s="495"/>
      <c r="M13" s="244" t="s">
        <v>216</v>
      </c>
      <c r="N13" s="498"/>
      <c r="P13" s="453"/>
      <c r="Q13" s="453"/>
      <c r="R13" s="453"/>
      <c r="AM13" s="218"/>
      <c r="AN13" s="219"/>
      <c r="AO13" s="219"/>
      <c r="AS13" s="156"/>
      <c r="AT13" s="156"/>
    </row>
    <row r="14" spans="3:46" ht="15">
      <c r="C14" s="515"/>
      <c r="D14" s="480"/>
      <c r="E14" s="477"/>
      <c r="F14" s="474"/>
      <c r="G14" s="474"/>
      <c r="H14" s="145" t="s">
        <v>229</v>
      </c>
      <c r="I14" s="244" t="s">
        <v>216</v>
      </c>
      <c r="J14" s="492"/>
      <c r="K14" s="233"/>
      <c r="L14" s="495"/>
      <c r="M14" s="244" t="s">
        <v>216</v>
      </c>
      <c r="N14" s="498"/>
      <c r="AM14" s="218"/>
      <c r="AN14" s="219"/>
      <c r="AO14" s="219"/>
      <c r="AS14" s="156"/>
      <c r="AT14" s="156"/>
    </row>
    <row r="15" spans="3:46" ht="15">
      <c r="C15" s="514"/>
      <c r="D15" s="481"/>
      <c r="E15" s="478"/>
      <c r="F15" s="475"/>
      <c r="G15" s="475"/>
      <c r="H15" s="145" t="s">
        <v>230</v>
      </c>
      <c r="I15" s="243" t="s">
        <v>216</v>
      </c>
      <c r="J15" s="493"/>
      <c r="K15" s="244" t="s">
        <v>216</v>
      </c>
      <c r="L15" s="496"/>
      <c r="M15" s="243" t="s">
        <v>216</v>
      </c>
      <c r="N15" s="499"/>
      <c r="AM15" s="218"/>
      <c r="AN15" s="219"/>
      <c r="AO15" s="219"/>
      <c r="AS15" s="156"/>
      <c r="AT15" s="156"/>
    </row>
    <row r="16" spans="3:46" ht="242.25">
      <c r="C16" s="513" t="s">
        <v>231</v>
      </c>
      <c r="D16" s="479" t="s">
        <v>56</v>
      </c>
      <c r="E16" s="222" t="s">
        <v>61</v>
      </c>
      <c r="F16" s="238" t="s">
        <v>173</v>
      </c>
      <c r="G16" s="282" t="s">
        <v>232</v>
      </c>
      <c r="H16" s="483" t="s">
        <v>233</v>
      </c>
      <c r="I16" s="508"/>
      <c r="J16" s="191">
        <v>5</v>
      </c>
      <c r="K16" s="232" t="s">
        <v>233</v>
      </c>
      <c r="L16" s="191">
        <v>5</v>
      </c>
      <c r="M16" s="232" t="s">
        <v>234</v>
      </c>
      <c r="N16" s="375">
        <v>2</v>
      </c>
      <c r="P16" s="217" t="s">
        <v>235</v>
      </c>
      <c r="AM16" s="218"/>
      <c r="AN16" s="219"/>
      <c r="AO16" s="219"/>
      <c r="AS16" s="156"/>
      <c r="AT16" s="156"/>
    </row>
    <row r="17" spans="3:46" ht="242.25">
      <c r="C17" s="515"/>
      <c r="D17" s="480"/>
      <c r="E17" s="224" t="s">
        <v>67</v>
      </c>
      <c r="F17" s="235" t="s">
        <v>68</v>
      </c>
      <c r="G17" s="285" t="s">
        <v>236</v>
      </c>
      <c r="H17" s="483" t="s">
        <v>237</v>
      </c>
      <c r="I17" s="508"/>
      <c r="J17" s="191">
        <v>5</v>
      </c>
      <c r="K17" s="226" t="s">
        <v>238</v>
      </c>
      <c r="L17" s="191">
        <v>2</v>
      </c>
      <c r="M17" s="226" t="s">
        <v>239</v>
      </c>
      <c r="N17" s="375">
        <v>3</v>
      </c>
      <c r="P17" s="217" t="s">
        <v>240</v>
      </c>
      <c r="AM17" s="218" t="s">
        <v>63</v>
      </c>
      <c r="AN17" s="474" t="s">
        <v>64</v>
      </c>
      <c r="AO17" s="474"/>
      <c r="AP17" s="156">
        <v>5</v>
      </c>
      <c r="AQ17" s="156">
        <v>4</v>
      </c>
      <c r="AR17" s="156">
        <v>3</v>
      </c>
      <c r="AS17" s="156"/>
      <c r="AT17" s="156"/>
    </row>
    <row r="18" spans="3:46" ht="409.5">
      <c r="C18" s="515"/>
      <c r="D18" s="480"/>
      <c r="E18" s="224" t="s">
        <v>71</v>
      </c>
      <c r="F18" s="225" t="s">
        <v>72</v>
      </c>
      <c r="G18" s="226" t="s">
        <v>241</v>
      </c>
      <c r="H18" s="483" t="s">
        <v>242</v>
      </c>
      <c r="I18" s="508"/>
      <c r="J18" s="191">
        <v>1</v>
      </c>
      <c r="K18" s="226" t="s">
        <v>243</v>
      </c>
      <c r="L18" s="191">
        <v>3</v>
      </c>
      <c r="M18" s="226" t="s">
        <v>244</v>
      </c>
      <c r="N18" s="375">
        <v>4</v>
      </c>
      <c r="P18" s="217" t="s">
        <v>245</v>
      </c>
      <c r="AM18" s="218" t="s">
        <v>73</v>
      </c>
      <c r="AN18" s="216" t="s">
        <v>74</v>
      </c>
      <c r="AO18" s="216"/>
      <c r="AP18" s="156">
        <v>3</v>
      </c>
      <c r="AQ18" s="156">
        <v>2</v>
      </c>
      <c r="AR18" s="156">
        <v>1</v>
      </c>
      <c r="AS18" s="156"/>
    </row>
    <row r="19" spans="3:46" ht="383.25" thickBot="1">
      <c r="C19" s="516"/>
      <c r="D19" s="512"/>
      <c r="E19" s="376" t="s">
        <v>73</v>
      </c>
      <c r="F19" s="377" t="s">
        <v>74</v>
      </c>
      <c r="G19" s="378" t="s">
        <v>246</v>
      </c>
      <c r="H19" s="509" t="s">
        <v>247</v>
      </c>
      <c r="I19" s="510"/>
      <c r="J19" s="379">
        <v>3</v>
      </c>
      <c r="K19" s="378" t="s">
        <v>248</v>
      </c>
      <c r="L19" s="379">
        <v>4</v>
      </c>
      <c r="M19" s="378" t="s">
        <v>249</v>
      </c>
      <c r="N19" s="380">
        <v>5</v>
      </c>
      <c r="P19" s="217" t="s">
        <v>250</v>
      </c>
      <c r="AP19" s="215"/>
      <c r="AQ19" s="215"/>
      <c r="AR19" s="215"/>
      <c r="AS19" s="156"/>
    </row>
    <row r="23" spans="3:46">
      <c r="F23" s="245"/>
      <c r="G23" s="245"/>
    </row>
    <row r="26" spans="3:46">
      <c r="C26" s="477" t="s">
        <v>192</v>
      </c>
      <c r="D26" s="477"/>
      <c r="E26" s="477"/>
      <c r="F26" s="477"/>
      <c r="G26" s="218" t="s">
        <v>193</v>
      </c>
      <c r="H26" s="477" t="s">
        <v>194</v>
      </c>
      <c r="I26" s="477"/>
      <c r="J26" s="477"/>
      <c r="K26" s="477" t="s">
        <v>195</v>
      </c>
      <c r="L26" s="477"/>
      <c r="M26" s="477" t="s">
        <v>196</v>
      </c>
      <c r="N26" s="477"/>
    </row>
    <row r="27" spans="3:46" ht="30">
      <c r="C27" s="476" t="s">
        <v>198</v>
      </c>
      <c r="D27" s="479" t="s">
        <v>52</v>
      </c>
      <c r="E27" s="223" t="s">
        <v>57</v>
      </c>
      <c r="F27" s="236" t="s">
        <v>58</v>
      </c>
      <c r="G27" s="281" t="s">
        <v>199</v>
      </c>
      <c r="H27" s="488" t="s">
        <v>200</v>
      </c>
      <c r="I27" s="488"/>
      <c r="J27" s="223">
        <v>3</v>
      </c>
      <c r="K27" s="227" t="s">
        <v>201</v>
      </c>
      <c r="L27" s="223">
        <v>5</v>
      </c>
      <c r="M27" s="290" t="s">
        <v>202</v>
      </c>
      <c r="N27" s="223">
        <v>1</v>
      </c>
    </row>
    <row r="28" spans="3:46" ht="30">
      <c r="C28" s="478"/>
      <c r="D28" s="481"/>
      <c r="E28" s="222" t="s">
        <v>63</v>
      </c>
      <c r="F28" s="238" t="s">
        <v>64</v>
      </c>
      <c r="G28" s="282" t="s">
        <v>204</v>
      </c>
      <c r="H28" s="453" t="s">
        <v>205</v>
      </c>
      <c r="I28" s="453"/>
      <c r="J28" s="218">
        <v>5</v>
      </c>
      <c r="K28" s="217" t="s">
        <v>206</v>
      </c>
      <c r="L28" s="218">
        <v>3</v>
      </c>
      <c r="M28" s="216" t="s">
        <v>206</v>
      </c>
      <c r="N28" s="218">
        <v>3</v>
      </c>
    </row>
    <row r="29" spans="3:46" ht="45">
      <c r="C29" s="476" t="s">
        <v>208</v>
      </c>
      <c r="D29" s="479" t="s">
        <v>54</v>
      </c>
      <c r="E29" s="223" t="s">
        <v>59</v>
      </c>
      <c r="F29" s="236" t="s">
        <v>60</v>
      </c>
      <c r="G29" s="281" t="s">
        <v>209</v>
      </c>
      <c r="H29" s="483" t="s">
        <v>210</v>
      </c>
      <c r="I29" s="483"/>
      <c r="J29" s="224">
        <v>5</v>
      </c>
      <c r="K29" s="226" t="s">
        <v>211</v>
      </c>
      <c r="L29" s="224">
        <v>1</v>
      </c>
      <c r="M29" s="226" t="s">
        <v>212</v>
      </c>
      <c r="N29" s="224">
        <v>3</v>
      </c>
    </row>
    <row r="30" spans="3:46" ht="15">
      <c r="C30" s="477"/>
      <c r="D30" s="480"/>
      <c r="E30" s="477" t="s">
        <v>65</v>
      </c>
      <c r="F30" s="487" t="s">
        <v>66</v>
      </c>
      <c r="G30" s="487" t="s">
        <v>214</v>
      </c>
      <c r="H30" s="190" t="s">
        <v>215</v>
      </c>
      <c r="I30" s="292" t="s">
        <v>216</v>
      </c>
      <c r="J30" s="476">
        <f>5*5/5</f>
        <v>5</v>
      </c>
      <c r="K30" s="292" t="s">
        <v>216</v>
      </c>
      <c r="L30" s="476">
        <f>5*4/5</f>
        <v>4</v>
      </c>
      <c r="M30" s="292" t="s">
        <v>216</v>
      </c>
      <c r="N30" s="476">
        <f>5*4/5</f>
        <v>4</v>
      </c>
    </row>
    <row r="31" spans="3:46" ht="15">
      <c r="C31" s="477"/>
      <c r="D31" s="480"/>
      <c r="E31" s="477"/>
      <c r="F31" s="487"/>
      <c r="G31" s="487"/>
      <c r="H31" s="220" t="s">
        <v>217</v>
      </c>
      <c r="I31" s="288" t="s">
        <v>216</v>
      </c>
      <c r="J31" s="477"/>
      <c r="K31" s="288" t="s">
        <v>216</v>
      </c>
      <c r="L31" s="477"/>
      <c r="M31" s="288" t="s">
        <v>216</v>
      </c>
      <c r="N31" s="477"/>
    </row>
    <row r="32" spans="3:46" ht="15">
      <c r="C32" s="477"/>
      <c r="D32" s="480"/>
      <c r="E32" s="477"/>
      <c r="F32" s="487"/>
      <c r="G32" s="487"/>
      <c r="H32" s="220" t="s">
        <v>218</v>
      </c>
      <c r="I32" s="288" t="s">
        <v>216</v>
      </c>
      <c r="J32" s="477"/>
      <c r="K32" s="288" t="s">
        <v>216</v>
      </c>
      <c r="L32" s="477"/>
      <c r="M32" s="289"/>
      <c r="N32" s="477"/>
    </row>
    <row r="33" spans="3:14" ht="16.5" customHeight="1">
      <c r="C33" s="477"/>
      <c r="D33" s="480"/>
      <c r="E33" s="477"/>
      <c r="F33" s="487"/>
      <c r="G33" s="487"/>
      <c r="H33" s="220" t="s">
        <v>221</v>
      </c>
      <c r="I33" s="288" t="s">
        <v>216</v>
      </c>
      <c r="J33" s="477"/>
      <c r="K33" s="288" t="s">
        <v>216</v>
      </c>
      <c r="L33" s="477"/>
      <c r="M33" s="288" t="s">
        <v>216</v>
      </c>
      <c r="N33" s="477"/>
    </row>
    <row r="34" spans="3:14" ht="15">
      <c r="C34" s="477"/>
      <c r="D34" s="480"/>
      <c r="E34" s="477"/>
      <c r="F34" s="487"/>
      <c r="G34" s="487"/>
      <c r="H34" s="283" t="s">
        <v>222</v>
      </c>
      <c r="I34" s="291" t="s">
        <v>216</v>
      </c>
      <c r="J34" s="478"/>
      <c r="K34" s="293"/>
      <c r="L34" s="478"/>
      <c r="M34" s="291" t="s">
        <v>216</v>
      </c>
      <c r="N34" s="478"/>
    </row>
    <row r="35" spans="3:14" ht="15">
      <c r="C35" s="477"/>
      <c r="D35" s="480"/>
      <c r="E35" s="477" t="s">
        <v>69</v>
      </c>
      <c r="F35" s="474" t="s">
        <v>70</v>
      </c>
      <c r="G35" s="474" t="s">
        <v>223</v>
      </c>
      <c r="H35" s="190" t="s">
        <v>224</v>
      </c>
      <c r="I35" s="292" t="s">
        <v>216</v>
      </c>
      <c r="J35" s="476">
        <f>6*5/6</f>
        <v>5</v>
      </c>
      <c r="K35" s="234"/>
      <c r="L35" s="484">
        <f>3*5/6</f>
        <v>2.5</v>
      </c>
      <c r="M35" s="292" t="s">
        <v>216</v>
      </c>
      <c r="N35" s="476">
        <f>6*5/6</f>
        <v>5</v>
      </c>
    </row>
    <row r="36" spans="3:14" ht="15">
      <c r="C36" s="477"/>
      <c r="D36" s="480"/>
      <c r="E36" s="477"/>
      <c r="F36" s="474"/>
      <c r="G36" s="474"/>
      <c r="H36" s="220" t="s">
        <v>225</v>
      </c>
      <c r="I36" s="288" t="s">
        <v>216</v>
      </c>
      <c r="J36" s="477"/>
      <c r="K36" s="288" t="s">
        <v>216</v>
      </c>
      <c r="L36" s="485"/>
      <c r="M36" s="288" t="s">
        <v>216</v>
      </c>
      <c r="N36" s="477"/>
    </row>
    <row r="37" spans="3:14" ht="15">
      <c r="C37" s="477"/>
      <c r="D37" s="480"/>
      <c r="E37" s="477"/>
      <c r="F37" s="474"/>
      <c r="G37" s="474"/>
      <c r="H37" s="220" t="s">
        <v>226</v>
      </c>
      <c r="I37" s="288" t="s">
        <v>216</v>
      </c>
      <c r="J37" s="477"/>
      <c r="K37" s="288" t="s">
        <v>216</v>
      </c>
      <c r="L37" s="485"/>
      <c r="M37" s="288" t="s">
        <v>216</v>
      </c>
      <c r="N37" s="477"/>
    </row>
    <row r="38" spans="3:14" ht="15">
      <c r="C38" s="477"/>
      <c r="D38" s="480"/>
      <c r="E38" s="477"/>
      <c r="F38" s="474"/>
      <c r="G38" s="474"/>
      <c r="H38" s="220" t="s">
        <v>228</v>
      </c>
      <c r="I38" s="288" t="s">
        <v>216</v>
      </c>
      <c r="J38" s="477"/>
      <c r="K38" s="289"/>
      <c r="L38" s="485"/>
      <c r="M38" s="288" t="s">
        <v>216</v>
      </c>
      <c r="N38" s="477"/>
    </row>
    <row r="39" spans="3:14" ht="15">
      <c r="C39" s="477"/>
      <c r="D39" s="480"/>
      <c r="E39" s="477"/>
      <c r="F39" s="474"/>
      <c r="G39" s="474"/>
      <c r="H39" s="220" t="s">
        <v>229</v>
      </c>
      <c r="I39" s="288" t="s">
        <v>216</v>
      </c>
      <c r="J39" s="477"/>
      <c r="K39" s="289"/>
      <c r="L39" s="485"/>
      <c r="M39" s="288" t="s">
        <v>216</v>
      </c>
      <c r="N39" s="477"/>
    </row>
    <row r="40" spans="3:14" ht="15">
      <c r="C40" s="478"/>
      <c r="D40" s="481"/>
      <c r="E40" s="478"/>
      <c r="F40" s="475"/>
      <c r="G40" s="475"/>
      <c r="H40" s="283" t="s">
        <v>230</v>
      </c>
      <c r="I40" s="291" t="s">
        <v>216</v>
      </c>
      <c r="J40" s="478"/>
      <c r="K40" s="291" t="s">
        <v>216</v>
      </c>
      <c r="L40" s="486"/>
      <c r="M40" s="291" t="s">
        <v>216</v>
      </c>
      <c r="N40" s="478"/>
    </row>
    <row r="41" spans="3:14" ht="42.75" customHeight="1">
      <c r="C41" s="476" t="s">
        <v>231</v>
      </c>
      <c r="D41" s="479" t="s">
        <v>56</v>
      </c>
      <c r="E41" s="223" t="s">
        <v>61</v>
      </c>
      <c r="F41" s="236" t="s">
        <v>173</v>
      </c>
      <c r="G41" s="281" t="s">
        <v>232</v>
      </c>
      <c r="H41" s="453" t="s">
        <v>251</v>
      </c>
      <c r="I41" s="453"/>
      <c r="J41" s="218">
        <v>5</v>
      </c>
      <c r="K41" s="217" t="s">
        <v>251</v>
      </c>
      <c r="L41" s="218">
        <v>5</v>
      </c>
      <c r="M41" s="217" t="s">
        <v>252</v>
      </c>
      <c r="N41" s="218">
        <v>2</v>
      </c>
    </row>
    <row r="42" spans="3:14" ht="15">
      <c r="C42" s="477"/>
      <c r="D42" s="480"/>
      <c r="E42" s="218" t="s">
        <v>67</v>
      </c>
      <c r="F42" s="287" t="s">
        <v>68</v>
      </c>
      <c r="G42" s="219" t="s">
        <v>236</v>
      </c>
      <c r="H42" s="453" t="s">
        <v>253</v>
      </c>
      <c r="I42" s="453"/>
      <c r="J42" s="218">
        <v>5</v>
      </c>
      <c r="K42" s="217" t="s">
        <v>254</v>
      </c>
      <c r="L42" s="218">
        <v>2</v>
      </c>
      <c r="M42" s="217" t="s">
        <v>255</v>
      </c>
      <c r="N42" s="218">
        <v>3</v>
      </c>
    </row>
    <row r="43" spans="3:14" ht="38.25">
      <c r="C43" s="477"/>
      <c r="D43" s="480"/>
      <c r="E43" s="218" t="s">
        <v>71</v>
      </c>
      <c r="F43" s="216" t="s">
        <v>72</v>
      </c>
      <c r="G43" s="217" t="s">
        <v>241</v>
      </c>
      <c r="H43" s="453" t="s">
        <v>253</v>
      </c>
      <c r="I43" s="453"/>
      <c r="J43" s="218">
        <v>1</v>
      </c>
      <c r="K43" s="217" t="s">
        <v>256</v>
      </c>
      <c r="L43" s="218">
        <v>3</v>
      </c>
      <c r="M43" s="217" t="s">
        <v>255</v>
      </c>
      <c r="N43" s="218">
        <v>4</v>
      </c>
    </row>
    <row r="44" spans="3:14" ht="38.25">
      <c r="C44" s="478"/>
      <c r="D44" s="481"/>
      <c r="E44" s="222" t="s">
        <v>73</v>
      </c>
      <c r="F44" s="286" t="s">
        <v>74</v>
      </c>
      <c r="G44" s="232" t="s">
        <v>246</v>
      </c>
      <c r="H44" s="482" t="s">
        <v>256</v>
      </c>
      <c r="I44" s="482"/>
      <c r="J44" s="222">
        <v>3</v>
      </c>
      <c r="K44" s="232" t="s">
        <v>257</v>
      </c>
      <c r="L44" s="222">
        <v>4</v>
      </c>
      <c r="M44" s="232" t="s">
        <v>258</v>
      </c>
      <c r="N44" s="222">
        <v>5</v>
      </c>
    </row>
    <row r="45" spans="3:14">
      <c r="J45" s="214"/>
    </row>
    <row r="46" spans="3:14">
      <c r="J46" s="214"/>
    </row>
    <row r="47" spans="3:14">
      <c r="J47" s="214"/>
    </row>
    <row r="48" spans="3:14">
      <c r="J48" s="214"/>
    </row>
    <row r="49" spans="4:10">
      <c r="J49" s="214"/>
    </row>
    <row r="50" spans="4:10">
      <c r="J50" s="214"/>
    </row>
    <row r="51" spans="4:10">
      <c r="J51" s="214"/>
    </row>
    <row r="52" spans="4:10">
      <c r="J52" s="214"/>
    </row>
    <row r="53" spans="4:10">
      <c r="J53" s="214"/>
    </row>
    <row r="54" spans="4:10">
      <c r="J54" s="214"/>
    </row>
    <row r="58" spans="4:10">
      <c r="D58" s="239" t="s">
        <v>73</v>
      </c>
    </row>
    <row r="130" spans="104:127">
      <c r="CZ130" s="217"/>
    </row>
    <row r="131" spans="104:127">
      <c r="CZ131" s="217"/>
    </row>
    <row r="132" spans="104:127">
      <c r="CZ132" s="217"/>
    </row>
    <row r="133" spans="104:127">
      <c r="CZ133" s="217"/>
    </row>
    <row r="134" spans="104:127" ht="25.5">
      <c r="CZ134" s="217"/>
      <c r="DV134" s="228" t="s">
        <v>259</v>
      </c>
      <c r="DW134" s="214" t="s">
        <v>260</v>
      </c>
    </row>
    <row r="135" spans="104:127">
      <c r="CZ135" s="217"/>
      <c r="DV135" s="228" t="s">
        <v>261</v>
      </c>
      <c r="DW135" s="214" t="s">
        <v>262</v>
      </c>
    </row>
    <row r="136" spans="104:127" ht="25.5">
      <c r="CZ136" s="214"/>
      <c r="DA136" s="229"/>
      <c r="DB136" s="229"/>
      <c r="DC136" s="229"/>
      <c r="DD136" s="229"/>
      <c r="DE136" s="229"/>
      <c r="DV136" s="228" t="s">
        <v>263</v>
      </c>
      <c r="DW136" s="214" t="s">
        <v>264</v>
      </c>
    </row>
    <row r="137" spans="104:127" ht="25.5">
      <c r="CZ137" s="214"/>
      <c r="DA137" s="229"/>
      <c r="DB137" s="229"/>
      <c r="DC137" s="229"/>
      <c r="DD137" s="229"/>
      <c r="DE137" s="229"/>
      <c r="DV137" s="228" t="s">
        <v>265</v>
      </c>
      <c r="DW137" s="214" t="s">
        <v>266</v>
      </c>
    </row>
    <row r="138" spans="104:127" ht="51">
      <c r="CZ138" s="214"/>
      <c r="DA138" s="229"/>
      <c r="DB138" s="229"/>
      <c r="DC138" s="229"/>
      <c r="DD138" s="229"/>
      <c r="DE138" s="229"/>
      <c r="DV138" s="228" t="s">
        <v>267</v>
      </c>
      <c r="DW138" s="214" t="s">
        <v>268</v>
      </c>
    </row>
    <row r="139" spans="104:127" ht="25.5">
      <c r="CZ139" s="214"/>
      <c r="DA139" s="229"/>
      <c r="DB139" s="229"/>
      <c r="DC139" s="229"/>
      <c r="DD139" s="229"/>
      <c r="DE139" s="229"/>
      <c r="DM139" s="228" t="s">
        <v>259</v>
      </c>
      <c r="DN139" s="214" t="s">
        <v>260</v>
      </c>
      <c r="DV139" s="228" t="s">
        <v>269</v>
      </c>
      <c r="DW139" s="214" t="s">
        <v>270</v>
      </c>
    </row>
    <row r="140" spans="104:127" ht="25.5">
      <c r="CZ140" s="214"/>
      <c r="DA140" s="229"/>
      <c r="DB140" s="229"/>
      <c r="DC140" s="229"/>
      <c r="DD140" s="229"/>
      <c r="DE140" s="229"/>
      <c r="DM140" s="228" t="s">
        <v>261</v>
      </c>
      <c r="DN140" s="214" t="s">
        <v>262</v>
      </c>
      <c r="DV140" s="228" t="s">
        <v>271</v>
      </c>
      <c r="DW140" s="214" t="s">
        <v>272</v>
      </c>
    </row>
    <row r="141" spans="104:127" ht="25.5">
      <c r="CZ141" s="214"/>
      <c r="DA141" s="229"/>
      <c r="DB141" s="229"/>
      <c r="DC141" s="229"/>
      <c r="DD141" s="229"/>
      <c r="DE141" s="229"/>
      <c r="DM141" s="228" t="s">
        <v>263</v>
      </c>
      <c r="DN141" s="214" t="s">
        <v>264</v>
      </c>
      <c r="DV141" s="228" t="s">
        <v>273</v>
      </c>
      <c r="DW141" s="214" t="s">
        <v>274</v>
      </c>
    </row>
    <row r="142" spans="104:127" ht="25.5">
      <c r="CZ142" s="221"/>
      <c r="DA142" s="220"/>
      <c r="DB142" s="220"/>
      <c r="DC142" s="229"/>
      <c r="DD142" s="229"/>
      <c r="DE142" s="229"/>
      <c r="DM142" s="228" t="s">
        <v>265</v>
      </c>
      <c r="DN142" s="214" t="s">
        <v>266</v>
      </c>
      <c r="DV142" s="228" t="s">
        <v>275</v>
      </c>
      <c r="DW142" s="214" t="s">
        <v>276</v>
      </c>
    </row>
    <row r="143" spans="104:127" ht="51">
      <c r="CZ143" s="221"/>
      <c r="DA143" s="214"/>
      <c r="DB143" s="214"/>
      <c r="DC143" s="229"/>
      <c r="DD143" s="229"/>
      <c r="DE143" s="229"/>
      <c r="DM143" s="228" t="s">
        <v>267</v>
      </c>
      <c r="DN143" s="214" t="s">
        <v>268</v>
      </c>
      <c r="DV143" s="228" t="s">
        <v>277</v>
      </c>
      <c r="DW143" s="214" t="s">
        <v>278</v>
      </c>
    </row>
    <row r="144" spans="104:127" ht="38.25">
      <c r="CZ144" s="221"/>
      <c r="DA144" s="214"/>
      <c r="DB144" s="214"/>
      <c r="DC144" s="490"/>
      <c r="DD144" s="490"/>
      <c r="DE144" s="490"/>
      <c r="DM144" s="228" t="s">
        <v>269</v>
      </c>
      <c r="DN144" s="214" t="s">
        <v>270</v>
      </c>
      <c r="DV144" s="228" t="s">
        <v>279</v>
      </c>
      <c r="DW144" s="214" t="s">
        <v>280</v>
      </c>
    </row>
    <row r="145" spans="104:127" ht="51">
      <c r="CZ145" s="221"/>
      <c r="DA145" s="220"/>
      <c r="DB145" s="220"/>
      <c r="DC145" s="230" t="s">
        <v>194</v>
      </c>
      <c r="DD145" s="230" t="s">
        <v>195</v>
      </c>
      <c r="DE145" s="230" t="s">
        <v>196</v>
      </c>
      <c r="DM145" s="228" t="s">
        <v>271</v>
      </c>
      <c r="DN145" s="214" t="s">
        <v>272</v>
      </c>
      <c r="DV145" s="228" t="s">
        <v>281</v>
      </c>
      <c r="DW145" s="214" t="s">
        <v>282</v>
      </c>
    </row>
    <row r="146" spans="104:127" ht="89.25">
      <c r="CZ146" s="221"/>
      <c r="DA146" s="220" t="s">
        <v>57</v>
      </c>
      <c r="DB146" s="220"/>
      <c r="DC146" s="214" t="s">
        <v>283</v>
      </c>
      <c r="DD146" s="214" t="s">
        <v>201</v>
      </c>
      <c r="DE146" s="214" t="s">
        <v>284</v>
      </c>
      <c r="DM146" s="228" t="s">
        <v>273</v>
      </c>
      <c r="DN146" s="214" t="s">
        <v>274</v>
      </c>
      <c r="DV146" s="228" t="s">
        <v>285</v>
      </c>
      <c r="DW146" s="214" t="s">
        <v>286</v>
      </c>
    </row>
    <row r="147" spans="104:127" ht="63.75">
      <c r="CZ147" s="221"/>
      <c r="DA147" s="220" t="s">
        <v>63</v>
      </c>
      <c r="DB147" s="220"/>
      <c r="DC147" s="214" t="s">
        <v>287</v>
      </c>
      <c r="DD147" s="214" t="s">
        <v>288</v>
      </c>
      <c r="DE147" s="214" t="s">
        <v>289</v>
      </c>
      <c r="DM147" s="228" t="s">
        <v>275</v>
      </c>
      <c r="DN147" s="214" t="s">
        <v>276</v>
      </c>
      <c r="DV147" s="228" t="s">
        <v>290</v>
      </c>
      <c r="DW147" s="214" t="s">
        <v>291</v>
      </c>
    </row>
    <row r="148" spans="104:127" ht="51">
      <c r="CZ148" s="221"/>
      <c r="DA148" s="220" t="s">
        <v>59</v>
      </c>
      <c r="DB148" s="220"/>
      <c r="DC148" s="214" t="s">
        <v>212</v>
      </c>
      <c r="DD148" s="214" t="s">
        <v>211</v>
      </c>
      <c r="DE148" s="214" t="s">
        <v>211</v>
      </c>
      <c r="DM148" s="228" t="s">
        <v>277</v>
      </c>
      <c r="DN148" s="214" t="s">
        <v>278</v>
      </c>
      <c r="DV148" s="228" t="s">
        <v>292</v>
      </c>
      <c r="DW148" s="214" t="s">
        <v>293</v>
      </c>
    </row>
    <row r="149" spans="104:127" ht="51">
      <c r="CZ149" s="221"/>
      <c r="DA149" s="489" t="s">
        <v>65</v>
      </c>
      <c r="DB149" s="217" t="s">
        <v>259</v>
      </c>
      <c r="DC149" s="214" t="s">
        <v>294</v>
      </c>
      <c r="DD149" s="214" t="s">
        <v>295</v>
      </c>
      <c r="DE149" s="214" t="s">
        <v>294</v>
      </c>
      <c r="DM149" s="228" t="s">
        <v>279</v>
      </c>
      <c r="DN149" s="214" t="s">
        <v>280</v>
      </c>
      <c r="DV149" s="228" t="s">
        <v>296</v>
      </c>
      <c r="DW149" s="214" t="s">
        <v>297</v>
      </c>
    </row>
    <row r="150" spans="104:127" ht="51">
      <c r="CZ150" s="221"/>
      <c r="DA150" s="489"/>
      <c r="DB150" s="217" t="s">
        <v>261</v>
      </c>
      <c r="DC150" s="214" t="s">
        <v>294</v>
      </c>
      <c r="DD150" s="214" t="s">
        <v>295</v>
      </c>
      <c r="DE150" s="214" t="s">
        <v>295</v>
      </c>
      <c r="DM150" s="228" t="s">
        <v>281</v>
      </c>
      <c r="DN150" s="214" t="s">
        <v>282</v>
      </c>
    </row>
    <row r="151" spans="104:127" ht="89.25">
      <c r="CZ151" s="221"/>
      <c r="DA151" s="489"/>
      <c r="DB151" s="217" t="s">
        <v>263</v>
      </c>
      <c r="DC151" s="214" t="s">
        <v>294</v>
      </c>
      <c r="DD151" s="214" t="s">
        <v>295</v>
      </c>
      <c r="DE151" s="214" t="s">
        <v>295</v>
      </c>
      <c r="DM151" s="228" t="s">
        <v>285</v>
      </c>
      <c r="DN151" s="214" t="s">
        <v>286</v>
      </c>
    </row>
    <row r="152" spans="104:127" ht="63.75">
      <c r="CZ152" s="221"/>
      <c r="DA152" s="489"/>
      <c r="DB152" s="217" t="s">
        <v>265</v>
      </c>
      <c r="DC152" s="214" t="s">
        <v>294</v>
      </c>
      <c r="DD152" s="214" t="s">
        <v>295</v>
      </c>
      <c r="DE152" s="214" t="s">
        <v>294</v>
      </c>
      <c r="DM152" s="228" t="s">
        <v>290</v>
      </c>
      <c r="DN152" s="214" t="s">
        <v>291</v>
      </c>
    </row>
    <row r="153" spans="104:127" ht="51">
      <c r="CZ153" s="221"/>
      <c r="DA153" s="489"/>
      <c r="DB153" s="217" t="s">
        <v>267</v>
      </c>
      <c r="DC153" s="214" t="s">
        <v>295</v>
      </c>
      <c r="DD153" s="214" t="s">
        <v>294</v>
      </c>
      <c r="DE153" s="214" t="s">
        <v>295</v>
      </c>
      <c r="DM153" s="228" t="s">
        <v>292</v>
      </c>
      <c r="DN153" s="214" t="s">
        <v>293</v>
      </c>
    </row>
    <row r="154" spans="104:127" ht="51">
      <c r="CZ154" s="221"/>
      <c r="DA154" s="489"/>
      <c r="DB154" s="217" t="s">
        <v>269</v>
      </c>
      <c r="DC154" s="214" t="s">
        <v>295</v>
      </c>
      <c r="DD154" s="214" t="s">
        <v>294</v>
      </c>
      <c r="DE154" s="214" t="s">
        <v>294</v>
      </c>
      <c r="DM154" s="228" t="s">
        <v>296</v>
      </c>
      <c r="DN154" s="214" t="s">
        <v>297</v>
      </c>
    </row>
    <row r="155" spans="104:127">
      <c r="CZ155" s="221"/>
      <c r="DA155" s="489"/>
      <c r="DB155" s="217" t="s">
        <v>271</v>
      </c>
      <c r="DC155" s="214" t="s">
        <v>295</v>
      </c>
      <c r="DD155" s="214" t="s">
        <v>294</v>
      </c>
      <c r="DE155" s="214" t="s">
        <v>294</v>
      </c>
    </row>
    <row r="156" spans="104:127">
      <c r="CZ156" s="221"/>
      <c r="DA156" s="489"/>
      <c r="DB156" s="217" t="s">
        <v>273</v>
      </c>
      <c r="DC156" s="214" t="s">
        <v>294</v>
      </c>
      <c r="DD156" s="214" t="s">
        <v>295</v>
      </c>
      <c r="DE156" s="214" t="s">
        <v>294</v>
      </c>
    </row>
    <row r="157" spans="104:127">
      <c r="CZ157" s="221"/>
      <c r="DA157" s="489"/>
      <c r="DB157" s="217" t="s">
        <v>275</v>
      </c>
      <c r="DC157" s="214" t="s">
        <v>294</v>
      </c>
      <c r="DD157" s="214" t="s">
        <v>295</v>
      </c>
      <c r="DE157" s="214" t="s">
        <v>294</v>
      </c>
    </row>
    <row r="158" spans="104:127">
      <c r="CZ158" s="221"/>
      <c r="DA158" s="489"/>
      <c r="DB158" s="217" t="s">
        <v>277</v>
      </c>
      <c r="DC158" s="214" t="s">
        <v>294</v>
      </c>
      <c r="DD158" s="214" t="s">
        <v>294</v>
      </c>
      <c r="DE158" s="214" t="s">
        <v>295</v>
      </c>
    </row>
    <row r="159" spans="104:127">
      <c r="CZ159" s="221"/>
      <c r="DA159" s="489"/>
      <c r="DB159" s="217" t="s">
        <v>279</v>
      </c>
      <c r="DC159" s="214" t="s">
        <v>294</v>
      </c>
      <c r="DD159" s="214" t="s">
        <v>298</v>
      </c>
      <c r="DE159" s="214" t="s">
        <v>294</v>
      </c>
    </row>
    <row r="160" spans="104:127">
      <c r="CZ160" s="221"/>
      <c r="DA160" s="487" t="s">
        <v>69</v>
      </c>
      <c r="DB160" s="217" t="s">
        <v>281</v>
      </c>
      <c r="DC160" s="214" t="s">
        <v>294</v>
      </c>
      <c r="DD160" s="214" t="s">
        <v>295</v>
      </c>
      <c r="DE160" s="214" t="s">
        <v>294</v>
      </c>
    </row>
    <row r="161" spans="104:109">
      <c r="CZ161" s="221"/>
      <c r="DA161" s="487"/>
      <c r="DB161" s="217" t="s">
        <v>285</v>
      </c>
      <c r="DC161" s="214" t="s">
        <v>294</v>
      </c>
      <c r="DD161" s="214" t="s">
        <v>294</v>
      </c>
      <c r="DE161" s="214" t="s">
        <v>294</v>
      </c>
    </row>
    <row r="162" spans="104:109">
      <c r="CZ162" s="221"/>
      <c r="DA162" s="487"/>
      <c r="DB162" s="217" t="s">
        <v>290</v>
      </c>
      <c r="DC162" s="214" t="s">
        <v>294</v>
      </c>
      <c r="DD162" s="214" t="s">
        <v>295</v>
      </c>
      <c r="DE162" s="214" t="s">
        <v>294</v>
      </c>
    </row>
    <row r="163" spans="104:109">
      <c r="CZ163" s="221"/>
      <c r="DA163" s="487"/>
      <c r="DB163" s="217" t="s">
        <v>292</v>
      </c>
      <c r="DC163" s="214" t="s">
        <v>294</v>
      </c>
      <c r="DD163" s="214" t="s">
        <v>294</v>
      </c>
      <c r="DE163" s="214" t="s">
        <v>294</v>
      </c>
    </row>
    <row r="164" spans="104:109">
      <c r="CZ164" s="221"/>
      <c r="DA164" s="487"/>
      <c r="DB164" s="217" t="s">
        <v>296</v>
      </c>
      <c r="DC164" s="214" t="s">
        <v>299</v>
      </c>
      <c r="DD164" s="214" t="s">
        <v>300</v>
      </c>
      <c r="DE164" s="214" t="s">
        <v>299</v>
      </c>
    </row>
    <row r="165" spans="104:109" ht="25.5">
      <c r="CZ165" s="221"/>
      <c r="DA165" s="220" t="s">
        <v>61</v>
      </c>
      <c r="DB165" s="220"/>
      <c r="DC165" s="214" t="s">
        <v>301</v>
      </c>
      <c r="DD165" s="214" t="s">
        <v>301</v>
      </c>
      <c r="DE165" s="214" t="s">
        <v>302</v>
      </c>
    </row>
    <row r="166" spans="104:109" ht="25.5">
      <c r="CZ166" s="221"/>
      <c r="DA166" s="220" t="s">
        <v>67</v>
      </c>
      <c r="DB166" s="220"/>
      <c r="DC166" s="214" t="s">
        <v>253</v>
      </c>
      <c r="DD166" s="214" t="s">
        <v>254</v>
      </c>
      <c r="DE166" s="214" t="s">
        <v>255</v>
      </c>
    </row>
    <row r="167" spans="104:109" ht="25.5">
      <c r="CZ167" s="221"/>
      <c r="DA167" s="214" t="s">
        <v>128</v>
      </c>
      <c r="DB167" s="214"/>
      <c r="DC167" s="214" t="s">
        <v>253</v>
      </c>
      <c r="DD167" s="214" t="s">
        <v>256</v>
      </c>
      <c r="DE167" s="214" t="s">
        <v>255</v>
      </c>
    </row>
    <row r="168" spans="104:109" ht="25.5">
      <c r="CZ168" s="221"/>
      <c r="DA168" s="214" t="s">
        <v>73</v>
      </c>
      <c r="DB168" s="214"/>
      <c r="DC168" s="214" t="s">
        <v>256</v>
      </c>
      <c r="DD168" s="214" t="s">
        <v>257</v>
      </c>
      <c r="DE168" s="214" t="s">
        <v>258</v>
      </c>
    </row>
    <row r="169" spans="104:109">
      <c r="CZ169" s="214"/>
      <c r="DA169" s="229"/>
      <c r="DB169" s="229"/>
      <c r="DC169" s="229"/>
      <c r="DD169" s="229"/>
      <c r="DE169" s="229"/>
    </row>
    <row r="170" spans="104:109">
      <c r="CZ170" s="214"/>
      <c r="DA170" s="229"/>
      <c r="DB170" s="229"/>
      <c r="DC170" s="229"/>
      <c r="DD170" s="229"/>
      <c r="DE170" s="229"/>
    </row>
    <row r="171" spans="104:109">
      <c r="CZ171" s="214"/>
      <c r="DA171" s="229"/>
      <c r="DB171" s="229"/>
      <c r="DC171" s="229"/>
      <c r="DD171" s="229"/>
      <c r="DE171" s="229"/>
    </row>
    <row r="172" spans="104:109">
      <c r="CZ172" s="214"/>
      <c r="DA172" s="229"/>
      <c r="DB172" s="229"/>
      <c r="DC172" s="229"/>
      <c r="DD172" s="229"/>
      <c r="DE172" s="229"/>
    </row>
    <row r="173" spans="104:109">
      <c r="CZ173" s="214"/>
      <c r="DA173" s="229"/>
      <c r="DB173" s="229"/>
      <c r="DC173" s="229"/>
      <c r="DD173" s="229"/>
      <c r="DE173" s="229"/>
    </row>
    <row r="174" spans="104:109">
      <c r="CZ174" s="214"/>
      <c r="DA174" s="229"/>
      <c r="DB174" s="229"/>
      <c r="DC174" s="229"/>
      <c r="DD174" s="229"/>
      <c r="DE174" s="229"/>
    </row>
    <row r="175" spans="104:109">
      <c r="CZ175" s="217"/>
    </row>
    <row r="176" spans="104:109">
      <c r="CZ176" s="217"/>
    </row>
    <row r="177" spans="104:117">
      <c r="CZ177" s="217"/>
    </row>
    <row r="178" spans="104:117" ht="25.5">
      <c r="CZ178" s="217"/>
      <c r="DK178" s="215" t="s">
        <v>303</v>
      </c>
      <c r="DM178" s="215" t="s">
        <v>156</v>
      </c>
    </row>
    <row r="179" spans="104:117" ht="25.5">
      <c r="CZ179" s="217"/>
      <c r="DK179" s="231" t="s">
        <v>259</v>
      </c>
      <c r="DL179" s="214" t="s">
        <v>260</v>
      </c>
      <c r="DM179" s="156" t="s">
        <v>304</v>
      </c>
    </row>
    <row r="180" spans="104:117">
      <c r="CZ180" s="217"/>
      <c r="DK180" s="231" t="s">
        <v>261</v>
      </c>
      <c r="DL180" s="214" t="s">
        <v>262</v>
      </c>
      <c r="DM180" s="156" t="s">
        <v>305</v>
      </c>
    </row>
    <row r="181" spans="104:117" ht="25.5">
      <c r="CZ181" s="217"/>
      <c r="DK181" s="231" t="s">
        <v>263</v>
      </c>
      <c r="DL181" s="214" t="s">
        <v>264</v>
      </c>
      <c r="DM181" s="156" t="s">
        <v>306</v>
      </c>
    </row>
    <row r="182" spans="104:117" ht="25.5">
      <c r="CZ182" s="217"/>
      <c r="DK182" s="231" t="s">
        <v>265</v>
      </c>
      <c r="DL182" s="214" t="s">
        <v>266</v>
      </c>
      <c r="DM182" s="156" t="s">
        <v>307</v>
      </c>
    </row>
    <row r="183" spans="104:117" ht="51">
      <c r="CZ183" s="217"/>
      <c r="DK183" s="231" t="s">
        <v>267</v>
      </c>
      <c r="DL183" s="214" t="s">
        <v>268</v>
      </c>
      <c r="DM183" s="156" t="s">
        <v>308</v>
      </c>
    </row>
    <row r="184" spans="104:117" ht="25.5">
      <c r="CZ184" s="217"/>
      <c r="DK184" s="231" t="s">
        <v>269</v>
      </c>
      <c r="DL184" s="214" t="s">
        <v>270</v>
      </c>
      <c r="DM184" s="156" t="s">
        <v>309</v>
      </c>
    </row>
    <row r="185" spans="104:117" ht="25.5">
      <c r="CZ185" s="217"/>
      <c r="DK185" s="231" t="s">
        <v>271</v>
      </c>
      <c r="DL185" s="214" t="s">
        <v>272</v>
      </c>
      <c r="DM185" s="156" t="s">
        <v>310</v>
      </c>
    </row>
    <row r="186" spans="104:117" ht="25.5">
      <c r="CZ186" s="217"/>
      <c r="DK186" s="231" t="s">
        <v>273</v>
      </c>
      <c r="DL186" s="214" t="s">
        <v>274</v>
      </c>
      <c r="DM186" s="156" t="s">
        <v>311</v>
      </c>
    </row>
    <row r="187" spans="104:117" ht="25.5">
      <c r="CZ187" s="217"/>
      <c r="DK187" s="231" t="s">
        <v>275</v>
      </c>
      <c r="DL187" s="214" t="s">
        <v>276</v>
      </c>
      <c r="DM187" s="156" t="s">
        <v>312</v>
      </c>
    </row>
    <row r="188" spans="104:117">
      <c r="CZ188" s="217"/>
      <c r="DK188" s="231" t="s">
        <v>277</v>
      </c>
      <c r="DL188" s="214" t="s">
        <v>278</v>
      </c>
      <c r="DM188" s="156" t="s">
        <v>313</v>
      </c>
    </row>
    <row r="189" spans="104:117" ht="38.25">
      <c r="CZ189" s="217"/>
      <c r="DK189" s="231" t="s">
        <v>279</v>
      </c>
      <c r="DL189" s="214" t="s">
        <v>280</v>
      </c>
      <c r="DM189" s="156" t="s">
        <v>314</v>
      </c>
    </row>
    <row r="190" spans="104:117" ht="51">
      <c r="CZ190" s="217"/>
      <c r="DK190" s="231" t="s">
        <v>281</v>
      </c>
      <c r="DL190" s="214" t="s">
        <v>282</v>
      </c>
      <c r="DM190" s="156" t="s">
        <v>315</v>
      </c>
    </row>
    <row r="191" spans="104:117" ht="89.25">
      <c r="CZ191" s="217"/>
      <c r="DK191" s="231" t="s">
        <v>285</v>
      </c>
      <c r="DL191" s="214" t="s">
        <v>286</v>
      </c>
      <c r="DM191" s="156" t="s">
        <v>316</v>
      </c>
    </row>
    <row r="192" spans="104:117" ht="63.75">
      <c r="CZ192" s="217"/>
      <c r="DK192" s="231" t="s">
        <v>290</v>
      </c>
      <c r="DL192" s="214" t="s">
        <v>291</v>
      </c>
      <c r="DM192" s="156" t="s">
        <v>317</v>
      </c>
    </row>
    <row r="193" spans="104:117" ht="51">
      <c r="CZ193" s="217"/>
      <c r="DK193" s="231" t="s">
        <v>292</v>
      </c>
      <c r="DL193" s="214" t="s">
        <v>293</v>
      </c>
      <c r="DM193" s="156" t="s">
        <v>318</v>
      </c>
    </row>
    <row r="194" spans="104:117" ht="51">
      <c r="CZ194" s="217"/>
      <c r="DK194" s="231" t="s">
        <v>296</v>
      </c>
      <c r="DL194" s="214" t="s">
        <v>297</v>
      </c>
      <c r="DM194" s="156" t="s">
        <v>319</v>
      </c>
    </row>
    <row r="195" spans="104:117">
      <c r="CZ195" s="217"/>
    </row>
    <row r="196" spans="104:117">
      <c r="CZ196" s="217"/>
    </row>
    <row r="197" spans="104:117">
      <c r="CZ197" s="217"/>
    </row>
    <row r="198" spans="104:117">
      <c r="CZ198" s="217"/>
    </row>
    <row r="199" spans="104:117">
      <c r="CZ199" s="217"/>
    </row>
  </sheetData>
  <mergeCells count="68">
    <mergeCell ref="C1:F1"/>
    <mergeCell ref="H16:I16"/>
    <mergeCell ref="H17:I17"/>
    <mergeCell ref="H18:I18"/>
    <mergeCell ref="H19:I19"/>
    <mergeCell ref="H2:I2"/>
    <mergeCell ref="H3:I3"/>
    <mergeCell ref="H4:I4"/>
    <mergeCell ref="D2:D3"/>
    <mergeCell ref="D4:D15"/>
    <mergeCell ref="D16:D19"/>
    <mergeCell ref="C2:C3"/>
    <mergeCell ref="C4:C15"/>
    <mergeCell ref="C16:C19"/>
    <mergeCell ref="H1:J1"/>
    <mergeCell ref="G5:G9"/>
    <mergeCell ref="K1:L1"/>
    <mergeCell ref="M1:N1"/>
    <mergeCell ref="AN17:AO17"/>
    <mergeCell ref="AP1:AR1"/>
    <mergeCell ref="AN7:AO7"/>
    <mergeCell ref="AN8:AO8"/>
    <mergeCell ref="AN9:AO9"/>
    <mergeCell ref="AN12:AO12"/>
    <mergeCell ref="DA160:DA164"/>
    <mergeCell ref="DA149:DA159"/>
    <mergeCell ref="DC144:DE144"/>
    <mergeCell ref="E5:E9"/>
    <mergeCell ref="J10:J15"/>
    <mergeCell ref="L10:L15"/>
    <mergeCell ref="N10:N15"/>
    <mergeCell ref="J5:J9"/>
    <mergeCell ref="L5:L9"/>
    <mergeCell ref="N5:N9"/>
    <mergeCell ref="E10:E15"/>
    <mergeCell ref="F10:F15"/>
    <mergeCell ref="P12:R13"/>
    <mergeCell ref="F5:F9"/>
    <mergeCell ref="C26:F26"/>
    <mergeCell ref="H26:J26"/>
    <mergeCell ref="K26:L26"/>
    <mergeCell ref="M26:N26"/>
    <mergeCell ref="C27:C28"/>
    <mergeCell ref="D27:D28"/>
    <mergeCell ref="H27:I27"/>
    <mergeCell ref="H28:I28"/>
    <mergeCell ref="J30:J34"/>
    <mergeCell ref="L30:L34"/>
    <mergeCell ref="N30:N34"/>
    <mergeCell ref="E35:E40"/>
    <mergeCell ref="F35:F40"/>
    <mergeCell ref="J35:J40"/>
    <mergeCell ref="L35:L40"/>
    <mergeCell ref="N35:N40"/>
    <mergeCell ref="G30:G34"/>
    <mergeCell ref="G35:G40"/>
    <mergeCell ref="E30:E34"/>
    <mergeCell ref="F30:F34"/>
    <mergeCell ref="G10:G15"/>
    <mergeCell ref="C41:C44"/>
    <mergeCell ref="D41:D44"/>
    <mergeCell ref="H41:I41"/>
    <mergeCell ref="H42:I42"/>
    <mergeCell ref="H43:I43"/>
    <mergeCell ref="H44:I44"/>
    <mergeCell ref="C29:C40"/>
    <mergeCell ref="D29:D40"/>
    <mergeCell ref="H29:I29"/>
  </mergeCells>
  <phoneticPr fontId="4"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cc29f23-2d55-41df-b2bd-5de9d2f4be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DC9F81DCAC94EBFA73F7BBB68AEC9" ma:contentTypeVersion="16" ma:contentTypeDescription="Create a new document." ma:contentTypeScope="" ma:versionID="973adf7b103b42b7c5a8ec4d20ff6a30">
  <xsd:schema xmlns:xsd="http://www.w3.org/2001/XMLSchema" xmlns:xs="http://www.w3.org/2001/XMLSchema" xmlns:p="http://schemas.microsoft.com/office/2006/metadata/properties" xmlns:ns3="1cc29f23-2d55-41df-b2bd-5de9d2f4be9b" xmlns:ns4="9636b295-2c49-4eb3-ae53-642a8da609dc" targetNamespace="http://schemas.microsoft.com/office/2006/metadata/properties" ma:root="true" ma:fieldsID="e21a8ecf01789fac3d9ad5a99df37b24" ns3:_="" ns4:_="">
    <xsd:import namespace="1cc29f23-2d55-41df-b2bd-5de9d2f4be9b"/>
    <xsd:import namespace="9636b295-2c49-4eb3-ae53-642a8da609d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DateTaken" minOccurs="0"/>
                <xsd:element ref="ns3:MediaServiceOCR"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29f23-2d55-41df-b2bd-5de9d2f4be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36b295-2c49-4eb3-ae53-642a8da609d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1BE76E-1C1A-43E1-8E16-1CCD83F7732F}"/>
</file>

<file path=customXml/itemProps2.xml><?xml version="1.0" encoding="utf-8"?>
<ds:datastoreItem xmlns:ds="http://schemas.openxmlformats.org/officeDocument/2006/customXml" ds:itemID="{40093A7C-FA84-4A57-9248-F50BEE270CC3}"/>
</file>

<file path=customXml/itemProps3.xml><?xml version="1.0" encoding="utf-8"?>
<ds:datastoreItem xmlns:ds="http://schemas.openxmlformats.org/officeDocument/2006/customXml" ds:itemID="{D1999D8A-9D18-41BB-8E6A-C0174546D4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LUIS ARENAS VANEGAS</dc:creator>
  <cp:keywords/>
  <dc:description/>
  <cp:lastModifiedBy>ANDRES RONDON</cp:lastModifiedBy>
  <cp:revision/>
  <dcterms:created xsi:type="dcterms:W3CDTF">2023-08-07T21:36:43Z</dcterms:created>
  <dcterms:modified xsi:type="dcterms:W3CDTF">2023-11-07T12:38:33Z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0x010100CCADC9F81DCAC94EBFA73F7BBB68AEC9</vt:lpwstr>
  </property>
</Properties>
</file>