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heim\Desktop\Apéndices LIBRO\"/>
    </mc:Choice>
  </mc:AlternateContent>
  <xr:revisionPtr revIDLastSave="0" documentId="13_ncr:1_{2C8149D4-99D5-4E48-9A0F-3D838A22A9AB}" xr6:coauthVersionLast="47" xr6:coauthVersionMax="47" xr10:uidLastSave="{00000000-0000-0000-0000-000000000000}"/>
  <bookViews>
    <workbookView xWindow="12432" yWindow="1044" windowWidth="10920" windowHeight="10188" xr2:uid="{A6C8A728-D934-4D6B-B1EA-5B0E632590BA}"/>
  </bookViews>
  <sheets>
    <sheet name="PART. EN EL MERCADO" sheetId="1" r:id="rId1"/>
    <sheet name="INVERSIONES" sheetId="2" r:id="rId2"/>
    <sheet name="ESPECIFICACIONES" sheetId="9" r:id="rId3"/>
    <sheet name="COSTOS Y GASTOS" sheetId="3" r:id="rId4"/>
    <sheet name="COSTOS PS" sheetId="7" r:id="rId5"/>
    <sheet name="CRÉDITO" sheetId="4" r:id="rId6"/>
    <sheet name="COSTOS RESUMEN" sheetId="5" r:id="rId7"/>
    <sheet name="PROYECCIONES" sheetId="6" r:id="rId8"/>
    <sheet name="EVALUACION" sheetId="8" r:id="rId9"/>
  </sheets>
  <externalReferences>
    <externalReference r:id="rId10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5" i="2" l="1"/>
  <c r="B41" i="8"/>
  <c r="I86" i="3" l="1"/>
  <c r="E39" i="9" l="1"/>
  <c r="E62" i="9"/>
  <c r="E53" i="9"/>
  <c r="E49" i="9"/>
  <c r="E59" i="9"/>
  <c r="E55" i="9"/>
  <c r="E56" i="9"/>
  <c r="E61" i="9"/>
  <c r="E58" i="9"/>
  <c r="E54" i="9"/>
  <c r="E51" i="9"/>
  <c r="E52" i="9"/>
  <c r="E50" i="9"/>
  <c r="E47" i="9"/>
  <c r="E48" i="9"/>
  <c r="E46" i="9"/>
  <c r="E36" i="9"/>
  <c r="E40" i="9" s="1"/>
  <c r="E32" i="9"/>
  <c r="E38" i="9"/>
  <c r="E34" i="9"/>
  <c r="E35" i="9"/>
  <c r="E37" i="9"/>
  <c r="E33" i="9"/>
  <c r="E29" i="9"/>
  <c r="E30" i="9"/>
  <c r="E31" i="9"/>
  <c r="E28" i="9"/>
  <c r="E20" i="9"/>
  <c r="E21" i="9" s="1"/>
  <c r="E17" i="9"/>
  <c r="E14" i="9"/>
  <c r="E15" i="9"/>
  <c r="E16" i="9"/>
  <c r="E11" i="9"/>
  <c r="E19" i="9"/>
  <c r="E13" i="9"/>
  <c r="E18" i="9" s="1"/>
  <c r="E10" i="9"/>
  <c r="E12" i="9" s="1"/>
  <c r="E6" i="9"/>
  <c r="E7" i="9"/>
  <c r="E8" i="9"/>
  <c r="E5" i="9"/>
  <c r="D88" i="2"/>
  <c r="D95" i="2"/>
  <c r="E9" i="9" l="1"/>
  <c r="E22" i="9" s="1"/>
  <c r="E60" i="9"/>
  <c r="E57" i="9"/>
  <c r="E63" i="9" s="1"/>
  <c r="E157" i="3"/>
  <c r="E153" i="3"/>
  <c r="E154" i="3"/>
  <c r="E155" i="3"/>
  <c r="E152" i="3"/>
  <c r="K131" i="3"/>
  <c r="H131" i="3" s="1"/>
  <c r="I131" i="3" s="1"/>
  <c r="E91" i="3"/>
  <c r="D62" i="2"/>
  <c r="D65" i="2"/>
  <c r="D64" i="2"/>
  <c r="D63" i="2"/>
  <c r="D61" i="2"/>
  <c r="D35" i="2"/>
  <c r="E35" i="2" s="1"/>
  <c r="D34" i="2"/>
  <c r="E34" i="2" s="1"/>
  <c r="D33" i="2"/>
  <c r="E33" i="2" s="1"/>
  <c r="D22" i="2"/>
  <c r="D20" i="2"/>
  <c r="D21" i="2"/>
  <c r="D23" i="2"/>
  <c r="F61" i="7"/>
  <c r="H61" i="7" s="1"/>
  <c r="E59" i="7"/>
  <c r="E27" i="7"/>
  <c r="H59" i="7"/>
  <c r="H60" i="7"/>
  <c r="F58" i="7"/>
  <c r="H58" i="7" s="1"/>
  <c r="D97" i="3"/>
  <c r="E27" i="2"/>
  <c r="E25" i="2"/>
  <c r="E24" i="2"/>
  <c r="D91" i="2"/>
  <c r="D94" i="2"/>
  <c r="H62" i="7" l="1"/>
  <c r="E95" i="3" s="1"/>
  <c r="G68" i="3" l="1"/>
  <c r="D93" i="2"/>
  <c r="E66" i="2"/>
  <c r="F99" i="6"/>
  <c r="F91" i="8"/>
  <c r="C98" i="8" s="1"/>
  <c r="E26" i="8"/>
  <c r="I35" i="8"/>
  <c r="H35" i="8"/>
  <c r="G35" i="8"/>
  <c r="F35" i="8"/>
  <c r="E35" i="8"/>
  <c r="K148" i="6"/>
  <c r="J148" i="6"/>
  <c r="K145" i="6"/>
  <c r="J145" i="6"/>
  <c r="J133" i="6"/>
  <c r="F138" i="6"/>
  <c r="K107" i="6"/>
  <c r="K106" i="6"/>
  <c r="H7" i="4"/>
  <c r="F199" i="3"/>
  <c r="E199" i="3"/>
  <c r="F6" i="7"/>
  <c r="H6" i="7" s="1"/>
  <c r="C118" i="2"/>
  <c r="C119" i="2"/>
  <c r="C120" i="2"/>
  <c r="C117" i="2"/>
  <c r="D89" i="2"/>
  <c r="D90" i="2"/>
  <c r="D92" i="2"/>
  <c r="D48" i="2"/>
  <c r="D49" i="2"/>
  <c r="D50" i="2"/>
  <c r="D51" i="2"/>
  <c r="D52" i="2"/>
  <c r="E52" i="2" s="1"/>
  <c r="D53" i="2"/>
  <c r="E53" i="2" s="1"/>
  <c r="D54" i="2"/>
  <c r="E54" i="2" s="1"/>
  <c r="D47" i="2"/>
  <c r="F21" i="3"/>
  <c r="F22" i="3"/>
  <c r="F23" i="3"/>
  <c r="F24" i="3"/>
  <c r="F20" i="3"/>
  <c r="F16" i="7"/>
  <c r="H16" i="7" s="1"/>
  <c r="F17" i="7"/>
  <c r="H17" i="7" s="1"/>
  <c r="F15" i="7"/>
  <c r="H15" i="7" s="1"/>
  <c r="E53" i="7"/>
  <c r="H53" i="7"/>
  <c r="F52" i="7"/>
  <c r="H52" i="7" s="1"/>
  <c r="H51" i="7"/>
  <c r="E50" i="7"/>
  <c r="H50" i="7"/>
  <c r="F34" i="7"/>
  <c r="H34" i="7" s="1"/>
  <c r="F35" i="7"/>
  <c r="H35" i="7" s="1"/>
  <c r="F36" i="7"/>
  <c r="H36" i="7" s="1"/>
  <c r="F37" i="7"/>
  <c r="H37" i="7" s="1"/>
  <c r="F38" i="7"/>
  <c r="H38" i="7" s="1"/>
  <c r="F39" i="7"/>
  <c r="H39" i="7" s="1"/>
  <c r="F40" i="7"/>
  <c r="H40" i="7" s="1"/>
  <c r="F41" i="7"/>
  <c r="H41" i="7" s="1"/>
  <c r="F42" i="7"/>
  <c r="H42" i="7" s="1"/>
  <c r="F43" i="7"/>
  <c r="H43" i="7" s="1"/>
  <c r="F44" i="7"/>
  <c r="H44" i="7" s="1"/>
  <c r="F45" i="7"/>
  <c r="H45" i="7" s="1"/>
  <c r="F33" i="7"/>
  <c r="H33" i="7" s="1"/>
  <c r="H27" i="7"/>
  <c r="E28" i="7"/>
  <c r="E24" i="7"/>
  <c r="H25" i="7"/>
  <c r="H28" i="7"/>
  <c r="H24" i="7"/>
  <c r="E25" i="7"/>
  <c r="H23" i="7"/>
  <c r="E23" i="7"/>
  <c r="F22" i="7"/>
  <c r="H22" i="7" s="1"/>
  <c r="F14" i="7"/>
  <c r="H14" i="7" s="1"/>
  <c r="F13" i="7"/>
  <c r="H13" i="7" s="1"/>
  <c r="F12" i="7"/>
  <c r="H12" i="7" s="1"/>
  <c r="F11" i="7"/>
  <c r="H11" i="7" s="1"/>
  <c r="F10" i="7"/>
  <c r="H10" i="7" s="1"/>
  <c r="F9" i="7"/>
  <c r="H9" i="7" s="1"/>
  <c r="F8" i="7"/>
  <c r="H8" i="7" s="1"/>
  <c r="F7" i="7"/>
  <c r="H7" i="7" s="1"/>
  <c r="E69" i="2"/>
  <c r="E70" i="2"/>
  <c r="C38" i="3"/>
  <c r="B81" i="2"/>
  <c r="D96" i="2" l="1"/>
  <c r="F151" i="6"/>
  <c r="F155" i="6" s="1"/>
  <c r="H18" i="7"/>
  <c r="H54" i="7"/>
  <c r="G64" i="3" s="1"/>
  <c r="H46" i="7"/>
  <c r="E96" i="3" l="1"/>
  <c r="E93" i="3"/>
  <c r="E92" i="3"/>
  <c r="F140" i="6"/>
  <c r="D98" i="2"/>
  <c r="F156" i="3" s="1"/>
  <c r="G69" i="3" l="1"/>
  <c r="G65" i="3"/>
  <c r="G66" i="3"/>
  <c r="E156" i="3"/>
  <c r="G82" i="6"/>
  <c r="H82" i="6" s="1"/>
  <c r="F142" i="6"/>
  <c r="G140" i="6"/>
  <c r="N18" i="4"/>
  <c r="M18" i="4"/>
  <c r="P18" i="4"/>
  <c r="J172" i="6"/>
  <c r="J178" i="6" s="1"/>
  <c r="J184" i="6" s="1"/>
  <c r="J190" i="6" s="1"/>
  <c r="J196" i="6" s="1"/>
  <c r="I172" i="6"/>
  <c r="I178" i="6" s="1"/>
  <c r="I184" i="6" s="1"/>
  <c r="I190" i="6" s="1"/>
  <c r="I196" i="6" s="1"/>
  <c r="H172" i="6"/>
  <c r="H178" i="6" s="1"/>
  <c r="H184" i="6" s="1"/>
  <c r="H190" i="6" s="1"/>
  <c r="H196" i="6" s="1"/>
  <c r="G172" i="6"/>
  <c r="G178" i="6" s="1"/>
  <c r="G184" i="6" s="1"/>
  <c r="G190" i="6" s="1"/>
  <c r="G196" i="6" s="1"/>
  <c r="F172" i="6"/>
  <c r="F178" i="6" s="1"/>
  <c r="F184" i="6" s="1"/>
  <c r="F190" i="6" s="1"/>
  <c r="F196" i="6" s="1"/>
  <c r="J167" i="6"/>
  <c r="I167" i="6"/>
  <c r="H167" i="6"/>
  <c r="G167" i="6"/>
  <c r="G179" i="6" s="1"/>
  <c r="G185" i="6" s="1"/>
  <c r="G191" i="6" s="1"/>
  <c r="G197" i="6" s="1"/>
  <c r="F167" i="6"/>
  <c r="F173" i="6" s="1"/>
  <c r="I132" i="6"/>
  <c r="J132" i="6" s="1"/>
  <c r="F110" i="6"/>
  <c r="K102" i="6"/>
  <c r="J102" i="6"/>
  <c r="I102" i="6"/>
  <c r="H102" i="6"/>
  <c r="G102" i="6"/>
  <c r="K94" i="6"/>
  <c r="J94" i="6"/>
  <c r="I94" i="6"/>
  <c r="H94" i="6"/>
  <c r="G94" i="6"/>
  <c r="F65" i="6"/>
  <c r="F9" i="6"/>
  <c r="F29" i="6" s="1"/>
  <c r="G65" i="6" s="1"/>
  <c r="H10" i="4"/>
  <c r="G3" i="4"/>
  <c r="L15" i="4"/>
  <c r="L16" i="4" s="1"/>
  <c r="L17" i="4" s="1"/>
  <c r="L18" i="4" s="1"/>
  <c r="C14" i="4"/>
  <c r="C15" i="4" s="1"/>
  <c r="C16" i="4" s="1"/>
  <c r="C17" i="4" s="1"/>
  <c r="C18" i="4" s="1"/>
  <c r="C19" i="4" s="1"/>
  <c r="C20" i="4" s="1"/>
  <c r="C21" i="4" s="1"/>
  <c r="C22" i="4" s="1"/>
  <c r="C23" i="4" s="1"/>
  <c r="C24" i="4" s="1"/>
  <c r="C25" i="4" s="1"/>
  <c r="C26" i="4" s="1"/>
  <c r="C27" i="4" s="1"/>
  <c r="C28" i="4" s="1"/>
  <c r="C29" i="4" s="1"/>
  <c r="C30" i="4" s="1"/>
  <c r="C31" i="4" s="1"/>
  <c r="C32" i="4" s="1"/>
  <c r="C33" i="4" s="1"/>
  <c r="C34" i="4" s="1"/>
  <c r="C35" i="4" s="1"/>
  <c r="C36" i="4" s="1"/>
  <c r="C37" i="4" s="1"/>
  <c r="C38" i="4" s="1"/>
  <c r="C39" i="4" s="1"/>
  <c r="C40" i="4" s="1"/>
  <c r="C41" i="4" s="1"/>
  <c r="C42" i="4" s="1"/>
  <c r="C43" i="4" s="1"/>
  <c r="C44" i="4" s="1"/>
  <c r="C45" i="4" s="1"/>
  <c r="C46" i="4" s="1"/>
  <c r="C47" i="4" s="1"/>
  <c r="C48" i="4" s="1"/>
  <c r="C49" i="4" s="1"/>
  <c r="C50" i="4" s="1"/>
  <c r="C51" i="4" s="1"/>
  <c r="C52" i="4" s="1"/>
  <c r="C53" i="4" s="1"/>
  <c r="C54" i="4" s="1"/>
  <c r="C55" i="4" s="1"/>
  <c r="C56" i="4" s="1"/>
  <c r="C57" i="4" s="1"/>
  <c r="C58" i="4" s="1"/>
  <c r="C59" i="4" s="1"/>
  <c r="C60" i="4" s="1"/>
  <c r="C61" i="4" s="1"/>
  <c r="C62" i="4" s="1"/>
  <c r="C63" i="4" s="1"/>
  <c r="C64" i="4" s="1"/>
  <c r="C65" i="4" s="1"/>
  <c r="C66" i="4" s="1"/>
  <c r="C67" i="4" s="1"/>
  <c r="C68" i="4" s="1"/>
  <c r="C69" i="4" s="1"/>
  <c r="C70" i="4" s="1"/>
  <c r="C71" i="4" s="1"/>
  <c r="C72" i="4" s="1"/>
  <c r="C73" i="4" s="1"/>
  <c r="K12" i="4"/>
  <c r="F112" i="3"/>
  <c r="D17" i="5" s="1"/>
  <c r="F78" i="3"/>
  <c r="F79" i="3"/>
  <c r="G79" i="3" s="1"/>
  <c r="I79" i="3" s="1"/>
  <c r="F80" i="3"/>
  <c r="G80" i="3" s="1"/>
  <c r="I80" i="3" s="1"/>
  <c r="F81" i="3"/>
  <c r="G81" i="3" s="1"/>
  <c r="I81" i="3" s="1"/>
  <c r="F82" i="3"/>
  <c r="G82" i="3" s="1"/>
  <c r="F83" i="3"/>
  <c r="G83" i="3" s="1"/>
  <c r="I83" i="3" s="1"/>
  <c r="E189" i="3"/>
  <c r="E169" i="3"/>
  <c r="D169" i="3"/>
  <c r="F169" i="3"/>
  <c r="F157" i="3"/>
  <c r="F155" i="3"/>
  <c r="F154" i="3"/>
  <c r="F153" i="3"/>
  <c r="F152" i="3"/>
  <c r="F136" i="3"/>
  <c r="E136" i="3"/>
  <c r="D136" i="3"/>
  <c r="E49" i="3"/>
  <c r="E48" i="3"/>
  <c r="E47" i="3"/>
  <c r="E46" i="3"/>
  <c r="E45" i="3"/>
  <c r="C49" i="3"/>
  <c r="C58" i="3" s="1"/>
  <c r="C37" i="3"/>
  <c r="C48" i="3" s="1"/>
  <c r="C36" i="3"/>
  <c r="C47" i="3" s="1"/>
  <c r="C35" i="3"/>
  <c r="C46" i="3" s="1"/>
  <c r="E34" i="3"/>
  <c r="C34" i="3"/>
  <c r="C45" i="3" s="1"/>
  <c r="D28" i="3"/>
  <c r="E14" i="3"/>
  <c r="H7" i="3"/>
  <c r="E61" i="2"/>
  <c r="G78" i="3" l="1"/>
  <c r="I78" i="3" s="1"/>
  <c r="I82" i="3"/>
  <c r="G20" i="3"/>
  <c r="H20" i="3" s="1"/>
  <c r="I20" i="3" s="1"/>
  <c r="J20" i="3" s="1"/>
  <c r="G165" i="3"/>
  <c r="K165" i="3" s="1"/>
  <c r="H165" i="3" s="1"/>
  <c r="I82" i="6"/>
  <c r="F23" i="8"/>
  <c r="H140" i="6"/>
  <c r="G141" i="6"/>
  <c r="H141" i="6" s="1"/>
  <c r="I141" i="6" s="1"/>
  <c r="E23" i="8"/>
  <c r="G134" i="3"/>
  <c r="H134" i="3" s="1"/>
  <c r="I134" i="3" s="1"/>
  <c r="J134" i="3" s="1"/>
  <c r="G25" i="3"/>
  <c r="H25" i="3" s="1"/>
  <c r="I25" i="3" s="1"/>
  <c r="J25" i="3" s="1"/>
  <c r="G24" i="3"/>
  <c r="H24" i="3" s="1"/>
  <c r="I24" i="3" s="1"/>
  <c r="J24" i="3" s="1"/>
  <c r="G23" i="3"/>
  <c r="H23" i="3" s="1"/>
  <c r="I23" i="3" s="1"/>
  <c r="J23" i="3" s="1"/>
  <c r="G22" i="3"/>
  <c r="H22" i="3" s="1"/>
  <c r="I22" i="3" s="1"/>
  <c r="J22" i="3" s="1"/>
  <c r="G21" i="3"/>
  <c r="H21" i="3" s="1"/>
  <c r="I21" i="3" s="1"/>
  <c r="J21" i="3" s="1"/>
  <c r="G9" i="6"/>
  <c r="H9" i="6" s="1"/>
  <c r="I9" i="6" s="1"/>
  <c r="G173" i="6"/>
  <c r="F179" i="6"/>
  <c r="F185" i="6" s="1"/>
  <c r="F191" i="6" s="1"/>
  <c r="F197" i="6" s="1"/>
  <c r="J49" i="6"/>
  <c r="K132" i="6"/>
  <c r="J173" i="6"/>
  <c r="J179" i="6"/>
  <c r="J185" i="6" s="1"/>
  <c r="J191" i="6" s="1"/>
  <c r="J197" i="6" s="1"/>
  <c r="H173" i="6"/>
  <c r="H179" i="6"/>
  <c r="H185" i="6" s="1"/>
  <c r="H191" i="6" s="1"/>
  <c r="H197" i="6" s="1"/>
  <c r="I173" i="6"/>
  <c r="I179" i="6"/>
  <c r="I185" i="6" s="1"/>
  <c r="I191" i="6" s="1"/>
  <c r="I197" i="6" s="1"/>
  <c r="H29" i="6"/>
  <c r="I65" i="6" s="1"/>
  <c r="G130" i="3"/>
  <c r="G132" i="3"/>
  <c r="H132" i="3" s="1"/>
  <c r="I132" i="3" s="1"/>
  <c r="J132" i="3" s="1"/>
  <c r="G166" i="3"/>
  <c r="H166" i="3" s="1"/>
  <c r="I166" i="3" s="1"/>
  <c r="J166" i="3" s="1"/>
  <c r="G168" i="3"/>
  <c r="H168" i="3" s="1"/>
  <c r="I168" i="3" s="1"/>
  <c r="J168" i="3" s="1"/>
  <c r="G34" i="3"/>
  <c r="H34" i="3" s="1"/>
  <c r="G131" i="3"/>
  <c r="J131" i="3" s="1"/>
  <c r="G133" i="3"/>
  <c r="H133" i="3" s="1"/>
  <c r="I133" i="3" s="1"/>
  <c r="J133" i="3" s="1"/>
  <c r="G135" i="3"/>
  <c r="H135" i="3" s="1"/>
  <c r="I135" i="3" s="1"/>
  <c r="J135" i="3" s="1"/>
  <c r="G27" i="3"/>
  <c r="H27" i="3" s="1"/>
  <c r="I27" i="3" s="1"/>
  <c r="J27" i="3" s="1"/>
  <c r="G167" i="3"/>
  <c r="H167" i="3" s="1"/>
  <c r="I167" i="3" s="1"/>
  <c r="J167" i="3" s="1"/>
  <c r="I84" i="3" l="1"/>
  <c r="I85" i="3" s="1"/>
  <c r="K130" i="3"/>
  <c r="H130" i="3" s="1"/>
  <c r="I130" i="3" s="1"/>
  <c r="J130" i="3" s="1"/>
  <c r="I87" i="3"/>
  <c r="I88" i="3" s="1"/>
  <c r="F97" i="3" s="1"/>
  <c r="F91" i="3" s="1"/>
  <c r="G91" i="3" s="1"/>
  <c r="J141" i="6"/>
  <c r="H142" i="6"/>
  <c r="I140" i="6"/>
  <c r="J140" i="6" s="1"/>
  <c r="K140" i="6" s="1"/>
  <c r="G142" i="6"/>
  <c r="J82" i="6"/>
  <c r="G23" i="8"/>
  <c r="G29" i="6"/>
  <c r="H65" i="6" s="1"/>
  <c r="J9" i="6"/>
  <c r="J29" i="6" s="1"/>
  <c r="K65" i="6" s="1"/>
  <c r="I29" i="6"/>
  <c r="J65" i="6" s="1"/>
  <c r="G136" i="3"/>
  <c r="G169" i="3"/>
  <c r="I28" i="3"/>
  <c r="E120" i="3" s="1"/>
  <c r="J28" i="3"/>
  <c r="F34" i="6" s="1"/>
  <c r="G34" i="6" s="1"/>
  <c r="H34" i="6" s="1"/>
  <c r="I34" i="6" s="1"/>
  <c r="J34" i="6" s="1"/>
  <c r="J34" i="3"/>
  <c r="D74" i="3" l="1"/>
  <c r="F95" i="3"/>
  <c r="F96" i="3"/>
  <c r="F92" i="3"/>
  <c r="F94" i="3"/>
  <c r="E67" i="3" s="1"/>
  <c r="F93" i="3"/>
  <c r="K141" i="6"/>
  <c r="K82" i="6"/>
  <c r="I23" i="8" s="1"/>
  <c r="H23" i="8"/>
  <c r="G72" i="6"/>
  <c r="E13" i="8" s="1"/>
  <c r="I142" i="6"/>
  <c r="K133" i="6"/>
  <c r="I165" i="3"/>
  <c r="H169" i="3"/>
  <c r="I34" i="3"/>
  <c r="D54" i="3"/>
  <c r="F120" i="3"/>
  <c r="F10" i="5" s="1"/>
  <c r="H136" i="3"/>
  <c r="E66" i="3" l="1"/>
  <c r="G93" i="3"/>
  <c r="E65" i="3"/>
  <c r="F65" i="3" s="1"/>
  <c r="G92" i="3"/>
  <c r="E69" i="3"/>
  <c r="F69" i="3" s="1"/>
  <c r="G96" i="3"/>
  <c r="E64" i="3"/>
  <c r="F64" i="3" s="1"/>
  <c r="E68" i="3"/>
  <c r="F68" i="3" s="1"/>
  <c r="G95" i="3"/>
  <c r="K142" i="6"/>
  <c r="H72" i="6"/>
  <c r="F13" i="8" s="1"/>
  <c r="I136" i="3"/>
  <c r="J136" i="3"/>
  <c r="F54" i="3"/>
  <c r="F145" i="3" s="1"/>
  <c r="E54" i="3"/>
  <c r="F105" i="3" s="1"/>
  <c r="I169" i="3"/>
  <c r="J165" i="3"/>
  <c r="J169" i="3" s="1"/>
  <c r="D73" i="3" l="1"/>
  <c r="J142" i="6"/>
  <c r="F42" i="6"/>
  <c r="G42" i="6" s="1"/>
  <c r="H42" i="6" s="1"/>
  <c r="I42" i="6" s="1"/>
  <c r="J42" i="6" s="1"/>
  <c r="F176" i="3"/>
  <c r="E176" i="3" s="1"/>
  <c r="F177" i="3"/>
  <c r="E177" i="3" s="1"/>
  <c r="F44" i="6"/>
  <c r="I72" i="6"/>
  <c r="G13" i="8" s="1"/>
  <c r="E105" i="3"/>
  <c r="E145" i="3"/>
  <c r="G84" i="6" l="1"/>
  <c r="E25" i="8" s="1"/>
  <c r="G44" i="6"/>
  <c r="F4" i="5"/>
  <c r="G39" i="5" s="1"/>
  <c r="F10" i="6"/>
  <c r="K72" i="6"/>
  <c r="I13" i="8" s="1"/>
  <c r="J72" i="6"/>
  <c r="H13" i="8" s="1"/>
  <c r="H44" i="6" l="1"/>
  <c r="H84" i="6"/>
  <c r="F25" i="8" s="1"/>
  <c r="G10" i="6"/>
  <c r="H65" i="3"/>
  <c r="I65" i="3" s="1"/>
  <c r="J65" i="3" s="1"/>
  <c r="F67" i="3"/>
  <c r="F66" i="3"/>
  <c r="H66" i="3" s="1"/>
  <c r="I66" i="3" s="1"/>
  <c r="J66" i="3" s="1"/>
  <c r="H69" i="3"/>
  <c r="I69" i="3" s="1"/>
  <c r="J69" i="3" s="1"/>
  <c r="H68" i="3"/>
  <c r="I68" i="3" s="1"/>
  <c r="J68" i="3" s="1"/>
  <c r="I84" i="6" l="1"/>
  <c r="G25" i="8" s="1"/>
  <c r="I44" i="6"/>
  <c r="H10" i="6"/>
  <c r="H64" i="3"/>
  <c r="I64" i="3" l="1"/>
  <c r="J64" i="3" s="1"/>
  <c r="J44" i="6"/>
  <c r="K84" i="6" s="1"/>
  <c r="I25" i="8" s="1"/>
  <c r="J84" i="6"/>
  <c r="H25" i="8" s="1"/>
  <c r="I10" i="6"/>
  <c r="J10" i="6" l="1"/>
  <c r="O18" i="4"/>
  <c r="D120" i="2" l="1"/>
  <c r="D119" i="2"/>
  <c r="D118" i="2"/>
  <c r="D117" i="2"/>
  <c r="E111" i="3" s="1"/>
  <c r="F111" i="3" s="1"/>
  <c r="D12" i="5" s="1"/>
  <c r="D116" i="2"/>
  <c r="D109" i="2"/>
  <c r="E120" i="2" s="1"/>
  <c r="D108" i="2"/>
  <c r="E119" i="2" s="1"/>
  <c r="D107" i="2"/>
  <c r="E118" i="2" s="1"/>
  <c r="D106" i="2"/>
  <c r="E117" i="2" s="1"/>
  <c r="E150" i="3" s="1"/>
  <c r="F150" i="3" s="1"/>
  <c r="D105" i="2"/>
  <c r="E116" i="2" s="1"/>
  <c r="B78" i="2"/>
  <c r="B77" i="2"/>
  <c r="D76" i="2"/>
  <c r="E68" i="2"/>
  <c r="E67" i="2"/>
  <c r="E65" i="2"/>
  <c r="E64" i="2"/>
  <c r="E63" i="2"/>
  <c r="E62" i="2"/>
  <c r="E55" i="2"/>
  <c r="E51" i="2"/>
  <c r="E50" i="2"/>
  <c r="E49" i="2"/>
  <c r="E48" i="2"/>
  <c r="E47" i="2"/>
  <c r="E41" i="2"/>
  <c r="E40" i="2"/>
  <c r="E26" i="2"/>
  <c r="E23" i="2"/>
  <c r="E22" i="2"/>
  <c r="E21" i="2"/>
  <c r="E20" i="2"/>
  <c r="E15" i="2"/>
  <c r="D77" i="2" s="1"/>
  <c r="E9" i="2"/>
  <c r="E28" i="2" l="1"/>
  <c r="D78" i="2" s="1"/>
  <c r="F134" i="6" s="1"/>
  <c r="G134" i="6" s="1"/>
  <c r="H134" i="6" s="1"/>
  <c r="I134" i="6" s="1"/>
  <c r="J134" i="6" s="1"/>
  <c r="K134" i="6" s="1"/>
  <c r="E42" i="2"/>
  <c r="D79" i="2" s="1"/>
  <c r="F135" i="6" s="1"/>
  <c r="G135" i="6" s="1"/>
  <c r="H135" i="6" s="1"/>
  <c r="I135" i="6" s="1"/>
  <c r="J135" i="6" s="1"/>
  <c r="K135" i="6" s="1"/>
  <c r="E71" i="2"/>
  <c r="D81" i="2" s="1"/>
  <c r="E56" i="2"/>
  <c r="D80" i="2" s="1"/>
  <c r="F136" i="6" s="1"/>
  <c r="G136" i="6" s="1"/>
  <c r="H136" i="6" s="1"/>
  <c r="I136" i="6" s="1"/>
  <c r="J136" i="6" s="1"/>
  <c r="K136" i="6" s="1"/>
  <c r="E110" i="3"/>
  <c r="F110" i="3" s="1"/>
  <c r="D13" i="5" s="1"/>
  <c r="E151" i="3"/>
  <c r="F151" i="3" s="1"/>
  <c r="E210" i="3"/>
  <c r="F92" i="6" l="1"/>
  <c r="F137" i="6"/>
  <c r="D82" i="2"/>
  <c r="D29" i="5"/>
  <c r="E37" i="3"/>
  <c r="F143" i="3" s="1"/>
  <c r="E143" i="3" s="1"/>
  <c r="E35" i="3"/>
  <c r="E38" i="3"/>
  <c r="E36" i="3"/>
  <c r="D33" i="8" l="1"/>
  <c r="F103" i="3"/>
  <c r="E103" i="3" s="1"/>
  <c r="F144" i="3"/>
  <c r="E144" i="3" s="1"/>
  <c r="F28" i="5"/>
  <c r="F37" i="6" s="1"/>
  <c r="F139" i="6"/>
  <c r="G137" i="6"/>
  <c r="H137" i="6" s="1"/>
  <c r="I137" i="6" s="1"/>
  <c r="J137" i="6" s="1"/>
  <c r="K137" i="6" s="1"/>
  <c r="E209" i="3"/>
  <c r="F91" i="6" s="1"/>
  <c r="G35" i="3"/>
  <c r="H35" i="3" s="1"/>
  <c r="J35" i="3" s="1"/>
  <c r="G37" i="3"/>
  <c r="H37" i="3" s="1"/>
  <c r="J37" i="3" s="1"/>
  <c r="F104" i="3"/>
  <c r="G36" i="3"/>
  <c r="H36" i="3" s="1"/>
  <c r="J36" i="3" s="1"/>
  <c r="D56" i="3" s="1"/>
  <c r="G38" i="3"/>
  <c r="H38" i="3" s="1"/>
  <c r="H37" i="6" l="1"/>
  <c r="I75" i="6" s="1"/>
  <c r="G16" i="8" s="1"/>
  <c r="I37" i="6"/>
  <c r="J75" i="6" s="1"/>
  <c r="H16" i="8" s="1"/>
  <c r="J37" i="6"/>
  <c r="K75" i="6" s="1"/>
  <c r="I16" i="8" s="1"/>
  <c r="G37" i="6"/>
  <c r="H75" i="6" s="1"/>
  <c r="F16" i="8" s="1"/>
  <c r="G75" i="6"/>
  <c r="E16" i="8" s="1"/>
  <c r="D32" i="8"/>
  <c r="D15" i="5"/>
  <c r="D57" i="3"/>
  <c r="I37" i="3"/>
  <c r="D55" i="3"/>
  <c r="I35" i="3"/>
  <c r="E56" i="3"/>
  <c r="F107" i="3" s="1"/>
  <c r="E107" i="3" s="1"/>
  <c r="I36" i="3"/>
  <c r="F56" i="3"/>
  <c r="F147" i="3" s="1"/>
  <c r="E147" i="3" s="1"/>
  <c r="D16" i="5"/>
  <c r="E104" i="3"/>
  <c r="J38" i="3"/>
  <c r="D58" i="3" s="1"/>
  <c r="H39" i="3"/>
  <c r="F55" i="3" l="1"/>
  <c r="F146" i="3" s="1"/>
  <c r="E55" i="3"/>
  <c r="F106" i="3" s="1"/>
  <c r="E106" i="3" s="1"/>
  <c r="F57" i="3"/>
  <c r="E57" i="3"/>
  <c r="F108" i="3" s="1"/>
  <c r="E108" i="3" s="1"/>
  <c r="I38" i="3"/>
  <c r="I39" i="3" s="1"/>
  <c r="J39" i="3"/>
  <c r="F148" i="3" l="1"/>
  <c r="E148" i="3" s="1"/>
  <c r="E146" i="3"/>
  <c r="E58" i="3"/>
  <c r="F109" i="3" s="1"/>
  <c r="F58" i="3"/>
  <c r="F149" i="3" s="1"/>
  <c r="E149" i="3" s="1"/>
  <c r="G83" i="6" l="1"/>
  <c r="E24" i="8" s="1"/>
  <c r="F158" i="3"/>
  <c r="E109" i="3"/>
  <c r="E113" i="3" s="1"/>
  <c r="E122" i="3" s="1"/>
  <c r="D14" i="5"/>
  <c r="F11" i="5" s="1"/>
  <c r="F113" i="3"/>
  <c r="H83" i="6" l="1"/>
  <c r="I83" i="6" s="1"/>
  <c r="E201" i="3"/>
  <c r="F201" i="3" s="1"/>
  <c r="F43" i="6"/>
  <c r="G43" i="6" s="1"/>
  <c r="H43" i="6" s="1"/>
  <c r="I43" i="6" s="1"/>
  <c r="J43" i="6" s="1"/>
  <c r="F178" i="3"/>
  <c r="F179" i="3" s="1"/>
  <c r="G74" i="6"/>
  <c r="F36" i="6"/>
  <c r="G36" i="6" s="1"/>
  <c r="H36" i="6" s="1"/>
  <c r="F122" i="3"/>
  <c r="E158" i="3"/>
  <c r="F24" i="8" l="1"/>
  <c r="E15" i="8"/>
  <c r="G138" i="6"/>
  <c r="G139" i="6" s="1"/>
  <c r="J83" i="6"/>
  <c r="G24" i="8"/>
  <c r="H74" i="6"/>
  <c r="F18" i="5"/>
  <c r="F20" i="5" s="1"/>
  <c r="F37" i="5" s="1"/>
  <c r="E178" i="3"/>
  <c r="G73" i="6"/>
  <c r="G81" i="6"/>
  <c r="F45" i="6"/>
  <c r="E179" i="3" l="1"/>
  <c r="E198" i="3" s="1"/>
  <c r="C105" i="8"/>
  <c r="I74" i="6"/>
  <c r="F15" i="8"/>
  <c r="H138" i="6"/>
  <c r="H139" i="6" s="1"/>
  <c r="G86" i="6"/>
  <c r="E22" i="8"/>
  <c r="E27" i="8" s="1"/>
  <c r="K83" i="6"/>
  <c r="H24" i="8"/>
  <c r="E14" i="8"/>
  <c r="G37" i="5"/>
  <c r="G45" i="6"/>
  <c r="H81" i="6"/>
  <c r="F22" i="8" s="1"/>
  <c r="H73" i="6"/>
  <c r="I36" i="6" l="1"/>
  <c r="F198" i="3"/>
  <c r="I24" i="8"/>
  <c r="F14" i="8"/>
  <c r="J74" i="6"/>
  <c r="G15" i="8"/>
  <c r="I138" i="6"/>
  <c r="H45" i="6"/>
  <c r="I81" i="6"/>
  <c r="G22" i="8" s="1"/>
  <c r="I73" i="6"/>
  <c r="J36" i="6" l="1"/>
  <c r="K74" i="6"/>
  <c r="H15" i="8"/>
  <c r="J138" i="6"/>
  <c r="J139" i="6" s="1"/>
  <c r="G14" i="8"/>
  <c r="F30" i="6"/>
  <c r="C106" i="8"/>
  <c r="J81" i="6"/>
  <c r="H22" i="8" s="1"/>
  <c r="I45" i="6"/>
  <c r="I139" i="6"/>
  <c r="G30" i="6"/>
  <c r="H66" i="6" s="1"/>
  <c r="F7" i="8" s="1"/>
  <c r="F9" i="8" s="1"/>
  <c r="J73" i="6"/>
  <c r="G66" i="6" l="1"/>
  <c r="G68" i="6" s="1"/>
  <c r="E200" i="3"/>
  <c r="H14" i="8"/>
  <c r="F31" i="6"/>
  <c r="F50" i="6" s="1"/>
  <c r="G108" i="6" s="1"/>
  <c r="I15" i="8"/>
  <c r="K138" i="6"/>
  <c r="K139" i="6" s="1"/>
  <c r="K81" i="6"/>
  <c r="I22" i="8" s="1"/>
  <c r="J45" i="6"/>
  <c r="K73" i="6"/>
  <c r="H68" i="6"/>
  <c r="G31" i="6"/>
  <c r="E7" i="8" l="1"/>
  <c r="E9" i="8" s="1"/>
  <c r="F200" i="3"/>
  <c r="I14" i="8"/>
  <c r="G50" i="6"/>
  <c r="H108" i="6" s="1"/>
  <c r="J30" i="6" l="1"/>
  <c r="J31" i="6" l="1"/>
  <c r="J50" i="6" s="1"/>
  <c r="K108" i="6" s="1"/>
  <c r="K110" i="6" s="1"/>
  <c r="K112" i="6" s="1"/>
  <c r="K66" i="6"/>
  <c r="K68" i="6" s="1"/>
  <c r="I7" i="8" l="1"/>
  <c r="I9" i="8" s="1"/>
  <c r="F26" i="7" l="1"/>
  <c r="H26" i="7" s="1"/>
  <c r="H29" i="7" s="1"/>
  <c r="E94" i="3" l="1"/>
  <c r="G67" i="3" s="1"/>
  <c r="H67" i="3" s="1"/>
  <c r="I67" i="3" l="1"/>
  <c r="H70" i="3"/>
  <c r="G94" i="3"/>
  <c r="G97" i="3" s="1"/>
  <c r="G98" i="3" s="1"/>
  <c r="E97" i="3"/>
  <c r="G151" i="6"/>
  <c r="G35" i="6" l="1"/>
  <c r="H35" i="6"/>
  <c r="F35" i="6"/>
  <c r="I35" i="6"/>
  <c r="J35" i="6"/>
  <c r="J67" i="3"/>
  <c r="J70" i="3" s="1"/>
  <c r="E121" i="3" s="1"/>
  <c r="I70" i="3"/>
  <c r="H151" i="6"/>
  <c r="K71" i="6" l="1"/>
  <c r="J38" i="6"/>
  <c r="J40" i="6" s="1"/>
  <c r="F121" i="3"/>
  <c r="E123" i="3"/>
  <c r="E197" i="3" s="1"/>
  <c r="J71" i="6"/>
  <c r="I38" i="6"/>
  <c r="G71" i="6"/>
  <c r="F38" i="6"/>
  <c r="F40" i="6" s="1"/>
  <c r="F192" i="6" s="1"/>
  <c r="I71" i="6"/>
  <c r="H38" i="6"/>
  <c r="H71" i="6"/>
  <c r="G38" i="6"/>
  <c r="G40" i="6" s="1"/>
  <c r="I151" i="6"/>
  <c r="F48" i="6" l="1"/>
  <c r="E12" i="8"/>
  <c r="E17" i="8" s="1"/>
  <c r="E19" i="8" s="1"/>
  <c r="E29" i="8" s="1"/>
  <c r="E37" i="8" s="1"/>
  <c r="D56" i="8" s="1"/>
  <c r="D66" i="8" s="1"/>
  <c r="G76" i="6"/>
  <c r="G78" i="6" s="1"/>
  <c r="G88" i="6" s="1"/>
  <c r="G96" i="6" s="1"/>
  <c r="H12" i="8"/>
  <c r="H17" i="8" s="1"/>
  <c r="J76" i="6"/>
  <c r="G192" i="6"/>
  <c r="G48" i="6"/>
  <c r="F12" i="8"/>
  <c r="F17" i="8" s="1"/>
  <c r="F19" i="8" s="1"/>
  <c r="H76" i="6"/>
  <c r="H78" i="6" s="1"/>
  <c r="F197" i="3"/>
  <c r="F202" i="3" s="1"/>
  <c r="E211" i="3" s="1"/>
  <c r="E202" i="3"/>
  <c r="F27" i="5"/>
  <c r="F30" i="5" s="1"/>
  <c r="F38" i="5" s="1"/>
  <c r="F123" i="3"/>
  <c r="J48" i="6"/>
  <c r="J52" i="6" s="1"/>
  <c r="J192" i="6"/>
  <c r="G12" i="8"/>
  <c r="G17" i="8" s="1"/>
  <c r="I76" i="6"/>
  <c r="I12" i="8"/>
  <c r="I17" i="8" s="1"/>
  <c r="I19" i="8" s="1"/>
  <c r="K76" i="6"/>
  <c r="K78" i="6" s="1"/>
  <c r="J151" i="6"/>
  <c r="J54" i="6" l="1"/>
  <c r="K146" i="6" s="1"/>
  <c r="K147" i="6" s="1"/>
  <c r="K149" i="6" s="1"/>
  <c r="G38" i="5"/>
  <c r="C107" i="8" s="1"/>
  <c r="C108" i="8" s="1"/>
  <c r="F40" i="5"/>
  <c r="G40" i="5" s="1"/>
  <c r="D17" i="6" s="1"/>
  <c r="D79" i="8"/>
  <c r="F93" i="6"/>
  <c r="G118" i="6"/>
  <c r="F129" i="6"/>
  <c r="F130" i="6" s="1"/>
  <c r="F143" i="6" s="1"/>
  <c r="E212" i="3"/>
  <c r="K151" i="6"/>
  <c r="J56" i="6" l="1"/>
  <c r="J57" i="6" s="1"/>
  <c r="J58" i="6" s="1"/>
  <c r="K153" i="6" s="1"/>
  <c r="D91" i="8"/>
  <c r="D34" i="8"/>
  <c r="D35" i="8" s="1"/>
  <c r="D37" i="8" s="1"/>
  <c r="D55" i="8" s="1"/>
  <c r="F94" i="6"/>
  <c r="F96" i="6" s="1"/>
  <c r="F17" i="6"/>
  <c r="D19" i="6"/>
  <c r="D217" i="3"/>
  <c r="M33" i="6" s="1"/>
  <c r="M34" i="6" s="1"/>
  <c r="M35" i="6" s="1"/>
  <c r="D219" i="3"/>
  <c r="C45" i="8" s="1"/>
  <c r="E218" i="3"/>
  <c r="F100" i="6" l="1"/>
  <c r="F102" i="6" s="1"/>
  <c r="F112" i="6" s="1"/>
  <c r="F115" i="6" s="1"/>
  <c r="F117" i="6" s="1"/>
  <c r="F120" i="6" s="1"/>
  <c r="B45" i="8"/>
  <c r="B46" i="8" s="1"/>
  <c r="C47" i="8" s="1"/>
  <c r="D65" i="8"/>
  <c r="D78" i="8" s="1"/>
  <c r="J198" i="6"/>
  <c r="E219" i="3"/>
  <c r="F19" i="6"/>
  <c r="G17" i="6"/>
  <c r="F5" i="4"/>
  <c r="G13" i="4" s="1"/>
  <c r="E14" i="4" s="1"/>
  <c r="E55" i="8" l="1"/>
  <c r="D72" i="8"/>
  <c r="F8" i="4"/>
  <c r="D14" i="4" s="1"/>
  <c r="F14" i="4" s="1"/>
  <c r="E90" i="8"/>
  <c r="C90" i="8"/>
  <c r="G19" i="6"/>
  <c r="H30" i="6" s="1"/>
  <c r="H17" i="6"/>
  <c r="F55" i="8" l="1"/>
  <c r="G55" i="8" s="1"/>
  <c r="E56" i="8"/>
  <c r="D15" i="4"/>
  <c r="D16" i="4" s="1"/>
  <c r="H19" i="6"/>
  <c r="I30" i="6" s="1"/>
  <c r="I17" i="6"/>
  <c r="I19" i="6" s="1"/>
  <c r="I66" i="6"/>
  <c r="H31" i="6"/>
  <c r="E91" i="8"/>
  <c r="G14" i="4"/>
  <c r="F56" i="8" l="1"/>
  <c r="G56" i="8" s="1"/>
  <c r="E57" i="8"/>
  <c r="H50" i="6"/>
  <c r="I108" i="6" s="1"/>
  <c r="H40" i="6"/>
  <c r="I68" i="6"/>
  <c r="I78" i="6" s="1"/>
  <c r="G7" i="8"/>
  <c r="G9" i="8" s="1"/>
  <c r="G19" i="8" s="1"/>
  <c r="I31" i="6"/>
  <c r="J66" i="6"/>
  <c r="E15" i="4"/>
  <c r="D17" i="4"/>
  <c r="F57" i="8" l="1"/>
  <c r="E58" i="8"/>
  <c r="H7" i="8"/>
  <c r="H9" i="8" s="1"/>
  <c r="H19" i="8" s="1"/>
  <c r="J68" i="6"/>
  <c r="J78" i="6" s="1"/>
  <c r="I50" i="6"/>
  <c r="J108" i="6" s="1"/>
  <c r="I40" i="6"/>
  <c r="H48" i="6"/>
  <c r="H192" i="6"/>
  <c r="D18" i="4"/>
  <c r="F15" i="4"/>
  <c r="F58" i="8" l="1"/>
  <c r="E59" i="8"/>
  <c r="I192" i="6"/>
  <c r="I48" i="6"/>
  <c r="G15" i="4"/>
  <c r="D19" i="4"/>
  <c r="F59" i="8" l="1"/>
  <c r="E60" i="8"/>
  <c r="F60" i="8" s="1"/>
  <c r="D20" i="4"/>
  <c r="E16" i="4"/>
  <c r="F16" i="4" l="1"/>
  <c r="D21" i="4"/>
  <c r="D22" i="4" l="1"/>
  <c r="G16" i="4"/>
  <c r="E17" i="4" l="1"/>
  <c r="D23" i="4"/>
  <c r="D24" i="4" l="1"/>
  <c r="F17" i="4"/>
  <c r="G17" i="4" l="1"/>
  <c r="D25" i="4"/>
  <c r="D26" i="4" l="1"/>
  <c r="M14" i="4"/>
  <c r="E18" i="4"/>
  <c r="F18" i="4" s="1"/>
  <c r="G18" i="4" l="1"/>
  <c r="D27" i="4"/>
  <c r="E19" i="4" l="1"/>
  <c r="F19" i="4" s="1"/>
  <c r="G19" i="4" s="1"/>
  <c r="D28" i="4"/>
  <c r="D29" i="4" l="1"/>
  <c r="E20" i="4"/>
  <c r="F20" i="4" s="1"/>
  <c r="G20" i="4" s="1"/>
  <c r="E21" i="4" l="1"/>
  <c r="F21" i="4" s="1"/>
  <c r="G21" i="4" s="1"/>
  <c r="D30" i="4"/>
  <c r="E22" i="4" l="1"/>
  <c r="F22" i="4" s="1"/>
  <c r="G22" i="4" s="1"/>
  <c r="D31" i="4"/>
  <c r="E23" i="4" l="1"/>
  <c r="F23" i="4" s="1"/>
  <c r="G23" i="4" s="1"/>
  <c r="D32" i="4"/>
  <c r="D33" i="4" l="1"/>
  <c r="E24" i="4"/>
  <c r="F24" i="4" s="1"/>
  <c r="G24" i="4" s="1"/>
  <c r="E25" i="4" l="1"/>
  <c r="D34" i="4"/>
  <c r="D35" i="4" l="1"/>
  <c r="N14" i="4"/>
  <c r="G107" i="6" s="1"/>
  <c r="F25" i="4"/>
  <c r="F49" i="6" l="1"/>
  <c r="F52" i="6" s="1"/>
  <c r="F54" i="6" s="1"/>
  <c r="O14" i="4"/>
  <c r="G25" i="4"/>
  <c r="D36" i="4"/>
  <c r="G106" i="6" l="1"/>
  <c r="G110" i="6" s="1"/>
  <c r="G112" i="6" s="1"/>
  <c r="G115" i="6" s="1"/>
  <c r="G117" i="6" s="1"/>
  <c r="G120" i="6" s="1"/>
  <c r="H118" i="6" s="1"/>
  <c r="F145" i="6"/>
  <c r="F147" i="6" s="1"/>
  <c r="D37" i="4"/>
  <c r="E26" i="4"/>
  <c r="P14" i="4"/>
  <c r="F148" i="6" s="1"/>
  <c r="F56" i="6" l="1"/>
  <c r="F57" i="6" s="1"/>
  <c r="G146" i="6"/>
  <c r="G129" i="6"/>
  <c r="G130" i="6" s="1"/>
  <c r="F149" i="6"/>
  <c r="F156" i="6" s="1"/>
  <c r="F159" i="6" s="1"/>
  <c r="H85" i="6"/>
  <c r="F26" i="8" s="1"/>
  <c r="F27" i="8" s="1"/>
  <c r="F29" i="8" s="1"/>
  <c r="F37" i="8" s="1"/>
  <c r="D57" i="8" s="1"/>
  <c r="D67" i="8" s="1"/>
  <c r="F26" i="4"/>
  <c r="G26" i="4" s="1"/>
  <c r="D38" i="4"/>
  <c r="M15" i="4"/>
  <c r="F198" i="6" l="1"/>
  <c r="G154" i="6"/>
  <c r="D80" i="8"/>
  <c r="G57" i="8"/>
  <c r="G143" i="6"/>
  <c r="H86" i="6"/>
  <c r="H88" i="6" s="1"/>
  <c r="H96" i="6" s="1"/>
  <c r="E27" i="4"/>
  <c r="D39" i="4"/>
  <c r="F58" i="6" l="1"/>
  <c r="G153" i="6" s="1"/>
  <c r="G155" i="6" s="1"/>
  <c r="F186" i="6"/>
  <c r="D92" i="8"/>
  <c r="D40" i="4"/>
  <c r="F27" i="4"/>
  <c r="G27" i="4" s="1"/>
  <c r="E92" i="8" l="1"/>
  <c r="H152" i="6"/>
  <c r="E28" i="4"/>
  <c r="D41" i="4"/>
  <c r="D42" i="4" l="1"/>
  <c r="F28" i="4"/>
  <c r="G28" i="4" s="1"/>
  <c r="E29" i="4" l="1"/>
  <c r="D43" i="4"/>
  <c r="D44" i="4" l="1"/>
  <c r="F29" i="4"/>
  <c r="G29" i="4" s="1"/>
  <c r="E30" i="4" l="1"/>
  <c r="D45" i="4"/>
  <c r="D46" i="4" l="1"/>
  <c r="F30" i="4"/>
  <c r="G30" i="4" s="1"/>
  <c r="E31" i="4" l="1"/>
  <c r="F31" i="4" s="1"/>
  <c r="G31" i="4" s="1"/>
  <c r="D47" i="4"/>
  <c r="D48" i="4" l="1"/>
  <c r="D49" i="4" s="1"/>
  <c r="E32" i="4"/>
  <c r="F32" i="4" s="1"/>
  <c r="G32" i="4" s="1"/>
  <c r="E33" i="4" l="1"/>
  <c r="F33" i="4" s="1"/>
  <c r="G33" i="4" s="1"/>
  <c r="E34" i="4" l="1"/>
  <c r="F34" i="4" s="1"/>
  <c r="G34" i="4" s="1"/>
  <c r="M16" i="4"/>
  <c r="E35" i="4" l="1"/>
  <c r="F35" i="4" s="1"/>
  <c r="G35" i="4" s="1"/>
  <c r="E36" i="4" l="1"/>
  <c r="F36" i="4" s="1"/>
  <c r="G36" i="4" s="1"/>
  <c r="E37" i="4" l="1"/>
  <c r="F37" i="4" l="1"/>
  <c r="G37" i="4" s="1"/>
  <c r="N15" i="4"/>
  <c r="H107" i="6" s="1"/>
  <c r="G49" i="6" l="1"/>
  <c r="G52" i="6" s="1"/>
  <c r="G54" i="6" s="1"/>
  <c r="O15" i="4"/>
  <c r="E38" i="4"/>
  <c r="P15" i="4"/>
  <c r="G148" i="6" s="1"/>
  <c r="H106" i="6" l="1"/>
  <c r="H110" i="6" s="1"/>
  <c r="H112" i="6" s="1"/>
  <c r="H115" i="6" s="1"/>
  <c r="H117" i="6" s="1"/>
  <c r="H120" i="6" s="1"/>
  <c r="G145" i="6"/>
  <c r="G147" i="6" s="1"/>
  <c r="F38" i="4"/>
  <c r="G38" i="4" s="1"/>
  <c r="H146" i="6"/>
  <c r="G149" i="6" l="1"/>
  <c r="F168" i="6"/>
  <c r="F174" i="6"/>
  <c r="H129" i="6"/>
  <c r="H130" i="6" s="1"/>
  <c r="I118" i="6"/>
  <c r="I85" i="6"/>
  <c r="G26" i="8" s="1"/>
  <c r="G27" i="8" s="1"/>
  <c r="G29" i="8" s="1"/>
  <c r="G37" i="8" s="1"/>
  <c r="D58" i="8" s="1"/>
  <c r="G56" i="6"/>
  <c r="E39" i="4"/>
  <c r="D68" i="8" l="1"/>
  <c r="D81" i="8" s="1"/>
  <c r="G58" i="8"/>
  <c r="H143" i="6"/>
  <c r="F180" i="6"/>
  <c r="G156" i="6"/>
  <c r="G159" i="6" s="1"/>
  <c r="I86" i="6"/>
  <c r="I88" i="6" s="1"/>
  <c r="I96" i="6" s="1"/>
  <c r="F39" i="4"/>
  <c r="G39" i="4" s="1"/>
  <c r="G198" i="6"/>
  <c r="G57" i="6"/>
  <c r="H154" i="6" s="1"/>
  <c r="G186" i="6" l="1"/>
  <c r="D93" i="8"/>
  <c r="G90" i="8" s="1"/>
  <c r="E40" i="4"/>
  <c r="G58" i="6"/>
  <c r="H153" i="6" s="1"/>
  <c r="I152" i="6" s="1"/>
  <c r="G91" i="8" l="1"/>
  <c r="D98" i="8" s="1"/>
  <c r="D99" i="8"/>
  <c r="E93" i="8"/>
  <c r="H155" i="6"/>
  <c r="F40" i="4"/>
  <c r="G40" i="4" s="1"/>
  <c r="E41" i="4" l="1"/>
  <c r="M17" i="4" l="1"/>
  <c r="F41" i="4"/>
  <c r="G41" i="4" s="1"/>
  <c r="M19" i="4" l="1"/>
  <c r="E42" i="4"/>
  <c r="F42" i="4" l="1"/>
  <c r="G42" i="4" s="1"/>
  <c r="E43" i="4" l="1"/>
  <c r="F43" i="4" s="1"/>
  <c r="G43" i="4" s="1"/>
  <c r="E44" i="4" l="1"/>
  <c r="F44" i="4" s="1"/>
  <c r="G44" i="4" s="1"/>
  <c r="E45" i="4" l="1"/>
  <c r="F45" i="4" s="1"/>
  <c r="G45" i="4" s="1"/>
  <c r="E46" i="4" l="1"/>
  <c r="F46" i="4" s="1"/>
  <c r="G46" i="4" s="1"/>
  <c r="E47" i="4" l="1"/>
  <c r="F47" i="4" s="1"/>
  <c r="G47" i="4" s="1"/>
  <c r="E48" i="4" l="1"/>
  <c r="F48" i="4" s="1"/>
  <c r="G48" i="4" s="1"/>
  <c r="E49" i="4" l="1"/>
  <c r="F49" i="4" s="1"/>
  <c r="G49" i="4" l="1"/>
  <c r="N16" i="4"/>
  <c r="I107" i="6" s="1"/>
  <c r="P16" i="4" l="1"/>
  <c r="H148" i="6" s="1"/>
  <c r="H49" i="6"/>
  <c r="H52" i="6" s="1"/>
  <c r="H54" i="6" s="1"/>
  <c r="O16" i="4"/>
  <c r="I106" i="6" l="1"/>
  <c r="I110" i="6" s="1"/>
  <c r="I112" i="6" s="1"/>
  <c r="I115" i="6" s="1"/>
  <c r="I117" i="6" s="1"/>
  <c r="I120" i="6" s="1"/>
  <c r="H145" i="6"/>
  <c r="H147" i="6" s="1"/>
  <c r="H56" i="6" l="1"/>
  <c r="H57" i="6" s="1"/>
  <c r="I154" i="6" s="1"/>
  <c r="I146" i="6"/>
  <c r="H149" i="6"/>
  <c r="G174" i="6"/>
  <c r="G168" i="6"/>
  <c r="I129" i="6"/>
  <c r="I130" i="6" s="1"/>
  <c r="I143" i="6" s="1"/>
  <c r="J118" i="6"/>
  <c r="J85" i="6"/>
  <c r="H26" i="8" s="1"/>
  <c r="H27" i="8" s="1"/>
  <c r="H29" i="8" s="1"/>
  <c r="H37" i="8" s="1"/>
  <c r="D59" i="8" s="1"/>
  <c r="H198" i="6" l="1"/>
  <c r="D69" i="8"/>
  <c r="D82" i="8" s="1"/>
  <c r="G59" i="8"/>
  <c r="H186" i="6"/>
  <c r="G180" i="6"/>
  <c r="H156" i="6"/>
  <c r="H159" i="6" s="1"/>
  <c r="J86" i="6"/>
  <c r="J88" i="6" s="1"/>
  <c r="J96" i="6" s="1"/>
  <c r="H58" i="6"/>
  <c r="I153" i="6" s="1"/>
  <c r="J152" i="6" s="1"/>
  <c r="I155" i="6" l="1"/>
  <c r="D94" i="8"/>
  <c r="E94" i="8" s="1"/>
  <c r="P17" i="4" l="1"/>
  <c r="I148" i="6" s="1"/>
  <c r="N17" i="4"/>
  <c r="J107" i="6" s="1"/>
  <c r="I49" i="6" l="1"/>
  <c r="I52" i="6" s="1"/>
  <c r="I54" i="6" s="1"/>
  <c r="O17" i="4"/>
  <c r="I145" i="6" s="1"/>
  <c r="I147" i="6" s="1"/>
  <c r="N19" i="4"/>
  <c r="I149" i="6" l="1"/>
  <c r="H174" i="6"/>
  <c r="H168" i="6"/>
  <c r="O19" i="4"/>
  <c r="J106" i="6"/>
  <c r="K85" i="6" l="1"/>
  <c r="J146" i="6"/>
  <c r="J147" i="6" s="1"/>
  <c r="J149" i="6" s="1"/>
  <c r="H180" i="6"/>
  <c r="I156" i="6"/>
  <c r="I159" i="6" s="1"/>
  <c r="J110" i="6"/>
  <c r="J112" i="6" s="1"/>
  <c r="J115" i="6" s="1"/>
  <c r="J117" i="6" s="1"/>
  <c r="J120" i="6" s="1"/>
  <c r="I56" i="6"/>
  <c r="K86" i="6" l="1"/>
  <c r="K88" i="6" s="1"/>
  <c r="K96" i="6" s="1"/>
  <c r="K115" i="6" s="1"/>
  <c r="K117" i="6" s="1"/>
  <c r="I26" i="8"/>
  <c r="I27" i="8" s="1"/>
  <c r="I29" i="8" s="1"/>
  <c r="I37" i="8" s="1"/>
  <c r="D60" i="8" s="1"/>
  <c r="G60" i="8" s="1"/>
  <c r="J129" i="6"/>
  <c r="J130" i="6" s="1"/>
  <c r="J143" i="6" s="1"/>
  <c r="K118" i="6"/>
  <c r="I198" i="6"/>
  <c r="I57" i="6"/>
  <c r="J154" i="6" s="1"/>
  <c r="K154" i="6" s="1"/>
  <c r="I174" i="6" l="1"/>
  <c r="K120" i="6"/>
  <c r="K129" i="6" s="1"/>
  <c r="K130" i="6" s="1"/>
  <c r="J168" i="6" s="1"/>
  <c r="D70" i="8"/>
  <c r="D83" i="8" s="1"/>
  <c r="D85" i="8" s="1"/>
  <c r="G61" i="8"/>
  <c r="I186" i="6"/>
  <c r="I168" i="6"/>
  <c r="I180" i="6"/>
  <c r="I58" i="6"/>
  <c r="J153" i="6" s="1"/>
  <c r="J174" i="6" l="1"/>
  <c r="K143" i="6"/>
  <c r="J180" i="6" s="1"/>
  <c r="K152" i="6"/>
  <c r="K155" i="6" s="1"/>
  <c r="K156" i="6" s="1"/>
  <c r="J155" i="6"/>
  <c r="J156" i="6" s="1"/>
  <c r="J159" i="6" s="1"/>
  <c r="D95" i="8"/>
  <c r="E95" i="8" s="1"/>
  <c r="J186" i="6" l="1"/>
  <c r="K159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Jheimy Jhomary Roa Ramirez</author>
    <author>UIS</author>
  </authors>
  <commentList>
    <comment ref="B20" authorId="0" shapeId="0" xr:uid="{F9E09486-93F8-44C2-9BA0-9DF5EB82FE6C}">
      <text>
        <r>
          <rPr>
            <sz val="9"/>
            <color indexed="81"/>
            <rFont val="Tahoma"/>
            <family val="2"/>
          </rPr>
          <t>Para mayores detalles sobre la maquinaria necesaria en la prestacion del servicio, visite la hoja "ESPECIFICACIONES"</t>
        </r>
      </text>
    </comment>
    <comment ref="B33" authorId="0" shapeId="0" xr:uid="{D8022325-198B-4200-95AC-7DDE93D4B299}">
      <text>
        <r>
          <rPr>
            <sz val="9"/>
            <color indexed="81"/>
            <rFont val="Tahoma"/>
            <family val="2"/>
          </rPr>
          <t>Para mayores detalles sobre los muebles y enseres necesarios en la prestacion del servicio, visite la hoja "ESPECIFICACIONES"</t>
        </r>
      </text>
    </comment>
    <comment ref="D46" authorId="1" shapeId="0" xr:uid="{21815EE0-27C9-41CE-9E86-02015C2054F5}">
      <text>
        <r>
          <rPr>
            <b/>
            <sz val="9"/>
            <color indexed="81"/>
            <rFont val="Tahoma"/>
            <family val="2"/>
          </rPr>
          <t>UIS:</t>
        </r>
        <r>
          <rPr>
            <sz val="9"/>
            <color indexed="81"/>
            <rFont val="Tahoma"/>
            <family val="2"/>
          </rPr>
          <t xml:space="preserve">
Valor unitario IVA incluido. La división en 2 se genera por las 2 secciones (espacios de coworking y servicios de belleza) ya que harán uso de los equipos en la misma proporción.
</t>
        </r>
      </text>
    </comment>
    <comment ref="D60" authorId="1" shapeId="0" xr:uid="{9AE559AD-C378-487F-BE07-A7A476F37112}">
      <text>
        <r>
          <rPr>
            <b/>
            <sz val="9"/>
            <color indexed="81"/>
            <rFont val="Tahoma"/>
            <family val="2"/>
          </rPr>
          <t>UIS:</t>
        </r>
        <r>
          <rPr>
            <sz val="9"/>
            <color indexed="81"/>
            <rFont val="Tahoma"/>
            <family val="2"/>
          </rPr>
          <t xml:space="preserve">
Valor unitario IVA incluido</t>
        </r>
      </text>
    </comment>
    <comment ref="B61" authorId="0" shapeId="0" xr:uid="{E40834D5-4F46-45CF-87DA-1054F8A82441}">
      <text>
        <r>
          <rPr>
            <sz val="9"/>
            <color indexed="81"/>
            <rFont val="Tahoma"/>
            <family val="2"/>
          </rPr>
          <t>Para mayores detalles sobre las herramientas (unica compra) necesarias en la prestacion del servicio, visite la hoja "ESPECIFICACIONES"</t>
        </r>
      </text>
    </comment>
    <comment ref="D87" authorId="0" shapeId="0" xr:uid="{24CB8863-4F92-4B1C-8CBF-8C187C1540D7}">
      <text>
        <r>
          <rPr>
            <sz val="9"/>
            <color indexed="81"/>
            <rFont val="Tahoma"/>
            <family val="2"/>
          </rPr>
          <t xml:space="preserve">Valores divididos en 2 por las 2 secciones de la empresa que tienen actividades diferentes.
</t>
        </r>
      </text>
    </comment>
    <comment ref="B116" authorId="0" shapeId="0" xr:uid="{BE4AAFD1-49B1-4FAE-A6A9-2803B17EB78C}">
      <text>
        <r>
          <rPr>
            <sz val="9"/>
            <color indexed="81"/>
            <rFont val="Tahoma"/>
            <family val="2"/>
          </rPr>
          <t>En el lugar no se cuenta con instalacion del servicio de gas.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UIS</author>
    <author>Jheimy Jhomary Roa Ramirez</author>
    <author>Auxiliar Planeacion</author>
  </authors>
  <commentList>
    <comment ref="D18" authorId="0" shapeId="0" xr:uid="{2BF3356B-D1E6-4B18-BEB9-DA982E89ABA7}">
      <text>
        <r>
          <rPr>
            <b/>
            <sz val="9"/>
            <color indexed="81"/>
            <rFont val="Tahoma"/>
            <family val="2"/>
          </rPr>
          <t>UIS:</t>
        </r>
        <r>
          <rPr>
            <sz val="9"/>
            <color indexed="81"/>
            <rFont val="Tahoma"/>
            <family val="2"/>
          </rPr>
          <t xml:space="preserve">
Número de trabajadores</t>
        </r>
      </text>
    </comment>
    <comment ref="E18" authorId="0" shapeId="0" xr:uid="{EB6FC1BC-8862-4D2E-8CF6-EACA39798234}">
      <text>
        <r>
          <rPr>
            <b/>
            <sz val="9"/>
            <color indexed="81"/>
            <rFont val="Tahoma"/>
            <family val="2"/>
          </rPr>
          <t>UIS:</t>
        </r>
        <r>
          <rPr>
            <sz val="9"/>
            <color indexed="81"/>
            <rFont val="Tahoma"/>
            <family val="2"/>
          </rPr>
          <t xml:space="preserve">
El valor del salario por cada trabajador</t>
        </r>
      </text>
    </comment>
    <comment ref="F18" authorId="0" shapeId="0" xr:uid="{76915F77-40C8-4FB8-BB5B-C9DB45258769}">
      <text>
        <r>
          <rPr>
            <b/>
            <sz val="9"/>
            <color indexed="81"/>
            <rFont val="Tahoma"/>
            <family val="2"/>
          </rPr>
          <t>UIS:</t>
        </r>
        <r>
          <rPr>
            <sz val="9"/>
            <color indexed="81"/>
            <rFont val="Tahoma"/>
            <family val="2"/>
          </rPr>
          <t xml:space="preserve">
Solo para los trabajadores que ganen menos de dos salarios mínimos.</t>
        </r>
      </text>
    </comment>
    <comment ref="C20" authorId="1" shapeId="0" xr:uid="{DB5BEB3C-667D-4400-B2E6-F4BE56C00603}">
      <text>
        <r>
          <rPr>
            <sz val="9"/>
            <color indexed="81"/>
            <rFont val="Tahoma"/>
            <family val="2"/>
          </rPr>
          <t>Profesional que cuenta con los conocimientos necesarios para la ejecucion de cualquier actividad dentro de un salon de belleza. Dentro de sus actividades esta la realizacion de: Maquillaje, peluquería, manicura, barberia, entre otros.</t>
        </r>
      </text>
    </comment>
    <comment ref="C21" authorId="1" shapeId="0" xr:uid="{E2A2266F-9ED1-4FD0-90D9-B7B7769D0A51}">
      <text>
        <r>
          <rPr>
            <sz val="9"/>
            <color indexed="81"/>
            <rFont val="Tahoma"/>
            <family val="2"/>
          </rPr>
          <t>Profesional dedicado especificamente a las labores relacionadas con la estética y cuidado capilar. Dentro de sus actividades esta la realizacion de: cortes, peinados, coloracion y tratamientos.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C22" authorId="1" shapeId="0" xr:uid="{6ACEB238-EA78-49C3-B868-3F265C9E2ACE}">
      <text>
        <r>
          <rPr>
            <sz val="9"/>
            <color indexed="81"/>
            <rFont val="Tahoma"/>
            <family val="2"/>
          </rPr>
          <t>Profesional especializado en técnicas avanzadas y complejas sobre coloracion capilar.</t>
        </r>
      </text>
    </comment>
    <comment ref="C23" authorId="1" shapeId="0" xr:uid="{48AF1FA7-E434-48AA-8CF0-0053B95C8D1C}">
      <text>
        <r>
          <rPr>
            <sz val="9"/>
            <color indexed="81"/>
            <rFont val="Tahoma"/>
            <family val="2"/>
          </rPr>
          <t>Profesional dedicado a la transformacion y realce de las facciones y apariencia del rostro.</t>
        </r>
      </text>
    </comment>
    <comment ref="C24" authorId="1" shapeId="0" xr:uid="{8BBC56D3-EF30-4C85-BA93-7F98DDE3F082}">
      <text>
        <r>
          <rPr>
            <sz val="9"/>
            <color indexed="81"/>
            <rFont val="Tahoma"/>
            <family val="2"/>
          </rPr>
          <t>Profesional dedicado al mejoramiento estético de las uñas.</t>
        </r>
      </text>
    </comment>
    <comment ref="D43" authorId="0" shapeId="0" xr:uid="{EFD6D126-27CE-48D6-9DF0-367C20E02D9C}">
      <text>
        <r>
          <rPr>
            <b/>
            <sz val="9"/>
            <color indexed="81"/>
            <rFont val="Tahoma"/>
            <family val="2"/>
          </rPr>
          <t>UIS:</t>
        </r>
        <r>
          <rPr>
            <sz val="9"/>
            <color indexed="81"/>
            <rFont val="Tahoma"/>
            <family val="2"/>
          </rPr>
          <t xml:space="preserve">
Porcentajes entre 0 y 100%</t>
        </r>
      </text>
    </comment>
    <comment ref="D73" authorId="2" shapeId="0" xr:uid="{17EF0B13-3EE3-47F2-8749-4BB89E90BF8F}">
      <text>
        <r>
          <rPr>
            <b/>
            <sz val="9"/>
            <color indexed="81"/>
            <rFont val="Tahoma"/>
            <family val="2"/>
          </rPr>
          <t>Para esta cifra se tomo el 0.5% de la demanda cálculada, y se estimo de que de ese 0.5% el  30% llevaria 1 acompañante</t>
        </r>
      </text>
    </comment>
    <comment ref="I77" authorId="1" shapeId="0" xr:uid="{C39E6E2B-6B02-40C5-9696-ABE7B207ABCC}">
      <text>
        <r>
          <rPr>
            <sz val="9"/>
            <color indexed="81"/>
            <rFont val="Tahoma"/>
            <family val="2"/>
          </rPr>
          <t>La cantidad de servicios realizados por jornada laboral es aproximada, teniendo en cuenta que el tiempo de cada actividad varía.</t>
        </r>
      </text>
    </comment>
    <comment ref="I84" authorId="1" shapeId="0" xr:uid="{568D295B-3C00-46FC-84C1-AA59262EB4A4}">
      <text>
        <r>
          <rPr>
            <b/>
            <sz val="9"/>
            <color indexed="81"/>
            <rFont val="Tahoma"/>
            <family val="2"/>
          </rPr>
          <t>Total de servicios realizados en 1 dia por 6 trabajadores</t>
        </r>
      </text>
    </comment>
    <comment ref="I85" authorId="1" shapeId="0" xr:uid="{098B4B85-19B0-444A-9564-093891890D17}">
      <text>
        <r>
          <rPr>
            <b/>
            <sz val="9"/>
            <color indexed="81"/>
            <rFont val="Tahoma"/>
            <family val="2"/>
          </rPr>
          <t>Total de servicios realizado en 1 dia por 8 trabajadores</t>
        </r>
      </text>
    </comment>
    <comment ref="I86" authorId="1" shapeId="0" xr:uid="{878EB28F-EB5E-4119-8184-CEB83503D356}">
      <text>
        <r>
          <rPr>
            <sz val="9"/>
            <color indexed="81"/>
            <rFont val="Tahoma"/>
            <family val="2"/>
          </rPr>
          <t>Se tiene en cuenta un porcentaje total considerando tiempos muertos entre clientes y espacios entre alimentacion del empleado.</t>
        </r>
      </text>
    </comment>
    <comment ref="E90" authorId="1" shapeId="0" xr:uid="{46A97898-8BC6-4E45-BA8C-E8EFB793212C}">
      <text>
        <r>
          <rPr>
            <sz val="9"/>
            <color indexed="81"/>
            <rFont val="Tahoma"/>
            <family val="2"/>
          </rPr>
          <t>Para conocer el desarrollo completo de estos costos, visite la hoja de "COSTOS PS"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UIS</author>
  </authors>
  <commentList>
    <comment ref="F6" authorId="0" shapeId="0" xr:uid="{7C7520FC-CFEC-421D-B8C0-96693BC2BB72}">
      <text>
        <r>
          <rPr>
            <b/>
            <sz val="9"/>
            <color indexed="81"/>
            <rFont val="Tahoma"/>
            <family val="2"/>
          </rPr>
          <t>UIS:</t>
        </r>
        <r>
          <rPr>
            <sz val="9"/>
            <color indexed="81"/>
            <rFont val="Tahoma"/>
            <family val="2"/>
          </rPr>
          <t xml:space="preserve">
Número de meses por los que se va a solicitar el crédito</t>
        </r>
      </text>
    </comment>
    <comment ref="F7" authorId="0" shapeId="0" xr:uid="{1984CE00-868C-40BB-9E5D-79BED131172F}">
      <text>
        <r>
          <rPr>
            <b/>
            <sz val="9"/>
            <color indexed="81"/>
            <rFont val="Tahoma"/>
            <family val="2"/>
          </rPr>
          <t>UIS:</t>
        </r>
        <r>
          <rPr>
            <sz val="9"/>
            <color indexed="81"/>
            <rFont val="Tahoma"/>
            <family val="2"/>
          </rPr>
          <t xml:space="preserve">
Consultar la tasa actual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Jheimy Jhomary Roa Ramirez</author>
    <author>VIE</author>
  </authors>
  <commentList>
    <comment ref="B45" authorId="0" shapeId="0" xr:uid="{BA91D2E4-61E6-4886-A6E7-7B6335646206}">
      <text>
        <r>
          <rPr>
            <b/>
            <sz val="9"/>
            <color indexed="81"/>
            <rFont val="Tahoma"/>
            <family val="2"/>
          </rPr>
          <t>Costo del capital de los socios</t>
        </r>
      </text>
    </comment>
    <comment ref="C45" authorId="0" shapeId="0" xr:uid="{069F5F7D-EAD4-4A2A-8E5B-ABCD2690189E}">
      <text>
        <r>
          <rPr>
            <b/>
            <sz val="9"/>
            <color indexed="81"/>
            <rFont val="Tahoma"/>
            <family val="2"/>
          </rPr>
          <t xml:space="preserve">Costo de la deuda
</t>
        </r>
      </text>
    </comment>
    <comment ref="A64" authorId="1" shapeId="0" xr:uid="{772974B9-E765-450C-8160-2C7C05706096}">
      <text>
        <r>
          <rPr>
            <b/>
            <sz val="9"/>
            <color indexed="81"/>
            <rFont val="Tahoma"/>
            <family val="2"/>
          </rPr>
          <t>VIE:</t>
        </r>
        <r>
          <rPr>
            <sz val="9"/>
            <color indexed="81"/>
            <rFont val="Tahoma"/>
            <family val="2"/>
          </rPr>
          <t xml:space="preserve">
Se puede utilizar cualquiera de las dos formas de cálculo de VPN</t>
        </r>
      </text>
    </comment>
  </commentList>
</comments>
</file>

<file path=xl/sharedStrings.xml><?xml version="1.0" encoding="utf-8"?>
<sst xmlns="http://schemas.openxmlformats.org/spreadsheetml/2006/main" count="958" uniqueCount="539">
  <si>
    <t>¿Qué tan grandes son tus competidores?</t>
  </si>
  <si>
    <t>¿Qué tantos competidores tienes?</t>
  </si>
  <si>
    <t xml:space="preserve">¿Qué tan similares son sus productos a los tuyos? </t>
  </si>
  <si>
    <t>¿Cuál parece ser su porcentaje?</t>
  </si>
  <si>
    <t>Grandes</t>
  </si>
  <si>
    <t>Muchos</t>
  </si>
  <si>
    <t>Similares</t>
  </si>
  <si>
    <t>0-0,5%</t>
  </si>
  <si>
    <t xml:space="preserve">Algunos </t>
  </si>
  <si>
    <t>Uno</t>
  </si>
  <si>
    <t>0,5%-5%</t>
  </si>
  <si>
    <t>Diferentes</t>
  </si>
  <si>
    <t>10-15%</t>
  </si>
  <si>
    <t>Pequeños</t>
  </si>
  <si>
    <t>5-10%</t>
  </si>
  <si>
    <t>20-30%</t>
  </si>
  <si>
    <t>30-50%</t>
  </si>
  <si>
    <t>40-80%</t>
  </si>
  <si>
    <t xml:space="preserve">Sin competencia </t>
  </si>
  <si>
    <t>80-100%</t>
  </si>
  <si>
    <t xml:space="preserve">Terrenos </t>
  </si>
  <si>
    <t>DESCRIPCIÓN</t>
  </si>
  <si>
    <t>COSTO</t>
  </si>
  <si>
    <t>Cuadro 1</t>
  </si>
  <si>
    <t>Terrenos (Compra de lote o terreno para Construcción)</t>
  </si>
  <si>
    <t>TOTAL</t>
  </si>
  <si>
    <t>Cuadro 2</t>
  </si>
  <si>
    <t xml:space="preserve">Construcciones </t>
  </si>
  <si>
    <t>Construcciones y Edificaciones</t>
  </si>
  <si>
    <t>Cuadro 3</t>
  </si>
  <si>
    <t>Maquinaria y Equipos</t>
  </si>
  <si>
    <t>CONCEPTO</t>
  </si>
  <si>
    <t>CANTIDAD</t>
  </si>
  <si>
    <t xml:space="preserve">VALOR UNITARIO </t>
  </si>
  <si>
    <t>VALOR TOTAL</t>
  </si>
  <si>
    <t>Cuadro 4</t>
  </si>
  <si>
    <t>Muebles y enseres</t>
  </si>
  <si>
    <t>Cuadro 5</t>
  </si>
  <si>
    <t>Equipos de oficina y comunicación</t>
  </si>
  <si>
    <t>VALOR UNITARIO</t>
  </si>
  <si>
    <t xml:space="preserve">VALOR TOTAL </t>
  </si>
  <si>
    <t>Computador</t>
  </si>
  <si>
    <t xml:space="preserve">Silla </t>
  </si>
  <si>
    <t>Impresora</t>
  </si>
  <si>
    <t>Cuadro 6</t>
  </si>
  <si>
    <t>Cuadro 7</t>
  </si>
  <si>
    <t>Inversión Fija</t>
  </si>
  <si>
    <t>VALOR</t>
  </si>
  <si>
    <t>Terreno</t>
  </si>
  <si>
    <t>Cuadro  4</t>
  </si>
  <si>
    <t>Equipos de oficina</t>
  </si>
  <si>
    <t>Cuadro  5</t>
  </si>
  <si>
    <t>Cuadro  6</t>
  </si>
  <si>
    <t>Cuadro 8</t>
  </si>
  <si>
    <t xml:space="preserve">Inversión Diferida </t>
  </si>
  <si>
    <t>Estudio de Factibilidad</t>
  </si>
  <si>
    <t>Varios de Construcción (licencia, Registros y Escritura)</t>
  </si>
  <si>
    <t>Legalizaciòn Construcciòn (Registro)</t>
  </si>
  <si>
    <t>Escritura de Constitución</t>
  </si>
  <si>
    <t>Registro de libros y documentos</t>
  </si>
  <si>
    <t>Software contable</t>
  </si>
  <si>
    <t>Adecuaciones -Remodelaciones</t>
  </si>
  <si>
    <t>Publicidad Lanzamiento</t>
  </si>
  <si>
    <t>Valor Amortización Anual (Por cinco años)</t>
  </si>
  <si>
    <t>Prorrateo de Costos y Gastos</t>
  </si>
  <si>
    <t>SERVICIOS PÚBLICOS Y ARRENDAMIENTOS</t>
  </si>
  <si>
    <t>PORCENTAJES DE PRORRATEO</t>
  </si>
  <si>
    <t>OPERATIVO</t>
  </si>
  <si>
    <t>ADMINISTRATIVO</t>
  </si>
  <si>
    <t>Gas</t>
  </si>
  <si>
    <t>Arriendo</t>
  </si>
  <si>
    <t>Servicio de acueducto, alcantarillado y aseo</t>
  </si>
  <si>
    <t>Energía</t>
  </si>
  <si>
    <t>Internet banda ancha</t>
  </si>
  <si>
    <t>Cuadro 9</t>
  </si>
  <si>
    <t>Costos y Gastos Mensuales</t>
  </si>
  <si>
    <t xml:space="preserve">SERVICIOS PÚBLICOS </t>
  </si>
  <si>
    <t>Servicio de acueducto, alcantirillado y aseo</t>
  </si>
  <si>
    <t>Lámpara led UV para secado de esmalte</t>
  </si>
  <si>
    <t>Balanza digital de cocina Casatua</t>
  </si>
  <si>
    <t>Tocador/Mueble Barberia Motown (espejo+estante)</t>
  </si>
  <si>
    <t>Puff para pedicura</t>
  </si>
  <si>
    <t>Sofa para sala de espera</t>
  </si>
  <si>
    <t>Mesas de centro</t>
  </si>
  <si>
    <t>Lavacabezas</t>
  </si>
  <si>
    <t>Mueble de recepción</t>
  </si>
  <si>
    <t>Datafono bold</t>
  </si>
  <si>
    <t>Caja registradora</t>
  </si>
  <si>
    <t>Impresora de factura</t>
  </si>
  <si>
    <t>Altavoces para ambientar</t>
  </si>
  <si>
    <t xml:space="preserve">Internet, telefonia y televisión </t>
  </si>
  <si>
    <t xml:space="preserve">Cuadro </t>
  </si>
  <si>
    <t>Factor prestacional</t>
  </si>
  <si>
    <t>FACTOR</t>
  </si>
  <si>
    <t>SMLMV 2024</t>
  </si>
  <si>
    <t>Cesantías</t>
  </si>
  <si>
    <t>Auxilio de Transporte 2024</t>
  </si>
  <si>
    <t>Interés cesantías</t>
  </si>
  <si>
    <t>Vacaciones</t>
  </si>
  <si>
    <t>Prima</t>
  </si>
  <si>
    <t>Parafiscales</t>
  </si>
  <si>
    <t>Salud y pensión</t>
  </si>
  <si>
    <t xml:space="preserve">Dotación </t>
  </si>
  <si>
    <t>Riesgos profesionales</t>
  </si>
  <si>
    <t>TOTAL FACTOR PRESTACIONAL</t>
  </si>
  <si>
    <t>Cuadro</t>
  </si>
  <si>
    <t>Mano de Obra Directa</t>
  </si>
  <si>
    <t>ÍTEM</t>
  </si>
  <si>
    <t>SALARIO BÁSICO</t>
  </si>
  <si>
    <t>SUBSIDIO DE TRANSPORTE</t>
  </si>
  <si>
    <t>FACTOR PRESTACIONAL</t>
  </si>
  <si>
    <t>ASIGNACIÓN MENSUAL</t>
  </si>
  <si>
    <t>TOTAL ANUAL</t>
  </si>
  <si>
    <t>Básico</t>
  </si>
  <si>
    <t>UNITARIO</t>
  </si>
  <si>
    <t>Depreciaciones</t>
  </si>
  <si>
    <t>TIEMPO A DEPRECIAR</t>
  </si>
  <si>
    <t>VALOR DE SALVAMENTO</t>
  </si>
  <si>
    <t>VALOR A DEPRECIAR</t>
  </si>
  <si>
    <t>DEPRECIACIÓN MENSUAL</t>
  </si>
  <si>
    <t>DEPRECIACIÓN ANUAL</t>
  </si>
  <si>
    <t>Depreciación en línea recta</t>
  </si>
  <si>
    <t>DEPRECIACIÒN</t>
  </si>
  <si>
    <t>DISTRIBUCIÓN DEPRECIACIÓN</t>
  </si>
  <si>
    <t>AÑO</t>
  </si>
  <si>
    <t>Maquinaria y equipo</t>
  </si>
  <si>
    <t>Equipo de oficina</t>
  </si>
  <si>
    <t>Herramientas</t>
  </si>
  <si>
    <t>MATERIALES</t>
  </si>
  <si>
    <t>UNIDAD</t>
  </si>
  <si>
    <t>CANTIDAD MENSUAL REQUERIDA</t>
  </si>
  <si>
    <t>CONSUMO POR  unidad</t>
  </si>
  <si>
    <t>VALOR UNIDAD DE INSUMO</t>
  </si>
  <si>
    <t>COSTO POR UNIDAD</t>
  </si>
  <si>
    <t>COSTO ANUAL</t>
  </si>
  <si>
    <t>COSTO MENSUAL</t>
  </si>
  <si>
    <t>Costos Indirectos (De fabricación o Prestación del servicio)</t>
  </si>
  <si>
    <t>VALOR MENSUAL</t>
  </si>
  <si>
    <t>VALOR ANUAL</t>
  </si>
  <si>
    <t>Mantenimiento</t>
  </si>
  <si>
    <t>Seguros</t>
  </si>
  <si>
    <t>Depreciaciòn Construcciones</t>
  </si>
  <si>
    <t>Cuadro 13</t>
  </si>
  <si>
    <t>Depreciaciòn Maquinaria y Equipos</t>
  </si>
  <si>
    <t>Depreciación Muebles y enseres</t>
  </si>
  <si>
    <t>Depreciación Equipos de oficina</t>
  </si>
  <si>
    <t>Depreciación Herramientas</t>
  </si>
  <si>
    <t>Servicios</t>
  </si>
  <si>
    <t>Arrendamiento</t>
  </si>
  <si>
    <t>Total costos del producto (o Prestaciòn del servicio)</t>
  </si>
  <si>
    <t>Mano de Obra Directa MOD</t>
  </si>
  <si>
    <t>Cuadro 11</t>
  </si>
  <si>
    <t>Materia Prima</t>
  </si>
  <si>
    <t>Cuadro 14</t>
  </si>
  <si>
    <t xml:space="preserve">Costos Indirectos </t>
  </si>
  <si>
    <t>Cuadro 15</t>
  </si>
  <si>
    <t>Gasto de Personal Administrativo</t>
  </si>
  <si>
    <t>Gerente general</t>
  </si>
  <si>
    <t>Gastos de Administración</t>
  </si>
  <si>
    <t xml:space="preserve"> </t>
  </si>
  <si>
    <t>Cafeteria</t>
  </si>
  <si>
    <t>Imprevistos</t>
  </si>
  <si>
    <t>Papelería</t>
  </si>
  <si>
    <t>Amortización de Direridos</t>
  </si>
  <si>
    <t>Gasto de Personal Ventas</t>
  </si>
  <si>
    <t>Total Gastos de Administración y Ventas</t>
  </si>
  <si>
    <t>Cuadro 17</t>
  </si>
  <si>
    <t>Gasto de personal de ventas</t>
  </si>
  <si>
    <t>Cuadro 18</t>
  </si>
  <si>
    <t>Cuadro 19</t>
  </si>
  <si>
    <t>Gastos Financieros</t>
  </si>
  <si>
    <t>GASTOS FINANCIEROS</t>
  </si>
  <si>
    <t>VALOR MES</t>
  </si>
  <si>
    <t>Monto de Intereses mes 1</t>
  </si>
  <si>
    <t>Cuadro 25</t>
  </si>
  <si>
    <t>Monto de intereses mes 2</t>
  </si>
  <si>
    <t>monto de intereses mes 3</t>
  </si>
  <si>
    <t>Capital de Trabajo</t>
  </si>
  <si>
    <t>CAPITAL DE TRABAJO</t>
  </si>
  <si>
    <t>VALOR A NECESITAR</t>
  </si>
  <si>
    <t>Costos del producto (Prestaciòn del servicio)</t>
  </si>
  <si>
    <t>Cuadro 16</t>
  </si>
  <si>
    <t>Gastos de Administración y Ventas</t>
  </si>
  <si>
    <t>Cuadro 20</t>
  </si>
  <si>
    <t>Cuadro 21</t>
  </si>
  <si>
    <t>Gravamen del 4 x 1.000</t>
  </si>
  <si>
    <t>Cuadro 32</t>
  </si>
  <si>
    <t>(Depreciaciones y amortizaciones)</t>
  </si>
  <si>
    <t>Cuadros 15 y 19</t>
  </si>
  <si>
    <t>Inversión Total</t>
  </si>
  <si>
    <t>INVERSIÓN TOTAL</t>
  </si>
  <si>
    <t xml:space="preserve">VALOR </t>
  </si>
  <si>
    <t>Inversión Diferida</t>
  </si>
  <si>
    <t>Inversión en Capital de Trabajo</t>
  </si>
  <si>
    <t>Cuadro 22</t>
  </si>
  <si>
    <t>APORTES</t>
  </si>
  <si>
    <t>Aportes de los socios</t>
  </si>
  <si>
    <t>Socios</t>
  </si>
  <si>
    <t>Crédito a solicitar</t>
  </si>
  <si>
    <t>Deuda</t>
  </si>
  <si>
    <t>peinado</t>
  </si>
  <si>
    <t>manicura</t>
  </si>
  <si>
    <t>pedicura</t>
  </si>
  <si>
    <t>tinte</t>
  </si>
  <si>
    <t>Corte</t>
  </si>
  <si>
    <t>maquillaje</t>
  </si>
  <si>
    <t>Horas trabajadas</t>
  </si>
  <si>
    <t>min/hr</t>
  </si>
  <si>
    <t>trabajadores</t>
  </si>
  <si>
    <t>Contratación Externa (Servicios Contables)</t>
  </si>
  <si>
    <t>Amortización De Crédito</t>
  </si>
  <si>
    <t>VALOR A PRESTAR</t>
  </si>
  <si>
    <t>TIEMPO</t>
  </si>
  <si>
    <t>Meses</t>
  </si>
  <si>
    <t>TASA MENSUAL</t>
  </si>
  <si>
    <t>Mensual</t>
  </si>
  <si>
    <t>Efectivo Anual</t>
  </si>
  <si>
    <t>VALOR PAGO</t>
  </si>
  <si>
    <t>CUOTA</t>
  </si>
  <si>
    <t>PAGO</t>
  </si>
  <si>
    <t>INTERESES</t>
  </si>
  <si>
    <t>ABONO A CAPITAL</t>
  </si>
  <si>
    <t>SALDO</t>
  </si>
  <si>
    <t>Resumen del Crédito</t>
  </si>
  <si>
    <t>PAGOS</t>
  </si>
  <si>
    <t>Costos Fijos</t>
  </si>
  <si>
    <t>COSTOS FIJOS</t>
  </si>
  <si>
    <t>Costos Indirectos Fijos</t>
  </si>
  <si>
    <t xml:space="preserve">    Arriendo</t>
  </si>
  <si>
    <t xml:space="preserve">    Servicios</t>
  </si>
  <si>
    <t xml:space="preserve">    Depreciación</t>
  </si>
  <si>
    <t xml:space="preserve">    Mantenimiento</t>
  </si>
  <si>
    <t xml:space="preserve">    Seguros</t>
  </si>
  <si>
    <t xml:space="preserve">    Otros</t>
  </si>
  <si>
    <t>Gastos de administración y ventas</t>
  </si>
  <si>
    <t xml:space="preserve">Costos Variabes </t>
  </si>
  <si>
    <t>COSTOS VARIABLES</t>
  </si>
  <si>
    <t>Costos Indirectos Variables</t>
  </si>
  <si>
    <t xml:space="preserve">Costos Totales Unitarios </t>
  </si>
  <si>
    <t xml:space="preserve">COSTOS TOTALES UNITARIOS </t>
  </si>
  <si>
    <t>Total Anual de Costos Fijos</t>
  </si>
  <si>
    <t>Cuadro 27</t>
  </si>
  <si>
    <t>Total Anual de Costos Variables</t>
  </si>
  <si>
    <t>Cuadro 28</t>
  </si>
  <si>
    <t>es el costo del servicio</t>
  </si>
  <si>
    <t>Número de servicios</t>
  </si>
  <si>
    <t>PROYECCIONES A PRECIOS CONSTANTES</t>
  </si>
  <si>
    <t>Año Cero (hoy)</t>
  </si>
  <si>
    <t>Proyección de Unidades a Vender</t>
  </si>
  <si>
    <t>Mes</t>
  </si>
  <si>
    <t>Año</t>
  </si>
  <si>
    <t>Unidades a Vender</t>
  </si>
  <si>
    <t>Incremento anual en Servicios</t>
  </si>
  <si>
    <t>Cálculo del Precio de Venta</t>
  </si>
  <si>
    <t xml:space="preserve">AÑO 1 </t>
  </si>
  <si>
    <t>AÑO 2</t>
  </si>
  <si>
    <t>AÑO 3</t>
  </si>
  <si>
    <t>AÑO 4</t>
  </si>
  <si>
    <t>AÑO 5</t>
  </si>
  <si>
    <t>Costos Totales Unitarios</t>
  </si>
  <si>
    <t>Margen de Utilidad</t>
  </si>
  <si>
    <t>Precio de Venta</t>
  </si>
  <si>
    <t>REDONDEAR O AJUSTAR EL PRECIO DE VENTA</t>
  </si>
  <si>
    <t>Estado de Resultados Proyectado</t>
  </si>
  <si>
    <t>Ingresos Operacionales por ventas</t>
  </si>
  <si>
    <t>TOTAL INGRESOS</t>
  </si>
  <si>
    <t>COSTOS DE PRESTACION SERVICIO</t>
  </si>
  <si>
    <t>UTILIDAD BRUTA</t>
  </si>
  <si>
    <t>Gastos de Personal</t>
  </si>
  <si>
    <t>Gastos de Personal de Ventas</t>
  </si>
  <si>
    <t>GASTOS DE ADMINISTRACIÓN Y VENTAS</t>
  </si>
  <si>
    <t>UTILIDAD OPERACIONAL</t>
  </si>
  <si>
    <t>Cuadro 26</t>
  </si>
  <si>
    <t xml:space="preserve">Otros Ingresos </t>
  </si>
  <si>
    <t>UTILIDAD ANTES DE IMPUESTO</t>
  </si>
  <si>
    <t>Provisión para Impuestos</t>
  </si>
  <si>
    <t>UTILIDAD NETA</t>
  </si>
  <si>
    <t xml:space="preserve">RESERVAS </t>
  </si>
  <si>
    <t>UTILIDAD DEL EJERCICIO</t>
  </si>
  <si>
    <t>Flujo de Caja Proyectado</t>
  </si>
  <si>
    <t>Ingresos operacionales</t>
  </si>
  <si>
    <t>Recuperación de Cartera</t>
  </si>
  <si>
    <t>Total de Ingresos Operacionales</t>
  </si>
  <si>
    <t>Pagos de Costos</t>
  </si>
  <si>
    <t>Pago de Materia Prima</t>
  </si>
  <si>
    <t>Pago de Mano de Obra Directa</t>
  </si>
  <si>
    <t>Pago Costos Indirectos Fijos</t>
  </si>
  <si>
    <t>Pago Costos Indirectos Variables</t>
  </si>
  <si>
    <t>Total Pagos de Costos Operacionales</t>
  </si>
  <si>
    <t>FLUJO DE CAJA OPERACIONAL BRUTO</t>
  </si>
  <si>
    <t>Pagos de Gastos</t>
  </si>
  <si>
    <t>Pago de Gastos de Administración</t>
  </si>
  <si>
    <t>Amortizaciones</t>
  </si>
  <si>
    <t>Pago de Gastos de Ventas</t>
  </si>
  <si>
    <t>Pago de Impuestos</t>
  </si>
  <si>
    <t>Total Pago de Gastos Operacionales</t>
  </si>
  <si>
    <t>FLUJO DE CAJA OPERACIONAL NETO</t>
  </si>
  <si>
    <t>Inversiones</t>
  </si>
  <si>
    <t>Total de Inversiones</t>
  </si>
  <si>
    <t>FLUJO DE CAJA LIBRE</t>
  </si>
  <si>
    <t>Financiación</t>
  </si>
  <si>
    <t>Aportes de  los socios</t>
  </si>
  <si>
    <t>Crédito Financiero</t>
  </si>
  <si>
    <t>Otras Fuentes (Valor en libros de Activos)</t>
  </si>
  <si>
    <t>Total Ingresos de Financiación</t>
  </si>
  <si>
    <t>Egresos de Financiación</t>
  </si>
  <si>
    <t>Abonos a capital</t>
  </si>
  <si>
    <t>Pago de Intereses</t>
  </si>
  <si>
    <t>Pago de Utilidades</t>
  </si>
  <si>
    <t>Total Egresos de Financiación</t>
  </si>
  <si>
    <t>FLUJO DE CAJA DE FINANCIACIÓN</t>
  </si>
  <si>
    <t>FLUJO NETO DE CAJA</t>
  </si>
  <si>
    <t>Flujo de caja del período</t>
  </si>
  <si>
    <t xml:space="preserve">Saldo anterior de Caja y Bancos </t>
  </si>
  <si>
    <t>SALDO FINAL DE CAJA Y BANCOS</t>
  </si>
  <si>
    <t>Estado de Perdidas y Ganancias</t>
  </si>
  <si>
    <t>Caja y Bancos</t>
  </si>
  <si>
    <t>Total Activo Corriente</t>
  </si>
  <si>
    <t>Terrenos</t>
  </si>
  <si>
    <t>Construcciones</t>
  </si>
  <si>
    <t>Maquinaria y Equipo</t>
  </si>
  <si>
    <t>Muebles y Enseres</t>
  </si>
  <si>
    <t>Equipos de Oficina</t>
  </si>
  <si>
    <t>Depreciación Acumulada</t>
  </si>
  <si>
    <t>Total Activo Fijo Neto</t>
  </si>
  <si>
    <t>Inversión diferida</t>
  </si>
  <si>
    <t>Amorización diferida</t>
  </si>
  <si>
    <t>Activo Diferido Neto</t>
  </si>
  <si>
    <t>ACTIVO TOTAL</t>
  </si>
  <si>
    <t>Obligaciones Financieras</t>
  </si>
  <si>
    <t>Impuestos por pagar</t>
  </si>
  <si>
    <t>Total Pasivo Corriente</t>
  </si>
  <si>
    <t>Obligaciones de Largo Plazo</t>
  </si>
  <si>
    <t>PASIVO TOTAL</t>
  </si>
  <si>
    <t>Aportes Sociales</t>
  </si>
  <si>
    <t>Utilidades Ejercicios Anteriores</t>
  </si>
  <si>
    <t>Utilidades del Presente Ejercicio</t>
  </si>
  <si>
    <t>Reservas (20%  de las utiliades del ejercicio)</t>
  </si>
  <si>
    <t>PATRIMONIO TOTAL</t>
  </si>
  <si>
    <t>TOTAL PASIVO + PATRIMONIO</t>
  </si>
  <si>
    <t>VERIFICACIÓN DE SALDOS</t>
  </si>
  <si>
    <t>RAZONES FINANCIERAS</t>
  </si>
  <si>
    <t>RAZÓN CORRIENTE</t>
  </si>
  <si>
    <t>NIVEL DE ENDEUDAMIENTO</t>
  </si>
  <si>
    <t>ROTACIÓN DE ACTIVOS</t>
  </si>
  <si>
    <t>MARGEN BRUTO DE GANANCIA</t>
  </si>
  <si>
    <t>MARGEN NETO DE UTILIDAD</t>
  </si>
  <si>
    <t>Costos Indirectos de Pres. Serv Fijos</t>
  </si>
  <si>
    <t>Costos Indirectos de Pres. Serv Variables</t>
  </si>
  <si>
    <t xml:space="preserve">Colorante capilar permanente Wella </t>
  </si>
  <si>
    <t>Kit para tinte (6 brochas, bowl, cubre orejas, guantes, pinzas)</t>
  </si>
  <si>
    <t>Capas tipo Kimon</t>
  </si>
  <si>
    <t>Toallas microfibra</t>
  </si>
  <si>
    <t>Capas de corte</t>
  </si>
  <si>
    <t xml:space="preserve">Conjunto de 3 tijeras de corte + peinetas de
Corte+ brocha	</t>
  </si>
  <si>
    <t xml:space="preserve">Delantal de peluquería </t>
  </si>
  <si>
    <t>Kit de peinados (10 ganchos, 6 aguja
de encintado, 15 cintas y 3 almohadillas</t>
  </si>
  <si>
    <t xml:space="preserve">Pusher + corta cutícula	</t>
  </si>
  <si>
    <t>Toallas 50x 70cm</t>
  </si>
  <si>
    <t>Set de brochas profesionales x60unid</t>
  </si>
  <si>
    <t>Paleta de rubor SAMY</t>
  </si>
  <si>
    <t>Paleta de iluminadores</t>
  </si>
  <si>
    <t>Paleta de contornos</t>
  </si>
  <si>
    <t>Paleta de sombras profesionales ATENEA</t>
  </si>
  <si>
    <t>Paleta de sombras profesionales artisticas</t>
  </si>
  <si>
    <t>Kit de cejas en henna</t>
  </si>
  <si>
    <t>Herramientas (unica compra)</t>
  </si>
  <si>
    <t>Shampoo Salón In Recamier</t>
  </si>
  <si>
    <t xml:space="preserve">Tratamiento acondicionador </t>
  </si>
  <si>
    <t>Espray termo protector</t>
  </si>
  <si>
    <t>Chuchillas minora x100 unid</t>
  </si>
  <si>
    <t>Alcohol 5lt</t>
  </si>
  <si>
    <t>Cera moldeadora fijadora</t>
  </si>
  <si>
    <t>Protein bond Organic Nails</t>
  </si>
  <si>
    <t>Base coat 15ml Organic Nails</t>
  </si>
  <si>
    <t>Polvo acrílico natural Organic Nails 50 gr</t>
  </si>
  <si>
    <t xml:space="preserve">Synergy Gel </t>
  </si>
  <si>
    <t>Aceite para cutícula Organic Nails</t>
  </si>
  <si>
    <t>Painting gel Organic Nails 2 colors</t>
  </si>
  <si>
    <t>Polar gel Organic Nails 4 colors</t>
  </si>
  <si>
    <t>Esmaltes multicolor Organic Nails</t>
  </si>
  <si>
    <t>Topcoat 15ml Organic Nails</t>
  </si>
  <si>
    <t>Costo del servicio de tinte</t>
  </si>
  <si>
    <t xml:space="preserve">Láminas de papel aluminio </t>
  </si>
  <si>
    <t>Blondor wella</t>
  </si>
  <si>
    <t>Peróxido 30 vol</t>
  </si>
  <si>
    <t>Jabón facial piel mixta en barra PACHHA</t>
  </si>
  <si>
    <t>Primer</t>
  </si>
  <si>
    <t xml:space="preserve">Base facial Profesional Mac </t>
  </si>
  <si>
    <t>Delineador de ojos</t>
  </si>
  <si>
    <t>Pestañina</t>
  </si>
  <si>
    <t>Kit de pestañas pelo a pelo</t>
  </si>
  <si>
    <t>360 unid</t>
  </si>
  <si>
    <t>Polvo suelto traslucido ATENEA</t>
  </si>
  <si>
    <t>Costo servicio de maquillaje profesional</t>
  </si>
  <si>
    <t>Costo servicio de peinados</t>
  </si>
  <si>
    <t>cauchos</t>
  </si>
  <si>
    <t>pinzas invisibles</t>
  </si>
  <si>
    <t>Cera en barra</t>
  </si>
  <si>
    <t xml:space="preserve">laca #3 </t>
  </si>
  <si>
    <t>Toallitas limpiadoras</t>
  </si>
  <si>
    <t>Exfoliante y removedor de cuticula</t>
  </si>
  <si>
    <t>Crema hidratante corporal</t>
  </si>
  <si>
    <t>Estilista Integral</t>
  </si>
  <si>
    <t>Estilista de cabello</t>
  </si>
  <si>
    <t>Colorista</t>
  </si>
  <si>
    <t>Maquillador</t>
  </si>
  <si>
    <t>Manicurista</t>
  </si>
  <si>
    <t>Valor real del equipo</t>
  </si>
  <si>
    <r>
      <rPr>
        <b/>
        <sz val="10"/>
        <color rgb="FFFF0000"/>
        <rFont val="Arial"/>
        <family val="2"/>
      </rPr>
      <t xml:space="preserve">NOTA: </t>
    </r>
    <r>
      <rPr>
        <sz val="10"/>
        <color theme="1"/>
        <rFont val="Arial"/>
        <family val="2"/>
      </rPr>
      <t>EN EL PRESENTE DOCUMENTO SE ENCUENTRAN VALORES UNITARIOS DIVIDIDOS EL DOS (2). ESTO RESPONDE A LAS DOS (2) SECCIONES DE LA EMPRESA (ESPACIOS DE COWORKING Y SERVICIOS DE BELLEZA DIRECTOS) QUE DAN USO A LOS ESPACIOS Y MUEBLES EN LA MISMA PROPORCIÓN.</t>
    </r>
  </si>
  <si>
    <t>mililitros x cada servicio</t>
  </si>
  <si>
    <t>Numero de servicios x producto</t>
  </si>
  <si>
    <t>mililitros de producto</t>
  </si>
  <si>
    <t>usos del producto X servicio</t>
  </si>
  <si>
    <t>Precio del producto</t>
  </si>
  <si>
    <t>precio x cada servicio</t>
  </si>
  <si>
    <t>Producto</t>
  </si>
  <si>
    <t>Utilidad neta</t>
  </si>
  <si>
    <t>Total de ingresos</t>
  </si>
  <si>
    <t>Tomado de Cuadro 33</t>
  </si>
  <si>
    <t>Flujo de Caja Libre</t>
  </si>
  <si>
    <t>Cálculo del Valor Presente Neto VPN</t>
  </si>
  <si>
    <t>Forma de Cálculo 1</t>
  </si>
  <si>
    <t>FLUJO ESPERADO</t>
  </si>
  <si>
    <t>TASA DE DESCUENTO</t>
  </si>
  <si>
    <t>FACTOR DE DESCUENTO</t>
  </si>
  <si>
    <t>VALOR ACTUAL</t>
  </si>
  <si>
    <t>VALOR PRESENTE NETO</t>
  </si>
  <si>
    <t>Forma de Cálculo 2</t>
  </si>
  <si>
    <t>Año 0</t>
  </si>
  <si>
    <t>Año 1</t>
  </si>
  <si>
    <t>Año 2</t>
  </si>
  <si>
    <t>año 3</t>
  </si>
  <si>
    <t>Año 4</t>
  </si>
  <si>
    <t>Año 5</t>
  </si>
  <si>
    <t>TASA</t>
  </si>
  <si>
    <t>Cálculo de la Tasa Interna de Retorno TIR</t>
  </si>
  <si>
    <t>TIR</t>
  </si>
  <si>
    <t>Cálculo de Periodo de Recuperación de la Inversión PRI</t>
  </si>
  <si>
    <t>Periodo</t>
  </si>
  <si>
    <t>Inversión</t>
  </si>
  <si>
    <t>Flujo Caja Anual</t>
  </si>
  <si>
    <t>Inversión - F.Caja</t>
  </si>
  <si>
    <t>Años</t>
  </si>
  <si>
    <t>Año 3</t>
  </si>
  <si>
    <t>PRI</t>
  </si>
  <si>
    <t>Cálculo Punto de Equilibrio Qu</t>
  </si>
  <si>
    <t>PUNTO DE EQUILIBRIO</t>
  </si>
  <si>
    <t>Precio de venta</t>
  </si>
  <si>
    <t>Costo Variable Unitario</t>
  </si>
  <si>
    <t>Qu</t>
  </si>
  <si>
    <t>Tiempo maximo de actividad (minutos)</t>
  </si>
  <si>
    <t>Tiempo minimo de actividad (minutos)</t>
  </si>
  <si>
    <t xml:space="preserve">Mediana </t>
  </si>
  <si>
    <t>Serv. 1</t>
  </si>
  <si>
    <t>Serv. 6</t>
  </si>
  <si>
    <t>Serv. 3</t>
  </si>
  <si>
    <t>Serv. 2</t>
  </si>
  <si>
    <t>Serv. 4</t>
  </si>
  <si>
    <t>Serv. 5</t>
  </si>
  <si>
    <t>Plancha Baby Liss digital Dual Ionic 1 1/4</t>
  </si>
  <si>
    <t>Patillera inalambrica boost gold barberology baby liss</t>
  </si>
  <si>
    <t>Cortadora profesional inhalambrica baby liss pro</t>
  </si>
  <si>
    <t>Pinza rizadora NT SOLGEL 1 1/4</t>
  </si>
  <si>
    <t>Pinza de cuchara azul Nano titanio de 1"</t>
  </si>
  <si>
    <t>Aro de luz Profesiona RI21 54cm + tripode</t>
  </si>
  <si>
    <t>Aro de luz led 29cm mesa (Manicura)</t>
  </si>
  <si>
    <t>Drill Pulidor Uñas P30 35.000 RPM Profesional</t>
  </si>
  <si>
    <t>Pulidor De Uñas Drill Para Uñas Electrico Modelo 1</t>
  </si>
  <si>
    <t>Ventilador Limpiador Extractor Polvo Uñas Manicura</t>
  </si>
  <si>
    <t>Silla De Maquillaje Respaldo Moderno Simple</t>
  </si>
  <si>
    <t>OmySalon Silla de peluquero hidráulica multiusos resistente</t>
  </si>
  <si>
    <t>Mesa Para Manicure Con Cajones Plateado</t>
  </si>
  <si>
    <t>Capa de peluqueria para niños ajustable</t>
  </si>
  <si>
    <t>Costo del servicio de corte</t>
  </si>
  <si>
    <t>Costo del servicio de uñas semipermanantes manos/pies</t>
  </si>
  <si>
    <t>cuelleros de barberiax500</t>
  </si>
  <si>
    <t>Numero de visitas proyectadas MES</t>
  </si>
  <si>
    <t>Numero de visitas proyectadas AÑO</t>
  </si>
  <si>
    <t>costo del servicio</t>
  </si>
  <si>
    <t>intencion de adquisicion</t>
  </si>
  <si>
    <t>COP</t>
  </si>
  <si>
    <t>COSTOS DE LA PRESTACION DEL SERVICIO</t>
  </si>
  <si>
    <t>COSTOS DE LA PRESTACION DE CADA SERVICIO</t>
  </si>
  <si>
    <t>comentarios</t>
  </si>
  <si>
    <t>Costo promedio por una visita</t>
  </si>
  <si>
    <t>Otros publicidad</t>
  </si>
  <si>
    <t>Publicidad interna</t>
  </si>
  <si>
    <t>Cajero/Recepción cliente</t>
  </si>
  <si>
    <t>Community Manager</t>
  </si>
  <si>
    <t>MAQUINARIA ESPECÍFICA</t>
  </si>
  <si>
    <t>PARTICIPACION EN EL MERCADO</t>
  </si>
  <si>
    <t>INVERSIONES</t>
  </si>
  <si>
    <t>SERVICIOS DE PEINADOS</t>
  </si>
  <si>
    <t>SERVICIOS DE CORTE</t>
  </si>
  <si>
    <t>SERVICIOS DE MANICURA-PEDICURA</t>
  </si>
  <si>
    <t>SERVICIOS DE COLORACION</t>
  </si>
  <si>
    <t>Maquinaria para servicios de manicura y pedicura</t>
  </si>
  <si>
    <t>Maquinaria para servicios de corte</t>
  </si>
  <si>
    <t>Maquinaria para servicios de Coloracion</t>
  </si>
  <si>
    <t>Maquinaria para servicios de peinados</t>
  </si>
  <si>
    <t>MOBILIARIO ESPECÍFICO</t>
  </si>
  <si>
    <t>SERVICIOS DE CORTE, TINTE, PEINADOS</t>
  </si>
  <si>
    <t>SALA DE ESPERA</t>
  </si>
  <si>
    <t>Mobiliario para manicura/pedicura</t>
  </si>
  <si>
    <t>Mobiliario para tocador</t>
  </si>
  <si>
    <t>Mobiliario para sala de espera</t>
  </si>
  <si>
    <t>TOTAL MAQUINARIA ESPECIFICA</t>
  </si>
  <si>
    <t>Kit (6 pinceles decor, 4 punteros doble punta, 12secc. perlas multicolor, 12 secc. papel oro multicolor, 12 sec perla dorada &amp; plateada dif. Tamaño, 10 rollo de cinta adhesiva multicolor</t>
  </si>
  <si>
    <t>Herramientas de unica compra</t>
  </si>
  <si>
    <t>SERVICIOS DE MAQUILLAJE</t>
  </si>
  <si>
    <t>KIT completo para servicio de manicura/pedicura</t>
  </si>
  <si>
    <t>KIT completo para servicio de coloracion</t>
  </si>
  <si>
    <t>KIT completo para servicio de corte</t>
  </si>
  <si>
    <t>KIT completo para servicio de peinados</t>
  </si>
  <si>
    <t>KIT completo para servicio de maquillaje</t>
  </si>
  <si>
    <t>COSTOS Y GASTOS</t>
  </si>
  <si>
    <t>Tiempo (horas) por cada servicio</t>
  </si>
  <si>
    <t>Servicios por jornada laboral</t>
  </si>
  <si>
    <t>Servicios mensuales</t>
  </si>
  <si>
    <t>Teniendo en cuenta los 8 trabajadores del salon de belleza, aproximadamente se realizarán 34 servicios al dia.</t>
  </si>
  <si>
    <t>Cantidad aproximada de servicios al mes</t>
  </si>
  <si>
    <t>Costo aprox. De la prestacion de serv.</t>
  </si>
  <si>
    <t>TIPO DE SERVICIO</t>
  </si>
  <si>
    <t>Costo aproximado por la visita de un cliente.</t>
  </si>
  <si>
    <t>Número de meses para los cuales se necesita capital</t>
  </si>
  <si>
    <t>Dias</t>
  </si>
  <si>
    <t>Cojineria de pedicura</t>
  </si>
  <si>
    <t>Secador Baby Liss profesional black star</t>
  </si>
  <si>
    <t>En 3 años y 16 dias se recupera la inversion</t>
  </si>
  <si>
    <t>Utilidad bruta</t>
  </si>
  <si>
    <t>WACC</t>
  </si>
  <si>
    <t>Ke(costo de capital propio)</t>
  </si>
  <si>
    <t>Rf (Tasa libre de riesgo)</t>
  </si>
  <si>
    <t>beta del sector</t>
  </si>
  <si>
    <t>Rm (rentabilidad esperada del mercado)</t>
  </si>
  <si>
    <t>Cálculo del Costo Promedio Ponderado de Capital</t>
  </si>
  <si>
    <t>CPPC</t>
  </si>
  <si>
    <t>Sistema de Cámara IP de Seguridad Inalámbrica ZOSI 8 CANALES 2K Exterior IA Detección Humana Audio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</si>
</sst>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4" formatCode="_-&quot;$&quot;\ * #,##0.00_-;\-&quot;$&quot;\ * #,##0.00_-;_-&quot;$&quot;\ * &quot;-&quot;??_-;_-@_-"/>
    <numFmt numFmtId="164" formatCode="_-[$$-240A]\ * #,##0_ ;_-[$$-240A]\ * \-#,##0\ ;_-[$$-240A]\ * &quot;-&quot;_ ;_-@_ "/>
    <numFmt numFmtId="165" formatCode="_(&quot;$&quot;\ * #,##0_);_(&quot;$&quot;\ * \(#,##0\);_(&quot;$&quot;\ * &quot;-&quot;_);_(@_)"/>
    <numFmt numFmtId="166" formatCode="_([$$-409]* #,##0_);_([$$-409]* \(#,##0\);_([$$-409]* &quot;-&quot;??_);_(@_)"/>
    <numFmt numFmtId="167" formatCode="_ &quot;$&quot;\ * #,##0_ ;_ &quot;$&quot;\ * \-#,##0_ ;_ &quot;$&quot;\ * &quot;-&quot;??_ ;_ @_ "/>
    <numFmt numFmtId="168" formatCode="_-&quot;$&quot;\ * #,##0_-;\-&quot;$&quot;\ * #,##0_-;_-&quot;$&quot;\ * &quot;-&quot;??_-;_-@_-"/>
    <numFmt numFmtId="169" formatCode="#,##0.0000"/>
    <numFmt numFmtId="170" formatCode="_-[$$-240A]\ * #,##0.00_ ;_-[$$-240A]\ * \-#,##0.00\ ;_-[$$-240A]\ * &quot;-&quot;_ ;_-@_ "/>
    <numFmt numFmtId="171" formatCode="_([$$-240A]\ * #,##0.00_);_([$$-240A]\ * \(#,##0.00\);_([$$-240A]\ * &quot;-&quot;??_);_(@_)"/>
    <numFmt numFmtId="172" formatCode="_-[$$-240A]* #,##0.00_-;\-[$$-240A]* #,##0.00_-;_-[$$-240A]* &quot;-&quot;??_-;_-@_-"/>
    <numFmt numFmtId="173" formatCode="_-[$$-240A]\ * #,##0.00_-;\-[$$-240A]\ * #,##0.00_-;_-[$$-240A]\ * &quot;-&quot;??_-;_-@_-"/>
    <numFmt numFmtId="174" formatCode="&quot;$&quot;\ #,##0.00_);[Red]\(&quot;$&quot;\ #,##0.00\)"/>
    <numFmt numFmtId="175" formatCode="&quot;$&quot;\ #,##0_);[Red]\(&quot;$&quot;\ #,##0\)"/>
    <numFmt numFmtId="176" formatCode="#,##0.00;[Red]#,##0.00"/>
    <numFmt numFmtId="177" formatCode="0.000000"/>
    <numFmt numFmtId="178" formatCode="_(&quot;$&quot;\ * #,##0.00_);_(&quot;$&quot;\ * \(#,##0.00\);_(&quot;$&quot;\ * &quot;-&quot;??_);_(@_)"/>
    <numFmt numFmtId="179" formatCode="&quot;$&quot;\ #,##0"/>
    <numFmt numFmtId="180" formatCode="&quot;$&quot;\ #,##0.000000"/>
    <numFmt numFmtId="181" formatCode="0.0000"/>
    <numFmt numFmtId="182" formatCode="0.0000%"/>
  </numFmts>
  <fonts count="2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u/>
      <sz val="11"/>
      <color theme="10"/>
      <name val="Aptos Narrow"/>
      <family val="2"/>
      <scheme val="minor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.5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indexed="8"/>
      <name val="Calibri"/>
      <family val="2"/>
    </font>
    <font>
      <sz val="11"/>
      <color rgb="FF000000"/>
      <name val="Aptos Narrow"/>
      <family val="2"/>
      <scheme val="minor"/>
    </font>
    <font>
      <sz val="24"/>
      <color theme="1"/>
      <name val="Aptos Narrow"/>
      <family val="2"/>
      <scheme val="minor"/>
    </font>
    <font>
      <sz val="24"/>
      <color theme="1"/>
      <name val="Arial"/>
      <family val="2"/>
    </font>
    <font>
      <sz val="24"/>
      <name val="Arial"/>
      <family val="2"/>
    </font>
    <font>
      <b/>
      <i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78" fontId="21" fillId="0" borderId="0" applyFont="0" applyFill="0" applyBorder="0" applyAlignment="0" applyProtection="0"/>
  </cellStyleXfs>
  <cellXfs count="56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164" fontId="2" fillId="0" borderId="1" xfId="0" applyNumberFormat="1" applyFont="1" applyBorder="1"/>
    <xf numFmtId="0" fontId="0" fillId="0" borderId="1" xfId="0" applyBorder="1"/>
    <xf numFmtId="165" fontId="4" fillId="0" borderId="1" xfId="0" applyNumberFormat="1" applyFont="1" applyBorder="1" applyAlignment="1">
      <alignment vertical="center"/>
    </xf>
    <xf numFmtId="0" fontId="2" fillId="0" borderId="1" xfId="0" applyFont="1" applyBorder="1"/>
    <xf numFmtId="165" fontId="2" fillId="0" borderId="1" xfId="0" applyNumberFormat="1" applyFont="1" applyBorder="1"/>
    <xf numFmtId="164" fontId="2" fillId="0" borderId="0" xfId="0" applyNumberFormat="1" applyFont="1"/>
    <xf numFmtId="0" fontId="2" fillId="4" borderId="3" xfId="0" applyFont="1" applyFill="1" applyBorder="1"/>
    <xf numFmtId="0" fontId="5" fillId="0" borderId="0" xfId="0" applyFont="1"/>
    <xf numFmtId="165" fontId="2" fillId="0" borderId="0" xfId="0" applyNumberFormat="1" applyFont="1"/>
    <xf numFmtId="44" fontId="2" fillId="0" borderId="0" xfId="1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167" fontId="3" fillId="0" borderId="0" xfId="1" applyNumberFormat="1" applyFont="1" applyFill="1" applyBorder="1" applyAlignment="1" applyProtection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justify" vertical="center" wrapText="1"/>
    </xf>
    <xf numFmtId="0" fontId="2" fillId="4" borderId="3" xfId="0" applyFont="1" applyFill="1" applyBorder="1" applyAlignment="1">
      <alignment vertical="center"/>
    </xf>
    <xf numFmtId="165" fontId="2" fillId="0" borderId="1" xfId="1" applyNumberFormat="1" applyFont="1" applyFill="1" applyBorder="1" applyAlignment="1" applyProtection="1">
      <alignment horizontal="right" vertical="center" wrapText="1"/>
    </xf>
    <xf numFmtId="0" fontId="5" fillId="0" borderId="0" xfId="0" applyFont="1" applyAlignment="1">
      <alignment vertical="center"/>
    </xf>
    <xf numFmtId="0" fontId="2" fillId="0" borderId="2" xfId="0" applyFont="1" applyBorder="1" applyAlignment="1">
      <alignment horizontal="justify" vertical="center" wrapText="1"/>
    </xf>
    <xf numFmtId="0" fontId="2" fillId="4" borderId="1" xfId="0" applyFont="1" applyFill="1" applyBorder="1" applyAlignment="1">
      <alignment vertical="center"/>
    </xf>
    <xf numFmtId="10" fontId="2" fillId="0" borderId="2" xfId="2" applyNumberFormat="1" applyFont="1" applyFill="1" applyBorder="1" applyAlignment="1" applyProtection="1">
      <alignment horizontal="center" vertical="center"/>
    </xf>
    <xf numFmtId="165" fontId="2" fillId="0" borderId="2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vertical="center"/>
    </xf>
    <xf numFmtId="44" fontId="0" fillId="0" borderId="0" xfId="0" applyNumberFormat="1"/>
    <xf numFmtId="0" fontId="3" fillId="5" borderId="1" xfId="0" applyFont="1" applyFill="1" applyBorder="1" applyAlignment="1">
      <alignment horizontal="center" vertical="center"/>
    </xf>
    <xf numFmtId="164" fontId="3" fillId="6" borderId="1" xfId="0" applyNumberFormat="1" applyFont="1" applyFill="1" applyBorder="1" applyAlignment="1">
      <alignment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>
      <alignment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165" fontId="3" fillId="6" borderId="1" xfId="0" applyNumberFormat="1" applyFont="1" applyFill="1" applyBorder="1" applyAlignment="1">
      <alignment vertical="center"/>
    </xf>
    <xf numFmtId="167" fontId="3" fillId="5" borderId="1" xfId="1" applyNumberFormat="1" applyFont="1" applyFill="1" applyBorder="1" applyAlignment="1" applyProtection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vertical="center"/>
    </xf>
    <xf numFmtId="165" fontId="2" fillId="6" borderId="1" xfId="0" applyNumberFormat="1" applyFont="1" applyFill="1" applyBorder="1" applyAlignment="1">
      <alignment vertical="center"/>
    </xf>
    <xf numFmtId="10" fontId="2" fillId="6" borderId="1" xfId="2" applyNumberFormat="1" applyFont="1" applyFill="1" applyBorder="1" applyAlignment="1" applyProtection="1">
      <alignment horizontal="right" vertical="center"/>
    </xf>
    <xf numFmtId="0" fontId="3" fillId="6" borderId="2" xfId="0" applyFont="1" applyFill="1" applyBorder="1" applyAlignment="1">
      <alignment horizontal="center" vertical="center" wrapText="1"/>
    </xf>
    <xf numFmtId="165" fontId="3" fillId="6" borderId="1" xfId="1" applyNumberFormat="1" applyFont="1" applyFill="1" applyBorder="1" applyAlignment="1" applyProtection="1">
      <alignment horizontal="right" vertical="center" wrapText="1"/>
    </xf>
    <xf numFmtId="0" fontId="3" fillId="6" borderId="2" xfId="0" applyFont="1" applyFill="1" applyBorder="1" applyAlignment="1">
      <alignment vertical="center"/>
    </xf>
    <xf numFmtId="0" fontId="3" fillId="6" borderId="3" xfId="0" applyFont="1" applyFill="1" applyBorder="1" applyAlignment="1">
      <alignment vertical="center"/>
    </xf>
    <xf numFmtId="165" fontId="2" fillId="6" borderId="1" xfId="1" applyNumberFormat="1" applyFont="1" applyFill="1" applyBorder="1" applyAlignment="1" applyProtection="1">
      <alignment horizontal="right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/>
    <xf numFmtId="44" fontId="4" fillId="0" borderId="0" xfId="1" applyFont="1"/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5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2" fillId="4" borderId="0" xfId="0" applyFont="1" applyFill="1"/>
    <xf numFmtId="0" fontId="3" fillId="0" borderId="0" xfId="0" applyFont="1" applyAlignment="1">
      <alignment horizontal="left"/>
    </xf>
    <xf numFmtId="164" fontId="3" fillId="6" borderId="1" xfId="0" applyNumberFormat="1" applyFont="1" applyFill="1" applyBorder="1"/>
    <xf numFmtId="164" fontId="2" fillId="6" borderId="1" xfId="0" applyNumberFormat="1" applyFont="1" applyFill="1" applyBorder="1"/>
    <xf numFmtId="0" fontId="2" fillId="0" borderId="3" xfId="0" applyFont="1" applyBorder="1" applyAlignment="1">
      <alignment horizontal="center" wrapText="1"/>
    </xf>
    <xf numFmtId="169" fontId="2" fillId="6" borderId="4" xfId="0" applyNumberFormat="1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center"/>
    </xf>
    <xf numFmtId="3" fontId="2" fillId="0" borderId="0" xfId="0" applyNumberFormat="1" applyFont="1"/>
    <xf numFmtId="0" fontId="2" fillId="0" borderId="13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164" fontId="3" fillId="0" borderId="0" xfId="0" applyNumberFormat="1" applyFont="1"/>
    <xf numFmtId="0" fontId="2" fillId="0" borderId="0" xfId="0" applyFont="1" applyAlignment="1">
      <alignment horizontal="center" wrapText="1"/>
    </xf>
    <xf numFmtId="164" fontId="2" fillId="0" borderId="4" xfId="0" applyNumberFormat="1" applyFont="1" applyBorder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left" wrapText="1"/>
    </xf>
    <xf numFmtId="0" fontId="3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10" fontId="2" fillId="6" borderId="1" xfId="2" applyNumberFormat="1" applyFont="1" applyFill="1" applyBorder="1" applyAlignment="1" applyProtection="1">
      <alignment horizontal="center" vertical="center" wrapText="1"/>
    </xf>
    <xf numFmtId="10" fontId="3" fillId="6" borderId="1" xfId="2" applyNumberFormat="1" applyFont="1" applyFill="1" applyBorder="1" applyAlignment="1" applyProtection="1">
      <alignment horizontal="center" vertical="center" wrapText="1"/>
    </xf>
    <xf numFmtId="10" fontId="2" fillId="0" borderId="0" xfId="0" applyNumberFormat="1" applyFont="1" applyAlignment="1">
      <alignment vertical="center"/>
    </xf>
    <xf numFmtId="0" fontId="3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3" fontId="2" fillId="6" borderId="1" xfId="0" applyNumberFormat="1" applyFont="1" applyFill="1" applyBorder="1" applyAlignment="1">
      <alignment horizontal="center" vertical="center"/>
    </xf>
    <xf numFmtId="9" fontId="2" fillId="0" borderId="1" xfId="2" applyFont="1" applyBorder="1" applyAlignment="1" applyProtection="1">
      <alignment horizontal="center" vertical="center"/>
    </xf>
    <xf numFmtId="9" fontId="2" fillId="6" borderId="1" xfId="2" applyFont="1" applyFill="1" applyBorder="1" applyAlignment="1" applyProtection="1">
      <alignment horizontal="center" vertical="center"/>
    </xf>
    <xf numFmtId="0" fontId="2" fillId="4" borderId="0" xfId="0" applyFont="1" applyFill="1" applyAlignment="1">
      <alignment vertical="center"/>
    </xf>
    <xf numFmtId="0" fontId="2" fillId="6" borderId="1" xfId="0" applyFont="1" applyFill="1" applyBorder="1" applyAlignment="1">
      <alignment vertical="center"/>
    </xf>
    <xf numFmtId="170" fontId="2" fillId="6" borderId="1" xfId="0" applyNumberFormat="1" applyFont="1" applyFill="1" applyBorder="1" applyAlignment="1">
      <alignment vertical="center"/>
    </xf>
    <xf numFmtId="171" fontId="2" fillId="6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justify" vertical="center" wrapText="1"/>
    </xf>
    <xf numFmtId="171" fontId="2" fillId="0" borderId="0" xfId="0" applyNumberFormat="1" applyFont="1" applyAlignment="1">
      <alignment vertical="center"/>
    </xf>
    <xf numFmtId="172" fontId="2" fillId="0" borderId="0" xfId="0" applyNumberFormat="1" applyFont="1" applyAlignment="1">
      <alignment vertical="center"/>
    </xf>
    <xf numFmtId="3" fontId="3" fillId="7" borderId="1" xfId="0" applyNumberFormat="1" applyFont="1" applyFill="1" applyBorder="1" applyAlignment="1">
      <alignment horizontal="center" vertical="center"/>
    </xf>
    <xf numFmtId="9" fontId="2" fillId="0" borderId="3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center" wrapText="1"/>
    </xf>
    <xf numFmtId="9" fontId="2" fillId="0" borderId="6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justify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justify" vertical="center" wrapText="1"/>
    </xf>
    <xf numFmtId="0" fontId="9" fillId="0" borderId="0" xfId="0" applyFont="1" applyAlignment="1">
      <alignment vertical="center"/>
    </xf>
    <xf numFmtId="9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164" fontId="2" fillId="6" borderId="4" xfId="0" applyNumberFormat="1" applyFont="1" applyFill="1" applyBorder="1" applyAlignment="1">
      <alignment vertical="center"/>
    </xf>
    <xf numFmtId="164" fontId="2" fillId="6" borderId="8" xfId="0" applyNumberFormat="1" applyFont="1" applyFill="1" applyBorder="1" applyAlignment="1">
      <alignment vertical="center"/>
    </xf>
    <xf numFmtId="164" fontId="2" fillId="0" borderId="4" xfId="0" applyNumberFormat="1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3" fontId="10" fillId="0" borderId="0" xfId="0" applyNumberFormat="1" applyFont="1" applyAlignment="1">
      <alignment horizontal="right" vertical="center"/>
    </xf>
    <xf numFmtId="0" fontId="2" fillId="3" borderId="15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vertical="center"/>
    </xf>
    <xf numFmtId="0" fontId="2" fillId="6" borderId="4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44" fontId="2" fillId="0" borderId="0" xfId="1" applyFont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44" fontId="2" fillId="0" borderId="0" xfId="0" applyNumberFormat="1" applyFont="1" applyAlignment="1">
      <alignment vertical="center"/>
    </xf>
    <xf numFmtId="10" fontId="2" fillId="6" borderId="1" xfId="2" applyNumberFormat="1" applyFont="1" applyFill="1" applyBorder="1" applyAlignment="1" applyProtection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justify" vertical="center"/>
    </xf>
    <xf numFmtId="0" fontId="3" fillId="5" borderId="12" xfId="0" applyFont="1" applyFill="1" applyBorder="1" applyAlignment="1">
      <alignment horizontal="center" vertical="center"/>
    </xf>
    <xf numFmtId="164" fontId="3" fillId="5" borderId="1" xfId="0" applyNumberFormat="1" applyFont="1" applyFill="1" applyBorder="1" applyAlignment="1">
      <alignment vertical="center"/>
    </xf>
    <xf numFmtId="170" fontId="3" fillId="5" borderId="1" xfId="0" applyNumberFormat="1" applyFont="1" applyFill="1" applyBorder="1" applyAlignment="1">
      <alignment vertical="center"/>
    </xf>
    <xf numFmtId="171" fontId="3" fillId="5" borderId="1" xfId="0" applyNumberFormat="1" applyFont="1" applyFill="1" applyBorder="1" applyAlignment="1">
      <alignment vertical="center"/>
    </xf>
    <xf numFmtId="0" fontId="2" fillId="5" borderId="2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vertical="center"/>
    </xf>
    <xf numFmtId="0" fontId="2" fillId="0" borderId="11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3" fontId="3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/>
    </xf>
    <xf numFmtId="164" fontId="2" fillId="9" borderId="4" xfId="0" applyNumberFormat="1" applyFont="1" applyFill="1" applyBorder="1"/>
    <xf numFmtId="2" fontId="2" fillId="0" borderId="4" xfId="0" applyNumberFormat="1" applyFont="1" applyBorder="1"/>
    <xf numFmtId="10" fontId="2" fillId="9" borderId="1" xfId="2" applyNumberFormat="1" applyFont="1" applyFill="1" applyBorder="1" applyProtection="1"/>
    <xf numFmtId="174" fontId="3" fillId="9" borderId="4" xfId="0" applyNumberFormat="1" applyFont="1" applyFill="1" applyBorder="1"/>
    <xf numFmtId="0" fontId="5" fillId="4" borderId="0" xfId="0" applyFont="1" applyFill="1"/>
    <xf numFmtId="0" fontId="0" fillId="4" borderId="0" xfId="0" applyFill="1"/>
    <xf numFmtId="0" fontId="3" fillId="9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70" fontId="2" fillId="0" borderId="1" xfId="0" applyNumberFormat="1" applyFont="1" applyBorder="1"/>
    <xf numFmtId="174" fontId="2" fillId="0" borderId="1" xfId="0" applyNumberFormat="1" applyFont="1" applyBorder="1"/>
    <xf numFmtId="175" fontId="2" fillId="0" borderId="1" xfId="0" applyNumberFormat="1" applyFont="1" applyBorder="1"/>
    <xf numFmtId="0" fontId="3" fillId="9" borderId="1" xfId="0" applyFont="1" applyFill="1" applyBorder="1"/>
    <xf numFmtId="174" fontId="3" fillId="9" borderId="1" xfId="0" applyNumberFormat="1" applyFont="1" applyFill="1" applyBorder="1"/>
    <xf numFmtId="170" fontId="2" fillId="9" borderId="1" xfId="0" applyNumberFormat="1" applyFont="1" applyFill="1" applyBorder="1"/>
    <xf numFmtId="176" fontId="2" fillId="0" borderId="0" xfId="0" applyNumberFormat="1" applyFont="1"/>
    <xf numFmtId="0" fontId="11" fillId="0" borderId="0" xfId="0" applyFont="1"/>
    <xf numFmtId="0" fontId="8" fillId="0" borderId="0" xfId="3"/>
    <xf numFmtId="3" fontId="12" fillId="0" borderId="0" xfId="0" applyNumberFormat="1" applyFont="1" applyAlignment="1">
      <alignment horizontal="left"/>
    </xf>
    <xf numFmtId="9" fontId="13" fillId="0" borderId="0" xfId="0" applyNumberFormat="1" applyFont="1"/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14" fillId="0" borderId="6" xfId="0" applyFont="1" applyBorder="1" applyAlignment="1">
      <alignment horizontal="center" wrapText="1"/>
    </xf>
    <xf numFmtId="0" fontId="2" fillId="0" borderId="3" xfId="0" applyFont="1" applyBorder="1" applyAlignment="1">
      <alignment horizontal="left" wrapText="1"/>
    </xf>
    <xf numFmtId="0" fontId="14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170" fontId="2" fillId="0" borderId="13" xfId="0" applyNumberFormat="1" applyFont="1" applyBorder="1"/>
    <xf numFmtId="0" fontId="2" fillId="0" borderId="13" xfId="0" applyFont="1" applyBorder="1" applyAlignment="1">
      <alignment horizontal="left" wrapText="1"/>
    </xf>
    <xf numFmtId="172" fontId="0" fillId="0" borderId="0" xfId="0" applyNumberFormat="1"/>
    <xf numFmtId="0" fontId="2" fillId="0" borderId="2" xfId="0" applyFont="1" applyBorder="1" applyAlignment="1">
      <alignment wrapText="1"/>
    </xf>
    <xf numFmtId="173" fontId="3" fillId="3" borderId="1" xfId="0" applyNumberFormat="1" applyFont="1" applyFill="1" applyBorder="1"/>
    <xf numFmtId="0" fontId="15" fillId="0" borderId="0" xfId="0" applyFont="1"/>
    <xf numFmtId="3" fontId="3" fillId="6" borderId="1" xfId="0" applyNumberFormat="1" applyFont="1" applyFill="1" applyBorder="1" applyAlignment="1">
      <alignment horizontal="center"/>
    </xf>
    <xf numFmtId="164" fontId="2" fillId="6" borderId="7" xfId="0" applyNumberFormat="1" applyFont="1" applyFill="1" applyBorder="1"/>
    <xf numFmtId="164" fontId="2" fillId="6" borderId="12" xfId="0" applyNumberFormat="1" applyFont="1" applyFill="1" applyBorder="1"/>
    <xf numFmtId="164" fontId="2" fillId="6" borderId="9" xfId="0" applyNumberFormat="1" applyFont="1" applyFill="1" applyBorder="1"/>
    <xf numFmtId="164" fontId="3" fillId="6" borderId="9" xfId="0" applyNumberFormat="1" applyFont="1" applyFill="1" applyBorder="1"/>
    <xf numFmtId="170" fontId="2" fillId="6" borderId="3" xfId="0" applyNumberFormat="1" applyFont="1" applyFill="1" applyBorder="1"/>
    <xf numFmtId="170" fontId="2" fillId="6" borderId="0" xfId="0" applyNumberFormat="1" applyFont="1" applyFill="1"/>
    <xf numFmtId="3" fontId="3" fillId="0" borderId="1" xfId="0" applyNumberFormat="1" applyFont="1" applyBorder="1"/>
    <xf numFmtId="167" fontId="2" fillId="0" borderId="0" xfId="1" applyNumberFormat="1" applyFont="1"/>
    <xf numFmtId="3" fontId="2" fillId="0" borderId="0" xfId="0" applyNumberFormat="1" applyFont="1" applyAlignment="1">
      <alignment horizontal="center"/>
    </xf>
    <xf numFmtId="167" fontId="2" fillId="0" borderId="0" xfId="0" applyNumberFormat="1" applyFont="1"/>
    <xf numFmtId="0" fontId="3" fillId="0" borderId="2" xfId="0" applyFont="1" applyBorder="1" applyAlignment="1">
      <alignment horizontal="left"/>
    </xf>
    <xf numFmtId="10" fontId="2" fillId="0" borderId="1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44" fontId="2" fillId="0" borderId="1" xfId="1" applyFont="1" applyBorder="1" applyProtection="1"/>
    <xf numFmtId="167" fontId="2" fillId="0" borderId="0" xfId="1" applyNumberFormat="1" applyFont="1" applyAlignment="1"/>
    <xf numFmtId="168" fontId="2" fillId="0" borderId="0" xfId="0" applyNumberFormat="1" applyFont="1"/>
    <xf numFmtId="9" fontId="5" fillId="0" borderId="0" xfId="0" applyNumberFormat="1" applyFont="1"/>
    <xf numFmtId="0" fontId="2" fillId="4" borderId="2" xfId="0" applyFont="1" applyFill="1" applyBorder="1" applyAlignment="1">
      <alignment horizontal="left"/>
    </xf>
    <xf numFmtId="9" fontId="2" fillId="4" borderId="6" xfId="0" applyNumberFormat="1" applyFont="1" applyFill="1" applyBorder="1" applyAlignment="1">
      <alignment horizontal="center"/>
    </xf>
    <xf numFmtId="3" fontId="2" fillId="4" borderId="6" xfId="2" applyNumberFormat="1" applyFont="1" applyFill="1" applyBorder="1" applyAlignment="1" applyProtection="1">
      <alignment horizontal="center"/>
    </xf>
    <xf numFmtId="3" fontId="2" fillId="4" borderId="3" xfId="2" applyNumberFormat="1" applyFont="1" applyFill="1" applyBorder="1" applyAlignment="1" applyProtection="1">
      <alignment horizontal="center"/>
    </xf>
    <xf numFmtId="9" fontId="2" fillId="4" borderId="3" xfId="0" applyNumberFormat="1" applyFont="1" applyFill="1" applyBorder="1" applyAlignment="1">
      <alignment horizontal="center"/>
    </xf>
    <xf numFmtId="3" fontId="2" fillId="4" borderId="4" xfId="0" applyNumberFormat="1" applyFont="1" applyFill="1" applyBorder="1" applyAlignment="1">
      <alignment horizontal="center"/>
    </xf>
    <xf numFmtId="9" fontId="2" fillId="0" borderId="3" xfId="0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3" fontId="2" fillId="4" borderId="6" xfId="0" applyNumberFormat="1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3" fontId="2" fillId="4" borderId="3" xfId="0" applyNumberFormat="1" applyFont="1" applyFill="1" applyBorder="1"/>
    <xf numFmtId="0" fontId="2" fillId="4" borderId="13" xfId="0" applyFont="1" applyFill="1" applyBorder="1" applyAlignment="1">
      <alignment horizontal="center"/>
    </xf>
    <xf numFmtId="3" fontId="2" fillId="4" borderId="0" xfId="0" applyNumberFormat="1" applyFont="1" applyFill="1"/>
    <xf numFmtId="9" fontId="2" fillId="4" borderId="3" xfId="0" applyNumberFormat="1" applyFont="1" applyFill="1" applyBorder="1"/>
    <xf numFmtId="0" fontId="2" fillId="4" borderId="4" xfId="0" applyFont="1" applyFill="1" applyBorder="1"/>
    <xf numFmtId="9" fontId="2" fillId="4" borderId="13" xfId="0" applyNumberFormat="1" applyFont="1" applyFill="1" applyBorder="1"/>
    <xf numFmtId="0" fontId="2" fillId="4" borderId="13" xfId="0" applyFont="1" applyFill="1" applyBorder="1"/>
    <xf numFmtId="164" fontId="0" fillId="0" borderId="0" xfId="0" applyNumberFormat="1"/>
    <xf numFmtId="0" fontId="3" fillId="4" borderId="1" xfId="0" applyFont="1" applyFill="1" applyBorder="1" applyAlignment="1">
      <alignment horizontal="left"/>
    </xf>
    <xf numFmtId="164" fontId="11" fillId="0" borderId="0" xfId="0" applyNumberFormat="1" applyFont="1"/>
    <xf numFmtId="0" fontId="2" fillId="0" borderId="8" xfId="0" applyFont="1" applyBorder="1"/>
    <xf numFmtId="0" fontId="2" fillId="0" borderId="14" xfId="0" applyFont="1" applyBorder="1"/>
    <xf numFmtId="0" fontId="15" fillId="4" borderId="6" xfId="0" applyFont="1" applyFill="1" applyBorder="1" applyAlignment="1">
      <alignment horizontal="center"/>
    </xf>
    <xf numFmtId="3" fontId="15" fillId="4" borderId="8" xfId="0" applyNumberFormat="1" applyFont="1" applyFill="1" applyBorder="1" applyAlignment="1">
      <alignment horizontal="center"/>
    </xf>
    <xf numFmtId="3" fontId="15" fillId="0" borderId="6" xfId="0" applyNumberFormat="1" applyFont="1" applyBorder="1" applyAlignment="1">
      <alignment horizontal="center"/>
    </xf>
    <xf numFmtId="0" fontId="15" fillId="4" borderId="3" xfId="0" applyFont="1" applyFill="1" applyBorder="1" applyAlignment="1">
      <alignment horizontal="center"/>
    </xf>
    <xf numFmtId="0" fontId="15" fillId="4" borderId="13" xfId="0" applyFont="1" applyFill="1" applyBorder="1" applyAlignment="1">
      <alignment horizontal="center"/>
    </xf>
    <xf numFmtId="3" fontId="15" fillId="4" borderId="4" xfId="0" applyNumberFormat="1" applyFont="1" applyFill="1" applyBorder="1" applyAlignment="1">
      <alignment horizontal="center"/>
    </xf>
    <xf numFmtId="3" fontId="15" fillId="0" borderId="4" xfId="0" applyNumberFormat="1" applyFont="1" applyBorder="1" applyAlignment="1">
      <alignment horizontal="center"/>
    </xf>
    <xf numFmtId="0" fontId="15" fillId="0" borderId="0" xfId="0" applyFont="1" applyAlignment="1">
      <alignment horizontal="center"/>
    </xf>
    <xf numFmtId="3" fontId="15" fillId="0" borderId="0" xfId="0" applyNumberFormat="1" applyFont="1" applyAlignment="1">
      <alignment horizontal="center"/>
    </xf>
    <xf numFmtId="3" fontId="15" fillId="4" borderId="3" xfId="0" applyNumberFormat="1" applyFont="1" applyFill="1" applyBorder="1" applyAlignment="1">
      <alignment horizontal="center"/>
    </xf>
    <xf numFmtId="0" fontId="2" fillId="4" borderId="14" xfId="0" applyFont="1" applyFill="1" applyBorder="1"/>
    <xf numFmtId="0" fontId="2" fillId="0" borderId="3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2" fillId="0" borderId="3" xfId="0" applyFont="1" applyBorder="1"/>
    <xf numFmtId="3" fontId="2" fillId="0" borderId="3" xfId="0" applyNumberFormat="1" applyFont="1" applyBorder="1" applyAlignment="1">
      <alignment horizontal="center"/>
    </xf>
    <xf numFmtId="0" fontId="2" fillId="0" borderId="6" xfId="0" applyFont="1" applyBorder="1"/>
    <xf numFmtId="3" fontId="2" fillId="0" borderId="6" xfId="0" applyNumberFormat="1" applyFont="1" applyBorder="1" applyAlignment="1">
      <alignment horizontal="center"/>
    </xf>
    <xf numFmtId="0" fontId="2" fillId="0" borderId="13" xfId="0" applyFont="1" applyBorder="1"/>
    <xf numFmtId="2" fontId="2" fillId="4" borderId="0" xfId="0" applyNumberFormat="1" applyFont="1" applyFill="1" applyAlignment="1">
      <alignment horizontal="center"/>
    </xf>
    <xf numFmtId="2" fontId="2" fillId="0" borderId="0" xfId="0" applyNumberFormat="1" applyFont="1" applyAlignment="1">
      <alignment horizontal="center"/>
    </xf>
    <xf numFmtId="164" fontId="2" fillId="4" borderId="0" xfId="0" applyNumberFormat="1" applyFont="1" applyFill="1"/>
    <xf numFmtId="9" fontId="2" fillId="0" borderId="0" xfId="2" applyFont="1" applyBorder="1" applyAlignment="1" applyProtection="1">
      <alignment horizontal="center"/>
    </xf>
    <xf numFmtId="2" fontId="2" fillId="4" borderId="0" xfId="2" applyNumberFormat="1" applyFont="1" applyFill="1" applyBorder="1" applyAlignment="1" applyProtection="1">
      <alignment horizontal="center"/>
    </xf>
    <xf numFmtId="2" fontId="2" fillId="0" borderId="0" xfId="2" applyNumberFormat="1" applyFont="1" applyFill="1" applyBorder="1" applyAlignment="1" applyProtection="1">
      <alignment horizontal="center"/>
    </xf>
    <xf numFmtId="9" fontId="2" fillId="4" borderId="0" xfId="2" applyFont="1" applyFill="1" applyBorder="1" applyAlignment="1" applyProtection="1">
      <alignment horizontal="center"/>
    </xf>
    <xf numFmtId="0" fontId="3" fillId="5" borderId="7" xfId="0" applyFont="1" applyFill="1" applyBorder="1" applyAlignment="1">
      <alignment horizontal="center"/>
    </xf>
    <xf numFmtId="3" fontId="3" fillId="5" borderId="9" xfId="0" applyNumberFormat="1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3" fillId="4" borderId="0" xfId="0" applyFont="1" applyFill="1" applyAlignment="1">
      <alignment horizontal="left"/>
    </xf>
    <xf numFmtId="0" fontId="2" fillId="4" borderId="0" xfId="0" applyFont="1" applyFill="1" applyAlignment="1">
      <alignment horizontal="left"/>
    </xf>
    <xf numFmtId="0" fontId="2" fillId="4" borderId="5" xfId="0" applyFont="1" applyFill="1" applyBorder="1" applyAlignment="1">
      <alignment horizontal="left" wrapText="1"/>
    </xf>
    <xf numFmtId="0" fontId="2" fillId="4" borderId="2" xfId="0" applyFont="1" applyFill="1" applyBorder="1" applyAlignment="1">
      <alignment horizontal="left" wrapText="1"/>
    </xf>
    <xf numFmtId="0" fontId="2" fillId="4" borderId="5" xfId="0" applyFont="1" applyFill="1" applyBorder="1" applyAlignment="1">
      <alignment horizontal="left"/>
    </xf>
    <xf numFmtId="0" fontId="2" fillId="4" borderId="10" xfId="0" applyFont="1" applyFill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0" fillId="0" borderId="0" xfId="0" applyAlignment="1">
      <alignment horizontal="left"/>
    </xf>
    <xf numFmtId="164" fontId="3" fillId="6" borderId="2" xfId="0" applyNumberFormat="1" applyFont="1" applyFill="1" applyBorder="1"/>
    <xf numFmtId="3" fontId="3" fillId="5" borderId="12" xfId="0" applyNumberFormat="1" applyFont="1" applyFill="1" applyBorder="1" applyAlignment="1">
      <alignment horizontal="center"/>
    </xf>
    <xf numFmtId="0" fontId="3" fillId="5" borderId="2" xfId="0" applyFont="1" applyFill="1" applyBorder="1" applyAlignment="1">
      <alignment horizontal="left"/>
    </xf>
    <xf numFmtId="0" fontId="2" fillId="5" borderId="3" xfId="0" applyFont="1" applyFill="1" applyBorder="1" applyAlignment="1">
      <alignment horizontal="center"/>
    </xf>
    <xf numFmtId="0" fontId="2" fillId="5" borderId="3" xfId="0" applyFont="1" applyFill="1" applyBorder="1"/>
    <xf numFmtId="164" fontId="3" fillId="5" borderId="1" xfId="0" applyNumberFormat="1" applyFont="1" applyFill="1" applyBorder="1"/>
    <xf numFmtId="0" fontId="3" fillId="5" borderId="4" xfId="0" applyFont="1" applyFill="1" applyBorder="1" applyAlignment="1">
      <alignment horizontal="left"/>
    </xf>
    <xf numFmtId="164" fontId="3" fillId="5" borderId="4" xfId="0" applyNumberFormat="1" applyFont="1" applyFill="1" applyBorder="1"/>
    <xf numFmtId="0" fontId="3" fillId="5" borderId="2" xfId="0" applyFont="1" applyFill="1" applyBorder="1" applyAlignment="1">
      <alignment horizontal="left" wrapText="1"/>
    </xf>
    <xf numFmtId="0" fontId="2" fillId="5" borderId="4" xfId="0" applyFont="1" applyFill="1" applyBorder="1"/>
    <xf numFmtId="0" fontId="3" fillId="5" borderId="3" xfId="0" applyFont="1" applyFill="1" applyBorder="1"/>
    <xf numFmtId="0" fontId="3" fillId="5" borderId="4" xfId="0" applyFont="1" applyFill="1" applyBorder="1"/>
    <xf numFmtId="0" fontId="3" fillId="5" borderId="1" xfId="0" applyFont="1" applyFill="1" applyBorder="1" applyAlignment="1">
      <alignment horizontal="left"/>
    </xf>
    <xf numFmtId="0" fontId="16" fillId="5" borderId="2" xfId="0" applyFont="1" applyFill="1" applyBorder="1" applyAlignment="1">
      <alignment horizontal="left"/>
    </xf>
    <xf numFmtId="0" fontId="16" fillId="5" borderId="3" xfId="0" applyFont="1" applyFill="1" applyBorder="1"/>
    <xf numFmtId="0" fontId="16" fillId="5" borderId="4" xfId="0" applyFont="1" applyFill="1" applyBorder="1"/>
    <xf numFmtId="0" fontId="4" fillId="0" borderId="1" xfId="0" applyFont="1" applyBorder="1"/>
    <xf numFmtId="164" fontId="4" fillId="6" borderId="1" xfId="0" applyNumberFormat="1" applyFont="1" applyFill="1" applyBorder="1" applyAlignment="1">
      <alignment vertical="center"/>
    </xf>
    <xf numFmtId="0" fontId="18" fillId="0" borderId="0" xfId="0" applyFont="1"/>
    <xf numFmtId="168" fontId="4" fillId="0" borderId="0" xfId="1" applyNumberFormat="1" applyFont="1" applyAlignment="1">
      <alignment horizontal="left" vertical="center" indent="6"/>
    </xf>
    <xf numFmtId="44" fontId="0" fillId="0" borderId="0" xfId="1" applyFont="1"/>
    <xf numFmtId="168" fontId="0" fillId="0" borderId="0" xfId="1" applyNumberFormat="1" applyFont="1"/>
    <xf numFmtId="168" fontId="0" fillId="0" borderId="0" xfId="0" applyNumberFormat="1"/>
    <xf numFmtId="0" fontId="2" fillId="0" borderId="0" xfId="0" applyFont="1" applyAlignment="1">
      <alignment vertical="center" wrapText="1"/>
    </xf>
    <xf numFmtId="168" fontId="2" fillId="0" borderId="1" xfId="1" applyNumberFormat="1" applyFont="1" applyBorder="1" applyAlignment="1">
      <alignment vertical="center"/>
    </xf>
    <xf numFmtId="44" fontId="2" fillId="0" borderId="1" xfId="1" applyFont="1" applyBorder="1" applyAlignment="1">
      <alignment vertical="center"/>
    </xf>
    <xf numFmtId="9" fontId="2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168" fontId="4" fillId="0" borderId="1" xfId="1" applyNumberFormat="1" applyFont="1" applyBorder="1" applyAlignment="1">
      <alignment horizontal="right" vertical="center" indent="6"/>
    </xf>
    <xf numFmtId="168" fontId="0" fillId="0" borderId="1" xfId="1" applyNumberFormat="1" applyFont="1" applyBorder="1" applyAlignment="1">
      <alignment horizontal="right"/>
    </xf>
    <xf numFmtId="168" fontId="0" fillId="10" borderId="1" xfId="1" applyNumberFormat="1" applyFont="1" applyFill="1" applyBorder="1"/>
    <xf numFmtId="3" fontId="17" fillId="5" borderId="4" xfId="0" applyNumberFormat="1" applyFont="1" applyFill="1" applyBorder="1" applyAlignment="1">
      <alignment horizontal="center"/>
    </xf>
    <xf numFmtId="164" fontId="2" fillId="5" borderId="1" xfId="0" applyNumberFormat="1" applyFont="1" applyFill="1" applyBorder="1"/>
    <xf numFmtId="0" fontId="17" fillId="5" borderId="3" xfId="0" applyFont="1" applyFill="1" applyBorder="1" applyAlignment="1">
      <alignment horizontal="center"/>
    </xf>
    <xf numFmtId="3" fontId="17" fillId="5" borderId="3" xfId="0" applyNumberFormat="1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165" fontId="3" fillId="5" borderId="1" xfId="0" applyNumberFormat="1" applyFont="1" applyFill="1" applyBorder="1"/>
    <xf numFmtId="0" fontId="3" fillId="5" borderId="10" xfId="0" applyFont="1" applyFill="1" applyBorder="1" applyAlignment="1">
      <alignment horizontal="left"/>
    </xf>
    <xf numFmtId="0" fontId="3" fillId="5" borderId="0" xfId="0" applyFont="1" applyFill="1" applyAlignment="1">
      <alignment horizontal="center"/>
    </xf>
    <xf numFmtId="164" fontId="3" fillId="5" borderId="14" xfId="0" applyNumberFormat="1" applyFont="1" applyFill="1" applyBorder="1"/>
    <xf numFmtId="164" fontId="3" fillId="5" borderId="9" xfId="0" applyNumberFormat="1" applyFont="1" applyFill="1" applyBorder="1"/>
    <xf numFmtId="167" fontId="3" fillId="5" borderId="1" xfId="1" applyNumberFormat="1" applyFont="1" applyFill="1" applyBorder="1" applyProtection="1"/>
    <xf numFmtId="0" fontId="3" fillId="5" borderId="5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3" fontId="3" fillId="5" borderId="10" xfId="0" applyNumberFormat="1" applyFont="1" applyFill="1" applyBorder="1" applyAlignment="1">
      <alignment horizontal="center"/>
    </xf>
    <xf numFmtId="3" fontId="3" fillId="5" borderId="13" xfId="0" applyNumberFormat="1" applyFont="1" applyFill="1" applyBorder="1" applyAlignment="1">
      <alignment horizontal="center"/>
    </xf>
    <xf numFmtId="3" fontId="3" fillId="5" borderId="14" xfId="0" applyNumberFormat="1" applyFont="1" applyFill="1" applyBorder="1" applyAlignment="1">
      <alignment horizontal="center"/>
    </xf>
    <xf numFmtId="2" fontId="2" fillId="6" borderId="9" xfId="0" applyNumberFormat="1" applyFont="1" applyFill="1" applyBorder="1" applyAlignment="1">
      <alignment horizontal="center"/>
    </xf>
    <xf numFmtId="2" fontId="3" fillId="5" borderId="5" xfId="0" applyNumberFormat="1" applyFont="1" applyFill="1" applyBorder="1" applyAlignment="1">
      <alignment horizontal="center"/>
    </xf>
    <xf numFmtId="2" fontId="3" fillId="5" borderId="7" xfId="0" applyNumberFormat="1" applyFont="1" applyFill="1" applyBorder="1" applyAlignment="1">
      <alignment horizontal="center"/>
    </xf>
    <xf numFmtId="2" fontId="3" fillId="5" borderId="6" xfId="0" applyNumberFormat="1" applyFont="1" applyFill="1" applyBorder="1" applyAlignment="1">
      <alignment horizontal="center"/>
    </xf>
    <xf numFmtId="2" fontId="3" fillId="5" borderId="8" xfId="0" applyNumberFormat="1" applyFont="1" applyFill="1" applyBorder="1" applyAlignment="1">
      <alignment horizontal="center"/>
    </xf>
    <xf numFmtId="1" fontId="3" fillId="5" borderId="10" xfId="0" applyNumberFormat="1" applyFont="1" applyFill="1" applyBorder="1" applyAlignment="1">
      <alignment horizontal="center"/>
    </xf>
    <xf numFmtId="1" fontId="3" fillId="5" borderId="9" xfId="0" applyNumberFormat="1" applyFont="1" applyFill="1" applyBorder="1" applyAlignment="1">
      <alignment horizontal="center"/>
    </xf>
    <xf numFmtId="1" fontId="3" fillId="5" borderId="13" xfId="0" applyNumberFormat="1" applyFont="1" applyFill="1" applyBorder="1" applyAlignment="1">
      <alignment horizontal="center"/>
    </xf>
    <xf numFmtId="1" fontId="3" fillId="5" borderId="14" xfId="0" applyNumberFormat="1" applyFont="1" applyFill="1" applyBorder="1" applyAlignment="1">
      <alignment horizontal="center"/>
    </xf>
    <xf numFmtId="1" fontId="3" fillId="5" borderId="5" xfId="0" applyNumberFormat="1" applyFont="1" applyFill="1" applyBorder="1" applyAlignment="1">
      <alignment horizontal="center"/>
    </xf>
    <xf numFmtId="1" fontId="3" fillId="5" borderId="7" xfId="0" applyNumberFormat="1" applyFont="1" applyFill="1" applyBorder="1" applyAlignment="1">
      <alignment horizontal="center"/>
    </xf>
    <xf numFmtId="1" fontId="3" fillId="5" borderId="6" xfId="0" applyNumberFormat="1" applyFont="1" applyFill="1" applyBorder="1" applyAlignment="1">
      <alignment horizontal="center"/>
    </xf>
    <xf numFmtId="1" fontId="3" fillId="5" borderId="8" xfId="0" applyNumberFormat="1" applyFont="1" applyFill="1" applyBorder="1" applyAlignment="1">
      <alignment horizontal="center"/>
    </xf>
    <xf numFmtId="10" fontId="2" fillId="6" borderId="9" xfId="2" applyNumberFormat="1" applyFont="1" applyFill="1" applyBorder="1" applyAlignment="1" applyProtection="1">
      <alignment horizontal="center"/>
    </xf>
    <xf numFmtId="2" fontId="2" fillId="6" borderId="9" xfId="2" applyNumberFormat="1" applyFont="1" applyFill="1" applyBorder="1" applyAlignment="1" applyProtection="1">
      <alignment horizontal="center"/>
    </xf>
    <xf numFmtId="10" fontId="2" fillId="6" borderId="10" xfId="2" applyNumberFormat="1" applyFont="1" applyFill="1" applyBorder="1" applyAlignment="1" applyProtection="1">
      <alignment horizontal="center"/>
    </xf>
    <xf numFmtId="0" fontId="3" fillId="4" borderId="0" xfId="0" applyFont="1" applyFill="1"/>
    <xf numFmtId="0" fontId="2" fillId="4" borderId="5" xfId="0" applyFont="1" applyFill="1" applyBorder="1"/>
    <xf numFmtId="0" fontId="2" fillId="4" borderId="2" xfId="0" applyFont="1" applyFill="1" applyBorder="1"/>
    <xf numFmtId="0" fontId="2" fillId="4" borderId="10" xfId="0" applyFont="1" applyFill="1" applyBorder="1"/>
    <xf numFmtId="0" fontId="3" fillId="0" borderId="1" xfId="0" applyFont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4" borderId="16" xfId="0" applyFont="1" applyFill="1" applyBorder="1" applyAlignment="1">
      <alignment horizontal="center"/>
    </xf>
    <xf numFmtId="178" fontId="0" fillId="0" borderId="1" xfId="4" applyFont="1" applyFill="1" applyBorder="1" applyAlignment="1" applyProtection="1">
      <alignment horizontal="center" vertical="center"/>
    </xf>
    <xf numFmtId="179" fontId="0" fillId="0" borderId="1" xfId="0" applyNumberFormat="1" applyBorder="1"/>
    <xf numFmtId="179" fontId="22" fillId="0" borderId="1" xfId="0" applyNumberFormat="1" applyFont="1" applyBorder="1" applyAlignment="1">
      <alignment vertical="center"/>
    </xf>
    <xf numFmtId="179" fontId="0" fillId="0" borderId="0" xfId="0" applyNumberFormat="1"/>
    <xf numFmtId="178" fontId="2" fillId="0" borderId="0" xfId="4" applyFont="1" applyFill="1" applyBorder="1" applyAlignment="1" applyProtection="1">
      <alignment horizontal="center" vertical="center"/>
    </xf>
    <xf numFmtId="179" fontId="2" fillId="0" borderId="1" xfId="0" applyNumberFormat="1" applyFont="1" applyBorder="1"/>
    <xf numFmtId="0" fontId="3" fillId="5" borderId="2" xfId="0" applyFont="1" applyFill="1" applyBorder="1"/>
    <xf numFmtId="0" fontId="2" fillId="0" borderId="16" xfId="0" applyFont="1" applyBorder="1"/>
    <xf numFmtId="3" fontId="3" fillId="5" borderId="4" xfId="0" applyNumberFormat="1" applyFont="1" applyFill="1" applyBorder="1" applyAlignment="1">
      <alignment horizontal="center"/>
    </xf>
    <xf numFmtId="3" fontId="3" fillId="5" borderId="3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10" fontId="3" fillId="5" borderId="1" xfId="0" applyNumberFormat="1" applyFont="1" applyFill="1" applyBorder="1" applyAlignment="1">
      <alignment horizontal="center"/>
    </xf>
    <xf numFmtId="164" fontId="2" fillId="6" borderId="4" xfId="0" applyNumberFormat="1" applyFont="1" applyFill="1" applyBorder="1"/>
    <xf numFmtId="10" fontId="2" fillId="6" borderId="1" xfId="0" applyNumberFormat="1" applyFont="1" applyFill="1" applyBorder="1" applyAlignment="1">
      <alignment horizontal="center"/>
    </xf>
    <xf numFmtId="177" fontId="2" fillId="6" borderId="1" xfId="0" applyNumberFormat="1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168" fontId="4" fillId="0" borderId="1" xfId="1" applyNumberFormat="1" applyFont="1" applyBorder="1" applyAlignment="1">
      <alignment vertical="center"/>
    </xf>
    <xf numFmtId="168" fontId="0" fillId="10" borderId="1" xfId="0" applyNumberFormat="1" applyFill="1" applyBorder="1" applyAlignment="1">
      <alignment horizontal="left" vertical="center"/>
    </xf>
    <xf numFmtId="2" fontId="0" fillId="0" borderId="0" xfId="0" applyNumberFormat="1"/>
    <xf numFmtId="9" fontId="2" fillId="0" borderId="0" xfId="0" applyNumberFormat="1" applyFont="1"/>
    <xf numFmtId="0" fontId="4" fillId="0" borderId="26" xfId="0" applyFont="1" applyBorder="1" applyAlignment="1">
      <alignment vertical="center"/>
    </xf>
    <xf numFmtId="0" fontId="2" fillId="0" borderId="27" xfId="0" applyFont="1" applyBorder="1" applyAlignment="1">
      <alignment horizontal="center" vertical="center"/>
    </xf>
    <xf numFmtId="165" fontId="4" fillId="0" borderId="28" xfId="0" applyNumberFormat="1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165" fontId="4" fillId="0" borderId="30" xfId="0" applyNumberFormat="1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32" xfId="0" applyFont="1" applyBorder="1" applyAlignment="1">
      <alignment horizontal="center" vertical="center"/>
    </xf>
    <xf numFmtId="165" fontId="4" fillId="0" borderId="33" xfId="0" applyNumberFormat="1" applyFont="1" applyBorder="1" applyAlignment="1">
      <alignment vertical="center"/>
    </xf>
    <xf numFmtId="0" fontId="4" fillId="0" borderId="34" xfId="0" applyFont="1" applyBorder="1"/>
    <xf numFmtId="0" fontId="2" fillId="0" borderId="29" xfId="0" applyFont="1" applyBorder="1" applyAlignment="1">
      <alignment horizontal="justify" vertical="center"/>
    </xf>
    <xf numFmtId="0" fontId="2" fillId="0" borderId="31" xfId="0" applyFont="1" applyBorder="1" applyAlignment="1">
      <alignment horizontal="justify" vertical="center"/>
    </xf>
    <xf numFmtId="0" fontId="4" fillId="0" borderId="29" xfId="0" applyFont="1" applyBorder="1" applyAlignment="1">
      <alignment vertical="center"/>
    </xf>
    <xf numFmtId="166" fontId="4" fillId="0" borderId="30" xfId="0" applyNumberFormat="1" applyFont="1" applyBorder="1" applyAlignment="1">
      <alignment vertical="center"/>
    </xf>
    <xf numFmtId="0" fontId="2" fillId="0" borderId="29" xfId="0" applyFont="1" applyBorder="1" applyAlignment="1">
      <alignment horizontal="justify" vertical="center" wrapText="1"/>
    </xf>
    <xf numFmtId="0" fontId="2" fillId="0" borderId="29" xfId="0" applyFont="1" applyBorder="1" applyAlignment="1">
      <alignment vertical="center" wrapText="1"/>
    </xf>
    <xf numFmtId="0" fontId="2" fillId="0" borderId="31" xfId="0" applyFont="1" applyBorder="1" applyAlignment="1">
      <alignment horizontal="justify" vertical="center" wrapText="1"/>
    </xf>
    <xf numFmtId="0" fontId="2" fillId="0" borderId="35" xfId="0" applyFont="1" applyBorder="1" applyAlignment="1">
      <alignment vertical="center"/>
    </xf>
    <xf numFmtId="166" fontId="4" fillId="0" borderId="33" xfId="0" applyNumberFormat="1" applyFont="1" applyBorder="1" applyAlignment="1">
      <alignment vertical="center"/>
    </xf>
    <xf numFmtId="44" fontId="2" fillId="6" borderId="1" xfId="1" applyFont="1" applyFill="1" applyBorder="1" applyAlignment="1">
      <alignment vertical="center"/>
    </xf>
    <xf numFmtId="168" fontId="2" fillId="6" borderId="1" xfId="1" applyNumberFormat="1" applyFont="1" applyFill="1" applyBorder="1" applyAlignment="1">
      <alignment vertical="center"/>
    </xf>
    <xf numFmtId="0" fontId="0" fillId="6" borderId="23" xfId="0" applyFill="1" applyBorder="1"/>
    <xf numFmtId="165" fontId="0" fillId="5" borderId="23" xfId="0" applyNumberFormat="1" applyFill="1" applyBorder="1"/>
    <xf numFmtId="0" fontId="0" fillId="5" borderId="23" xfId="0" applyFill="1" applyBorder="1"/>
    <xf numFmtId="166" fontId="0" fillId="5" borderId="23" xfId="0" applyNumberFormat="1" applyFill="1" applyBorder="1"/>
    <xf numFmtId="10" fontId="2" fillId="0" borderId="1" xfId="2" applyNumberFormat="1" applyFont="1" applyFill="1" applyBorder="1" applyAlignment="1" applyProtection="1">
      <alignment horizontal="right" vertical="center"/>
    </xf>
    <xf numFmtId="0" fontId="2" fillId="6" borderId="15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44" fontId="2" fillId="5" borderId="7" xfId="0" applyNumberFormat="1" applyFont="1" applyFill="1" applyBorder="1" applyAlignment="1">
      <alignment vertical="center"/>
    </xf>
    <xf numFmtId="0" fontId="3" fillId="5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18" fillId="5" borderId="1" xfId="0" applyFont="1" applyFill="1" applyBorder="1" applyAlignment="1">
      <alignment horizontal="center" vertical="center" wrapText="1"/>
    </xf>
    <xf numFmtId="2" fontId="4" fillId="0" borderId="0" xfId="0" applyNumberFormat="1" applyFont="1"/>
    <xf numFmtId="2" fontId="4" fillId="0" borderId="1" xfId="0" applyNumberFormat="1" applyFont="1" applyBorder="1"/>
    <xf numFmtId="0" fontId="4" fillId="0" borderId="0" xfId="0" applyFont="1" applyAlignment="1">
      <alignment horizontal="right"/>
    </xf>
    <xf numFmtId="2" fontId="4" fillId="0" borderId="7" xfId="0" applyNumberFormat="1" applyFont="1" applyBorder="1" applyAlignment="1">
      <alignment horizontal="center"/>
    </xf>
    <xf numFmtId="1" fontId="4" fillId="6" borderId="36" xfId="0" applyNumberFormat="1" applyFont="1" applyFill="1" applyBorder="1" applyAlignment="1">
      <alignment horizontal="center"/>
    </xf>
    <xf numFmtId="2" fontId="4" fillId="6" borderId="25" xfId="0" applyNumberFormat="1" applyFont="1" applyFill="1" applyBorder="1"/>
    <xf numFmtId="0" fontId="18" fillId="5" borderId="1" xfId="0" applyFont="1" applyFill="1" applyBorder="1" applyAlignment="1">
      <alignment horizontal="left" vertical="center"/>
    </xf>
    <xf numFmtId="0" fontId="18" fillId="5" borderId="1" xfId="0" applyFont="1" applyFill="1" applyBorder="1" applyAlignment="1">
      <alignment horizontal="left" vertical="center" wrapText="1"/>
    </xf>
    <xf numFmtId="9" fontId="4" fillId="0" borderId="1" xfId="2" applyFont="1" applyBorder="1" applyAlignment="1">
      <alignment horizontal="left"/>
    </xf>
    <xf numFmtId="44" fontId="4" fillId="6" borderId="1" xfId="1" applyFont="1" applyFill="1" applyBorder="1" applyAlignment="1">
      <alignment vertical="center"/>
    </xf>
    <xf numFmtId="0" fontId="4" fillId="6" borderId="1" xfId="0" applyFont="1" applyFill="1" applyBorder="1" applyAlignment="1">
      <alignment vertical="center"/>
    </xf>
    <xf numFmtId="44" fontId="4" fillId="6" borderId="1" xfId="0" applyNumberFormat="1" applyFont="1" applyFill="1" applyBorder="1"/>
    <xf numFmtId="9" fontId="4" fillId="5" borderId="1" xfId="2" applyFont="1" applyFill="1" applyBorder="1" applyAlignment="1">
      <alignment horizontal="left"/>
    </xf>
    <xf numFmtId="0" fontId="4" fillId="5" borderId="7" xfId="0" applyFont="1" applyFill="1" applyBorder="1" applyAlignment="1">
      <alignment vertical="center"/>
    </xf>
    <xf numFmtId="44" fontId="4" fillId="5" borderId="7" xfId="0" applyNumberFormat="1" applyFont="1" applyFill="1" applyBorder="1"/>
    <xf numFmtId="0" fontId="4" fillId="5" borderId="38" xfId="0" applyFont="1" applyFill="1" applyBorder="1"/>
    <xf numFmtId="168" fontId="0" fillId="5" borderId="1" xfId="1" applyNumberFormat="1" applyFont="1" applyFill="1" applyBorder="1"/>
    <xf numFmtId="0" fontId="3" fillId="5" borderId="9" xfId="0" applyFont="1" applyFill="1" applyBorder="1" applyAlignment="1">
      <alignment horizontal="left" vertical="center" wrapText="1"/>
    </xf>
    <xf numFmtId="0" fontId="18" fillId="5" borderId="9" xfId="0" applyFont="1" applyFill="1" applyBorder="1" applyAlignment="1">
      <alignment horizontal="left" vertical="center" wrapText="1"/>
    </xf>
    <xf numFmtId="168" fontId="18" fillId="5" borderId="9" xfId="1" applyNumberFormat="1" applyFont="1" applyFill="1" applyBorder="1" applyAlignment="1">
      <alignment horizontal="left" vertical="center" wrapText="1"/>
    </xf>
    <xf numFmtId="0" fontId="3" fillId="5" borderId="12" xfId="0" applyFont="1" applyFill="1" applyBorder="1" applyAlignment="1">
      <alignment horizontal="left" vertical="center" wrapText="1"/>
    </xf>
    <xf numFmtId="0" fontId="18" fillId="5" borderId="12" xfId="0" applyFont="1" applyFill="1" applyBorder="1" applyAlignment="1">
      <alignment horizontal="left" vertical="center" wrapText="1"/>
    </xf>
    <xf numFmtId="168" fontId="18" fillId="5" borderId="12" xfId="1" applyNumberFormat="1" applyFont="1" applyFill="1" applyBorder="1" applyAlignment="1">
      <alignment horizontal="left" vertical="center" wrapText="1"/>
    </xf>
    <xf numFmtId="168" fontId="0" fillId="0" borderId="1" xfId="1" applyNumberFormat="1" applyFont="1" applyBorder="1"/>
    <xf numFmtId="168" fontId="4" fillId="0" borderId="1" xfId="1" applyNumberFormat="1" applyFont="1" applyBorder="1" applyAlignment="1">
      <alignment horizontal="left" vertical="center" indent="6"/>
    </xf>
    <xf numFmtId="9" fontId="3" fillId="0" borderId="1" xfId="0" applyNumberFormat="1" applyFont="1" applyBorder="1" applyAlignment="1">
      <alignment horizontal="center"/>
    </xf>
    <xf numFmtId="178" fontId="20" fillId="5" borderId="1" xfId="4" applyFont="1" applyFill="1" applyBorder="1" applyAlignment="1" applyProtection="1">
      <alignment horizontal="center" vertical="center"/>
    </xf>
    <xf numFmtId="178" fontId="20" fillId="5" borderId="1" xfId="4" applyFont="1" applyFill="1" applyBorder="1" applyAlignment="1" applyProtection="1">
      <alignment horizontal="center"/>
    </xf>
    <xf numFmtId="178" fontId="20" fillId="5" borderId="4" xfId="4" applyFont="1" applyFill="1" applyBorder="1" applyAlignment="1" applyProtection="1">
      <alignment horizontal="center"/>
    </xf>
    <xf numFmtId="0" fontId="0" fillId="6" borderId="4" xfId="0" applyFill="1" applyBorder="1" applyAlignment="1">
      <alignment horizontal="center"/>
    </xf>
    <xf numFmtId="180" fontId="0" fillId="6" borderId="1" xfId="0" applyNumberFormat="1" applyFill="1" applyBorder="1" applyAlignment="1">
      <alignment horizontal="center"/>
    </xf>
    <xf numFmtId="0" fontId="20" fillId="5" borderId="4" xfId="0" applyFont="1" applyFill="1" applyBorder="1" applyAlignment="1">
      <alignment horizontal="center"/>
    </xf>
    <xf numFmtId="177" fontId="20" fillId="5" borderId="1" xfId="0" applyNumberFormat="1" applyFont="1" applyFill="1" applyBorder="1" applyAlignment="1">
      <alignment horizontal="center"/>
    </xf>
    <xf numFmtId="2" fontId="3" fillId="5" borderId="1" xfId="1" applyNumberFormat="1" applyFont="1" applyFill="1" applyBorder="1"/>
    <xf numFmtId="0" fontId="2" fillId="6" borderId="1" xfId="0" applyFont="1" applyFill="1" applyBorder="1"/>
    <xf numFmtId="0" fontId="2" fillId="6" borderId="2" xfId="0" applyFont="1" applyFill="1" applyBorder="1"/>
    <xf numFmtId="180" fontId="0" fillId="0" borderId="0" xfId="0" applyNumberFormat="1"/>
    <xf numFmtId="10" fontId="2" fillId="0" borderId="4" xfId="2" applyNumberFormat="1" applyFont="1" applyFill="1" applyBorder="1" applyProtection="1"/>
    <xf numFmtId="181" fontId="3" fillId="5" borderId="7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5" borderId="1" xfId="0" applyFill="1" applyBorder="1"/>
    <xf numFmtId="44" fontId="2" fillId="0" borderId="1" xfId="0" applyNumberFormat="1" applyFont="1" applyBorder="1" applyAlignment="1">
      <alignment vertical="center"/>
    </xf>
    <xf numFmtId="9" fontId="2" fillId="0" borderId="0" xfId="2" applyFont="1"/>
    <xf numFmtId="9" fontId="4" fillId="0" borderId="0" xfId="2" applyFont="1" applyAlignment="1">
      <alignment vertical="center"/>
    </xf>
    <xf numFmtId="164" fontId="2" fillId="0" borderId="0" xfId="2" applyNumberFormat="1" applyFont="1"/>
    <xf numFmtId="0" fontId="2" fillId="0" borderId="0" xfId="2" applyNumberFormat="1" applyFont="1"/>
    <xf numFmtId="182" fontId="4" fillId="0" borderId="0" xfId="2" applyNumberFormat="1" applyFont="1" applyAlignment="1">
      <alignment vertical="center"/>
    </xf>
    <xf numFmtId="0" fontId="3" fillId="0" borderId="1" xfId="0" applyFont="1" applyBorder="1"/>
    <xf numFmtId="10" fontId="2" fillId="0" borderId="1" xfId="2" applyNumberFormat="1" applyFont="1" applyBorder="1"/>
    <xf numFmtId="0" fontId="2" fillId="0" borderId="7" xfId="0" applyFont="1" applyBorder="1"/>
    <xf numFmtId="9" fontId="2" fillId="0" borderId="7" xfId="0" applyNumberFormat="1" applyFont="1" applyBorder="1"/>
    <xf numFmtId="182" fontId="2" fillId="0" borderId="1" xfId="2" applyNumberFormat="1" applyFont="1" applyBorder="1"/>
    <xf numFmtId="0" fontId="23" fillId="6" borderId="17" xfId="0" applyFont="1" applyFill="1" applyBorder="1" applyAlignment="1">
      <alignment horizontal="center"/>
    </xf>
    <xf numFmtId="0" fontId="23" fillId="6" borderId="18" xfId="0" applyFont="1" applyFill="1" applyBorder="1" applyAlignment="1">
      <alignment horizontal="center"/>
    </xf>
    <xf numFmtId="0" fontId="23" fillId="6" borderId="19" xfId="0" applyFont="1" applyFill="1" applyBorder="1" applyAlignment="1">
      <alignment horizontal="center"/>
    </xf>
    <xf numFmtId="0" fontId="23" fillId="6" borderId="20" xfId="0" applyFont="1" applyFill="1" applyBorder="1" applyAlignment="1">
      <alignment horizontal="center"/>
    </xf>
    <xf numFmtId="0" fontId="23" fillId="6" borderId="21" xfId="0" applyFont="1" applyFill="1" applyBorder="1" applyAlignment="1">
      <alignment horizontal="center"/>
    </xf>
    <xf numFmtId="0" fontId="23" fillId="6" borderId="22" xfId="0" applyFont="1" applyFill="1" applyBorder="1" applyAlignment="1">
      <alignment horizontal="center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4" fillId="6" borderId="17" xfId="0" applyFont="1" applyFill="1" applyBorder="1" applyAlignment="1">
      <alignment horizontal="center" vertical="center"/>
    </xf>
    <xf numFmtId="0" fontId="24" fillId="6" borderId="18" xfId="0" applyFont="1" applyFill="1" applyBorder="1" applyAlignment="1">
      <alignment horizontal="center" vertical="center"/>
    </xf>
    <xf numFmtId="0" fontId="24" fillId="6" borderId="19" xfId="0" applyFont="1" applyFill="1" applyBorder="1" applyAlignment="1">
      <alignment horizontal="center" vertical="center"/>
    </xf>
    <xf numFmtId="0" fontId="24" fillId="6" borderId="20" xfId="0" applyFont="1" applyFill="1" applyBorder="1" applyAlignment="1">
      <alignment horizontal="center" vertical="center"/>
    </xf>
    <xf numFmtId="0" fontId="24" fillId="6" borderId="21" xfId="0" applyFont="1" applyFill="1" applyBorder="1" applyAlignment="1">
      <alignment horizontal="center" vertical="center"/>
    </xf>
    <xf numFmtId="0" fontId="24" fillId="6" borderId="22" xfId="0" applyFont="1" applyFill="1" applyBorder="1" applyAlignment="1">
      <alignment horizontal="center" vertical="center"/>
    </xf>
    <xf numFmtId="0" fontId="0" fillId="6" borderId="15" xfId="0" applyFill="1" applyBorder="1" applyAlignment="1">
      <alignment horizontal="left"/>
    </xf>
    <xf numFmtId="0" fontId="0" fillId="6" borderId="24" xfId="0" applyFill="1" applyBorder="1" applyAlignment="1">
      <alignment horizontal="left"/>
    </xf>
    <xf numFmtId="0" fontId="0" fillId="6" borderId="25" xfId="0" applyFill="1" applyBorder="1" applyAlignment="1">
      <alignment horizontal="left"/>
    </xf>
    <xf numFmtId="0" fontId="0" fillId="5" borderId="15" xfId="0" applyFill="1" applyBorder="1" applyAlignment="1">
      <alignment horizontal="left"/>
    </xf>
    <xf numFmtId="0" fontId="0" fillId="5" borderId="24" xfId="0" applyFill="1" applyBorder="1" applyAlignment="1">
      <alignment horizontal="left"/>
    </xf>
    <xf numFmtId="0" fontId="0" fillId="5" borderId="25" xfId="0" applyFill="1" applyBorder="1" applyAlignment="1">
      <alignment horizontal="left"/>
    </xf>
    <xf numFmtId="0" fontId="23" fillId="5" borderId="17" xfId="0" applyFont="1" applyFill="1" applyBorder="1" applyAlignment="1">
      <alignment horizontal="center"/>
    </xf>
    <xf numFmtId="0" fontId="23" fillId="5" borderId="18" xfId="0" applyFont="1" applyFill="1" applyBorder="1" applyAlignment="1">
      <alignment horizontal="center"/>
    </xf>
    <xf numFmtId="0" fontId="23" fillId="5" borderId="19" xfId="0" applyFont="1" applyFill="1" applyBorder="1" applyAlignment="1">
      <alignment horizontal="center"/>
    </xf>
    <xf numFmtId="0" fontId="23" fillId="5" borderId="20" xfId="0" applyFont="1" applyFill="1" applyBorder="1" applyAlignment="1">
      <alignment horizontal="center"/>
    </xf>
    <xf numFmtId="0" fontId="23" fillId="5" borderId="21" xfId="0" applyFont="1" applyFill="1" applyBorder="1" applyAlignment="1">
      <alignment horizontal="center"/>
    </xf>
    <xf numFmtId="0" fontId="23" fillId="5" borderId="22" xfId="0" applyFont="1" applyFill="1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left" vertical="center" wrapText="1"/>
    </xf>
    <xf numFmtId="0" fontId="2" fillId="5" borderId="9" xfId="0" applyFont="1" applyFill="1" applyBorder="1" applyAlignment="1">
      <alignment horizontal="center" vertical="center"/>
    </xf>
    <xf numFmtId="0" fontId="25" fillId="6" borderId="17" xfId="0" applyFont="1" applyFill="1" applyBorder="1" applyAlignment="1">
      <alignment horizontal="center" vertical="center"/>
    </xf>
    <xf numFmtId="0" fontId="25" fillId="6" borderId="18" xfId="0" applyFont="1" applyFill="1" applyBorder="1" applyAlignment="1">
      <alignment horizontal="center" vertical="center"/>
    </xf>
    <xf numFmtId="0" fontId="25" fillId="6" borderId="19" xfId="0" applyFont="1" applyFill="1" applyBorder="1" applyAlignment="1">
      <alignment horizontal="center" vertical="center"/>
    </xf>
    <xf numFmtId="0" fontId="25" fillId="6" borderId="20" xfId="0" applyFont="1" applyFill="1" applyBorder="1" applyAlignment="1">
      <alignment horizontal="center" vertical="center"/>
    </xf>
    <xf numFmtId="0" fontId="25" fillId="6" borderId="21" xfId="0" applyFont="1" applyFill="1" applyBorder="1" applyAlignment="1">
      <alignment horizontal="center" vertical="center"/>
    </xf>
    <xf numFmtId="0" fontId="25" fillId="6" borderId="22" xfId="0" applyFont="1" applyFill="1" applyBorder="1" applyAlignment="1">
      <alignment horizontal="center" vertical="center"/>
    </xf>
    <xf numFmtId="2" fontId="4" fillId="6" borderId="37" xfId="0" applyNumberFormat="1" applyFont="1" applyFill="1" applyBorder="1" applyAlignment="1">
      <alignment horizontal="center" wrapText="1"/>
    </xf>
    <xf numFmtId="2" fontId="4" fillId="6" borderId="38" xfId="0" applyNumberFormat="1" applyFont="1" applyFill="1" applyBorder="1" applyAlignment="1">
      <alignment horizontal="center" wrapText="1"/>
    </xf>
    <xf numFmtId="0" fontId="2" fillId="5" borderId="36" xfId="0" applyFont="1" applyFill="1" applyBorder="1" applyAlignment="1">
      <alignment horizontal="left" vertical="center" wrapText="1"/>
    </xf>
    <xf numFmtId="0" fontId="2" fillId="5" borderId="37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6" borderId="2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6" fillId="5" borderId="15" xfId="0" applyFont="1" applyFill="1" applyBorder="1" applyAlignment="1">
      <alignment horizontal="center" vertical="center"/>
    </xf>
    <xf numFmtId="0" fontId="26" fillId="5" borderId="24" xfId="0" applyFont="1" applyFill="1" applyBorder="1" applyAlignment="1">
      <alignment horizontal="center" vertical="center"/>
    </xf>
    <xf numFmtId="0" fontId="26" fillId="5" borderId="25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left" vertical="center"/>
    </xf>
    <xf numFmtId="0" fontId="3" fillId="5" borderId="12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3" fillId="6" borderId="2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6" borderId="13" xfId="0" applyFont="1" applyFill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5" borderId="2" xfId="0" applyFont="1" applyFill="1" applyBorder="1" applyAlignment="1">
      <alignment horizontal="left"/>
    </xf>
    <xf numFmtId="0" fontId="3" fillId="5" borderId="3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5" borderId="0" xfId="0" applyFont="1" applyFill="1" applyAlignment="1">
      <alignment horizontal="left"/>
    </xf>
    <xf numFmtId="0" fontId="3" fillId="4" borderId="2" xfId="0" applyFont="1" applyFill="1" applyBorder="1" applyAlignment="1">
      <alignment horizontal="left"/>
    </xf>
    <xf numFmtId="0" fontId="3" fillId="4" borderId="3" xfId="0" applyFont="1" applyFill="1" applyBorder="1" applyAlignment="1">
      <alignment horizontal="left"/>
    </xf>
    <xf numFmtId="0" fontId="3" fillId="4" borderId="4" xfId="0" applyFont="1" applyFill="1" applyBorder="1" applyAlignment="1">
      <alignment horizontal="left"/>
    </xf>
    <xf numFmtId="0" fontId="16" fillId="5" borderId="2" xfId="0" applyFont="1" applyFill="1" applyBorder="1" applyAlignment="1">
      <alignment horizontal="left"/>
    </xf>
    <xf numFmtId="0" fontId="16" fillId="5" borderId="3" xfId="0" applyFont="1" applyFill="1" applyBorder="1" applyAlignment="1">
      <alignment horizontal="left"/>
    </xf>
    <xf numFmtId="0" fontId="16" fillId="5" borderId="4" xfId="0" applyFont="1" applyFill="1" applyBorder="1" applyAlignment="1">
      <alignment horizontal="left"/>
    </xf>
    <xf numFmtId="164" fontId="3" fillId="6" borderId="2" xfId="0" applyNumberFormat="1" applyFont="1" applyFill="1" applyBorder="1"/>
    <xf numFmtId="164" fontId="0" fillId="6" borderId="4" xfId="0" applyNumberFormat="1" applyFill="1" applyBorder="1"/>
    <xf numFmtId="0" fontId="3" fillId="6" borderId="11" xfId="0" applyFont="1" applyFill="1" applyBorder="1" applyAlignment="1">
      <alignment horizontal="center"/>
    </xf>
    <xf numFmtId="0" fontId="3" fillId="6" borderId="0" xfId="0" applyFont="1" applyFill="1" applyAlignment="1">
      <alignment horizontal="center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3" fillId="5" borderId="8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70" fontId="2" fillId="6" borderId="1" xfId="0" applyNumberFormat="1" applyFont="1" applyFill="1" applyBorder="1" applyAlignment="1">
      <alignment horizontal="center"/>
    </xf>
    <xf numFmtId="9" fontId="3" fillId="0" borderId="1" xfId="0" applyNumberFormat="1" applyFont="1" applyBorder="1" applyAlignment="1">
      <alignment horizontal="center"/>
    </xf>
    <xf numFmtId="0" fontId="3" fillId="5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/>
    </xf>
    <xf numFmtId="0" fontId="3" fillId="5" borderId="9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3" fillId="5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5" borderId="17" xfId="0" applyFont="1" applyFill="1" applyBorder="1" applyAlignment="1">
      <alignment horizontal="center" wrapText="1"/>
    </xf>
    <xf numFmtId="0" fontId="2" fillId="5" borderId="19" xfId="0" applyFont="1" applyFill="1" applyBorder="1" applyAlignment="1">
      <alignment horizontal="center" wrapText="1"/>
    </xf>
    <xf numFmtId="0" fontId="2" fillId="5" borderId="20" xfId="0" applyFont="1" applyFill="1" applyBorder="1" applyAlignment="1">
      <alignment horizontal="center" wrapText="1"/>
    </xf>
    <xf numFmtId="0" fontId="2" fillId="5" borderId="22" xfId="0" applyFont="1" applyFill="1" applyBorder="1" applyAlignment="1">
      <alignment horizontal="center" wrapText="1"/>
    </xf>
  </cellXfs>
  <cellStyles count="5">
    <cellStyle name="Hipervínculo" xfId="3" builtinId="8"/>
    <cellStyle name="Moneda" xfId="1" builtinId="4"/>
    <cellStyle name="Moneda 2" xfId="4" xr:uid="{15930DD8-7DBE-4460-8C69-DD35D7BB8AF6}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heim\Desktop\PLANTILLA%20FINANCIERA%20TG%202024.xlsx" TargetMode="External"/><Relationship Id="rId1" Type="http://schemas.openxmlformats.org/officeDocument/2006/relationships/externalLinkPath" Target="/Users/jheim/Desktop/PLANTILLA%20FINANCIERA%20TG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INVERSIONES "/>
      <sheetName val="COSTOS Y GASTOS"/>
      <sheetName val="CRÉDITO"/>
      <sheetName val="COSTOS RESUMEN"/>
      <sheetName val="PROYECCIONES"/>
      <sheetName val="EVALUACIÓN"/>
    </sheetNames>
    <sheetDataSet>
      <sheetData sheetId="0"/>
      <sheetData sheetId="1">
        <row r="91">
          <cell r="B91" t="str">
            <v xml:space="preserve">Construcciones </v>
          </cell>
          <cell r="D91">
            <v>0</v>
          </cell>
        </row>
        <row r="92">
          <cell r="B92" t="str">
            <v>Maquinaria y Equipos</v>
          </cell>
        </row>
        <row r="93">
          <cell r="B93" t="str">
            <v>Muebles y enseres</v>
          </cell>
        </row>
        <row r="94">
          <cell r="B94" t="str">
            <v>Equipos de oficina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F475D-85B4-4B63-B69B-EE4E836C0A6E}">
  <dimension ref="B1:F17"/>
  <sheetViews>
    <sheetView tabSelected="1" zoomScale="85" zoomScaleNormal="85" workbookViewId="0"/>
  </sheetViews>
  <sheetFormatPr baseColWidth="10" defaultRowHeight="14.4" x14ac:dyDescent="0.3"/>
  <cols>
    <col min="3" max="3" width="33.21875" customWidth="1"/>
    <col min="4" max="4" width="28.6640625" customWidth="1"/>
    <col min="5" max="5" width="41.109375" customWidth="1"/>
    <col min="6" max="6" width="27.109375" customWidth="1"/>
  </cols>
  <sheetData>
    <row r="1" spans="2:6" x14ac:dyDescent="0.3">
      <c r="C1" s="441" t="s">
        <v>491</v>
      </c>
      <c r="D1" s="442"/>
      <c r="E1" s="442"/>
      <c r="F1" s="443"/>
    </row>
    <row r="2" spans="2:6" ht="15" thickBot="1" x14ac:dyDescent="0.35">
      <c r="C2" s="444"/>
      <c r="D2" s="445"/>
      <c r="E2" s="445"/>
      <c r="F2" s="446"/>
    </row>
    <row r="4" spans="2:6" x14ac:dyDescent="0.3">
      <c r="C4" s="429" t="s">
        <v>0</v>
      </c>
      <c r="D4" s="429" t="s">
        <v>1</v>
      </c>
      <c r="E4" s="429" t="s">
        <v>2</v>
      </c>
      <c r="F4" s="429" t="s">
        <v>3</v>
      </c>
    </row>
    <row r="5" spans="2:6" x14ac:dyDescent="0.3">
      <c r="B5" s="427">
        <v>1</v>
      </c>
      <c r="C5" s="427" t="s">
        <v>4</v>
      </c>
      <c r="D5" s="427" t="s">
        <v>5</v>
      </c>
      <c r="E5" s="427" t="s">
        <v>6</v>
      </c>
      <c r="F5" s="427" t="s">
        <v>7</v>
      </c>
    </row>
    <row r="6" spans="2:6" x14ac:dyDescent="0.3">
      <c r="B6" s="427">
        <v>2</v>
      </c>
      <c r="C6" s="427" t="s">
        <v>4</v>
      </c>
      <c r="D6" s="427" t="s">
        <v>8</v>
      </c>
      <c r="E6" s="427" t="s">
        <v>6</v>
      </c>
      <c r="F6" s="427" t="s">
        <v>7</v>
      </c>
    </row>
    <row r="7" spans="2:6" x14ac:dyDescent="0.3">
      <c r="B7" s="427">
        <v>3</v>
      </c>
      <c r="C7" s="427" t="s">
        <v>4</v>
      </c>
      <c r="D7" s="427" t="s">
        <v>9</v>
      </c>
      <c r="E7" s="427" t="s">
        <v>6</v>
      </c>
      <c r="F7" s="427" t="s">
        <v>10</v>
      </c>
    </row>
    <row r="8" spans="2:6" x14ac:dyDescent="0.3">
      <c r="B8" s="427">
        <v>4</v>
      </c>
      <c r="C8" s="427" t="s">
        <v>4</v>
      </c>
      <c r="D8" s="427" t="s">
        <v>5</v>
      </c>
      <c r="E8" s="427" t="s">
        <v>11</v>
      </c>
      <c r="F8" s="427" t="s">
        <v>10</v>
      </c>
    </row>
    <row r="9" spans="2:6" x14ac:dyDescent="0.3">
      <c r="B9" s="427">
        <v>5</v>
      </c>
      <c r="C9" s="427" t="s">
        <v>4</v>
      </c>
      <c r="D9" s="427" t="s">
        <v>8</v>
      </c>
      <c r="E9" s="427" t="s">
        <v>11</v>
      </c>
      <c r="F9" s="427" t="s">
        <v>10</v>
      </c>
    </row>
    <row r="10" spans="2:6" x14ac:dyDescent="0.3">
      <c r="B10" s="427">
        <v>6</v>
      </c>
      <c r="C10" s="427" t="s">
        <v>4</v>
      </c>
      <c r="D10" s="427" t="s">
        <v>9</v>
      </c>
      <c r="E10" s="427" t="s">
        <v>11</v>
      </c>
      <c r="F10" s="427" t="s">
        <v>12</v>
      </c>
    </row>
    <row r="11" spans="2:6" x14ac:dyDescent="0.3">
      <c r="B11" s="427">
        <v>7</v>
      </c>
      <c r="C11" s="428" t="s">
        <v>13</v>
      </c>
      <c r="D11" s="427" t="s">
        <v>5</v>
      </c>
      <c r="E11" s="427" t="s">
        <v>6</v>
      </c>
      <c r="F11" s="427" t="s">
        <v>14</v>
      </c>
    </row>
    <row r="12" spans="2:6" x14ac:dyDescent="0.3">
      <c r="B12" s="427">
        <v>8</v>
      </c>
      <c r="C12" s="428" t="s">
        <v>13</v>
      </c>
      <c r="D12" s="428" t="s">
        <v>8</v>
      </c>
      <c r="E12" s="428" t="s">
        <v>6</v>
      </c>
      <c r="F12" s="428" t="s">
        <v>12</v>
      </c>
    </row>
    <row r="13" spans="2:6" x14ac:dyDescent="0.3">
      <c r="B13" s="427">
        <v>9</v>
      </c>
      <c r="C13" s="428" t="s">
        <v>13</v>
      </c>
      <c r="D13" s="427" t="s">
        <v>5</v>
      </c>
      <c r="E13" s="427" t="s">
        <v>11</v>
      </c>
      <c r="F13" s="427" t="s">
        <v>12</v>
      </c>
    </row>
    <row r="14" spans="2:6" x14ac:dyDescent="0.3">
      <c r="B14" s="427">
        <v>10</v>
      </c>
      <c r="C14" s="428" t="s">
        <v>13</v>
      </c>
      <c r="D14" s="428" t="s">
        <v>8</v>
      </c>
      <c r="E14" s="427" t="s">
        <v>11</v>
      </c>
      <c r="F14" s="427" t="s">
        <v>15</v>
      </c>
    </row>
    <row r="15" spans="2:6" x14ac:dyDescent="0.3">
      <c r="B15" s="427">
        <v>11</v>
      </c>
      <c r="C15" s="428" t="s">
        <v>13</v>
      </c>
      <c r="D15" s="427" t="s">
        <v>9</v>
      </c>
      <c r="E15" s="427" t="s">
        <v>6</v>
      </c>
      <c r="F15" s="427" t="s">
        <v>16</v>
      </c>
    </row>
    <row r="16" spans="2:6" x14ac:dyDescent="0.3">
      <c r="B16" s="427">
        <v>12</v>
      </c>
      <c r="C16" s="428" t="s">
        <v>13</v>
      </c>
      <c r="D16" s="427" t="s">
        <v>9</v>
      </c>
      <c r="E16" s="427" t="s">
        <v>11</v>
      </c>
      <c r="F16" s="427" t="s">
        <v>17</v>
      </c>
    </row>
    <row r="17" spans="2:6" x14ac:dyDescent="0.3">
      <c r="B17" s="427">
        <v>13</v>
      </c>
      <c r="C17" s="427" t="s">
        <v>18</v>
      </c>
      <c r="D17" s="427" t="s">
        <v>18</v>
      </c>
      <c r="E17" s="427" t="s">
        <v>18</v>
      </c>
      <c r="F17" s="427" t="s">
        <v>19</v>
      </c>
    </row>
  </sheetData>
  <mergeCells count="1">
    <mergeCell ref="C1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E6557-A893-4B57-B5FC-6DC5525FBCCE}">
  <dimension ref="A1:L133"/>
  <sheetViews>
    <sheetView zoomScale="80" zoomScaleNormal="100" workbookViewId="0"/>
  </sheetViews>
  <sheetFormatPr baseColWidth="10" defaultRowHeight="14.4" x14ac:dyDescent="0.3"/>
  <cols>
    <col min="1" max="1" width="11.5546875" style="63"/>
    <col min="2" max="2" width="46.6640625" style="65" customWidth="1"/>
    <col min="3" max="3" width="12.21875" style="65" customWidth="1"/>
    <col min="4" max="5" width="16.5546875" style="65" customWidth="1"/>
    <col min="6" max="6" width="14.88671875" style="65" customWidth="1"/>
    <col min="7" max="7" width="16" style="65" customWidth="1"/>
    <col min="8" max="8" width="14" style="63" customWidth="1"/>
    <col min="9" max="9" width="15.33203125" bestFit="1" customWidth="1"/>
    <col min="12" max="12" width="14.33203125" bestFit="1" customWidth="1"/>
  </cols>
  <sheetData>
    <row r="1" spans="1:11" x14ac:dyDescent="0.3">
      <c r="B1" s="456" t="s">
        <v>492</v>
      </c>
      <c r="C1" s="457"/>
      <c r="D1" s="457"/>
      <c r="E1" s="457"/>
      <c r="F1" s="458"/>
    </row>
    <row r="2" spans="1:11" ht="15" thickBot="1" x14ac:dyDescent="0.35">
      <c r="B2" s="459"/>
      <c r="C2" s="460"/>
      <c r="D2" s="460"/>
      <c r="E2" s="460"/>
      <c r="F2" s="461"/>
    </row>
    <row r="3" spans="1:11" ht="15" thickBot="1" x14ac:dyDescent="0.35"/>
    <row r="4" spans="1:11" x14ac:dyDescent="0.3">
      <c r="B4" s="447" t="s">
        <v>409</v>
      </c>
      <c r="C4" s="448"/>
      <c r="D4" s="448"/>
      <c r="E4" s="448"/>
      <c r="F4" s="448"/>
      <c r="G4" s="448"/>
      <c r="H4" s="448"/>
      <c r="I4" s="448"/>
      <c r="J4" s="448"/>
      <c r="K4" s="449"/>
    </row>
    <row r="5" spans="1:11" ht="15" thickBot="1" x14ac:dyDescent="0.35">
      <c r="B5" s="450"/>
      <c r="C5" s="451"/>
      <c r="D5" s="451"/>
      <c r="E5" s="451"/>
      <c r="F5" s="451"/>
      <c r="G5" s="451"/>
      <c r="H5" s="451"/>
      <c r="I5" s="451"/>
      <c r="J5" s="451"/>
      <c r="K5" s="452"/>
    </row>
    <row r="6" spans="1:11" x14ac:dyDescent="0.3">
      <c r="A6" s="14"/>
      <c r="B6" s="15" t="s">
        <v>20</v>
      </c>
      <c r="C6" s="14"/>
      <c r="D6" s="14"/>
      <c r="E6" s="14"/>
      <c r="F6" s="14"/>
      <c r="G6" s="2"/>
    </row>
    <row r="7" spans="1:11" x14ac:dyDescent="0.3">
      <c r="A7" s="14"/>
      <c r="B7" s="39" t="s">
        <v>21</v>
      </c>
      <c r="C7" s="39"/>
      <c r="D7" s="39"/>
      <c r="E7" s="39" t="s">
        <v>22</v>
      </c>
      <c r="F7" s="14"/>
      <c r="G7" s="2"/>
    </row>
    <row r="8" spans="1:11" x14ac:dyDescent="0.3">
      <c r="A8" s="15" t="s">
        <v>23</v>
      </c>
      <c r="B8" s="66" t="s">
        <v>24</v>
      </c>
      <c r="C8" s="67"/>
      <c r="D8" s="68"/>
      <c r="E8" s="16">
        <v>0</v>
      </c>
      <c r="F8" s="14"/>
      <c r="G8" s="3"/>
    </row>
    <row r="9" spans="1:11" x14ac:dyDescent="0.3">
      <c r="A9" s="14"/>
      <c r="B9" s="44" t="s">
        <v>25</v>
      </c>
      <c r="C9" s="44"/>
      <c r="D9" s="44"/>
      <c r="E9" s="40">
        <f>SUM(E8:E8)</f>
        <v>0</v>
      </c>
      <c r="F9" s="14"/>
      <c r="G9" s="2"/>
    </row>
    <row r="10" spans="1:11" x14ac:dyDescent="0.3">
      <c r="A10" s="14"/>
      <c r="B10" s="14"/>
      <c r="C10" s="14"/>
      <c r="D10" s="14"/>
      <c r="E10" s="14"/>
      <c r="F10" s="14"/>
      <c r="G10" s="2"/>
    </row>
    <row r="11" spans="1:11" x14ac:dyDescent="0.3">
      <c r="A11" s="14"/>
      <c r="B11" s="14"/>
      <c r="C11" s="14"/>
      <c r="D11" s="14"/>
      <c r="E11" s="14"/>
      <c r="F11" s="14"/>
      <c r="G11" s="2"/>
    </row>
    <row r="12" spans="1:11" x14ac:dyDescent="0.3">
      <c r="A12" s="15" t="s">
        <v>26</v>
      </c>
      <c r="B12" s="15" t="s">
        <v>27</v>
      </c>
      <c r="C12" s="14"/>
      <c r="D12" s="14"/>
      <c r="E12" s="14"/>
      <c r="F12" s="14"/>
      <c r="G12" s="2"/>
    </row>
    <row r="13" spans="1:11" x14ac:dyDescent="0.3">
      <c r="A13" s="14"/>
      <c r="B13" s="39" t="s">
        <v>21</v>
      </c>
      <c r="C13" s="39"/>
      <c r="D13" s="39"/>
      <c r="E13" s="39" t="s">
        <v>22</v>
      </c>
      <c r="F13" s="14"/>
      <c r="G13" s="2"/>
    </row>
    <row r="14" spans="1:11" x14ac:dyDescent="0.3">
      <c r="A14" s="14"/>
      <c r="B14" s="69" t="s">
        <v>28</v>
      </c>
      <c r="C14" s="69"/>
      <c r="D14" s="69"/>
      <c r="E14" s="16"/>
      <c r="F14" s="14"/>
      <c r="G14" s="2"/>
    </row>
    <row r="15" spans="1:11" x14ac:dyDescent="0.3">
      <c r="A15" s="14"/>
      <c r="B15" s="44" t="s">
        <v>25</v>
      </c>
      <c r="C15" s="44"/>
      <c r="D15" s="44"/>
      <c r="E15" s="40">
        <f>SUM(E14:E14)</f>
        <v>0</v>
      </c>
      <c r="F15" s="14"/>
      <c r="G15" s="2"/>
    </row>
    <row r="16" spans="1:11" x14ac:dyDescent="0.3">
      <c r="A16" s="14"/>
      <c r="B16" s="14"/>
      <c r="C16" s="14"/>
      <c r="D16" s="14"/>
      <c r="E16" s="14"/>
      <c r="F16" s="14"/>
      <c r="G16" s="2"/>
    </row>
    <row r="17" spans="1:7" x14ac:dyDescent="0.3">
      <c r="A17" s="14"/>
      <c r="B17" s="14"/>
      <c r="C17" s="14"/>
      <c r="D17" s="14"/>
      <c r="E17" s="14"/>
      <c r="F17" s="14"/>
      <c r="G17" s="2"/>
    </row>
    <row r="18" spans="1:7" x14ac:dyDescent="0.3">
      <c r="A18" s="15" t="s">
        <v>29</v>
      </c>
      <c r="B18" s="15" t="s">
        <v>30</v>
      </c>
      <c r="C18" s="14"/>
      <c r="D18" s="14"/>
      <c r="E18" s="14"/>
      <c r="F18" s="14"/>
      <c r="G18" s="2"/>
    </row>
    <row r="19" spans="1:7" ht="26.4" x14ac:dyDescent="0.3">
      <c r="A19" s="14"/>
      <c r="B19" s="41" t="s">
        <v>31</v>
      </c>
      <c r="C19" s="42" t="s">
        <v>32</v>
      </c>
      <c r="D19" s="41" t="s">
        <v>33</v>
      </c>
      <c r="E19" s="41" t="s">
        <v>34</v>
      </c>
      <c r="F19" s="14"/>
      <c r="G19" s="2"/>
    </row>
    <row r="20" spans="1:7" x14ac:dyDescent="0.3">
      <c r="A20" s="14"/>
      <c r="B20" s="18" t="s">
        <v>497</v>
      </c>
      <c r="C20" s="17">
        <v>1</v>
      </c>
      <c r="D20" s="6">
        <f>+ESPECIFICACIONES!E18</f>
        <v>1677400</v>
      </c>
      <c r="E20" s="43">
        <f>C20*D20</f>
        <v>1677400</v>
      </c>
      <c r="F20" s="14"/>
      <c r="G20" s="2"/>
    </row>
    <row r="21" spans="1:7" x14ac:dyDescent="0.3">
      <c r="A21" s="14"/>
      <c r="B21" s="18" t="s">
        <v>498</v>
      </c>
      <c r="C21" s="17">
        <v>1</v>
      </c>
      <c r="D21" s="6">
        <f>+ESPECIFICACIONES!E12</f>
        <v>5128000</v>
      </c>
      <c r="E21" s="43">
        <f t="shared" ref="E21:E25" si="0">C21*D21</f>
        <v>5128000</v>
      </c>
      <c r="F21" s="14"/>
      <c r="G21" s="2"/>
    </row>
    <row r="22" spans="1:7" x14ac:dyDescent="0.3">
      <c r="A22" s="14"/>
      <c r="B22" s="18" t="s">
        <v>499</v>
      </c>
      <c r="C22" s="17">
        <v>1</v>
      </c>
      <c r="D22" s="6">
        <f>+ESPECIFICACIONES!E21</f>
        <v>860000</v>
      </c>
      <c r="E22" s="43">
        <f t="shared" si="0"/>
        <v>860000</v>
      </c>
      <c r="F22" s="14"/>
      <c r="G22" s="2"/>
    </row>
    <row r="23" spans="1:7" x14ac:dyDescent="0.3">
      <c r="A23" s="14"/>
      <c r="B23" s="18" t="s">
        <v>500</v>
      </c>
      <c r="C23" s="17">
        <v>1</v>
      </c>
      <c r="D23" s="6">
        <f>+ESPECIFICACIONES!E9</f>
        <v>4490000</v>
      </c>
      <c r="E23" s="43">
        <f t="shared" si="0"/>
        <v>4490000</v>
      </c>
      <c r="F23" s="14"/>
      <c r="G23" s="2"/>
    </row>
    <row r="24" spans="1:7" x14ac:dyDescent="0.3">
      <c r="A24" s="14"/>
      <c r="B24" s="18"/>
      <c r="C24" s="17"/>
      <c r="D24" s="6"/>
      <c r="E24" s="43">
        <f t="shared" si="0"/>
        <v>0</v>
      </c>
      <c r="F24" s="14"/>
      <c r="G24" s="2"/>
    </row>
    <row r="25" spans="1:7" x14ac:dyDescent="0.3">
      <c r="A25" s="14"/>
      <c r="B25" s="18"/>
      <c r="C25" s="17"/>
      <c r="D25" s="6"/>
      <c r="E25" s="43">
        <f t="shared" si="0"/>
        <v>0</v>
      </c>
      <c r="F25" s="14"/>
      <c r="G25" s="2"/>
    </row>
    <row r="26" spans="1:7" x14ac:dyDescent="0.3">
      <c r="A26" s="14"/>
      <c r="B26" s="18"/>
      <c r="C26" s="17"/>
      <c r="D26" s="6"/>
      <c r="E26" s="43">
        <f t="shared" ref="E26:E27" si="1">C26*D26</f>
        <v>0</v>
      </c>
      <c r="F26" s="14"/>
      <c r="G26" s="2"/>
    </row>
    <row r="27" spans="1:7" x14ac:dyDescent="0.3">
      <c r="A27" s="14"/>
      <c r="B27" s="18"/>
      <c r="C27" s="17"/>
      <c r="D27" s="6"/>
      <c r="E27" s="43">
        <f t="shared" si="1"/>
        <v>0</v>
      </c>
      <c r="F27" s="14"/>
      <c r="G27" s="2"/>
    </row>
    <row r="28" spans="1:7" x14ac:dyDescent="0.3">
      <c r="A28" s="14"/>
      <c r="B28" s="44" t="s">
        <v>25</v>
      </c>
      <c r="C28" s="45"/>
      <c r="D28" s="46"/>
      <c r="E28" s="40">
        <f>SUM(E20:E27)</f>
        <v>12155400</v>
      </c>
      <c r="F28" s="14"/>
      <c r="G28" s="2"/>
    </row>
    <row r="29" spans="1:7" x14ac:dyDescent="0.3">
      <c r="A29" s="14"/>
      <c r="B29" s="14"/>
      <c r="C29" s="14"/>
      <c r="D29" s="14"/>
      <c r="E29" s="14"/>
      <c r="F29" s="14"/>
      <c r="G29" s="2"/>
    </row>
    <row r="30" spans="1:7" x14ac:dyDescent="0.3">
      <c r="A30" s="14"/>
      <c r="B30" s="14"/>
      <c r="C30" s="14"/>
      <c r="D30" s="14"/>
      <c r="E30" s="14"/>
      <c r="F30" s="14"/>
      <c r="G30" s="2"/>
    </row>
    <row r="31" spans="1:7" x14ac:dyDescent="0.3">
      <c r="A31" s="15" t="s">
        <v>35</v>
      </c>
      <c r="B31" s="15" t="s">
        <v>36</v>
      </c>
      <c r="C31" s="14"/>
      <c r="D31" s="14"/>
      <c r="E31" s="14"/>
      <c r="F31" s="14"/>
      <c r="G31" s="2"/>
    </row>
    <row r="32" spans="1:7" ht="26.4" x14ac:dyDescent="0.3">
      <c r="A32" s="14"/>
      <c r="B32" s="41" t="s">
        <v>31</v>
      </c>
      <c r="C32" s="42" t="s">
        <v>32</v>
      </c>
      <c r="D32" s="41" t="s">
        <v>33</v>
      </c>
      <c r="E32" s="41" t="s">
        <v>34</v>
      </c>
      <c r="F32" s="14"/>
      <c r="G32" s="2"/>
    </row>
    <row r="33" spans="1:12" x14ac:dyDescent="0.3">
      <c r="A33" s="14"/>
      <c r="B33" s="37" t="s">
        <v>504</v>
      </c>
      <c r="C33" s="37">
        <v>1</v>
      </c>
      <c r="D33" s="353">
        <f>+ESPECIFICACIONES!E32</f>
        <v>17219600</v>
      </c>
      <c r="E33" s="376">
        <f>+D33*C33</f>
        <v>17219600</v>
      </c>
      <c r="F33" s="14"/>
      <c r="G33" s="2"/>
    </row>
    <row r="34" spans="1:12" x14ac:dyDescent="0.3">
      <c r="A34" s="14"/>
      <c r="B34" s="37" t="s">
        <v>505</v>
      </c>
      <c r="C34" s="37">
        <v>1</v>
      </c>
      <c r="D34" s="353">
        <f>+ESPECIFICACIONES!E36</f>
        <v>17664000</v>
      </c>
      <c r="E34" s="376">
        <f t="shared" ref="E34:E35" si="2">+D34*C34</f>
        <v>17664000</v>
      </c>
      <c r="F34" s="14"/>
      <c r="G34" s="2"/>
    </row>
    <row r="35" spans="1:12" x14ac:dyDescent="0.3">
      <c r="A35" s="14"/>
      <c r="B35" s="37" t="s">
        <v>506</v>
      </c>
      <c r="C35" s="37">
        <v>1</v>
      </c>
      <c r="D35" s="353">
        <f>+ESPECIFICACIONES!E40</f>
        <v>34883600</v>
      </c>
      <c r="E35" s="376">
        <f t="shared" si="2"/>
        <v>34883600</v>
      </c>
      <c r="F35" s="14"/>
      <c r="G35" s="2"/>
      <c r="L35" s="38"/>
    </row>
    <row r="36" spans="1:12" x14ac:dyDescent="0.3">
      <c r="A36" s="14"/>
      <c r="B36" s="37"/>
      <c r="C36" s="37"/>
      <c r="D36" s="353"/>
      <c r="E36" s="376"/>
      <c r="F36" s="14"/>
      <c r="G36" s="2"/>
      <c r="H36" s="64"/>
    </row>
    <row r="37" spans="1:12" x14ac:dyDescent="0.3">
      <c r="A37" s="14"/>
      <c r="B37" s="37"/>
      <c r="C37" s="37"/>
      <c r="D37" s="353"/>
      <c r="E37" s="376"/>
      <c r="F37" s="14"/>
      <c r="G37" s="2"/>
      <c r="H37" s="64"/>
    </row>
    <row r="38" spans="1:12" x14ac:dyDescent="0.3">
      <c r="A38" s="14"/>
      <c r="B38" s="37"/>
      <c r="C38" s="37"/>
      <c r="D38" s="353"/>
      <c r="E38" s="376"/>
      <c r="F38" s="14"/>
      <c r="G38" s="2"/>
      <c r="H38" s="64"/>
    </row>
    <row r="39" spans="1:12" x14ac:dyDescent="0.3">
      <c r="A39" s="14"/>
      <c r="B39" s="20"/>
      <c r="C39" s="18"/>
      <c r="D39" s="353"/>
      <c r="E39" s="376"/>
      <c r="F39" s="14"/>
      <c r="G39" s="2"/>
    </row>
    <row r="40" spans="1:12" x14ac:dyDescent="0.3">
      <c r="A40" s="14"/>
      <c r="B40" s="18"/>
      <c r="C40" s="18"/>
      <c r="D40" s="353"/>
      <c r="E40" s="376">
        <f>D40*C40</f>
        <v>0</v>
      </c>
      <c r="F40" s="14"/>
      <c r="G40" s="2"/>
    </row>
    <row r="41" spans="1:12" x14ac:dyDescent="0.3">
      <c r="A41" s="14"/>
      <c r="B41" s="18"/>
      <c r="C41" s="18"/>
      <c r="D41" s="353"/>
      <c r="E41" s="376">
        <f>D41*C41</f>
        <v>0</v>
      </c>
      <c r="F41" s="14"/>
      <c r="G41" s="2"/>
    </row>
    <row r="42" spans="1:12" x14ac:dyDescent="0.3">
      <c r="A42" s="14"/>
      <c r="B42" s="60" t="s">
        <v>25</v>
      </c>
      <c r="C42" s="55"/>
      <c r="D42" s="46"/>
      <c r="E42" s="40">
        <f>SUM(E33:E41)</f>
        <v>69767200</v>
      </c>
      <c r="F42" s="23"/>
      <c r="G42" s="2"/>
    </row>
    <row r="43" spans="1:12" x14ac:dyDescent="0.3">
      <c r="A43" s="14"/>
      <c r="B43" s="14"/>
      <c r="C43" s="14"/>
      <c r="D43" s="14"/>
      <c r="E43" s="14"/>
      <c r="F43" s="14"/>
      <c r="G43" s="2"/>
    </row>
    <row r="44" spans="1:12" x14ac:dyDescent="0.3">
      <c r="A44" s="14"/>
      <c r="B44" s="14"/>
      <c r="C44" s="14"/>
      <c r="D44" s="14"/>
      <c r="E44" s="14"/>
      <c r="F44" s="14"/>
      <c r="G44" s="2"/>
    </row>
    <row r="45" spans="1:12" x14ac:dyDescent="0.3">
      <c r="A45" s="15" t="s">
        <v>37</v>
      </c>
      <c r="B45" s="15" t="s">
        <v>38</v>
      </c>
      <c r="C45" s="14"/>
      <c r="D45" s="14"/>
      <c r="E45" s="14"/>
      <c r="F45" s="14"/>
      <c r="G45" s="2"/>
    </row>
    <row r="46" spans="1:12" ht="26.4" x14ac:dyDescent="0.3">
      <c r="A46" s="14"/>
      <c r="B46" s="41" t="s">
        <v>31</v>
      </c>
      <c r="C46" s="42" t="s">
        <v>32</v>
      </c>
      <c r="D46" s="41" t="s">
        <v>39</v>
      </c>
      <c r="E46" s="41" t="s">
        <v>40</v>
      </c>
      <c r="F46" s="282" t="s">
        <v>408</v>
      </c>
      <c r="G46" s="2"/>
    </row>
    <row r="47" spans="1:12" x14ac:dyDescent="0.3">
      <c r="A47" s="14"/>
      <c r="B47" s="61" t="s">
        <v>41</v>
      </c>
      <c r="C47" s="62">
        <v>1</v>
      </c>
      <c r="D47" s="6">
        <f>+F47/2</f>
        <v>1000000</v>
      </c>
      <c r="E47" s="43">
        <f t="shared" ref="E47:E55" si="3">D47*C47</f>
        <v>1000000</v>
      </c>
      <c r="F47" s="283">
        <v>2000000</v>
      </c>
      <c r="G47" s="2"/>
    </row>
    <row r="48" spans="1:12" x14ac:dyDescent="0.3">
      <c r="A48" s="14"/>
      <c r="B48" s="20" t="s">
        <v>85</v>
      </c>
      <c r="C48" s="62">
        <v>1</v>
      </c>
      <c r="D48" s="6">
        <f t="shared" ref="D48:D55" si="4">+F48/2</f>
        <v>400000</v>
      </c>
      <c r="E48" s="43">
        <f t="shared" si="3"/>
        <v>400000</v>
      </c>
      <c r="F48" s="283">
        <v>800000</v>
      </c>
      <c r="G48" s="2"/>
    </row>
    <row r="49" spans="1:7" x14ac:dyDescent="0.3">
      <c r="A49" s="14"/>
      <c r="B49" s="61" t="s">
        <v>42</v>
      </c>
      <c r="C49" s="62">
        <v>1</v>
      </c>
      <c r="D49" s="6">
        <f t="shared" si="4"/>
        <v>75000</v>
      </c>
      <c r="E49" s="43">
        <f t="shared" si="3"/>
        <v>75000</v>
      </c>
      <c r="F49" s="283">
        <v>150000</v>
      </c>
      <c r="G49" s="2"/>
    </row>
    <row r="50" spans="1:7" x14ac:dyDescent="0.3">
      <c r="A50" s="14"/>
      <c r="B50" s="20" t="s">
        <v>43</v>
      </c>
      <c r="C50" s="62">
        <v>1</v>
      </c>
      <c r="D50" s="6">
        <f t="shared" si="4"/>
        <v>339500</v>
      </c>
      <c r="E50" s="43">
        <f t="shared" si="3"/>
        <v>339500</v>
      </c>
      <c r="F50" s="283">
        <v>679000</v>
      </c>
      <c r="G50" s="2"/>
    </row>
    <row r="51" spans="1:7" x14ac:dyDescent="0.3">
      <c r="A51" s="14"/>
      <c r="B51" s="20" t="s">
        <v>86</v>
      </c>
      <c r="C51" s="62">
        <v>1</v>
      </c>
      <c r="D51" s="6">
        <f t="shared" si="4"/>
        <v>25000</v>
      </c>
      <c r="E51" s="43">
        <f t="shared" si="3"/>
        <v>25000</v>
      </c>
      <c r="F51" s="283">
        <v>50000</v>
      </c>
      <c r="G51" s="2"/>
    </row>
    <row r="52" spans="1:7" x14ac:dyDescent="0.3">
      <c r="A52" s="14"/>
      <c r="B52" s="61" t="s">
        <v>87</v>
      </c>
      <c r="C52" s="62">
        <v>1</v>
      </c>
      <c r="D52" s="6">
        <f t="shared" si="4"/>
        <v>200000</v>
      </c>
      <c r="E52" s="43">
        <f>D52*C52</f>
        <v>200000</v>
      </c>
      <c r="F52" s="283">
        <v>400000</v>
      </c>
      <c r="G52" s="2"/>
    </row>
    <row r="53" spans="1:7" x14ac:dyDescent="0.3">
      <c r="A53" s="14"/>
      <c r="B53" s="20" t="s">
        <v>88</v>
      </c>
      <c r="C53" s="21">
        <v>1</v>
      </c>
      <c r="D53" s="6">
        <f t="shared" si="4"/>
        <v>50000</v>
      </c>
      <c r="E53" s="43">
        <f>D53*C53</f>
        <v>50000</v>
      </c>
      <c r="F53" s="283">
        <v>100000</v>
      </c>
      <c r="G53" s="2"/>
    </row>
    <row r="54" spans="1:7" x14ac:dyDescent="0.3">
      <c r="A54" s="14"/>
      <c r="B54" s="19" t="s">
        <v>89</v>
      </c>
      <c r="C54" s="21">
        <v>1</v>
      </c>
      <c r="D54" s="6">
        <f t="shared" si="4"/>
        <v>400000</v>
      </c>
      <c r="E54" s="43">
        <f>D54*C54</f>
        <v>400000</v>
      </c>
      <c r="F54" s="283">
        <v>800000</v>
      </c>
      <c r="G54" s="2"/>
    </row>
    <row r="55" spans="1:7" ht="26.4" x14ac:dyDescent="0.3">
      <c r="A55" s="14"/>
      <c r="B55" s="19" t="s">
        <v>538</v>
      </c>
      <c r="C55" s="21">
        <v>1</v>
      </c>
      <c r="D55" s="22">
        <f t="shared" si="4"/>
        <v>605000</v>
      </c>
      <c r="E55" s="43">
        <f t="shared" si="3"/>
        <v>605000</v>
      </c>
      <c r="F55" s="283">
        <v>1210000</v>
      </c>
      <c r="G55" s="2"/>
    </row>
    <row r="56" spans="1:7" x14ac:dyDescent="0.3">
      <c r="A56" s="14"/>
      <c r="B56" s="60" t="s">
        <v>25</v>
      </c>
      <c r="C56" s="55"/>
      <c r="D56" s="46"/>
      <c r="E56" s="40">
        <f>SUM(E47:E55)</f>
        <v>3094500</v>
      </c>
      <c r="F56" s="14"/>
      <c r="G56" s="2"/>
    </row>
    <row r="57" spans="1:7" x14ac:dyDescent="0.3">
      <c r="A57" s="14"/>
      <c r="B57" s="14"/>
      <c r="C57" s="14"/>
      <c r="D57" s="14"/>
      <c r="E57" s="14"/>
      <c r="F57" s="14"/>
      <c r="G57" s="2"/>
    </row>
    <row r="58" spans="1:7" x14ac:dyDescent="0.3">
      <c r="A58" s="14"/>
      <c r="B58" s="14"/>
      <c r="C58" s="14"/>
      <c r="D58" s="14"/>
      <c r="E58" s="14"/>
      <c r="F58" s="14"/>
      <c r="G58" s="2"/>
    </row>
    <row r="59" spans="1:7" x14ac:dyDescent="0.3">
      <c r="A59" s="15" t="s">
        <v>44</v>
      </c>
      <c r="B59" s="15" t="s">
        <v>366</v>
      </c>
      <c r="C59" s="14"/>
      <c r="D59" s="14"/>
      <c r="E59" s="14"/>
      <c r="F59" s="14"/>
      <c r="G59" s="2"/>
    </row>
    <row r="60" spans="1:7" ht="26.4" x14ac:dyDescent="0.3">
      <c r="A60" s="14"/>
      <c r="B60" s="41" t="s">
        <v>31</v>
      </c>
      <c r="C60" s="42" t="s">
        <v>32</v>
      </c>
      <c r="D60" s="41" t="s">
        <v>39</v>
      </c>
      <c r="E60" s="41" t="s">
        <v>40</v>
      </c>
      <c r="F60" s="14"/>
      <c r="G60" s="2"/>
    </row>
    <row r="61" spans="1:7" x14ac:dyDescent="0.3">
      <c r="A61" s="14"/>
      <c r="B61" s="19" t="s">
        <v>511</v>
      </c>
      <c r="C61" s="17">
        <v>1</v>
      </c>
      <c r="D61" s="6">
        <f>+ESPECIFICACIONES!E49</f>
        <v>320000</v>
      </c>
      <c r="E61" s="43">
        <f>D61*C61</f>
        <v>320000</v>
      </c>
      <c r="F61" s="14"/>
      <c r="G61" s="2"/>
    </row>
    <row r="62" spans="1:7" x14ac:dyDescent="0.3">
      <c r="A62" s="14"/>
      <c r="B62" s="19" t="s">
        <v>512</v>
      </c>
      <c r="C62" s="21">
        <v>1</v>
      </c>
      <c r="D62" s="6">
        <f>+ESPECIFICACIONES!E53</f>
        <v>570000</v>
      </c>
      <c r="E62" s="43">
        <f t="shared" ref="E62:E70" si="5">D62*C62</f>
        <v>570000</v>
      </c>
      <c r="F62" s="14"/>
      <c r="G62" s="2"/>
    </row>
    <row r="63" spans="1:7" x14ac:dyDescent="0.3">
      <c r="A63" s="14"/>
      <c r="B63" s="19" t="s">
        <v>513</v>
      </c>
      <c r="C63" s="21">
        <v>1</v>
      </c>
      <c r="D63" s="6">
        <f>+ESPECIFICACIONES!E57</f>
        <v>1980000</v>
      </c>
      <c r="E63" s="43">
        <f t="shared" si="5"/>
        <v>1980000</v>
      </c>
      <c r="F63" s="14"/>
      <c r="G63" s="2"/>
    </row>
    <row r="64" spans="1:7" x14ac:dyDescent="0.3">
      <c r="A64" s="14"/>
      <c r="B64" s="19" t="s">
        <v>514</v>
      </c>
      <c r="C64" s="21">
        <v>1</v>
      </c>
      <c r="D64" s="6">
        <f>+ESPECIFICACIONES!E60</f>
        <v>180000</v>
      </c>
      <c r="E64" s="43">
        <f t="shared" si="5"/>
        <v>180000</v>
      </c>
      <c r="F64" s="14"/>
      <c r="G64" s="2"/>
    </row>
    <row r="65" spans="1:7" x14ac:dyDescent="0.3">
      <c r="A65" s="14"/>
      <c r="B65" s="19" t="s">
        <v>515</v>
      </c>
      <c r="C65" s="21">
        <v>1</v>
      </c>
      <c r="D65" s="6">
        <f>+ESPECIFICACIONES!E62</f>
        <v>289000</v>
      </c>
      <c r="E65" s="43">
        <f t="shared" si="5"/>
        <v>289000</v>
      </c>
      <c r="F65" s="14"/>
      <c r="G65" s="2"/>
    </row>
    <row r="66" spans="1:7" x14ac:dyDescent="0.3">
      <c r="A66" s="14"/>
      <c r="B66" s="20"/>
      <c r="C66" s="21"/>
      <c r="D66" s="6"/>
      <c r="E66" s="43">
        <f>D66*C66</f>
        <v>0</v>
      </c>
      <c r="F66" s="14"/>
      <c r="G66" s="2"/>
    </row>
    <row r="67" spans="1:7" x14ac:dyDescent="0.3">
      <c r="A67" s="14"/>
      <c r="B67" s="275"/>
      <c r="C67" s="21"/>
      <c r="D67" s="6"/>
      <c r="E67" s="43">
        <f t="shared" si="5"/>
        <v>0</v>
      </c>
      <c r="F67" s="14"/>
      <c r="G67" s="2"/>
    </row>
    <row r="68" spans="1:7" x14ac:dyDescent="0.3">
      <c r="A68" s="14"/>
      <c r="B68" s="275"/>
      <c r="C68" s="21"/>
      <c r="D68" s="6"/>
      <c r="E68" s="43">
        <f t="shared" si="5"/>
        <v>0</v>
      </c>
      <c r="F68" s="14"/>
      <c r="G68" s="2"/>
    </row>
    <row r="69" spans="1:7" x14ac:dyDescent="0.3">
      <c r="A69" s="14"/>
      <c r="B69" s="275"/>
      <c r="C69" s="21"/>
      <c r="D69" s="22"/>
      <c r="E69" s="43">
        <f t="shared" si="5"/>
        <v>0</v>
      </c>
      <c r="F69" s="14"/>
      <c r="G69" s="2"/>
    </row>
    <row r="70" spans="1:7" x14ac:dyDescent="0.3">
      <c r="A70" s="14"/>
      <c r="B70" s="275"/>
      <c r="C70" s="21"/>
      <c r="D70" s="22"/>
      <c r="E70" s="43">
        <f t="shared" si="5"/>
        <v>0</v>
      </c>
      <c r="F70" s="14"/>
      <c r="G70" s="2"/>
    </row>
    <row r="71" spans="1:7" x14ac:dyDescent="0.3">
      <c r="A71" s="14"/>
      <c r="B71" s="60" t="s">
        <v>25</v>
      </c>
      <c r="C71" s="55"/>
      <c r="D71" s="56"/>
      <c r="E71" s="40">
        <f>SUM(E61:E70)</f>
        <v>3339000</v>
      </c>
      <c r="F71" s="14"/>
      <c r="G71" s="2"/>
    </row>
    <row r="72" spans="1:7" x14ac:dyDescent="0.3">
      <c r="A72" s="14"/>
      <c r="B72" s="24"/>
      <c r="C72" s="24"/>
      <c r="D72" s="25"/>
      <c r="E72" s="25"/>
      <c r="F72" s="14"/>
      <c r="G72" s="2"/>
    </row>
    <row r="73" spans="1:7" x14ac:dyDescent="0.3">
      <c r="A73" s="14"/>
      <c r="B73" s="24"/>
      <c r="C73" s="24"/>
      <c r="D73" s="25"/>
      <c r="E73" s="25"/>
      <c r="F73" s="14"/>
      <c r="G73" s="2"/>
    </row>
    <row r="74" spans="1:7" x14ac:dyDescent="0.3">
      <c r="A74" s="15" t="s">
        <v>45</v>
      </c>
      <c r="B74" s="26" t="s">
        <v>46</v>
      </c>
      <c r="C74" s="24"/>
      <c r="D74" s="25"/>
      <c r="E74" s="25"/>
      <c r="F74" s="14"/>
      <c r="G74" s="2"/>
    </row>
    <row r="75" spans="1:7" x14ac:dyDescent="0.3">
      <c r="A75" s="15"/>
      <c r="B75" s="42" t="s">
        <v>31</v>
      </c>
      <c r="C75" s="70"/>
      <c r="D75" s="47" t="s">
        <v>47</v>
      </c>
      <c r="E75" s="14"/>
      <c r="F75" s="14"/>
      <c r="G75" s="2"/>
    </row>
    <row r="76" spans="1:7" x14ac:dyDescent="0.3">
      <c r="A76" s="15"/>
      <c r="B76" s="27" t="s">
        <v>48</v>
      </c>
      <c r="C76" s="28" t="s">
        <v>23</v>
      </c>
      <c r="D76" s="59">
        <f>E8</f>
        <v>0</v>
      </c>
      <c r="E76" s="14"/>
      <c r="F76" s="14"/>
      <c r="G76" s="2"/>
    </row>
    <row r="77" spans="1:7" x14ac:dyDescent="0.3">
      <c r="A77" s="14"/>
      <c r="B77" s="27" t="str">
        <f>B12</f>
        <v xml:space="preserve">Construcciones </v>
      </c>
      <c r="C77" s="28" t="s">
        <v>26</v>
      </c>
      <c r="D77" s="59">
        <f>E15</f>
        <v>0</v>
      </c>
      <c r="E77" s="14"/>
      <c r="F77" s="14"/>
      <c r="G77" s="2"/>
    </row>
    <row r="78" spans="1:7" x14ac:dyDescent="0.3">
      <c r="A78" s="14"/>
      <c r="B78" s="27" t="str">
        <f>B18</f>
        <v>Maquinaria y Equipos</v>
      </c>
      <c r="C78" s="28" t="s">
        <v>29</v>
      </c>
      <c r="D78" s="59">
        <f>E28</f>
        <v>12155400</v>
      </c>
      <c r="E78" s="14"/>
      <c r="F78" s="14"/>
      <c r="G78" s="2"/>
    </row>
    <row r="79" spans="1:7" x14ac:dyDescent="0.3">
      <c r="A79" s="14"/>
      <c r="B79" s="27" t="s">
        <v>36</v>
      </c>
      <c r="C79" s="28" t="s">
        <v>49</v>
      </c>
      <c r="D79" s="59">
        <f>E42</f>
        <v>69767200</v>
      </c>
      <c r="E79" s="14"/>
      <c r="F79" s="14"/>
      <c r="G79" s="2"/>
    </row>
    <row r="80" spans="1:7" x14ac:dyDescent="0.3">
      <c r="A80" s="14"/>
      <c r="B80" s="27" t="s">
        <v>50</v>
      </c>
      <c r="C80" s="28" t="s">
        <v>51</v>
      </c>
      <c r="D80" s="59">
        <f>E56</f>
        <v>3094500</v>
      </c>
      <c r="E80" s="14"/>
      <c r="F80" s="14"/>
      <c r="G80" s="2"/>
    </row>
    <row r="81" spans="1:7" x14ac:dyDescent="0.3">
      <c r="A81" s="14"/>
      <c r="B81" s="27" t="str">
        <f>B59</f>
        <v>Herramientas (unica compra)</v>
      </c>
      <c r="C81" s="28" t="s">
        <v>52</v>
      </c>
      <c r="D81" s="59">
        <f>E71</f>
        <v>3339000</v>
      </c>
      <c r="E81" s="14"/>
      <c r="F81" s="14"/>
      <c r="G81" s="2"/>
    </row>
    <row r="82" spans="1:7" x14ac:dyDescent="0.3">
      <c r="A82" s="14"/>
      <c r="B82" s="60" t="s">
        <v>25</v>
      </c>
      <c r="C82" s="60"/>
      <c r="D82" s="56">
        <f>SUM(D76:D81)</f>
        <v>88356100</v>
      </c>
      <c r="E82" s="14"/>
      <c r="F82" s="14"/>
      <c r="G82" s="2"/>
    </row>
    <row r="83" spans="1:7" x14ac:dyDescent="0.3">
      <c r="A83" s="14"/>
      <c r="B83" s="24"/>
      <c r="C83" s="24"/>
      <c r="D83" s="25"/>
      <c r="E83" s="25"/>
      <c r="F83" s="14"/>
      <c r="G83" s="2"/>
    </row>
    <row r="84" spans="1:7" x14ac:dyDescent="0.3">
      <c r="A84" s="14"/>
      <c r="B84" s="24"/>
      <c r="C84" s="24"/>
      <c r="D84" s="25"/>
      <c r="E84" s="14"/>
      <c r="F84" s="14"/>
      <c r="G84" s="2"/>
    </row>
    <row r="85" spans="1:7" x14ac:dyDescent="0.3">
      <c r="A85" s="14"/>
      <c r="B85" s="14"/>
      <c r="C85" s="14"/>
      <c r="D85" s="14"/>
      <c r="E85" s="14"/>
      <c r="F85" s="14"/>
      <c r="G85" s="2"/>
    </row>
    <row r="86" spans="1:7" x14ac:dyDescent="0.3">
      <c r="A86" s="15" t="s">
        <v>53</v>
      </c>
      <c r="B86" s="15" t="s">
        <v>54</v>
      </c>
      <c r="C86" s="14"/>
      <c r="D86" s="14"/>
      <c r="E86" s="14"/>
      <c r="F86" s="14"/>
      <c r="G86" s="2"/>
    </row>
    <row r="87" spans="1:7" x14ac:dyDescent="0.3">
      <c r="A87" s="14"/>
      <c r="B87" s="48" t="s">
        <v>31</v>
      </c>
      <c r="C87" s="49"/>
      <c r="D87" s="41" t="s">
        <v>47</v>
      </c>
      <c r="E87" s="14"/>
      <c r="F87" s="14"/>
      <c r="G87"/>
    </row>
    <row r="88" spans="1:7" ht="14.4" customHeight="1" x14ac:dyDescent="0.3">
      <c r="A88" s="14"/>
      <c r="B88" s="29" t="s">
        <v>55</v>
      </c>
      <c r="C88" s="30"/>
      <c r="D88" s="31">
        <f>+E88/2</f>
        <v>500000</v>
      </c>
      <c r="E88" s="284">
        <v>1000000</v>
      </c>
      <c r="F88" s="32"/>
      <c r="G88"/>
    </row>
    <row r="89" spans="1:7" ht="26.4" x14ac:dyDescent="0.3">
      <c r="A89" s="14"/>
      <c r="B89" s="27" t="s">
        <v>56</v>
      </c>
      <c r="C89" s="28"/>
      <c r="D89" s="31">
        <f t="shared" ref="D89:D92" si="6">+E89/2</f>
        <v>0</v>
      </c>
      <c r="E89" s="284"/>
      <c r="F89" s="14"/>
      <c r="G89"/>
    </row>
    <row r="90" spans="1:7" x14ac:dyDescent="0.3">
      <c r="A90" s="14"/>
      <c r="B90" s="7" t="s">
        <v>57</v>
      </c>
      <c r="C90" s="7"/>
      <c r="D90" s="7">
        <f t="shared" si="6"/>
        <v>0</v>
      </c>
      <c r="E90" s="284"/>
      <c r="F90" s="14"/>
      <c r="G90"/>
    </row>
    <row r="91" spans="1:7" x14ac:dyDescent="0.3">
      <c r="A91" s="14"/>
      <c r="B91" s="7" t="s">
        <v>58</v>
      </c>
      <c r="C91" s="7"/>
      <c r="D91" s="7">
        <f t="shared" si="6"/>
        <v>60000</v>
      </c>
      <c r="E91" s="284">
        <v>120000</v>
      </c>
      <c r="F91" s="14"/>
      <c r="G91"/>
    </row>
    <row r="92" spans="1:7" x14ac:dyDescent="0.3">
      <c r="A92" s="14"/>
      <c r="B92" s="7" t="s">
        <v>59</v>
      </c>
      <c r="C92" s="7"/>
      <c r="D92" s="7">
        <f t="shared" si="6"/>
        <v>0</v>
      </c>
      <c r="E92" s="284"/>
      <c r="F92" s="14"/>
      <c r="G92"/>
    </row>
    <row r="93" spans="1:7" x14ac:dyDescent="0.3">
      <c r="A93" s="14"/>
      <c r="B93" s="7" t="s">
        <v>60</v>
      </c>
      <c r="C93" s="7"/>
      <c r="D93" s="7">
        <f>+E93/2</f>
        <v>750000</v>
      </c>
      <c r="E93" s="284">
        <v>1500000</v>
      </c>
      <c r="F93" s="14"/>
      <c r="G93"/>
    </row>
    <row r="94" spans="1:7" x14ac:dyDescent="0.3">
      <c r="A94" s="14"/>
      <c r="B94" s="7" t="s">
        <v>61</v>
      </c>
      <c r="C94" s="7"/>
      <c r="D94" s="7">
        <f>+E94/2</f>
        <v>10000000</v>
      </c>
      <c r="E94" s="284">
        <v>20000000</v>
      </c>
      <c r="F94" s="14"/>
      <c r="G94"/>
    </row>
    <row r="95" spans="1:7" x14ac:dyDescent="0.3">
      <c r="A95" s="14"/>
      <c r="B95" s="29" t="s">
        <v>62</v>
      </c>
      <c r="C95" s="30"/>
      <c r="D95" s="7">
        <f>+E95/2</f>
        <v>1000000</v>
      </c>
      <c r="E95" s="284">
        <v>2000000</v>
      </c>
      <c r="F95" s="14"/>
      <c r="G95"/>
    </row>
    <row r="96" spans="1:7" x14ac:dyDescent="0.3">
      <c r="A96" s="14"/>
      <c r="B96" s="55" t="s">
        <v>25</v>
      </c>
      <c r="C96" s="71"/>
      <c r="D96" s="56">
        <f>SUM(D88:D95)</f>
        <v>12310000</v>
      </c>
      <c r="E96" s="14"/>
      <c r="F96" s="14"/>
      <c r="G96"/>
    </row>
    <row r="97" spans="1:7" x14ac:dyDescent="0.3">
      <c r="A97" s="14"/>
      <c r="B97" s="63"/>
      <c r="C97" s="63"/>
      <c r="D97" s="63"/>
      <c r="E97" s="63"/>
      <c r="F97" s="63"/>
      <c r="G97"/>
    </row>
    <row r="98" spans="1:7" x14ac:dyDescent="0.3">
      <c r="A98" s="14"/>
      <c r="B98" s="57" t="s">
        <v>63</v>
      </c>
      <c r="C98" s="58"/>
      <c r="D98" s="46">
        <f>D96/5</f>
        <v>2462000</v>
      </c>
      <c r="E98" s="14"/>
      <c r="F98" s="14"/>
      <c r="G98"/>
    </row>
    <row r="99" spans="1:7" x14ac:dyDescent="0.3">
      <c r="A99" s="14"/>
      <c r="B99" s="14"/>
      <c r="C99" s="14"/>
      <c r="D99" s="14"/>
      <c r="E99" s="14"/>
      <c r="F99" s="14"/>
      <c r="G99"/>
    </row>
    <row r="100" spans="1:7" x14ac:dyDescent="0.3">
      <c r="A100" s="14"/>
      <c r="B100" s="14"/>
      <c r="C100" s="14"/>
      <c r="D100" s="14"/>
      <c r="E100" s="14"/>
      <c r="F100" s="14"/>
      <c r="G100"/>
    </row>
    <row r="101" spans="1:7" x14ac:dyDescent="0.3">
      <c r="A101" s="14"/>
      <c r="B101" s="14"/>
      <c r="C101" s="14"/>
      <c r="D101" s="14"/>
      <c r="E101" s="14"/>
      <c r="F101" s="14"/>
      <c r="G101"/>
    </row>
    <row r="102" spans="1:7" x14ac:dyDescent="0.3">
      <c r="A102" s="14"/>
      <c r="B102" s="15" t="s">
        <v>64</v>
      </c>
      <c r="C102" s="14"/>
      <c r="D102" s="14"/>
      <c r="E102" s="14"/>
      <c r="F102" s="14"/>
      <c r="G102"/>
    </row>
    <row r="103" spans="1:7" x14ac:dyDescent="0.3">
      <c r="A103" s="14"/>
      <c r="B103" s="50" t="s">
        <v>65</v>
      </c>
      <c r="C103" s="453" t="s">
        <v>66</v>
      </c>
      <c r="D103" s="454"/>
      <c r="E103" s="14"/>
      <c r="F103" s="14"/>
      <c r="G103"/>
    </row>
    <row r="104" spans="1:7" x14ac:dyDescent="0.3">
      <c r="A104" s="14"/>
      <c r="B104" s="73"/>
      <c r="C104" s="51" t="s">
        <v>67</v>
      </c>
      <c r="D104" s="52" t="s">
        <v>68</v>
      </c>
      <c r="E104" s="14"/>
      <c r="F104" s="14"/>
      <c r="G104"/>
    </row>
    <row r="105" spans="1:7" x14ac:dyDescent="0.3">
      <c r="A105" s="14"/>
      <c r="B105" s="34" t="s">
        <v>69</v>
      </c>
      <c r="C105" s="35">
        <v>0</v>
      </c>
      <c r="D105" s="381">
        <f>(1-C105)</f>
        <v>1</v>
      </c>
      <c r="E105" s="14"/>
      <c r="F105" s="14"/>
      <c r="G105" s="2"/>
    </row>
    <row r="106" spans="1:7" x14ac:dyDescent="0.3">
      <c r="A106" s="14"/>
      <c r="B106" s="18" t="s">
        <v>70</v>
      </c>
      <c r="C106" s="35">
        <v>0.9</v>
      </c>
      <c r="D106" s="54">
        <f>(1-C106)</f>
        <v>9.9999999999999978E-2</v>
      </c>
      <c r="E106" s="14"/>
      <c r="F106" s="14"/>
      <c r="G106" s="2"/>
    </row>
    <row r="107" spans="1:7" x14ac:dyDescent="0.3">
      <c r="A107" s="14"/>
      <c r="B107" s="18" t="s">
        <v>71</v>
      </c>
      <c r="C107" s="35">
        <v>0.9</v>
      </c>
      <c r="D107" s="54">
        <f>(1-C107)</f>
        <v>9.9999999999999978E-2</v>
      </c>
      <c r="E107" s="14"/>
      <c r="F107" s="14"/>
      <c r="G107" s="2"/>
    </row>
    <row r="108" spans="1:7" x14ac:dyDescent="0.3">
      <c r="A108" s="14"/>
      <c r="B108" s="18" t="s">
        <v>72</v>
      </c>
      <c r="C108" s="35">
        <v>0.9</v>
      </c>
      <c r="D108" s="54">
        <f>(1-C108)</f>
        <v>9.9999999999999978E-2</v>
      </c>
      <c r="E108" s="14"/>
      <c r="F108" s="14"/>
      <c r="G108" s="2"/>
    </row>
    <row r="109" spans="1:7" x14ac:dyDescent="0.3">
      <c r="A109" s="14"/>
      <c r="B109" s="18" t="s">
        <v>90</v>
      </c>
      <c r="C109" s="35">
        <v>0.1</v>
      </c>
      <c r="D109" s="54">
        <f>(1-C109)</f>
        <v>0.9</v>
      </c>
      <c r="E109" s="14"/>
      <c r="F109" s="14"/>
      <c r="G109" s="2"/>
    </row>
    <row r="110" spans="1:7" x14ac:dyDescent="0.3">
      <c r="A110" s="14"/>
      <c r="B110" s="14"/>
      <c r="C110" s="14"/>
      <c r="D110" s="14"/>
      <c r="E110" s="14"/>
      <c r="F110" s="14"/>
      <c r="G110" s="2"/>
    </row>
    <row r="111" spans="1:7" x14ac:dyDescent="0.3">
      <c r="A111" s="14"/>
      <c r="B111" s="14"/>
      <c r="C111" s="14"/>
      <c r="D111" s="14"/>
      <c r="E111" s="14"/>
      <c r="F111" s="14"/>
      <c r="G111" s="2"/>
    </row>
    <row r="112" spans="1:7" x14ac:dyDescent="0.3">
      <c r="A112" s="14"/>
      <c r="B112" s="14"/>
      <c r="C112" s="14"/>
      <c r="D112" s="14"/>
      <c r="E112" s="14"/>
      <c r="F112" s="14"/>
      <c r="G112" s="2"/>
    </row>
    <row r="113" spans="1:9" x14ac:dyDescent="0.3">
      <c r="A113" s="15" t="s">
        <v>74</v>
      </c>
      <c r="B113" s="15" t="s">
        <v>75</v>
      </c>
      <c r="C113" s="14"/>
      <c r="D113" s="14"/>
      <c r="E113" s="14"/>
      <c r="F113" s="14"/>
      <c r="G113" s="2"/>
    </row>
    <row r="114" spans="1:9" x14ac:dyDescent="0.3">
      <c r="A114" s="14"/>
      <c r="B114" s="50" t="s">
        <v>76</v>
      </c>
      <c r="C114" s="72" t="s">
        <v>47</v>
      </c>
      <c r="D114" s="453" t="s">
        <v>66</v>
      </c>
      <c r="E114" s="454"/>
      <c r="F114" s="455" t="s">
        <v>34</v>
      </c>
      <c r="G114" s="2"/>
    </row>
    <row r="115" spans="1:9" x14ac:dyDescent="0.3">
      <c r="A115" s="14"/>
      <c r="B115" s="73"/>
      <c r="C115" s="74"/>
      <c r="D115" s="39" t="s">
        <v>67</v>
      </c>
      <c r="E115" s="39" t="s">
        <v>68</v>
      </c>
      <c r="F115" s="455"/>
      <c r="G115" s="2"/>
    </row>
    <row r="116" spans="1:9" x14ac:dyDescent="0.3">
      <c r="A116" s="14"/>
      <c r="B116" s="18" t="s">
        <v>69</v>
      </c>
      <c r="C116" s="36">
        <v>0</v>
      </c>
      <c r="D116" s="22">
        <f>C116*C105</f>
        <v>0</v>
      </c>
      <c r="E116" s="22">
        <f>C116*D105</f>
        <v>0</v>
      </c>
      <c r="F116" s="18"/>
      <c r="G116" s="2"/>
    </row>
    <row r="117" spans="1:9" x14ac:dyDescent="0.3">
      <c r="A117" s="14"/>
      <c r="B117" s="18" t="s">
        <v>70</v>
      </c>
      <c r="C117" s="36">
        <f>+F117/2</f>
        <v>2000000</v>
      </c>
      <c r="D117" s="53">
        <f>C117*C106</f>
        <v>1800000</v>
      </c>
      <c r="E117" s="53">
        <f>C117*D106</f>
        <v>199999.99999999994</v>
      </c>
      <c r="F117" s="284">
        <v>4000000</v>
      </c>
      <c r="G117" s="13"/>
    </row>
    <row r="118" spans="1:9" x14ac:dyDescent="0.3">
      <c r="A118" s="14"/>
      <c r="B118" s="18" t="s">
        <v>77</v>
      </c>
      <c r="C118" s="36">
        <f t="shared" ref="C118:C120" si="7">+F118/2</f>
        <v>150000</v>
      </c>
      <c r="D118" s="53">
        <f>C118*C107</f>
        <v>135000</v>
      </c>
      <c r="E118" s="53">
        <f>C118*D107</f>
        <v>14999.999999999996</v>
      </c>
      <c r="F118" s="284">
        <v>300000</v>
      </c>
      <c r="G118" s="2"/>
    </row>
    <row r="119" spans="1:9" x14ac:dyDescent="0.3">
      <c r="A119" s="14"/>
      <c r="B119" s="18" t="s">
        <v>72</v>
      </c>
      <c r="C119" s="36">
        <f t="shared" si="7"/>
        <v>1000000</v>
      </c>
      <c r="D119" s="53">
        <f>C119*C108</f>
        <v>900000</v>
      </c>
      <c r="E119" s="53">
        <f>C119*D108</f>
        <v>99999.999999999971</v>
      </c>
      <c r="F119" s="284">
        <v>2000000</v>
      </c>
      <c r="G119" s="2"/>
    </row>
    <row r="120" spans="1:9" x14ac:dyDescent="0.3">
      <c r="A120" s="14"/>
      <c r="B120" s="18" t="s">
        <v>73</v>
      </c>
      <c r="C120" s="36">
        <f t="shared" si="7"/>
        <v>145000</v>
      </c>
      <c r="D120" s="53">
        <f>C120*C109</f>
        <v>14500</v>
      </c>
      <c r="E120" s="53">
        <f>D109*C120</f>
        <v>130500</v>
      </c>
      <c r="F120" s="284">
        <v>290000</v>
      </c>
      <c r="G120" s="63"/>
    </row>
    <row r="121" spans="1:9" x14ac:dyDescent="0.3">
      <c r="A121" s="14"/>
      <c r="B121" s="14"/>
      <c r="C121" s="14"/>
      <c r="D121" s="14"/>
      <c r="E121" s="14"/>
      <c r="F121" s="14"/>
      <c r="G121" s="2"/>
    </row>
    <row r="122" spans="1:9" x14ac:dyDescent="0.3">
      <c r="A122" s="65"/>
      <c r="G122" s="63"/>
    </row>
    <row r="123" spans="1:9" x14ac:dyDescent="0.3">
      <c r="A123" s="65"/>
      <c r="G123" s="63"/>
    </row>
    <row r="124" spans="1:9" x14ac:dyDescent="0.3">
      <c r="A124" s="65"/>
      <c r="G124" s="63"/>
    </row>
    <row r="125" spans="1:9" x14ac:dyDescent="0.3">
      <c r="A125" s="65"/>
      <c r="G125" s="63"/>
    </row>
    <row r="126" spans="1:9" x14ac:dyDescent="0.3">
      <c r="A126" s="65"/>
      <c r="G126" s="63"/>
    </row>
    <row r="127" spans="1:9" x14ac:dyDescent="0.3">
      <c r="A127" s="65"/>
      <c r="G127" s="63"/>
      <c r="I127" s="63"/>
    </row>
    <row r="128" spans="1:9" x14ac:dyDescent="0.3">
      <c r="I128" s="63"/>
    </row>
    <row r="129" spans="9:9" x14ac:dyDescent="0.3">
      <c r="I129" s="63"/>
    </row>
    <row r="130" spans="9:9" x14ac:dyDescent="0.3">
      <c r="I130" s="63"/>
    </row>
    <row r="131" spans="9:9" x14ac:dyDescent="0.3">
      <c r="I131" s="63"/>
    </row>
    <row r="132" spans="9:9" x14ac:dyDescent="0.3">
      <c r="I132" s="63"/>
    </row>
    <row r="133" spans="9:9" x14ac:dyDescent="0.3">
      <c r="I133" s="63"/>
    </row>
  </sheetData>
  <mergeCells count="5">
    <mergeCell ref="B4:K5"/>
    <mergeCell ref="C103:D103"/>
    <mergeCell ref="F114:F115"/>
    <mergeCell ref="D114:E114"/>
    <mergeCell ref="B1:F2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D1E8B-9330-4ED5-8599-34ED948A527E}">
  <dimension ref="B1:F63"/>
  <sheetViews>
    <sheetView zoomScale="85" zoomScaleNormal="85" workbookViewId="0"/>
  </sheetViews>
  <sheetFormatPr baseColWidth="10" defaultRowHeight="14.4" x14ac:dyDescent="0.3"/>
  <cols>
    <col min="2" max="2" width="70" bestFit="1" customWidth="1"/>
    <col min="5" max="5" width="13.77734375" customWidth="1"/>
  </cols>
  <sheetData>
    <row r="1" spans="2:6" ht="14.4" customHeight="1" x14ac:dyDescent="0.3">
      <c r="B1" s="468" t="s">
        <v>490</v>
      </c>
      <c r="C1" s="469"/>
      <c r="D1" s="469"/>
      <c r="E1" s="469"/>
      <c r="F1" s="470"/>
    </row>
    <row r="2" spans="2:6" ht="15" customHeight="1" thickBot="1" x14ac:dyDescent="0.35">
      <c r="B2" s="471"/>
      <c r="C2" s="472"/>
      <c r="D2" s="472"/>
      <c r="E2" s="472"/>
      <c r="F2" s="473"/>
    </row>
    <row r="3" spans="2:6" ht="15" thickBot="1" x14ac:dyDescent="0.35"/>
    <row r="4" spans="2:6" ht="15" thickBot="1" x14ac:dyDescent="0.35">
      <c r="B4" s="462" t="s">
        <v>493</v>
      </c>
      <c r="C4" s="463"/>
      <c r="D4" s="464"/>
      <c r="E4" s="377" t="s">
        <v>25</v>
      </c>
    </row>
    <row r="5" spans="2:6" x14ac:dyDescent="0.3">
      <c r="B5" s="357" t="s">
        <v>460</v>
      </c>
      <c r="C5" s="358">
        <v>4</v>
      </c>
      <c r="D5" s="359">
        <v>550000</v>
      </c>
      <c r="E5">
        <f>+D5*C5</f>
        <v>2200000</v>
      </c>
    </row>
    <row r="6" spans="2:6" x14ac:dyDescent="0.3">
      <c r="B6" s="360" t="s">
        <v>528</v>
      </c>
      <c r="C6" s="17">
        <v>4</v>
      </c>
      <c r="D6" s="361">
        <v>285000</v>
      </c>
      <c r="E6">
        <f t="shared" ref="E6:E11" si="0">+D6*C6</f>
        <v>1140000</v>
      </c>
    </row>
    <row r="7" spans="2:6" x14ac:dyDescent="0.3">
      <c r="B7" s="360" t="s">
        <v>463</v>
      </c>
      <c r="C7" s="17">
        <v>2</v>
      </c>
      <c r="D7" s="361">
        <v>241000</v>
      </c>
      <c r="E7">
        <f t="shared" si="0"/>
        <v>482000</v>
      </c>
    </row>
    <row r="8" spans="2:6" ht="15" thickBot="1" x14ac:dyDescent="0.35">
      <c r="B8" s="362" t="s">
        <v>464</v>
      </c>
      <c r="C8" s="363">
        <v>2</v>
      </c>
      <c r="D8" s="364">
        <v>334000</v>
      </c>
      <c r="E8">
        <f t="shared" si="0"/>
        <v>668000</v>
      </c>
    </row>
    <row r="9" spans="2:6" ht="15" thickBot="1" x14ac:dyDescent="0.35">
      <c r="B9" s="462" t="s">
        <v>494</v>
      </c>
      <c r="C9" s="463"/>
      <c r="D9" s="464"/>
      <c r="E9" s="378">
        <f>SUM(E5:E8)</f>
        <v>4490000</v>
      </c>
    </row>
    <row r="10" spans="2:6" x14ac:dyDescent="0.3">
      <c r="B10" s="365" t="s">
        <v>462</v>
      </c>
      <c r="C10" s="17">
        <v>4</v>
      </c>
      <c r="D10" s="361">
        <v>593000</v>
      </c>
      <c r="E10">
        <f t="shared" si="0"/>
        <v>2372000</v>
      </c>
    </row>
    <row r="11" spans="2:6" ht="15" thickBot="1" x14ac:dyDescent="0.35">
      <c r="B11" s="360" t="s">
        <v>461</v>
      </c>
      <c r="C11" s="17">
        <v>4</v>
      </c>
      <c r="D11" s="361">
        <v>689000</v>
      </c>
      <c r="E11">
        <f t="shared" si="0"/>
        <v>2756000</v>
      </c>
    </row>
    <row r="12" spans="2:6" ht="15" thickBot="1" x14ac:dyDescent="0.35">
      <c r="B12" s="462" t="s">
        <v>495</v>
      </c>
      <c r="C12" s="463"/>
      <c r="D12" s="464"/>
      <c r="E12" s="378">
        <f>SUM(E10:E11)</f>
        <v>5128000</v>
      </c>
    </row>
    <row r="13" spans="2:6" x14ac:dyDescent="0.3">
      <c r="B13" s="360" t="s">
        <v>78</v>
      </c>
      <c r="C13" s="17">
        <v>4</v>
      </c>
      <c r="D13" s="361">
        <v>90000</v>
      </c>
      <c r="E13">
        <f t="shared" ref="E13:E17" si="1">+D13*C13</f>
        <v>360000</v>
      </c>
    </row>
    <row r="14" spans="2:6" x14ac:dyDescent="0.3">
      <c r="B14" s="366" t="s">
        <v>466</v>
      </c>
      <c r="C14" s="17">
        <v>4</v>
      </c>
      <c r="D14" s="361">
        <v>60000</v>
      </c>
      <c r="E14">
        <f t="shared" si="1"/>
        <v>240000</v>
      </c>
    </row>
    <row r="15" spans="2:6" x14ac:dyDescent="0.3">
      <c r="B15" s="366" t="s">
        <v>467</v>
      </c>
      <c r="C15" s="17">
        <v>2</v>
      </c>
      <c r="D15" s="361">
        <v>260000</v>
      </c>
      <c r="E15">
        <f t="shared" si="1"/>
        <v>520000</v>
      </c>
    </row>
    <row r="16" spans="2:6" x14ac:dyDescent="0.3">
      <c r="B16" s="366" t="s">
        <v>468</v>
      </c>
      <c r="C16" s="17">
        <v>2</v>
      </c>
      <c r="D16" s="361">
        <v>104900</v>
      </c>
      <c r="E16">
        <f t="shared" si="1"/>
        <v>209800</v>
      </c>
    </row>
    <row r="17" spans="2:6" ht="15" thickBot="1" x14ac:dyDescent="0.35">
      <c r="B17" s="360" t="s">
        <v>469</v>
      </c>
      <c r="C17" s="17">
        <v>4</v>
      </c>
      <c r="D17" s="361">
        <v>86900</v>
      </c>
      <c r="E17">
        <f t="shared" si="1"/>
        <v>347600</v>
      </c>
    </row>
    <row r="18" spans="2:6" ht="15" thickBot="1" x14ac:dyDescent="0.35">
      <c r="B18" s="462" t="s">
        <v>496</v>
      </c>
      <c r="C18" s="463"/>
      <c r="D18" s="464"/>
      <c r="E18" s="378">
        <f>SUM(E13:E17)</f>
        <v>1677400</v>
      </c>
    </row>
    <row r="19" spans="2:6" x14ac:dyDescent="0.3">
      <c r="B19" s="360" t="s">
        <v>79</v>
      </c>
      <c r="C19" s="17">
        <v>2</v>
      </c>
      <c r="D19" s="361">
        <v>65000</v>
      </c>
      <c r="E19">
        <f t="shared" ref="E19:E20" si="2">+D19*C19</f>
        <v>130000</v>
      </c>
    </row>
    <row r="20" spans="2:6" ht="15" thickBot="1" x14ac:dyDescent="0.35">
      <c r="B20" s="367" t="s">
        <v>465</v>
      </c>
      <c r="C20" s="363">
        <v>2</v>
      </c>
      <c r="D20" s="364">
        <v>365000</v>
      </c>
      <c r="E20">
        <f t="shared" si="2"/>
        <v>730000</v>
      </c>
    </row>
    <row r="21" spans="2:6" ht="15" thickBot="1" x14ac:dyDescent="0.35">
      <c r="E21" s="378">
        <f>SUM(E19:E20)</f>
        <v>860000</v>
      </c>
    </row>
    <row r="22" spans="2:6" ht="15" thickBot="1" x14ac:dyDescent="0.35">
      <c r="B22" s="465" t="s">
        <v>507</v>
      </c>
      <c r="C22" s="466"/>
      <c r="D22" s="467"/>
      <c r="E22" s="378">
        <f>+E9+E12+E18+E21</f>
        <v>12155400</v>
      </c>
    </row>
    <row r="23" spans="2:6" ht="15" thickBot="1" x14ac:dyDescent="0.35"/>
    <row r="24" spans="2:6" x14ac:dyDescent="0.3">
      <c r="B24" s="468" t="s">
        <v>501</v>
      </c>
      <c r="C24" s="469"/>
      <c r="D24" s="469"/>
      <c r="E24" s="469"/>
      <c r="F24" s="470"/>
    </row>
    <row r="25" spans="2:6" ht="15" thickBot="1" x14ac:dyDescent="0.35">
      <c r="B25" s="471"/>
      <c r="C25" s="472"/>
      <c r="D25" s="472"/>
      <c r="E25" s="472"/>
      <c r="F25" s="473"/>
    </row>
    <row r="26" spans="2:6" ht="15" thickBot="1" x14ac:dyDescent="0.35"/>
    <row r="27" spans="2:6" ht="15" thickBot="1" x14ac:dyDescent="0.35">
      <c r="B27" s="462" t="s">
        <v>495</v>
      </c>
      <c r="C27" s="463"/>
      <c r="D27" s="464"/>
      <c r="E27" s="379" t="s">
        <v>25</v>
      </c>
    </row>
    <row r="28" spans="2:6" x14ac:dyDescent="0.3">
      <c r="B28" s="368" t="s">
        <v>470</v>
      </c>
      <c r="C28" s="18">
        <v>8</v>
      </c>
      <c r="D28" s="369">
        <v>350000</v>
      </c>
      <c r="E28">
        <f>+D28*C28</f>
        <v>2800000</v>
      </c>
    </row>
    <row r="29" spans="2:6" x14ac:dyDescent="0.3">
      <c r="B29" s="368" t="s">
        <v>472</v>
      </c>
      <c r="C29" s="18">
        <v>4</v>
      </c>
      <c r="D29" s="369">
        <v>3304900</v>
      </c>
      <c r="E29">
        <f t="shared" ref="E29:E35" si="3">+D29*C29</f>
        <v>13219600</v>
      </c>
    </row>
    <row r="30" spans="2:6" x14ac:dyDescent="0.3">
      <c r="B30" s="370" t="s">
        <v>81</v>
      </c>
      <c r="C30" s="18">
        <v>4</v>
      </c>
      <c r="D30" s="369">
        <v>100000</v>
      </c>
      <c r="E30">
        <f t="shared" si="3"/>
        <v>400000</v>
      </c>
    </row>
    <row r="31" spans="2:6" ht="15" thickBot="1" x14ac:dyDescent="0.35">
      <c r="B31" s="371" t="s">
        <v>527</v>
      </c>
      <c r="C31" s="18">
        <v>4</v>
      </c>
      <c r="D31" s="369">
        <v>200000</v>
      </c>
      <c r="E31">
        <f t="shared" si="3"/>
        <v>800000</v>
      </c>
    </row>
    <row r="32" spans="2:6" ht="15" thickBot="1" x14ac:dyDescent="0.35">
      <c r="B32" s="462" t="s">
        <v>502</v>
      </c>
      <c r="C32" s="463"/>
      <c r="D32" s="464"/>
      <c r="E32" s="380">
        <f>SUM(E28:E31)</f>
        <v>17219600</v>
      </c>
    </row>
    <row r="33" spans="2:6" x14ac:dyDescent="0.3">
      <c r="B33" s="368" t="s">
        <v>471</v>
      </c>
      <c r="C33" s="18">
        <v>4</v>
      </c>
      <c r="D33" s="369">
        <v>2966000</v>
      </c>
      <c r="E33">
        <f t="shared" si="3"/>
        <v>11864000</v>
      </c>
    </row>
    <row r="34" spans="2:6" x14ac:dyDescent="0.3">
      <c r="B34" s="368" t="s">
        <v>80</v>
      </c>
      <c r="C34" s="18">
        <v>4</v>
      </c>
      <c r="D34" s="369">
        <v>700000</v>
      </c>
      <c r="E34">
        <f t="shared" si="3"/>
        <v>2800000</v>
      </c>
    </row>
    <row r="35" spans="2:6" ht="15" thickBot="1" x14ac:dyDescent="0.35">
      <c r="B35" s="371" t="s">
        <v>84</v>
      </c>
      <c r="C35" s="18">
        <v>2</v>
      </c>
      <c r="D35" s="369">
        <v>1500000</v>
      </c>
      <c r="E35">
        <f t="shared" si="3"/>
        <v>3000000</v>
      </c>
    </row>
    <row r="36" spans="2:6" ht="15" thickBot="1" x14ac:dyDescent="0.35">
      <c r="B36" s="462" t="s">
        <v>503</v>
      </c>
      <c r="C36" s="463"/>
      <c r="D36" s="464"/>
      <c r="E36" s="380">
        <f>SUM(E33:E35)</f>
        <v>17664000</v>
      </c>
    </row>
    <row r="37" spans="2:6" x14ac:dyDescent="0.3">
      <c r="B37" s="370" t="s">
        <v>82</v>
      </c>
      <c r="C37" s="18">
        <v>4</v>
      </c>
      <c r="D37" s="369">
        <v>200000</v>
      </c>
      <c r="E37">
        <f t="shared" ref="E37:E38" si="4">+D37*C37</f>
        <v>800000</v>
      </c>
    </row>
    <row r="38" spans="2:6" ht="15" thickBot="1" x14ac:dyDescent="0.35">
      <c r="B38" s="372" t="s">
        <v>83</v>
      </c>
      <c r="C38" s="373">
        <v>2</v>
      </c>
      <c r="D38" s="374">
        <v>120000</v>
      </c>
      <c r="E38">
        <f t="shared" si="4"/>
        <v>240000</v>
      </c>
    </row>
    <row r="39" spans="2:6" ht="15" thickBot="1" x14ac:dyDescent="0.35">
      <c r="E39" s="380">
        <f>SUM(E37:E38)</f>
        <v>1040000</v>
      </c>
    </row>
    <row r="40" spans="2:6" ht="15" thickBot="1" x14ac:dyDescent="0.35">
      <c r="B40" s="465" t="s">
        <v>507</v>
      </c>
      <c r="C40" s="466"/>
      <c r="D40" s="467"/>
      <c r="E40" s="380">
        <f>+E36+E32</f>
        <v>34883600</v>
      </c>
    </row>
    <row r="41" spans="2:6" ht="15" thickBot="1" x14ac:dyDescent="0.35"/>
    <row r="42" spans="2:6" x14ac:dyDescent="0.3">
      <c r="B42" s="468" t="s">
        <v>509</v>
      </c>
      <c r="C42" s="469"/>
      <c r="D42" s="469"/>
      <c r="E42" s="469"/>
      <c r="F42" s="470"/>
    </row>
    <row r="43" spans="2:6" ht="15" thickBot="1" x14ac:dyDescent="0.35">
      <c r="B43" s="471"/>
      <c r="C43" s="472"/>
      <c r="D43" s="472"/>
      <c r="E43" s="472"/>
      <c r="F43" s="473"/>
    </row>
    <row r="44" spans="2:6" ht="15" thickBot="1" x14ac:dyDescent="0.35"/>
    <row r="45" spans="2:6" ht="15" thickBot="1" x14ac:dyDescent="0.35">
      <c r="B45" s="462" t="s">
        <v>495</v>
      </c>
      <c r="C45" s="463"/>
      <c r="D45" s="464"/>
      <c r="E45" s="379" t="s">
        <v>25</v>
      </c>
    </row>
    <row r="46" spans="2:6" ht="39.6" x14ac:dyDescent="0.3">
      <c r="B46" s="20" t="s">
        <v>508</v>
      </c>
      <c r="C46" s="21">
        <v>4</v>
      </c>
      <c r="D46" s="6">
        <v>40000</v>
      </c>
      <c r="E46">
        <f>+D46*C46</f>
        <v>160000</v>
      </c>
    </row>
    <row r="47" spans="2:6" x14ac:dyDescent="0.3">
      <c r="B47" s="20" t="s">
        <v>357</v>
      </c>
      <c r="C47" s="21">
        <v>4</v>
      </c>
      <c r="D47" s="6">
        <v>10000</v>
      </c>
      <c r="E47">
        <f t="shared" ref="E47:E48" si="5">+D47*C47</f>
        <v>40000</v>
      </c>
    </row>
    <row r="48" spans="2:6" ht="15" thickBot="1" x14ac:dyDescent="0.35">
      <c r="B48" s="275" t="s">
        <v>358</v>
      </c>
      <c r="C48" s="21">
        <v>12</v>
      </c>
      <c r="D48" s="6">
        <v>10000</v>
      </c>
      <c r="E48">
        <f t="shared" si="5"/>
        <v>120000</v>
      </c>
    </row>
    <row r="49" spans="2:5" ht="15" thickBot="1" x14ac:dyDescent="0.35">
      <c r="B49" s="462" t="s">
        <v>496</v>
      </c>
      <c r="C49" s="463"/>
      <c r="D49" s="464"/>
      <c r="E49" s="380">
        <f>SUM(E46:E48)</f>
        <v>320000</v>
      </c>
    </row>
    <row r="50" spans="2:5" x14ac:dyDescent="0.3">
      <c r="B50" s="19" t="s">
        <v>350</v>
      </c>
      <c r="C50" s="17">
        <v>4</v>
      </c>
      <c r="D50" s="6">
        <v>70000</v>
      </c>
      <c r="E50">
        <f>+D50*C50</f>
        <v>280000</v>
      </c>
    </row>
    <row r="51" spans="2:5" x14ac:dyDescent="0.3">
      <c r="B51" s="20" t="s">
        <v>351</v>
      </c>
      <c r="C51" s="21">
        <v>3</v>
      </c>
      <c r="D51" s="6">
        <v>30000</v>
      </c>
      <c r="E51">
        <f t="shared" ref="E51:E56" si="6">+D51*C51</f>
        <v>90000</v>
      </c>
    </row>
    <row r="52" spans="2:5" ht="15" thickBot="1" x14ac:dyDescent="0.35">
      <c r="B52" s="63" t="s">
        <v>352</v>
      </c>
      <c r="C52" s="21">
        <v>20</v>
      </c>
      <c r="D52" s="6">
        <v>10000</v>
      </c>
      <c r="E52">
        <f t="shared" si="6"/>
        <v>200000</v>
      </c>
    </row>
    <row r="53" spans="2:5" ht="15" thickBot="1" x14ac:dyDescent="0.35">
      <c r="B53" s="462" t="s">
        <v>494</v>
      </c>
      <c r="C53" s="463"/>
      <c r="D53" s="464"/>
      <c r="E53" s="380">
        <f>SUM(E50:E52)</f>
        <v>570000</v>
      </c>
    </row>
    <row r="54" spans="2:5" x14ac:dyDescent="0.3">
      <c r="B54" s="63" t="s">
        <v>353</v>
      </c>
      <c r="C54" s="21">
        <v>4</v>
      </c>
      <c r="D54" s="6">
        <v>10000</v>
      </c>
      <c r="E54">
        <f t="shared" si="6"/>
        <v>40000</v>
      </c>
    </row>
    <row r="55" spans="2:5" ht="26.4" x14ac:dyDescent="0.3">
      <c r="B55" s="20" t="s">
        <v>354</v>
      </c>
      <c r="C55" s="21">
        <v>4</v>
      </c>
      <c r="D55" s="6">
        <v>450000</v>
      </c>
      <c r="E55">
        <f t="shared" si="6"/>
        <v>1800000</v>
      </c>
    </row>
    <row r="56" spans="2:5" ht="15" thickBot="1" x14ac:dyDescent="0.35">
      <c r="B56" s="20" t="s">
        <v>355</v>
      </c>
      <c r="C56" s="21">
        <v>4</v>
      </c>
      <c r="D56" s="6">
        <v>35000</v>
      </c>
      <c r="E56">
        <f t="shared" si="6"/>
        <v>140000</v>
      </c>
    </row>
    <row r="57" spans="2:5" ht="15" thickBot="1" x14ac:dyDescent="0.35">
      <c r="B57" s="462" t="s">
        <v>493</v>
      </c>
      <c r="C57" s="463"/>
      <c r="D57" s="464"/>
      <c r="E57" s="380">
        <f>SUM(E54:E56)</f>
        <v>1980000</v>
      </c>
    </row>
    <row r="58" spans="2:5" ht="26.4" x14ac:dyDescent="0.3">
      <c r="B58" s="20" t="s">
        <v>356</v>
      </c>
      <c r="C58" s="21">
        <v>4</v>
      </c>
      <c r="D58" s="6">
        <v>30000</v>
      </c>
      <c r="E58">
        <f t="shared" ref="E58" si="7">+D58*C58</f>
        <v>120000</v>
      </c>
    </row>
    <row r="59" spans="2:5" ht="15" thickBot="1" x14ac:dyDescent="0.35">
      <c r="B59" s="275" t="s">
        <v>473</v>
      </c>
      <c r="C59" s="21">
        <v>4</v>
      </c>
      <c r="D59" s="22">
        <v>15000</v>
      </c>
      <c r="E59">
        <f>+D59*C59</f>
        <v>60000</v>
      </c>
    </row>
    <row r="60" spans="2:5" ht="15" thickBot="1" x14ac:dyDescent="0.35">
      <c r="B60" s="462" t="s">
        <v>510</v>
      </c>
      <c r="C60" s="463"/>
      <c r="D60" s="464"/>
      <c r="E60" s="380">
        <f>SUM(E58:E59)</f>
        <v>180000</v>
      </c>
    </row>
    <row r="61" spans="2:5" ht="15" thickBot="1" x14ac:dyDescent="0.35">
      <c r="B61" s="275" t="s">
        <v>359</v>
      </c>
      <c r="C61" s="21">
        <v>1</v>
      </c>
      <c r="D61" s="6">
        <v>289000</v>
      </c>
      <c r="E61">
        <f t="shared" ref="E61" si="8">+D61*C61</f>
        <v>289000</v>
      </c>
    </row>
    <row r="62" spans="2:5" ht="15" thickBot="1" x14ac:dyDescent="0.35">
      <c r="E62" s="380">
        <f>SUM(E61)</f>
        <v>289000</v>
      </c>
    </row>
    <row r="63" spans="2:5" ht="15" thickBot="1" x14ac:dyDescent="0.35">
      <c r="B63" s="465" t="s">
        <v>507</v>
      </c>
      <c r="C63" s="466"/>
      <c r="D63" s="467"/>
      <c r="E63" s="378">
        <f>+E62+E60+E57+E53+E49</f>
        <v>3339000</v>
      </c>
    </row>
  </sheetData>
  <mergeCells count="18">
    <mergeCell ref="B42:F43"/>
    <mergeCell ref="B1:F2"/>
    <mergeCell ref="B22:D22"/>
    <mergeCell ref="B40:D40"/>
    <mergeCell ref="B4:D4"/>
    <mergeCell ref="B9:D9"/>
    <mergeCell ref="B12:D12"/>
    <mergeCell ref="B18:D18"/>
    <mergeCell ref="B24:F25"/>
    <mergeCell ref="B27:D27"/>
    <mergeCell ref="B32:D32"/>
    <mergeCell ref="B36:D36"/>
    <mergeCell ref="B45:D45"/>
    <mergeCell ref="B49:D49"/>
    <mergeCell ref="B53:D53"/>
    <mergeCell ref="B57:D57"/>
    <mergeCell ref="B63:D63"/>
    <mergeCell ref="B60:D6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9A6E1-AC3A-441F-80DE-A1077FDAB050}">
  <dimension ref="A1:U225"/>
  <sheetViews>
    <sheetView zoomScale="80" zoomScaleNormal="80" workbookViewId="0"/>
  </sheetViews>
  <sheetFormatPr baseColWidth="10" defaultRowHeight="14.4" x14ac:dyDescent="0.3"/>
  <cols>
    <col min="1" max="2" width="11.5546875" style="65"/>
    <col min="3" max="3" width="23.109375" style="65" customWidth="1"/>
    <col min="4" max="4" width="18.5546875" style="65" customWidth="1"/>
    <col min="5" max="5" width="21.33203125" style="65" customWidth="1"/>
    <col min="6" max="6" width="19.5546875" style="65" customWidth="1"/>
    <col min="7" max="7" width="16.77734375" style="65" customWidth="1"/>
    <col min="8" max="8" width="14.77734375" style="65" customWidth="1"/>
    <col min="9" max="9" width="16.6640625" style="65" customWidth="1"/>
    <col min="10" max="10" width="17.88671875" style="65" customWidth="1"/>
    <col min="11" max="12" width="17.77734375" style="65" customWidth="1"/>
    <col min="13" max="13" width="25.77734375" style="63" customWidth="1"/>
    <col min="14" max="14" width="18.77734375" style="63" customWidth="1"/>
    <col min="15" max="15" width="11.77734375" customWidth="1"/>
    <col min="16" max="16" width="11.109375" customWidth="1"/>
    <col min="17" max="17" width="22.6640625" customWidth="1"/>
    <col min="19" max="19" width="16.44140625" customWidth="1"/>
    <col min="21" max="21" width="14.33203125" bestFit="1" customWidth="1"/>
  </cols>
  <sheetData>
    <row r="1" spans="1:12" x14ac:dyDescent="0.3">
      <c r="A1" s="14"/>
      <c r="B1" s="14"/>
      <c r="C1" s="494" t="s">
        <v>516</v>
      </c>
      <c r="D1" s="495"/>
      <c r="E1" s="495"/>
      <c r="F1" s="495"/>
      <c r="G1" s="496"/>
    </row>
    <row r="2" spans="1:12" ht="15" thickBot="1" x14ac:dyDescent="0.35">
      <c r="A2" s="14"/>
      <c r="B2" s="14"/>
      <c r="C2" s="497"/>
      <c r="D2" s="498"/>
      <c r="E2" s="498"/>
      <c r="F2" s="498"/>
      <c r="G2" s="499"/>
    </row>
    <row r="3" spans="1:12" x14ac:dyDescent="0.3">
      <c r="A3" s="14"/>
      <c r="B3" s="14"/>
      <c r="C3" s="14"/>
      <c r="D3" s="14"/>
      <c r="E3" s="14"/>
    </row>
    <row r="4" spans="1:12" x14ac:dyDescent="0.3">
      <c r="A4" s="15" t="s">
        <v>91</v>
      </c>
      <c r="B4" s="90">
        <v>10</v>
      </c>
      <c r="C4" s="15" t="s">
        <v>92</v>
      </c>
      <c r="D4" s="15"/>
      <c r="E4" s="14"/>
    </row>
    <row r="5" spans="1:12" x14ac:dyDescent="0.3">
      <c r="A5" s="14"/>
      <c r="B5" s="14"/>
      <c r="C5" s="482" t="s">
        <v>31</v>
      </c>
      <c r="D5" s="483"/>
      <c r="E5" s="41" t="s">
        <v>93</v>
      </c>
      <c r="F5" s="14"/>
      <c r="G5" s="14"/>
      <c r="H5" s="16">
        <v>1300000</v>
      </c>
      <c r="I5" s="14" t="s">
        <v>94</v>
      </c>
      <c r="J5" s="14"/>
      <c r="K5" s="14"/>
      <c r="L5" s="14"/>
    </row>
    <row r="6" spans="1:12" x14ac:dyDescent="0.3">
      <c r="A6" s="14"/>
      <c r="B6" s="14"/>
      <c r="C6" s="474" t="s">
        <v>95</v>
      </c>
      <c r="D6" s="475"/>
      <c r="E6" s="92">
        <v>8.3330000000000001E-2</v>
      </c>
      <c r="F6" s="14"/>
      <c r="G6" s="14"/>
      <c r="H6" s="16">
        <v>162000</v>
      </c>
      <c r="I6" s="14" t="s">
        <v>96</v>
      </c>
      <c r="J6" s="14"/>
      <c r="K6" s="14"/>
      <c r="L6" s="14"/>
    </row>
    <row r="7" spans="1:12" x14ac:dyDescent="0.3">
      <c r="A7" s="14"/>
      <c r="B7" s="14"/>
      <c r="C7" s="474" t="s">
        <v>97</v>
      </c>
      <c r="D7" s="475"/>
      <c r="E7" s="92">
        <v>0.01</v>
      </c>
      <c r="F7" s="14"/>
      <c r="G7" s="14"/>
      <c r="H7" s="40">
        <f>H5+H6</f>
        <v>1462000</v>
      </c>
      <c r="I7" s="14"/>
      <c r="J7" s="14"/>
      <c r="K7" s="14"/>
      <c r="L7" s="14"/>
    </row>
    <row r="8" spans="1:12" x14ac:dyDescent="0.3">
      <c r="A8" s="14"/>
      <c r="B8" s="14"/>
      <c r="C8" s="474" t="s">
        <v>98</v>
      </c>
      <c r="D8" s="475"/>
      <c r="E8" s="92">
        <v>4.1669999999999999E-2</v>
      </c>
      <c r="F8" s="14"/>
      <c r="G8" s="14"/>
      <c r="H8" s="14"/>
      <c r="I8" s="14"/>
      <c r="J8" s="14"/>
      <c r="K8" s="14"/>
      <c r="L8" s="14"/>
    </row>
    <row r="9" spans="1:12" x14ac:dyDescent="0.3">
      <c r="A9" s="14"/>
      <c r="B9" s="14"/>
      <c r="C9" s="474" t="s">
        <v>99</v>
      </c>
      <c r="D9" s="475"/>
      <c r="E9" s="92">
        <v>8.3330000000000001E-2</v>
      </c>
      <c r="F9" s="14"/>
      <c r="G9" s="14"/>
      <c r="H9" s="14"/>
      <c r="I9" s="14"/>
      <c r="J9" s="14"/>
      <c r="K9" s="14"/>
      <c r="L9" s="14"/>
    </row>
    <row r="10" spans="1:12" x14ac:dyDescent="0.3">
      <c r="A10" s="14"/>
      <c r="B10" s="14"/>
      <c r="C10" s="474" t="s">
        <v>100</v>
      </c>
      <c r="D10" s="475"/>
      <c r="E10" s="92">
        <v>0.09</v>
      </c>
      <c r="F10" s="14"/>
      <c r="G10" s="14"/>
      <c r="H10" s="14"/>
      <c r="I10" s="14"/>
      <c r="J10" s="14"/>
      <c r="K10" s="14"/>
      <c r="L10" s="14"/>
    </row>
    <row r="11" spans="1:12" x14ac:dyDescent="0.3">
      <c r="A11" s="14"/>
      <c r="B11" s="14"/>
      <c r="C11" s="474" t="s">
        <v>101</v>
      </c>
      <c r="D11" s="475"/>
      <c r="E11" s="92">
        <v>0.20499999999999999</v>
      </c>
      <c r="F11" s="14"/>
      <c r="G11" s="14"/>
      <c r="H11" s="14"/>
      <c r="I11" s="14"/>
      <c r="J11" s="14"/>
      <c r="K11" s="14"/>
      <c r="L11" s="14"/>
    </row>
    <row r="12" spans="1:12" x14ac:dyDescent="0.3">
      <c r="A12" s="14"/>
      <c r="B12" s="14"/>
      <c r="C12" s="474" t="s">
        <v>102</v>
      </c>
      <c r="D12" s="475"/>
      <c r="E12" s="92">
        <v>7.0000000000000007E-2</v>
      </c>
      <c r="F12" s="14"/>
      <c r="G12" s="14"/>
      <c r="H12" s="14"/>
      <c r="I12" s="14"/>
      <c r="J12" s="14"/>
      <c r="K12" s="14"/>
      <c r="L12" s="14"/>
    </row>
    <row r="13" spans="1:12" x14ac:dyDescent="0.3">
      <c r="A13" s="14"/>
      <c r="B13" s="14"/>
      <c r="C13" s="476" t="s">
        <v>103</v>
      </c>
      <c r="D13" s="477"/>
      <c r="E13" s="92">
        <v>4.3499999999999997E-2</v>
      </c>
      <c r="F13" s="14"/>
      <c r="G13" s="14"/>
      <c r="H13" s="14"/>
      <c r="I13" s="14"/>
      <c r="J13" s="14"/>
      <c r="K13" s="14"/>
      <c r="L13" s="14"/>
    </row>
    <row r="14" spans="1:12" ht="53.4" customHeight="1" x14ac:dyDescent="0.3">
      <c r="A14" s="14"/>
      <c r="B14" s="14"/>
      <c r="C14" s="506" t="s">
        <v>104</v>
      </c>
      <c r="D14" s="507"/>
      <c r="E14" s="93">
        <f>+SUM(E6:E13)</f>
        <v>0.62682999999999989</v>
      </c>
      <c r="F14" s="94"/>
      <c r="G14" s="14"/>
      <c r="H14" s="14"/>
      <c r="I14" s="14"/>
      <c r="J14" s="14"/>
      <c r="K14" s="14"/>
      <c r="L14" s="14"/>
    </row>
    <row r="15" spans="1:12" x14ac:dyDescent="0.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  <row r="16" spans="1:12" x14ac:dyDescent="0.3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2" x14ac:dyDescent="0.3">
      <c r="A17" s="15" t="s">
        <v>105</v>
      </c>
      <c r="B17" s="90">
        <v>11</v>
      </c>
      <c r="C17" s="133" t="s">
        <v>106</v>
      </c>
      <c r="D17" s="95"/>
      <c r="E17" s="14"/>
      <c r="F17" s="14"/>
      <c r="G17" s="14"/>
      <c r="H17" s="14"/>
      <c r="I17" s="14"/>
      <c r="J17" s="14"/>
      <c r="K17" s="14"/>
      <c r="L17" s="14"/>
    </row>
    <row r="18" spans="1:12" x14ac:dyDescent="0.3">
      <c r="A18" s="14"/>
      <c r="B18" s="14"/>
      <c r="C18" s="478" t="s">
        <v>107</v>
      </c>
      <c r="D18" s="480" t="s">
        <v>32</v>
      </c>
      <c r="E18" s="480" t="s">
        <v>108</v>
      </c>
      <c r="F18" s="478" t="s">
        <v>109</v>
      </c>
      <c r="G18" s="478" t="s">
        <v>110</v>
      </c>
      <c r="H18" s="482" t="s">
        <v>111</v>
      </c>
      <c r="I18" s="483"/>
      <c r="J18" s="478" t="s">
        <v>112</v>
      </c>
      <c r="K18" s="14"/>
      <c r="L18" s="14"/>
    </row>
    <row r="19" spans="1:12" x14ac:dyDescent="0.3">
      <c r="A19" s="14"/>
      <c r="B19" s="14"/>
      <c r="C19" s="479"/>
      <c r="D19" s="481"/>
      <c r="E19" s="481" t="s">
        <v>113</v>
      </c>
      <c r="F19" s="484"/>
      <c r="G19" s="484"/>
      <c r="H19" s="41" t="s">
        <v>114</v>
      </c>
      <c r="I19" s="41" t="s">
        <v>25</v>
      </c>
      <c r="J19" s="479"/>
      <c r="K19" s="14"/>
      <c r="L19" s="14"/>
    </row>
    <row r="20" spans="1:12" x14ac:dyDescent="0.3">
      <c r="A20" s="14"/>
      <c r="B20" s="14" t="s">
        <v>484</v>
      </c>
      <c r="C20" s="96" t="s">
        <v>403</v>
      </c>
      <c r="D20" s="21">
        <v>2</v>
      </c>
      <c r="E20" s="16">
        <v>1300000</v>
      </c>
      <c r="F20" s="16">
        <f>+$H$6</f>
        <v>162000</v>
      </c>
      <c r="G20" s="43">
        <f>(E20+F20)*$E$14</f>
        <v>916425.45999999985</v>
      </c>
      <c r="H20" s="43">
        <f>E20+F20+G20</f>
        <v>2378425.46</v>
      </c>
      <c r="I20" s="43">
        <f>D20*H20</f>
        <v>4756850.92</v>
      </c>
      <c r="J20" s="43">
        <f>I20*12</f>
        <v>57082211.039999999</v>
      </c>
      <c r="K20" s="14"/>
      <c r="L20" s="14"/>
    </row>
    <row r="21" spans="1:12" x14ac:dyDescent="0.3">
      <c r="A21" s="14"/>
      <c r="B21" s="14"/>
      <c r="C21" s="96" t="s">
        <v>404</v>
      </c>
      <c r="D21" s="21">
        <v>1</v>
      </c>
      <c r="E21" s="16">
        <v>1300000</v>
      </c>
      <c r="F21" s="16">
        <f t="shared" ref="F21:F24" si="0">+$H$6</f>
        <v>162000</v>
      </c>
      <c r="G21" s="43">
        <f t="shared" ref="G21:G24" si="1">(E21+F21)*$E$14</f>
        <v>916425.45999999985</v>
      </c>
      <c r="H21" s="43">
        <f t="shared" ref="H21:H24" si="2">E21+F21+G21</f>
        <v>2378425.46</v>
      </c>
      <c r="I21" s="43">
        <f t="shared" ref="I21:I24" si="3">D21*H21</f>
        <v>2378425.46</v>
      </c>
      <c r="J21" s="43">
        <f t="shared" ref="J21:J25" si="4">I21*12</f>
        <v>28541105.52</v>
      </c>
      <c r="K21" s="14"/>
      <c r="L21" s="14"/>
    </row>
    <row r="22" spans="1:12" x14ac:dyDescent="0.3">
      <c r="A22" s="14"/>
      <c r="B22" s="14"/>
      <c r="C22" s="96" t="s">
        <v>405</v>
      </c>
      <c r="D22" s="21">
        <v>1</v>
      </c>
      <c r="E22" s="16">
        <v>1300000</v>
      </c>
      <c r="F22" s="16">
        <f t="shared" si="0"/>
        <v>162000</v>
      </c>
      <c r="G22" s="43">
        <f t="shared" si="1"/>
        <v>916425.45999999985</v>
      </c>
      <c r="H22" s="43">
        <f t="shared" si="2"/>
        <v>2378425.46</v>
      </c>
      <c r="I22" s="43">
        <f t="shared" si="3"/>
        <v>2378425.46</v>
      </c>
      <c r="J22" s="43">
        <f t="shared" si="4"/>
        <v>28541105.52</v>
      </c>
      <c r="K22" s="14"/>
      <c r="L22" s="14"/>
    </row>
    <row r="23" spans="1:12" x14ac:dyDescent="0.3">
      <c r="A23" s="14"/>
      <c r="B23" s="14"/>
      <c r="C23" s="96" t="s">
        <v>406</v>
      </c>
      <c r="D23" s="21">
        <v>1</v>
      </c>
      <c r="E23" s="16">
        <v>1300000</v>
      </c>
      <c r="F23" s="16">
        <f t="shared" si="0"/>
        <v>162000</v>
      </c>
      <c r="G23" s="43">
        <f t="shared" si="1"/>
        <v>916425.45999999985</v>
      </c>
      <c r="H23" s="43">
        <f t="shared" si="2"/>
        <v>2378425.46</v>
      </c>
      <c r="I23" s="43">
        <f t="shared" si="3"/>
        <v>2378425.46</v>
      </c>
      <c r="J23" s="43">
        <f t="shared" si="4"/>
        <v>28541105.52</v>
      </c>
      <c r="K23" s="14"/>
      <c r="L23" s="14"/>
    </row>
    <row r="24" spans="1:12" x14ac:dyDescent="0.3">
      <c r="A24" s="14"/>
      <c r="B24" s="14"/>
      <c r="C24" s="96" t="s">
        <v>407</v>
      </c>
      <c r="D24" s="21">
        <v>3</v>
      </c>
      <c r="E24" s="16">
        <v>1300000</v>
      </c>
      <c r="F24" s="16">
        <f t="shared" si="0"/>
        <v>162000</v>
      </c>
      <c r="G24" s="43">
        <f t="shared" si="1"/>
        <v>916425.45999999985</v>
      </c>
      <c r="H24" s="43">
        <f t="shared" si="2"/>
        <v>2378425.46</v>
      </c>
      <c r="I24" s="43">
        <f t="shared" si="3"/>
        <v>7135276.3799999999</v>
      </c>
      <c r="J24" s="43">
        <f t="shared" si="4"/>
        <v>85623316.560000002</v>
      </c>
      <c r="K24" s="14"/>
      <c r="L24" s="14"/>
    </row>
    <row r="25" spans="1:12" x14ac:dyDescent="0.3">
      <c r="A25" s="14"/>
      <c r="B25" s="14"/>
      <c r="C25" s="96"/>
      <c r="D25" s="21"/>
      <c r="E25" s="16"/>
      <c r="F25" s="16"/>
      <c r="G25" s="43">
        <f>(E25+F25)*$E$14</f>
        <v>0</v>
      </c>
      <c r="H25" s="43">
        <f>E25+F25+G25</f>
        <v>0</v>
      </c>
      <c r="I25" s="43">
        <f>D25*H25</f>
        <v>0</v>
      </c>
      <c r="J25" s="43">
        <f t="shared" si="4"/>
        <v>0</v>
      </c>
      <c r="K25" s="14"/>
      <c r="L25" s="14"/>
    </row>
    <row r="26" spans="1:12" x14ac:dyDescent="0.3">
      <c r="A26" s="14"/>
      <c r="B26" s="14"/>
      <c r="C26" s="96"/>
      <c r="D26" s="21"/>
      <c r="E26" s="16"/>
      <c r="F26" s="16"/>
      <c r="G26" s="43"/>
      <c r="H26" s="43"/>
      <c r="I26" s="43"/>
      <c r="J26" s="43"/>
      <c r="K26" s="14"/>
      <c r="L26" s="14"/>
    </row>
    <row r="27" spans="1:12" x14ac:dyDescent="0.3">
      <c r="A27" s="14"/>
      <c r="B27" s="14"/>
      <c r="C27" s="96"/>
      <c r="D27" s="21"/>
      <c r="E27" s="16"/>
      <c r="F27" s="16"/>
      <c r="G27" s="43">
        <f>(E27+F27)*$E$14</f>
        <v>0</v>
      </c>
      <c r="H27" s="43">
        <f>E27+F27+G27</f>
        <v>0</v>
      </c>
      <c r="I27" s="43">
        <f>D27*H27</f>
        <v>0</v>
      </c>
      <c r="J27" s="43">
        <f>I27*12</f>
        <v>0</v>
      </c>
      <c r="K27" s="14"/>
      <c r="L27" s="14"/>
    </row>
    <row r="28" spans="1:12" x14ac:dyDescent="0.3">
      <c r="A28" s="14"/>
      <c r="B28" s="14"/>
      <c r="C28" s="39" t="s">
        <v>25</v>
      </c>
      <c r="D28" s="42">
        <f>SUM(D20:D27)</f>
        <v>8</v>
      </c>
      <c r="E28" s="52"/>
      <c r="F28" s="52"/>
      <c r="G28" s="52"/>
      <c r="H28" s="52"/>
      <c r="I28" s="135">
        <f>SUM(I20:I27)</f>
        <v>19027403.68</v>
      </c>
      <c r="J28" s="135">
        <f>SUM(J20:J27)</f>
        <v>228328844.16</v>
      </c>
      <c r="K28" s="23"/>
      <c r="L28" s="23"/>
    </row>
    <row r="29" spans="1:12" x14ac:dyDescent="0.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</row>
    <row r="30" spans="1:12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</row>
    <row r="31" spans="1:12" x14ac:dyDescent="0.3">
      <c r="A31" s="15" t="s">
        <v>105</v>
      </c>
      <c r="B31" s="90">
        <v>12</v>
      </c>
      <c r="C31" s="95" t="s">
        <v>115</v>
      </c>
      <c r="D31" s="95"/>
      <c r="E31" s="14"/>
      <c r="F31" s="14"/>
      <c r="G31" s="14"/>
      <c r="H31" s="14"/>
      <c r="I31" s="14"/>
      <c r="J31" s="14"/>
      <c r="K31" s="14"/>
      <c r="L31" s="14"/>
    </row>
    <row r="32" spans="1:12" x14ac:dyDescent="0.3">
      <c r="A32" s="14"/>
      <c r="B32" s="14"/>
      <c r="C32" s="480" t="s">
        <v>107</v>
      </c>
      <c r="D32" s="487"/>
      <c r="E32" s="478" t="s">
        <v>47</v>
      </c>
      <c r="F32" s="478" t="s">
        <v>116</v>
      </c>
      <c r="G32" s="478" t="s">
        <v>117</v>
      </c>
      <c r="H32" s="478" t="s">
        <v>118</v>
      </c>
      <c r="I32" s="478" t="s">
        <v>119</v>
      </c>
      <c r="J32" s="478" t="s">
        <v>120</v>
      </c>
      <c r="K32" s="14"/>
      <c r="L32" s="14"/>
    </row>
    <row r="33" spans="1:12" x14ac:dyDescent="0.3">
      <c r="A33" s="14"/>
      <c r="B33" s="14"/>
      <c r="C33" s="488"/>
      <c r="D33" s="489"/>
      <c r="E33" s="479" t="s">
        <v>113</v>
      </c>
      <c r="F33" s="484"/>
      <c r="G33" s="484"/>
      <c r="H33" s="484" t="s">
        <v>114</v>
      </c>
      <c r="I33" s="484" t="s">
        <v>25</v>
      </c>
      <c r="J33" s="479"/>
      <c r="K33" s="14"/>
      <c r="L33" s="14"/>
    </row>
    <row r="34" spans="1:12" x14ac:dyDescent="0.3">
      <c r="A34" s="14"/>
      <c r="B34" s="14"/>
      <c r="C34" s="33" t="str">
        <f>'[1]INVERSIONES '!B91</f>
        <v xml:space="preserve">Construcciones </v>
      </c>
      <c r="D34" s="97" t="s">
        <v>26</v>
      </c>
      <c r="E34" s="43">
        <f>'[1]INVERSIONES '!D91</f>
        <v>0</v>
      </c>
      <c r="F34" s="98">
        <v>20</v>
      </c>
      <c r="G34" s="43">
        <f>E34-((E34/F34)*5)</f>
        <v>0</v>
      </c>
      <c r="H34" s="43">
        <f>E34-G34</f>
        <v>0</v>
      </c>
      <c r="I34" s="43">
        <f>(J34/12)</f>
        <v>0</v>
      </c>
      <c r="J34" s="43">
        <f>(H34/5)</f>
        <v>0</v>
      </c>
      <c r="K34" s="14"/>
      <c r="L34" s="14"/>
    </row>
    <row r="35" spans="1:12" x14ac:dyDescent="0.3">
      <c r="A35" s="14"/>
      <c r="B35" s="14"/>
      <c r="C35" s="33" t="str">
        <f>'[1]INVERSIONES '!B92</f>
        <v>Maquinaria y Equipos</v>
      </c>
      <c r="D35" s="97" t="s">
        <v>29</v>
      </c>
      <c r="E35" s="43">
        <f>INVERSIONES!E28</f>
        <v>12155400</v>
      </c>
      <c r="F35" s="98">
        <v>10</v>
      </c>
      <c r="G35" s="43">
        <f>E35-((E35/F35)*5)</f>
        <v>6077700</v>
      </c>
      <c r="H35" s="43">
        <f>E35-G35</f>
        <v>6077700</v>
      </c>
      <c r="I35" s="43">
        <f>(J35/12)</f>
        <v>101295</v>
      </c>
      <c r="J35" s="43">
        <f>(H35/5)</f>
        <v>1215540</v>
      </c>
      <c r="K35" s="14"/>
      <c r="L35" s="14"/>
    </row>
    <row r="36" spans="1:12" x14ac:dyDescent="0.3">
      <c r="A36" s="14"/>
      <c r="B36" s="14"/>
      <c r="C36" s="33" t="str">
        <f>'[1]INVERSIONES '!B93</f>
        <v>Muebles y enseres</v>
      </c>
      <c r="D36" s="97" t="s">
        <v>35</v>
      </c>
      <c r="E36" s="43">
        <f>INVERSIONES!E42</f>
        <v>69767200</v>
      </c>
      <c r="F36" s="98">
        <v>5</v>
      </c>
      <c r="G36" s="43">
        <f>E36-((E36/F36)*5)</f>
        <v>0</v>
      </c>
      <c r="H36" s="43">
        <f>E36-G36</f>
        <v>69767200</v>
      </c>
      <c r="I36" s="43">
        <f>(J36/12)</f>
        <v>1162786.6666666667</v>
      </c>
      <c r="J36" s="43">
        <f>(H36/5)</f>
        <v>13953440</v>
      </c>
      <c r="K36" s="14"/>
      <c r="L36" s="14"/>
    </row>
    <row r="37" spans="1:12" x14ac:dyDescent="0.3">
      <c r="A37" s="14"/>
      <c r="B37" s="14"/>
      <c r="C37" s="33" t="str">
        <f>'[1]INVERSIONES '!B94</f>
        <v>Equipos de oficina</v>
      </c>
      <c r="D37" s="97" t="s">
        <v>37</v>
      </c>
      <c r="E37" s="43">
        <f>INVERSIONES!E56</f>
        <v>3094500</v>
      </c>
      <c r="F37" s="98">
        <v>5</v>
      </c>
      <c r="G37" s="43">
        <f>E37-((E37/F37)*5)</f>
        <v>0</v>
      </c>
      <c r="H37" s="43">
        <f>E37-G37</f>
        <v>3094500</v>
      </c>
      <c r="I37" s="43">
        <f>(J37/12)</f>
        <v>51575</v>
      </c>
      <c r="J37" s="43">
        <f>(H37/5)</f>
        <v>618900</v>
      </c>
      <c r="K37" s="14"/>
      <c r="L37" s="14"/>
    </row>
    <row r="38" spans="1:12" ht="26.4" x14ac:dyDescent="0.3">
      <c r="A38" s="14"/>
      <c r="B38" s="14"/>
      <c r="C38" s="91" t="str">
        <f>INVERSIONES!B59</f>
        <v>Herramientas (unica compra)</v>
      </c>
      <c r="D38" s="97" t="s">
        <v>44</v>
      </c>
      <c r="E38" s="43">
        <f>INVERSIONES!E71</f>
        <v>3339000</v>
      </c>
      <c r="F38" s="98">
        <v>5</v>
      </c>
      <c r="G38" s="43">
        <f>E38-((E38/F38)*5)</f>
        <v>0</v>
      </c>
      <c r="H38" s="43">
        <f>E38-G38</f>
        <v>3339000</v>
      </c>
      <c r="I38" s="43">
        <f>(J38/12)</f>
        <v>55650</v>
      </c>
      <c r="J38" s="43">
        <f>(H38/5)</f>
        <v>667800</v>
      </c>
      <c r="K38" s="14"/>
      <c r="L38" s="14"/>
    </row>
    <row r="39" spans="1:12" x14ac:dyDescent="0.3">
      <c r="A39" s="14"/>
      <c r="B39" s="14"/>
      <c r="C39" s="453" t="s">
        <v>25</v>
      </c>
      <c r="D39" s="485"/>
      <c r="E39" s="52"/>
      <c r="F39" s="52"/>
      <c r="G39" s="52"/>
      <c r="H39" s="135">
        <f>SUM(H34:H38)</f>
        <v>82278400</v>
      </c>
      <c r="I39" s="135">
        <f>SUM(I34:I38)</f>
        <v>1371306.6666666667</v>
      </c>
      <c r="J39" s="135">
        <f>SUM(J34:J38)</f>
        <v>16455680</v>
      </c>
      <c r="K39" s="14" t="s">
        <v>121</v>
      </c>
      <c r="L39" s="14"/>
    </row>
    <row r="40" spans="1:12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</row>
    <row r="41" spans="1:12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</row>
    <row r="42" spans="1:12" x14ac:dyDescent="0.3">
      <c r="A42" s="15" t="s">
        <v>105</v>
      </c>
      <c r="B42" s="15">
        <v>13</v>
      </c>
      <c r="C42" s="15" t="s">
        <v>64</v>
      </c>
      <c r="D42" s="14"/>
      <c r="E42" s="14"/>
      <c r="F42" s="14"/>
      <c r="G42" s="14"/>
      <c r="H42" s="14"/>
      <c r="I42" s="14"/>
      <c r="J42" s="14"/>
      <c r="K42" s="14"/>
      <c r="L42" s="14"/>
    </row>
    <row r="43" spans="1:12" x14ac:dyDescent="0.3">
      <c r="A43" s="14"/>
      <c r="B43" s="14"/>
      <c r="C43" s="486" t="s">
        <v>122</v>
      </c>
      <c r="D43" s="486" t="s">
        <v>66</v>
      </c>
      <c r="E43" s="486"/>
      <c r="F43" s="14"/>
      <c r="G43" s="14"/>
      <c r="H43" s="14"/>
      <c r="I43" s="14"/>
      <c r="J43" s="14"/>
      <c r="K43" s="23"/>
      <c r="L43" s="23"/>
    </row>
    <row r="44" spans="1:12" x14ac:dyDescent="0.3">
      <c r="A44" s="14"/>
      <c r="B44" s="14"/>
      <c r="C44" s="486"/>
      <c r="D44" s="39" t="s">
        <v>67</v>
      </c>
      <c r="E44" s="39" t="s">
        <v>68</v>
      </c>
      <c r="F44" s="14"/>
      <c r="G44" s="14"/>
      <c r="H44" s="14"/>
      <c r="I44" s="14"/>
      <c r="J44" s="14"/>
      <c r="K44" s="23"/>
      <c r="L44" s="23"/>
    </row>
    <row r="45" spans="1:12" x14ac:dyDescent="0.3">
      <c r="A45" s="14"/>
      <c r="B45" s="14"/>
      <c r="C45" s="18" t="str">
        <f>C34</f>
        <v xml:space="preserve">Construcciones </v>
      </c>
      <c r="D45" s="99">
        <v>0.9</v>
      </c>
      <c r="E45" s="100">
        <f>(1-D45)</f>
        <v>9.9999999999999978E-2</v>
      </c>
      <c r="F45" s="14"/>
      <c r="G45" s="14"/>
      <c r="H45" s="14"/>
      <c r="I45" s="14"/>
      <c r="J45" s="14"/>
      <c r="K45" s="23"/>
      <c r="L45" s="23"/>
    </row>
    <row r="46" spans="1:12" x14ac:dyDescent="0.3">
      <c r="A46" s="14"/>
      <c r="B46" s="14"/>
      <c r="C46" s="18" t="str">
        <f>C35</f>
        <v>Maquinaria y Equipos</v>
      </c>
      <c r="D46" s="99">
        <v>0.9</v>
      </c>
      <c r="E46" s="100">
        <f>(1-D46)</f>
        <v>9.9999999999999978E-2</v>
      </c>
      <c r="F46" s="14"/>
      <c r="G46" s="14"/>
      <c r="H46" s="14"/>
      <c r="I46" s="14"/>
      <c r="J46" s="14"/>
      <c r="K46" s="14"/>
      <c r="L46" s="14"/>
    </row>
    <row r="47" spans="1:12" x14ac:dyDescent="0.3">
      <c r="A47" s="14"/>
      <c r="B47" s="14"/>
      <c r="C47" s="18" t="str">
        <f>C36</f>
        <v>Muebles y enseres</v>
      </c>
      <c r="D47" s="99">
        <v>0.9</v>
      </c>
      <c r="E47" s="100">
        <f>(1-D47)</f>
        <v>9.9999999999999978E-2</v>
      </c>
      <c r="F47" s="14"/>
      <c r="G47" s="14"/>
      <c r="H47" s="14"/>
      <c r="I47" s="14"/>
      <c r="J47" s="14"/>
      <c r="K47" s="14"/>
      <c r="L47" s="14"/>
    </row>
    <row r="48" spans="1:12" x14ac:dyDescent="0.3">
      <c r="A48" s="14"/>
      <c r="B48" s="14"/>
      <c r="C48" s="18" t="str">
        <f>C37</f>
        <v>Equipos de oficina</v>
      </c>
      <c r="D48" s="99">
        <v>0.1</v>
      </c>
      <c r="E48" s="100">
        <f>(1-D48)</f>
        <v>0.9</v>
      </c>
      <c r="F48" s="14"/>
      <c r="G48" s="14"/>
      <c r="H48" s="14"/>
      <c r="I48" s="14"/>
      <c r="J48" s="14"/>
      <c r="K48" s="14"/>
      <c r="L48" s="14"/>
    </row>
    <row r="49" spans="1:12" x14ac:dyDescent="0.3">
      <c r="A49" s="14"/>
      <c r="B49" s="14"/>
      <c r="C49" s="18" t="str">
        <f>C38</f>
        <v>Herramientas (unica compra)</v>
      </c>
      <c r="D49" s="99">
        <v>1</v>
      </c>
      <c r="E49" s="100">
        <f>(1-D49)</f>
        <v>0</v>
      </c>
      <c r="F49" s="14"/>
      <c r="G49" s="14"/>
      <c r="H49" s="14"/>
      <c r="I49" s="14"/>
      <c r="J49" s="14"/>
      <c r="K49" s="14"/>
      <c r="L49" s="14"/>
    </row>
    <row r="50" spans="1:12" x14ac:dyDescent="0.3">
      <c r="A50" s="14"/>
      <c r="B50" s="14"/>
      <c r="C50" s="101"/>
      <c r="D50" s="101"/>
      <c r="E50" s="101"/>
      <c r="F50" s="14"/>
      <c r="G50" s="14"/>
      <c r="H50" s="14"/>
      <c r="I50" s="14"/>
      <c r="J50" s="14"/>
      <c r="K50" s="14"/>
      <c r="L50" s="14"/>
    </row>
    <row r="51" spans="1:12" x14ac:dyDescent="0.3">
      <c r="A51" s="14"/>
      <c r="B51" s="14"/>
      <c r="C51" s="101"/>
      <c r="D51" s="101"/>
      <c r="E51" s="101"/>
      <c r="F51" s="14"/>
      <c r="G51" s="14"/>
      <c r="H51" s="14"/>
      <c r="I51" s="14"/>
      <c r="J51" s="14"/>
      <c r="K51" s="14"/>
      <c r="L51" s="14"/>
    </row>
    <row r="52" spans="1:12" x14ac:dyDescent="0.3">
      <c r="A52" s="14"/>
      <c r="B52" s="14"/>
      <c r="C52" s="490" t="s">
        <v>122</v>
      </c>
      <c r="D52" s="50" t="s">
        <v>47</v>
      </c>
      <c r="E52" s="486" t="s">
        <v>123</v>
      </c>
      <c r="F52" s="486"/>
      <c r="G52" s="14"/>
      <c r="H52" s="14"/>
      <c r="I52" s="14"/>
      <c r="J52" s="14"/>
      <c r="K52" s="14"/>
      <c r="L52" s="14"/>
    </row>
    <row r="53" spans="1:12" x14ac:dyDescent="0.3">
      <c r="A53" s="14"/>
      <c r="B53" s="14"/>
      <c r="C53" s="491"/>
      <c r="D53" s="134" t="s">
        <v>124</v>
      </c>
      <c r="E53" s="39" t="s">
        <v>67</v>
      </c>
      <c r="F53" s="39" t="s">
        <v>68</v>
      </c>
      <c r="G53" s="14"/>
      <c r="H53" s="14"/>
      <c r="I53" s="14"/>
      <c r="J53" s="14"/>
      <c r="K53" s="14"/>
      <c r="L53" s="14"/>
    </row>
    <row r="54" spans="1:12" x14ac:dyDescent="0.3">
      <c r="A54" s="14"/>
      <c r="B54" s="14"/>
      <c r="C54" s="18" t="s">
        <v>27</v>
      </c>
      <c r="D54" s="43">
        <f>J34</f>
        <v>0</v>
      </c>
      <c r="E54" s="102">
        <f>D45*D54</f>
        <v>0</v>
      </c>
      <c r="F54" s="102">
        <f>D54*E45</f>
        <v>0</v>
      </c>
      <c r="G54" s="14"/>
      <c r="H54" s="14"/>
      <c r="I54" s="14"/>
      <c r="J54" s="14"/>
      <c r="K54" s="14"/>
      <c r="L54" s="14"/>
    </row>
    <row r="55" spans="1:12" x14ac:dyDescent="0.3">
      <c r="A55" s="14"/>
      <c r="B55" s="14"/>
      <c r="C55" s="18" t="s">
        <v>125</v>
      </c>
      <c r="D55" s="43">
        <f>J35</f>
        <v>1215540</v>
      </c>
      <c r="E55" s="102">
        <f>D46*D55</f>
        <v>1093986</v>
      </c>
      <c r="F55" s="102">
        <f>D55*E46</f>
        <v>121553.99999999997</v>
      </c>
      <c r="G55" s="14"/>
      <c r="H55" s="14"/>
      <c r="I55" s="14"/>
      <c r="J55" s="14"/>
      <c r="K55" s="14"/>
      <c r="L55" s="14"/>
    </row>
    <row r="56" spans="1:12" x14ac:dyDescent="0.3">
      <c r="A56" s="14"/>
      <c r="B56" s="14"/>
      <c r="C56" s="18" t="s">
        <v>36</v>
      </c>
      <c r="D56" s="43">
        <f>J36</f>
        <v>13953440</v>
      </c>
      <c r="E56" s="102">
        <f>D47*D56</f>
        <v>12558096</v>
      </c>
      <c r="F56" s="102">
        <f>D56*E47</f>
        <v>1395343.9999999998</v>
      </c>
      <c r="G56" s="14"/>
      <c r="H56" s="14"/>
      <c r="I56" s="14"/>
      <c r="J56" s="14"/>
      <c r="K56" s="14"/>
      <c r="L56" s="14"/>
    </row>
    <row r="57" spans="1:12" x14ac:dyDescent="0.3">
      <c r="A57" s="14"/>
      <c r="B57" s="14"/>
      <c r="C57" s="18" t="s">
        <v>126</v>
      </c>
      <c r="D57" s="43">
        <f>J37</f>
        <v>618900</v>
      </c>
      <c r="E57" s="102">
        <f>D48*D57</f>
        <v>61890</v>
      </c>
      <c r="F57" s="43">
        <f>D57*E48</f>
        <v>557010</v>
      </c>
      <c r="G57" s="14"/>
      <c r="H57" s="14"/>
      <c r="I57" s="14"/>
      <c r="J57" s="14"/>
      <c r="K57" s="14"/>
      <c r="L57" s="14"/>
    </row>
    <row r="58" spans="1:12" x14ac:dyDescent="0.3">
      <c r="A58" s="14"/>
      <c r="B58" s="14"/>
      <c r="C58" s="18" t="str">
        <f>C49</f>
        <v>Herramientas (unica compra)</v>
      </c>
      <c r="D58" s="43">
        <f>J38</f>
        <v>667800</v>
      </c>
      <c r="E58" s="102">
        <f>D49*D58</f>
        <v>667800</v>
      </c>
      <c r="F58" s="102">
        <f>D58*E49</f>
        <v>0</v>
      </c>
      <c r="G58" s="14"/>
      <c r="H58" s="14"/>
      <c r="I58" s="14"/>
      <c r="J58" s="14"/>
      <c r="K58" s="14"/>
      <c r="L58" s="14"/>
    </row>
    <row r="59" spans="1:12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</row>
    <row r="60" spans="1:12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</row>
    <row r="61" spans="1:12" x14ac:dyDescent="0.3">
      <c r="A61" s="15" t="s">
        <v>105</v>
      </c>
      <c r="B61" s="15">
        <v>14</v>
      </c>
      <c r="C61" s="15" t="s">
        <v>482</v>
      </c>
      <c r="D61" s="14"/>
      <c r="E61" s="14"/>
      <c r="F61" s="14"/>
      <c r="G61" s="14"/>
      <c r="H61" s="14"/>
      <c r="I61" s="14"/>
      <c r="J61" s="14"/>
      <c r="K61" s="14"/>
      <c r="L61" s="14"/>
    </row>
    <row r="62" spans="1:12" x14ac:dyDescent="0.3">
      <c r="A62" s="14"/>
      <c r="B62" s="14"/>
      <c r="C62" s="480" t="s">
        <v>128</v>
      </c>
      <c r="D62" s="480" t="s">
        <v>129</v>
      </c>
      <c r="E62" s="480" t="s">
        <v>130</v>
      </c>
      <c r="F62" s="480" t="s">
        <v>131</v>
      </c>
      <c r="G62" s="478" t="s">
        <v>132</v>
      </c>
      <c r="H62" s="478" t="s">
        <v>133</v>
      </c>
      <c r="I62" s="478" t="s">
        <v>134</v>
      </c>
      <c r="J62" s="478" t="s">
        <v>135</v>
      </c>
      <c r="K62" s="14"/>
      <c r="L62" s="14"/>
    </row>
    <row r="63" spans="1:12" x14ac:dyDescent="0.3">
      <c r="A63" s="14"/>
      <c r="B63" s="14"/>
      <c r="C63" s="481"/>
      <c r="D63" s="481"/>
      <c r="E63" s="481"/>
      <c r="F63" s="481" t="s">
        <v>113</v>
      </c>
      <c r="G63" s="479"/>
      <c r="H63" s="479"/>
      <c r="I63" s="479"/>
      <c r="J63" s="479"/>
      <c r="K63" s="14"/>
      <c r="L63" s="14"/>
    </row>
    <row r="64" spans="1:12" x14ac:dyDescent="0.3">
      <c r="A64" s="14"/>
      <c r="B64" s="14" t="s">
        <v>485</v>
      </c>
      <c r="C64" s="140" t="s">
        <v>200</v>
      </c>
      <c r="D64" s="285" t="s">
        <v>481</v>
      </c>
      <c r="E64" s="37">
        <f t="shared" ref="E64:E69" si="5">+F91</f>
        <v>58.5</v>
      </c>
      <c r="F64" s="80">
        <f t="shared" ref="F64:F69" si="6">+E64/$D$74</f>
        <v>0.05</v>
      </c>
      <c r="G64" s="6">
        <f t="shared" ref="G64:G69" si="7">E91</f>
        <v>2602</v>
      </c>
      <c r="H64" s="43">
        <f>F64*G64</f>
        <v>130.1</v>
      </c>
      <c r="I64" s="103">
        <f>H64*E64*12</f>
        <v>91330.2</v>
      </c>
      <c r="J64" s="104">
        <f>I64/12</f>
        <v>7610.8499999999995</v>
      </c>
      <c r="K64" s="23"/>
      <c r="L64" s="14"/>
    </row>
    <row r="65" spans="1:18" x14ac:dyDescent="0.3">
      <c r="A65" s="14"/>
      <c r="B65" s="14"/>
      <c r="C65" s="140" t="s">
        <v>201</v>
      </c>
      <c r="D65" s="285" t="s">
        <v>481</v>
      </c>
      <c r="E65" s="37">
        <f t="shared" si="5"/>
        <v>351</v>
      </c>
      <c r="F65" s="80">
        <f t="shared" si="6"/>
        <v>0.3</v>
      </c>
      <c r="G65" s="6">
        <f t="shared" si="7"/>
        <v>10311.05380952381</v>
      </c>
      <c r="H65" s="43">
        <f t="shared" ref="H65:H69" si="8">F65*G65</f>
        <v>3093.3161428571429</v>
      </c>
      <c r="I65" s="103">
        <f>H65*E65*12</f>
        <v>13029047.593714286</v>
      </c>
      <c r="J65" s="104">
        <f t="shared" ref="J65:J69" si="9">I65/12</f>
        <v>1085753.9661428572</v>
      </c>
      <c r="K65" s="14"/>
      <c r="L65" s="14"/>
    </row>
    <row r="66" spans="1:18" x14ac:dyDescent="0.3">
      <c r="A66" s="14"/>
      <c r="B66" s="14"/>
      <c r="C66" s="140" t="s">
        <v>202</v>
      </c>
      <c r="D66" s="285" t="s">
        <v>481</v>
      </c>
      <c r="E66" s="37">
        <f t="shared" si="5"/>
        <v>175.5</v>
      </c>
      <c r="F66" s="80">
        <f t="shared" si="6"/>
        <v>0.15</v>
      </c>
      <c r="G66" s="6">
        <f t="shared" si="7"/>
        <v>10311.05380952381</v>
      </c>
      <c r="H66" s="43">
        <f t="shared" si="8"/>
        <v>1546.6580714285715</v>
      </c>
      <c r="I66" s="103">
        <f t="shared" ref="I66" si="10">H66*E66*12</f>
        <v>3257261.8984285714</v>
      </c>
      <c r="J66" s="104">
        <f t="shared" si="9"/>
        <v>271438.4915357143</v>
      </c>
      <c r="K66" s="14"/>
      <c r="L66" s="14"/>
    </row>
    <row r="67" spans="1:18" x14ac:dyDescent="0.3">
      <c r="A67" s="14"/>
      <c r="B67" s="14"/>
      <c r="C67" s="140" t="s">
        <v>203</v>
      </c>
      <c r="D67" s="285" t="s">
        <v>481</v>
      </c>
      <c r="E67" s="37">
        <f t="shared" si="5"/>
        <v>117</v>
      </c>
      <c r="F67" s="80">
        <f t="shared" si="6"/>
        <v>0.1</v>
      </c>
      <c r="G67" s="6">
        <f t="shared" si="7"/>
        <v>32758</v>
      </c>
      <c r="H67" s="43">
        <f t="shared" si="8"/>
        <v>3275.8</v>
      </c>
      <c r="I67" s="103">
        <f>H67*E67*12</f>
        <v>4599223.2</v>
      </c>
      <c r="J67" s="104">
        <f t="shared" si="9"/>
        <v>383268.60000000003</v>
      </c>
      <c r="K67" s="14"/>
      <c r="L67" s="14"/>
    </row>
    <row r="68" spans="1:18" x14ac:dyDescent="0.3">
      <c r="A68" s="14"/>
      <c r="B68" s="14"/>
      <c r="C68" s="140" t="s">
        <v>204</v>
      </c>
      <c r="D68" s="285" t="s">
        <v>481</v>
      </c>
      <c r="E68" s="37">
        <f t="shared" si="5"/>
        <v>351</v>
      </c>
      <c r="F68" s="80">
        <f t="shared" si="6"/>
        <v>0.3</v>
      </c>
      <c r="G68" s="6">
        <f t="shared" si="7"/>
        <v>5206.9799999999996</v>
      </c>
      <c r="H68" s="43">
        <f t="shared" si="8"/>
        <v>1562.0939999999998</v>
      </c>
      <c r="I68" s="103">
        <f>H68*$D$73</f>
        <v>21931799.759999998</v>
      </c>
      <c r="J68" s="104">
        <f t="shared" si="9"/>
        <v>1827649.9799999997</v>
      </c>
      <c r="K68" s="14"/>
      <c r="L68" s="14"/>
    </row>
    <row r="69" spans="1:18" x14ac:dyDescent="0.3">
      <c r="A69" s="14"/>
      <c r="B69" s="14"/>
      <c r="C69" s="140" t="s">
        <v>205</v>
      </c>
      <c r="D69" s="285" t="s">
        <v>481</v>
      </c>
      <c r="E69" s="37">
        <f t="shared" si="5"/>
        <v>117</v>
      </c>
      <c r="F69" s="80">
        <f t="shared" si="6"/>
        <v>0.1</v>
      </c>
      <c r="G69" s="6">
        <f t="shared" si="7"/>
        <v>18371.746031746032</v>
      </c>
      <c r="H69" s="43">
        <f t="shared" si="8"/>
        <v>1837.1746031746034</v>
      </c>
      <c r="I69" s="103">
        <f>H69*$D$73</f>
        <v>25793931.428571433</v>
      </c>
      <c r="J69" s="104">
        <f t="shared" si="9"/>
        <v>2149494.2857142859</v>
      </c>
      <c r="K69" s="14"/>
      <c r="L69" s="14"/>
    </row>
    <row r="70" spans="1:18" x14ac:dyDescent="0.3">
      <c r="A70" s="14"/>
      <c r="B70" s="14"/>
      <c r="C70" s="453" t="s">
        <v>25</v>
      </c>
      <c r="D70" s="485"/>
      <c r="E70" s="135"/>
      <c r="F70" s="135"/>
      <c r="G70" s="135"/>
      <c r="H70" s="136">
        <f>SUM(H64:H69)</f>
        <v>11445.142817460317</v>
      </c>
      <c r="I70" s="136">
        <f>SUM(I64:I69)</f>
        <v>68702594.080714285</v>
      </c>
      <c r="J70" s="137">
        <f>SUM(J64:J69)</f>
        <v>5725216.1733928574</v>
      </c>
      <c r="K70" s="14"/>
    </row>
    <row r="71" spans="1:18" x14ac:dyDescent="0.3">
      <c r="A71" s="14"/>
      <c r="B71" s="14"/>
      <c r="C71" s="14"/>
      <c r="D71" s="14"/>
      <c r="E71" s="14"/>
      <c r="F71" s="105"/>
      <c r="G71" s="14"/>
      <c r="H71" s="106"/>
    </row>
    <row r="72" spans="1:18" x14ac:dyDescent="0.3">
      <c r="A72" s="14"/>
      <c r="B72" s="14"/>
      <c r="C72" s="14"/>
      <c r="D72" s="14"/>
      <c r="E72" s="14"/>
      <c r="F72" s="105"/>
      <c r="G72" s="14"/>
      <c r="H72" s="106"/>
    </row>
    <row r="73" spans="1:18" ht="26.4" x14ac:dyDescent="0.3">
      <c r="A73" s="14"/>
      <c r="B73" s="14"/>
      <c r="C73" s="139" t="s">
        <v>478</v>
      </c>
      <c r="D73" s="108">
        <f>+D74*12</f>
        <v>14040</v>
      </c>
      <c r="E73" s="14"/>
      <c r="F73" s="14"/>
      <c r="G73" s="14"/>
      <c r="H73" s="107"/>
      <c r="I73" s="14"/>
    </row>
    <row r="74" spans="1:18" ht="26.4" x14ac:dyDescent="0.3">
      <c r="A74" s="14"/>
      <c r="B74" s="14"/>
      <c r="C74" s="139" t="s">
        <v>477</v>
      </c>
      <c r="D74" s="108">
        <f>+F97</f>
        <v>1170</v>
      </c>
      <c r="E74" s="14"/>
      <c r="F74" s="14"/>
      <c r="G74" s="14"/>
      <c r="H74" s="107"/>
      <c r="I74" s="14"/>
      <c r="J74" s="14"/>
      <c r="K74" s="14"/>
      <c r="Q74" s="1"/>
      <c r="R74" s="14"/>
    </row>
    <row r="75" spans="1:18" x14ac:dyDescent="0.3">
      <c r="A75" s="14"/>
      <c r="B75" s="14"/>
      <c r="C75" s="14"/>
      <c r="D75" s="14"/>
      <c r="E75" s="14"/>
      <c r="F75" s="14"/>
      <c r="G75" s="14"/>
      <c r="H75" s="107"/>
      <c r="I75" s="14"/>
      <c r="J75" s="14"/>
      <c r="K75" s="14"/>
      <c r="Q75" s="1"/>
      <c r="R75" s="14"/>
    </row>
    <row r="76" spans="1:18" x14ac:dyDescent="0.3">
      <c r="A76" s="14"/>
      <c r="B76" s="14"/>
      <c r="C76" s="14"/>
      <c r="D76" s="14"/>
      <c r="E76" s="14"/>
      <c r="G76" s="63"/>
      <c r="H76" s="63"/>
      <c r="I76" s="63"/>
      <c r="J76" s="63"/>
      <c r="K76" s="386"/>
      <c r="Q76" s="1"/>
      <c r="R76" s="14"/>
    </row>
    <row r="77" spans="1:18" ht="26.4" x14ac:dyDescent="0.3">
      <c r="A77" s="14"/>
      <c r="B77" s="14"/>
      <c r="C77" s="39" t="s">
        <v>147</v>
      </c>
      <c r="D77" s="41" t="s">
        <v>452</v>
      </c>
      <c r="E77" s="41" t="s">
        <v>451</v>
      </c>
      <c r="F77" s="387" t="s">
        <v>453</v>
      </c>
      <c r="G77" s="41" t="s">
        <v>517</v>
      </c>
      <c r="H77" s="41" t="s">
        <v>206</v>
      </c>
      <c r="I77" s="41" t="s">
        <v>518</v>
      </c>
      <c r="J77" s="388"/>
      <c r="Q77" s="1"/>
      <c r="R77" s="14"/>
    </row>
    <row r="78" spans="1:18" x14ac:dyDescent="0.3">
      <c r="A78" s="14"/>
      <c r="B78" s="14" t="s">
        <v>454</v>
      </c>
      <c r="C78" s="18" t="s">
        <v>200</v>
      </c>
      <c r="D78" s="18">
        <v>20</v>
      </c>
      <c r="E78" s="18">
        <v>120</v>
      </c>
      <c r="F78" s="275">
        <f t="shared" ref="F78" si="11">MEDIAN(D78:E78)</f>
        <v>70</v>
      </c>
      <c r="G78" s="389">
        <f t="shared" ref="G78:G83" si="12">F78/$G$85</f>
        <v>1.1666666666666667</v>
      </c>
      <c r="H78" s="275">
        <v>8</v>
      </c>
      <c r="I78" s="389">
        <f t="shared" ref="I78:I83" si="13">H78/G78</f>
        <v>6.8571428571428568</v>
      </c>
      <c r="J78" s="388"/>
      <c r="Q78" s="1"/>
      <c r="R78" s="14"/>
    </row>
    <row r="79" spans="1:18" x14ac:dyDescent="0.3">
      <c r="A79" s="14"/>
      <c r="B79" s="14" t="s">
        <v>457</v>
      </c>
      <c r="C79" s="18" t="s">
        <v>201</v>
      </c>
      <c r="D79" s="18">
        <v>90</v>
      </c>
      <c r="E79" s="18">
        <v>150</v>
      </c>
      <c r="F79" s="275">
        <f>MEDIAN(D79:E79)</f>
        <v>120</v>
      </c>
      <c r="G79" s="389">
        <f t="shared" si="12"/>
        <v>2</v>
      </c>
      <c r="H79" s="275">
        <v>8</v>
      </c>
      <c r="I79" s="389">
        <f t="shared" si="13"/>
        <v>4</v>
      </c>
      <c r="J79" s="388"/>
      <c r="Q79" s="1"/>
      <c r="R79" s="14"/>
    </row>
    <row r="80" spans="1:18" x14ac:dyDescent="0.3">
      <c r="A80" s="14"/>
      <c r="B80" s="14" t="s">
        <v>456</v>
      </c>
      <c r="C80" s="18" t="s">
        <v>202</v>
      </c>
      <c r="D80" s="18">
        <v>90</v>
      </c>
      <c r="E80" s="18">
        <v>100</v>
      </c>
      <c r="F80" s="275">
        <f>MEDIAN(D80:E80)</f>
        <v>95</v>
      </c>
      <c r="G80" s="389">
        <f t="shared" si="12"/>
        <v>1.5833333333333333</v>
      </c>
      <c r="H80" s="275">
        <v>8</v>
      </c>
      <c r="I80" s="389">
        <f t="shared" si="13"/>
        <v>5.052631578947369</v>
      </c>
      <c r="J80" s="388"/>
      <c r="Q80" s="1"/>
      <c r="R80" s="14"/>
    </row>
    <row r="81" spans="1:18" x14ac:dyDescent="0.3">
      <c r="A81" s="14"/>
      <c r="B81" s="14" t="s">
        <v>458</v>
      </c>
      <c r="C81" s="18" t="s">
        <v>203</v>
      </c>
      <c r="D81" s="18">
        <v>120</v>
      </c>
      <c r="E81" s="18">
        <v>300</v>
      </c>
      <c r="F81" s="275">
        <f>MEDIAN(D81:E81)</f>
        <v>210</v>
      </c>
      <c r="G81" s="389">
        <f t="shared" si="12"/>
        <v>3.5</v>
      </c>
      <c r="H81" s="275">
        <v>8</v>
      </c>
      <c r="I81" s="389">
        <f t="shared" si="13"/>
        <v>2.2857142857142856</v>
      </c>
      <c r="J81" s="388"/>
      <c r="Q81" s="1"/>
      <c r="R81" s="14"/>
    </row>
    <row r="82" spans="1:18" x14ac:dyDescent="0.3">
      <c r="A82" s="14"/>
      <c r="B82" s="14" t="s">
        <v>459</v>
      </c>
      <c r="C82" s="18" t="s">
        <v>204</v>
      </c>
      <c r="D82" s="18">
        <v>20</v>
      </c>
      <c r="E82" s="18">
        <v>60</v>
      </c>
      <c r="F82" s="275">
        <f>MEDIAN(D82:E82)</f>
        <v>40</v>
      </c>
      <c r="G82" s="389">
        <f t="shared" si="12"/>
        <v>0.66666666666666663</v>
      </c>
      <c r="H82" s="275">
        <v>8</v>
      </c>
      <c r="I82" s="389">
        <f t="shared" si="13"/>
        <v>12</v>
      </c>
      <c r="J82" s="388"/>
      <c r="Q82" s="1"/>
      <c r="R82" s="14"/>
    </row>
    <row r="83" spans="1:18" x14ac:dyDescent="0.3">
      <c r="A83" s="14"/>
      <c r="B83" s="14" t="s">
        <v>455</v>
      </c>
      <c r="C83" s="18" t="s">
        <v>205</v>
      </c>
      <c r="D83" s="18">
        <v>40</v>
      </c>
      <c r="E83" s="18">
        <v>100</v>
      </c>
      <c r="F83" s="275">
        <f>MEDIAN(D83:E83)</f>
        <v>70</v>
      </c>
      <c r="G83" s="389">
        <f t="shared" si="12"/>
        <v>1.1666666666666667</v>
      </c>
      <c r="H83" s="275">
        <v>8</v>
      </c>
      <c r="I83" s="389">
        <f t="shared" si="13"/>
        <v>6.8571428571428568</v>
      </c>
      <c r="J83" s="388"/>
      <c r="Q83" s="1"/>
      <c r="R83" s="14"/>
    </row>
    <row r="84" spans="1:18" x14ac:dyDescent="0.3">
      <c r="A84" s="14"/>
      <c r="B84" s="14"/>
      <c r="C84" s="14"/>
      <c r="D84" s="14"/>
      <c r="E84" s="14"/>
      <c r="F84" s="14"/>
      <c r="G84" s="63"/>
      <c r="H84" s="14"/>
      <c r="I84" s="351">
        <f>SUM(I78:I83)</f>
        <v>37.05263157894737</v>
      </c>
      <c r="J84" s="388"/>
      <c r="Q84" s="1"/>
      <c r="R84" s="14"/>
    </row>
    <row r="85" spans="1:18" x14ac:dyDescent="0.3">
      <c r="A85" s="14"/>
      <c r="B85" s="14"/>
      <c r="C85" s="14"/>
      <c r="D85" s="14"/>
      <c r="E85" s="14"/>
      <c r="F85" s="14" t="s">
        <v>207</v>
      </c>
      <c r="G85" s="63">
        <v>60</v>
      </c>
      <c r="H85" s="390"/>
      <c r="I85" s="351">
        <f>+G86*I84/6</f>
        <v>49.403508771929829</v>
      </c>
      <c r="J85" s="388"/>
      <c r="Q85" s="1"/>
      <c r="R85" s="14"/>
    </row>
    <row r="86" spans="1:18" ht="15" thickBot="1" x14ac:dyDescent="0.35">
      <c r="A86" s="14"/>
      <c r="B86" s="14"/>
      <c r="C86" s="14"/>
      <c r="D86" s="14"/>
      <c r="E86" s="14"/>
      <c r="F86" s="14" t="s">
        <v>208</v>
      </c>
      <c r="G86" s="63">
        <v>8</v>
      </c>
      <c r="H86" s="390"/>
      <c r="I86" s="391">
        <f>+I85*0.8</f>
        <v>39.522807017543869</v>
      </c>
      <c r="J86" s="388"/>
      <c r="Q86" s="1"/>
      <c r="R86" s="14"/>
    </row>
    <row r="87" spans="1:18" ht="28.8" customHeight="1" thickBot="1" x14ac:dyDescent="0.35">
      <c r="A87" s="14"/>
      <c r="I87" s="392">
        <f>+ROUNDDOWN(I86,0)</f>
        <v>39</v>
      </c>
      <c r="J87" s="500" t="s">
        <v>520</v>
      </c>
      <c r="K87" s="500"/>
      <c r="L87" s="501"/>
      <c r="Q87" s="1"/>
      <c r="R87" s="14"/>
    </row>
    <row r="88" spans="1:18" ht="15" thickBot="1" x14ac:dyDescent="0.35">
      <c r="A88" s="14"/>
      <c r="I88" s="382">
        <f>+I87*30</f>
        <v>1170</v>
      </c>
      <c r="J88" s="393" t="s">
        <v>519</v>
      </c>
      <c r="Q88" s="1"/>
      <c r="R88" s="14"/>
    </row>
    <row r="89" spans="1:18" x14ac:dyDescent="0.3">
      <c r="A89" s="14"/>
      <c r="I89" s="63"/>
      <c r="J89" s="63"/>
      <c r="Q89" s="1"/>
      <c r="R89" s="14"/>
    </row>
    <row r="90" spans="1:18" ht="39.6" x14ac:dyDescent="0.3">
      <c r="A90" s="14"/>
      <c r="B90" s="14"/>
      <c r="C90" s="394" t="s">
        <v>523</v>
      </c>
      <c r="D90" s="395" t="s">
        <v>480</v>
      </c>
      <c r="E90" s="385" t="s">
        <v>479</v>
      </c>
      <c r="F90" s="395" t="s">
        <v>521</v>
      </c>
      <c r="G90" s="395" t="s">
        <v>522</v>
      </c>
      <c r="I90" s="14"/>
      <c r="J90" s="14"/>
      <c r="Q90" s="1"/>
      <c r="R90" s="14"/>
    </row>
    <row r="91" spans="1:18" x14ac:dyDescent="0.3">
      <c r="A91" s="14"/>
      <c r="B91" s="14">
        <v>1</v>
      </c>
      <c r="C91" s="18" t="s">
        <v>200</v>
      </c>
      <c r="D91" s="396">
        <v>0.05</v>
      </c>
      <c r="E91" s="397">
        <f>+'COSTOS PS'!H54</f>
        <v>2602</v>
      </c>
      <c r="F91" s="398">
        <f t="shared" ref="F91:F96" si="14">+$F$97*D91</f>
        <v>58.5</v>
      </c>
      <c r="G91" s="399">
        <f>+F91*E91</f>
        <v>152217</v>
      </c>
      <c r="H91" s="63"/>
      <c r="I91" s="14"/>
      <c r="J91" s="14"/>
      <c r="Q91" s="1"/>
      <c r="R91" s="14"/>
    </row>
    <row r="92" spans="1:18" x14ac:dyDescent="0.3">
      <c r="A92" s="14"/>
      <c r="B92" s="14">
        <v>2</v>
      </c>
      <c r="C92" s="18" t="s">
        <v>201</v>
      </c>
      <c r="D92" s="396">
        <v>0.3</v>
      </c>
      <c r="E92" s="397">
        <f>+'COSTOS PS'!H18</f>
        <v>10311.05380952381</v>
      </c>
      <c r="F92" s="398">
        <f t="shared" si="14"/>
        <v>351</v>
      </c>
      <c r="G92" s="399">
        <f t="shared" ref="G92:G94" si="15">+F92*E92</f>
        <v>3619179.8871428571</v>
      </c>
      <c r="H92" s="63"/>
      <c r="I92" s="63"/>
      <c r="J92" s="63"/>
      <c r="Q92" s="1"/>
      <c r="R92" s="14"/>
    </row>
    <row r="93" spans="1:18" x14ac:dyDescent="0.3">
      <c r="A93" s="14"/>
      <c r="B93" s="14">
        <v>3</v>
      </c>
      <c r="C93" s="18" t="s">
        <v>202</v>
      </c>
      <c r="D93" s="396">
        <v>0.15</v>
      </c>
      <c r="E93" s="375">
        <f>+'COSTOS PS'!H18</f>
        <v>10311.05380952381</v>
      </c>
      <c r="F93" s="398">
        <f t="shared" si="14"/>
        <v>175.5</v>
      </c>
      <c r="G93" s="399">
        <f t="shared" si="15"/>
        <v>1809589.9435714285</v>
      </c>
      <c r="H93" s="14"/>
      <c r="I93" s="63"/>
      <c r="J93" s="63"/>
      <c r="Q93" s="1"/>
      <c r="R93" s="14"/>
    </row>
    <row r="94" spans="1:18" x14ac:dyDescent="0.3">
      <c r="A94" s="14"/>
      <c r="B94" s="14">
        <v>4</v>
      </c>
      <c r="C94" s="18" t="s">
        <v>203</v>
      </c>
      <c r="D94" s="396">
        <v>0.1</v>
      </c>
      <c r="E94" s="375">
        <f>+'COSTOS PS'!H29</f>
        <v>32758</v>
      </c>
      <c r="F94" s="398">
        <f t="shared" si="14"/>
        <v>117</v>
      </c>
      <c r="G94" s="399">
        <f t="shared" si="15"/>
        <v>3832686</v>
      </c>
      <c r="H94" s="14"/>
      <c r="J94" s="63"/>
      <c r="K94" s="63"/>
      <c r="Q94" s="1"/>
      <c r="R94" s="14"/>
    </row>
    <row r="95" spans="1:18" x14ac:dyDescent="0.3">
      <c r="A95" s="14"/>
      <c r="B95" s="14">
        <v>5</v>
      </c>
      <c r="C95" s="18" t="s">
        <v>204</v>
      </c>
      <c r="D95" s="396">
        <v>0.3</v>
      </c>
      <c r="E95" s="375">
        <f>+'COSTOS PS'!H62</f>
        <v>5206.9799999999996</v>
      </c>
      <c r="F95" s="398">
        <f t="shared" si="14"/>
        <v>351</v>
      </c>
      <c r="G95" s="399">
        <f>+F95*E95</f>
        <v>1827649.9799999997</v>
      </c>
      <c r="H95" s="63"/>
      <c r="I95" s="63"/>
      <c r="J95" s="63"/>
      <c r="K95" s="63"/>
      <c r="R95" s="14"/>
    </row>
    <row r="96" spans="1:18" ht="21.6" customHeight="1" x14ac:dyDescent="0.3">
      <c r="A96" s="14"/>
      <c r="B96" s="14">
        <v>6</v>
      </c>
      <c r="C96" s="18" t="s">
        <v>205</v>
      </c>
      <c r="D96" s="396">
        <v>0.1</v>
      </c>
      <c r="E96" s="375">
        <f>+'COSTOS PS'!H46</f>
        <v>18371.746031746032</v>
      </c>
      <c r="F96" s="398">
        <f t="shared" si="14"/>
        <v>117</v>
      </c>
      <c r="G96" s="399">
        <f>+F96*E96</f>
        <v>2149494.2857142859</v>
      </c>
      <c r="H96" s="63"/>
      <c r="I96" s="63"/>
      <c r="J96" s="63"/>
      <c r="K96" s="63"/>
    </row>
    <row r="97" spans="1:21" ht="15" thickBot="1" x14ac:dyDescent="0.35">
      <c r="A97" s="14"/>
      <c r="B97" s="14"/>
      <c r="C97" s="383" t="s">
        <v>25</v>
      </c>
      <c r="D97" s="400">
        <f>SUM(D91:D96)</f>
        <v>0.99999999999999989</v>
      </c>
      <c r="E97" s="384">
        <f>SUM(E91:E96)</f>
        <v>79560.833650793647</v>
      </c>
      <c r="F97" s="401">
        <f>+I88</f>
        <v>1170</v>
      </c>
      <c r="G97" s="402">
        <f>SUM(G91:G96)</f>
        <v>13390817.096428571</v>
      </c>
      <c r="I97" s="63"/>
      <c r="J97" s="63"/>
      <c r="K97" s="63"/>
      <c r="S97" s="355"/>
    </row>
    <row r="98" spans="1:21" ht="15" thickBot="1" x14ac:dyDescent="0.35">
      <c r="A98" s="14"/>
      <c r="B98" s="14"/>
      <c r="C98" s="14"/>
      <c r="E98" s="502" t="s">
        <v>524</v>
      </c>
      <c r="F98" s="503"/>
      <c r="G98" s="403">
        <f>+G97/F97</f>
        <v>11445.142817460317</v>
      </c>
      <c r="H98" s="63"/>
      <c r="I98" s="63"/>
      <c r="J98" s="63"/>
      <c r="K98" s="63"/>
      <c r="S98" s="355"/>
    </row>
    <row r="99" spans="1:21" x14ac:dyDescent="0.3">
      <c r="A99" s="14"/>
      <c r="B99" s="14"/>
      <c r="C99" s="14"/>
      <c r="D99" s="14"/>
      <c r="E99" s="14"/>
      <c r="F99" s="14"/>
      <c r="G99" s="14"/>
      <c r="H99" s="14"/>
      <c r="S99" s="355"/>
    </row>
    <row r="100" spans="1:21" x14ac:dyDescent="0.3">
      <c r="A100" s="15" t="s">
        <v>105</v>
      </c>
      <c r="B100" s="90">
        <v>15</v>
      </c>
      <c r="C100" s="492" t="s">
        <v>136</v>
      </c>
      <c r="D100" s="492"/>
      <c r="E100" s="492"/>
      <c r="F100" s="14"/>
      <c r="G100" s="14"/>
      <c r="H100" s="14"/>
      <c r="S100" s="355"/>
    </row>
    <row r="101" spans="1:21" x14ac:dyDescent="0.3">
      <c r="A101" s="14"/>
      <c r="B101" s="14"/>
      <c r="C101" s="480" t="s">
        <v>107</v>
      </c>
      <c r="D101" s="487"/>
      <c r="E101" s="480" t="s">
        <v>137</v>
      </c>
      <c r="F101" s="478" t="s">
        <v>138</v>
      </c>
      <c r="G101" s="14"/>
      <c r="H101" s="14"/>
      <c r="S101" s="355"/>
    </row>
    <row r="102" spans="1:21" x14ac:dyDescent="0.3">
      <c r="A102" s="14"/>
      <c r="B102" s="14"/>
      <c r="C102" s="488"/>
      <c r="D102" s="489"/>
      <c r="E102" s="481" t="s">
        <v>113</v>
      </c>
      <c r="F102" s="493"/>
      <c r="G102" s="14"/>
      <c r="H102" s="14"/>
      <c r="S102" s="355"/>
    </row>
    <row r="103" spans="1:21" x14ac:dyDescent="0.3">
      <c r="A103" s="14"/>
      <c r="B103" s="14"/>
      <c r="C103" s="33" t="s">
        <v>139</v>
      </c>
      <c r="D103" s="109">
        <v>0.05</v>
      </c>
      <c r="E103" s="43">
        <f>F103/12</f>
        <v>50647.5</v>
      </c>
      <c r="F103" s="43">
        <f>E35*D103</f>
        <v>607770</v>
      </c>
      <c r="G103" s="14"/>
      <c r="H103" s="14"/>
      <c r="S103" s="355"/>
    </row>
    <row r="104" spans="1:21" x14ac:dyDescent="0.3">
      <c r="A104" s="14"/>
      <c r="B104" s="14"/>
      <c r="C104" s="110" t="s">
        <v>140</v>
      </c>
      <c r="D104" s="111">
        <v>0.04</v>
      </c>
      <c r="E104" s="43">
        <f t="shared" ref="E104:E109" si="16">F104/12</f>
        <v>257929.30000000002</v>
      </c>
      <c r="F104" s="43">
        <f>((E34*D45)+(E35*D46)+(E36*D47)+(E37*D48)+(E38*D49))*D104</f>
        <v>3095151.6</v>
      </c>
      <c r="G104" s="14"/>
      <c r="H104" s="14"/>
      <c r="R104" s="14"/>
      <c r="S104" s="355"/>
    </row>
    <row r="105" spans="1:21" ht="14.4" customHeight="1" x14ac:dyDescent="0.3">
      <c r="A105" s="14"/>
      <c r="B105" s="14"/>
      <c r="C105" s="33" t="s">
        <v>141</v>
      </c>
      <c r="D105" s="109" t="s">
        <v>142</v>
      </c>
      <c r="E105" s="43">
        <f t="shared" si="16"/>
        <v>0</v>
      </c>
      <c r="F105" s="43">
        <f>E54</f>
        <v>0</v>
      </c>
      <c r="G105" s="14"/>
      <c r="H105" s="14"/>
      <c r="R105" s="14"/>
      <c r="S105" s="352"/>
    </row>
    <row r="106" spans="1:21" ht="26.4" x14ac:dyDescent="0.3">
      <c r="A106" s="14"/>
      <c r="B106" s="14"/>
      <c r="C106" s="33" t="s">
        <v>143</v>
      </c>
      <c r="D106" s="109" t="s">
        <v>142</v>
      </c>
      <c r="E106" s="43">
        <f>F106/12</f>
        <v>91165.5</v>
      </c>
      <c r="F106" s="43">
        <f>E55</f>
        <v>1093986</v>
      </c>
      <c r="G106" s="14"/>
      <c r="H106" s="14"/>
      <c r="T106" s="352"/>
    </row>
    <row r="107" spans="1:21" ht="26.4" x14ac:dyDescent="0.3">
      <c r="A107" s="14"/>
      <c r="B107" s="14"/>
      <c r="C107" s="33" t="s">
        <v>144</v>
      </c>
      <c r="D107" s="97" t="s">
        <v>142</v>
      </c>
      <c r="E107" s="43">
        <f t="shared" si="16"/>
        <v>1046508</v>
      </c>
      <c r="F107" s="43">
        <f>E56</f>
        <v>12558096</v>
      </c>
      <c r="G107" s="14"/>
      <c r="H107" s="14"/>
      <c r="R107" s="14"/>
    </row>
    <row r="108" spans="1:21" ht="26.4" x14ac:dyDescent="0.3">
      <c r="A108" s="14"/>
      <c r="B108" s="14"/>
      <c r="C108" s="33" t="s">
        <v>145</v>
      </c>
      <c r="D108" s="97" t="s">
        <v>142</v>
      </c>
      <c r="E108" s="43">
        <f t="shared" si="16"/>
        <v>5157.5</v>
      </c>
      <c r="F108" s="43">
        <f>E57</f>
        <v>61890</v>
      </c>
      <c r="G108" s="14"/>
    </row>
    <row r="109" spans="1:21" ht="26.4" x14ac:dyDescent="0.3">
      <c r="A109" s="14"/>
      <c r="B109" s="14"/>
      <c r="C109" s="112" t="s">
        <v>146</v>
      </c>
      <c r="D109" s="97" t="s">
        <v>142</v>
      </c>
      <c r="E109" s="43">
        <f t="shared" si="16"/>
        <v>55650</v>
      </c>
      <c r="F109" s="43">
        <f>E58</f>
        <v>667800</v>
      </c>
      <c r="G109" s="14"/>
    </row>
    <row r="110" spans="1:21" x14ac:dyDescent="0.3">
      <c r="A110" s="14"/>
      <c r="B110" s="14"/>
      <c r="C110" s="33" t="s">
        <v>147</v>
      </c>
      <c r="D110" s="97" t="s">
        <v>74</v>
      </c>
      <c r="E110" s="43">
        <f>INVERSIONES!D116+INVERSIONES!D118+INVERSIONES!D119+INVERSIONES!D120</f>
        <v>1049500</v>
      </c>
      <c r="F110" s="43">
        <f>E110*12</f>
        <v>12594000</v>
      </c>
      <c r="G110" s="14"/>
      <c r="R110" s="14"/>
      <c r="U110" s="280"/>
    </row>
    <row r="111" spans="1:21" x14ac:dyDescent="0.3">
      <c r="A111" s="14"/>
      <c r="B111" s="14"/>
      <c r="C111" s="33" t="s">
        <v>148</v>
      </c>
      <c r="D111" s="113" t="s">
        <v>74</v>
      </c>
      <c r="E111" s="43">
        <f>INVERSIONES!D117</f>
        <v>1800000</v>
      </c>
      <c r="F111" s="43">
        <f>E111*12</f>
        <v>21600000</v>
      </c>
      <c r="G111" s="14"/>
      <c r="R111" s="14"/>
    </row>
    <row r="112" spans="1:21" x14ac:dyDescent="0.3">
      <c r="A112" s="14"/>
      <c r="B112" s="14"/>
      <c r="C112" s="114" t="s">
        <v>486</v>
      </c>
      <c r="D112" s="113"/>
      <c r="E112" s="430">
        <v>1000000</v>
      </c>
      <c r="F112" s="276">
        <f>E112*12</f>
        <v>12000000</v>
      </c>
      <c r="G112" s="14"/>
    </row>
    <row r="113" spans="1:12" x14ac:dyDescent="0.3">
      <c r="A113" s="14"/>
      <c r="B113" s="14"/>
      <c r="C113" s="453" t="s">
        <v>25</v>
      </c>
      <c r="D113" s="485"/>
      <c r="E113" s="135">
        <f>SUM(E103:E112)</f>
        <v>5356557.8</v>
      </c>
      <c r="F113" s="135">
        <f>SUM(F103:F112)</f>
        <v>64278693.600000001</v>
      </c>
      <c r="G113" s="14"/>
    </row>
    <row r="114" spans="1:12" x14ac:dyDescent="0.3">
      <c r="A114" s="14"/>
      <c r="B114" s="14"/>
      <c r="C114" s="14"/>
      <c r="D114" s="14"/>
      <c r="E114" s="14"/>
      <c r="F114" s="14"/>
      <c r="G114" s="115"/>
      <c r="H114" s="14"/>
    </row>
    <row r="115" spans="1:12" x14ac:dyDescent="0.3">
      <c r="A115" s="14"/>
      <c r="B115" s="14"/>
      <c r="C115" s="14"/>
      <c r="D115" s="14"/>
      <c r="E115" s="14"/>
      <c r="F115" s="14"/>
      <c r="G115" s="14"/>
      <c r="H115" s="14"/>
    </row>
    <row r="116" spans="1:12" x14ac:dyDescent="0.3">
      <c r="A116" s="14"/>
      <c r="B116" s="14"/>
      <c r="C116" s="14"/>
      <c r="D116" s="14"/>
      <c r="E116" s="14"/>
      <c r="F116" s="14"/>
      <c r="G116" s="14"/>
      <c r="H116" s="14"/>
    </row>
    <row r="117" spans="1:12" ht="14.4" customHeight="1" x14ac:dyDescent="0.3">
      <c r="A117" s="15" t="s">
        <v>105</v>
      </c>
      <c r="B117" s="90">
        <v>16</v>
      </c>
      <c r="C117" s="492" t="s">
        <v>149</v>
      </c>
      <c r="D117" s="492"/>
      <c r="E117" s="492"/>
      <c r="F117" s="492"/>
      <c r="G117" s="14"/>
      <c r="H117" s="14"/>
    </row>
    <row r="118" spans="1:12" x14ac:dyDescent="0.3">
      <c r="A118" s="14"/>
      <c r="B118" s="14"/>
      <c r="C118" s="480" t="s">
        <v>107</v>
      </c>
      <c r="D118" s="487"/>
      <c r="E118" s="480" t="s">
        <v>137</v>
      </c>
      <c r="F118" s="478" t="s">
        <v>138</v>
      </c>
      <c r="G118" s="14"/>
      <c r="H118" s="14"/>
      <c r="I118" s="14"/>
      <c r="K118" s="14"/>
      <c r="L118" s="14"/>
    </row>
    <row r="119" spans="1:12" x14ac:dyDescent="0.3">
      <c r="A119" s="14"/>
      <c r="B119" s="14"/>
      <c r="C119" s="488"/>
      <c r="D119" s="489"/>
      <c r="E119" s="481" t="s">
        <v>113</v>
      </c>
      <c r="F119" s="493"/>
      <c r="G119" s="14"/>
      <c r="H119" s="14"/>
      <c r="I119" s="14"/>
      <c r="K119" s="14"/>
      <c r="L119" s="14"/>
    </row>
    <row r="120" spans="1:12" ht="26.4" x14ac:dyDescent="0.3">
      <c r="A120" s="14"/>
      <c r="B120" s="14"/>
      <c r="C120" s="91" t="s">
        <v>150</v>
      </c>
      <c r="D120" s="109" t="s">
        <v>151</v>
      </c>
      <c r="E120" s="43">
        <f>I28</f>
        <v>19027403.68</v>
      </c>
      <c r="F120" s="43">
        <f>E120*12</f>
        <v>228328844.16</v>
      </c>
      <c r="G120" s="14"/>
      <c r="H120" s="14"/>
      <c r="I120" s="14"/>
      <c r="K120" s="14"/>
      <c r="L120" s="14"/>
    </row>
    <row r="121" spans="1:12" x14ac:dyDescent="0.3">
      <c r="A121" s="14"/>
      <c r="B121" s="14"/>
      <c r="C121" s="141" t="s">
        <v>152</v>
      </c>
      <c r="D121" s="116" t="s">
        <v>153</v>
      </c>
      <c r="E121" s="43">
        <f>J70</f>
        <v>5725216.1733928574</v>
      </c>
      <c r="F121" s="43">
        <f>E121*12</f>
        <v>68702594.080714285</v>
      </c>
      <c r="G121" s="14"/>
      <c r="H121" s="14"/>
      <c r="I121" s="14"/>
      <c r="K121" s="14"/>
      <c r="L121" s="14"/>
    </row>
    <row r="122" spans="1:12" x14ac:dyDescent="0.3">
      <c r="A122" s="14"/>
      <c r="B122" s="14"/>
      <c r="C122" s="91" t="s">
        <v>154</v>
      </c>
      <c r="D122" s="97" t="s">
        <v>155</v>
      </c>
      <c r="E122" s="43">
        <f>E113</f>
        <v>5356557.8</v>
      </c>
      <c r="F122" s="43">
        <f>E122*12</f>
        <v>64278693.599999994</v>
      </c>
      <c r="G122" s="14"/>
      <c r="H122" s="14"/>
      <c r="I122" s="14"/>
      <c r="K122" s="14"/>
      <c r="L122" s="14"/>
    </row>
    <row r="123" spans="1:12" x14ac:dyDescent="0.3">
      <c r="A123" s="14"/>
      <c r="B123" s="14"/>
      <c r="C123" s="453" t="s">
        <v>25</v>
      </c>
      <c r="D123" s="485"/>
      <c r="E123" s="135">
        <f>SUM(E120:E122)</f>
        <v>30109177.653392859</v>
      </c>
      <c r="F123" s="135">
        <f>SUM(F120:F122)</f>
        <v>361310131.84071434</v>
      </c>
      <c r="G123" s="14"/>
      <c r="H123" s="14"/>
      <c r="I123" s="14"/>
      <c r="K123" s="14"/>
      <c r="L123" s="14"/>
    </row>
    <row r="124" spans="1:12" x14ac:dyDescent="0.3">
      <c r="A124" s="14"/>
      <c r="B124" s="14"/>
      <c r="C124" s="117"/>
      <c r="D124" s="117"/>
      <c r="E124" s="118"/>
      <c r="F124" s="118"/>
      <c r="G124" s="14"/>
      <c r="H124" s="14"/>
      <c r="I124" s="14"/>
      <c r="K124" s="14"/>
      <c r="L124" s="14"/>
    </row>
    <row r="125" spans="1:12" x14ac:dyDescent="0.3">
      <c r="A125" s="14"/>
      <c r="B125" s="14"/>
      <c r="C125" s="117"/>
      <c r="D125" s="117"/>
      <c r="E125" s="118"/>
      <c r="F125" s="118"/>
      <c r="G125" s="14"/>
      <c r="H125" s="14"/>
      <c r="I125" s="14"/>
      <c r="K125" s="14"/>
      <c r="L125" s="14"/>
    </row>
    <row r="126" spans="1:12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</row>
    <row r="127" spans="1:12" x14ac:dyDescent="0.3">
      <c r="A127" s="15" t="s">
        <v>105</v>
      </c>
      <c r="B127" s="90">
        <v>17</v>
      </c>
      <c r="C127" s="492" t="s">
        <v>156</v>
      </c>
      <c r="D127" s="492"/>
      <c r="E127" s="14"/>
      <c r="F127" s="14"/>
      <c r="G127" s="14"/>
      <c r="H127" s="14"/>
      <c r="I127" s="14"/>
      <c r="J127" s="14"/>
      <c r="K127" s="14"/>
      <c r="L127" s="14"/>
    </row>
    <row r="128" spans="1:12" x14ac:dyDescent="0.3">
      <c r="A128" s="14"/>
      <c r="B128" s="14"/>
      <c r="C128" s="478" t="s">
        <v>107</v>
      </c>
      <c r="D128" s="480" t="s">
        <v>32</v>
      </c>
      <c r="E128" s="480" t="s">
        <v>108</v>
      </c>
      <c r="F128" s="478" t="s">
        <v>109</v>
      </c>
      <c r="G128" s="478" t="s">
        <v>110</v>
      </c>
      <c r="H128" s="482" t="s">
        <v>111</v>
      </c>
      <c r="I128" s="483"/>
      <c r="J128" s="478" t="s">
        <v>112</v>
      </c>
      <c r="K128" s="504"/>
      <c r="L128" s="14"/>
    </row>
    <row r="129" spans="1:12" x14ac:dyDescent="0.3">
      <c r="A129" s="14"/>
      <c r="B129" s="14"/>
      <c r="C129" s="479"/>
      <c r="D129" s="481"/>
      <c r="E129" s="481" t="s">
        <v>113</v>
      </c>
      <c r="F129" s="484"/>
      <c r="G129" s="484"/>
      <c r="H129" s="41" t="s">
        <v>114</v>
      </c>
      <c r="I129" s="41" t="s">
        <v>25</v>
      </c>
      <c r="J129" s="479"/>
      <c r="K129" s="504"/>
      <c r="L129" s="14"/>
    </row>
    <row r="130" spans="1:12" x14ac:dyDescent="0.3">
      <c r="A130" s="14"/>
      <c r="B130" s="14"/>
      <c r="C130" s="20" t="s">
        <v>157</v>
      </c>
      <c r="D130" s="21">
        <v>1</v>
      </c>
      <c r="E130" s="16">
        <v>2000000</v>
      </c>
      <c r="F130" s="16"/>
      <c r="G130" s="43">
        <f>(E130+F130)*$E$14</f>
        <v>1253659.9999999998</v>
      </c>
      <c r="H130" s="43">
        <f>+K130/2</f>
        <v>1626830</v>
      </c>
      <c r="I130" s="43">
        <f>D130*H130</f>
        <v>1626830</v>
      </c>
      <c r="J130" s="43">
        <f>I130*12</f>
        <v>19521960</v>
      </c>
      <c r="K130" s="23">
        <f>+E130+F130+G130</f>
        <v>3253660</v>
      </c>
      <c r="L130" s="14"/>
    </row>
    <row r="131" spans="1:12" x14ac:dyDescent="0.3">
      <c r="A131" s="14"/>
      <c r="B131" s="14"/>
      <c r="C131" s="20" t="s">
        <v>488</v>
      </c>
      <c r="D131" s="21">
        <v>1</v>
      </c>
      <c r="E131" s="16">
        <v>2000000</v>
      </c>
      <c r="F131" s="16">
        <v>162000</v>
      </c>
      <c r="G131" s="43">
        <f t="shared" ref="G131:G135" si="17">(E131+F131)*$E$14</f>
        <v>1355206.4599999997</v>
      </c>
      <c r="H131" s="43">
        <f>+K131/2</f>
        <v>1758603.23</v>
      </c>
      <c r="I131" s="43">
        <f>D131*H131</f>
        <v>1758603.23</v>
      </c>
      <c r="J131" s="43">
        <f t="shared" ref="J131:J135" si="18">I131*12</f>
        <v>21103238.759999998</v>
      </c>
      <c r="K131" s="23">
        <f>+E131+F131+G131</f>
        <v>3517206.46</v>
      </c>
      <c r="L131" s="14"/>
    </row>
    <row r="132" spans="1:12" x14ac:dyDescent="0.3">
      <c r="A132" s="14"/>
      <c r="B132" s="14"/>
      <c r="C132" s="61"/>
      <c r="D132" s="21"/>
      <c r="E132" s="16"/>
      <c r="F132" s="16"/>
      <c r="G132" s="43">
        <f t="shared" si="17"/>
        <v>0</v>
      </c>
      <c r="H132" s="43">
        <f t="shared" ref="H132:H135" si="19">E132+F132+G132</f>
        <v>0</v>
      </c>
      <c r="I132" s="43">
        <f t="shared" ref="I132:I135" si="20">D132*H132</f>
        <v>0</v>
      </c>
      <c r="J132" s="43">
        <f t="shared" si="18"/>
        <v>0</v>
      </c>
      <c r="K132" s="14"/>
      <c r="L132" s="14"/>
    </row>
    <row r="133" spans="1:12" x14ac:dyDescent="0.3">
      <c r="A133" s="14"/>
      <c r="B133" s="14"/>
      <c r="C133" s="20"/>
      <c r="D133" s="21"/>
      <c r="E133" s="16"/>
      <c r="F133" s="16"/>
      <c r="G133" s="43">
        <f t="shared" si="17"/>
        <v>0</v>
      </c>
      <c r="H133" s="43">
        <f t="shared" si="19"/>
        <v>0</v>
      </c>
      <c r="I133" s="43">
        <f t="shared" si="20"/>
        <v>0</v>
      </c>
      <c r="J133" s="43">
        <f t="shared" si="18"/>
        <v>0</v>
      </c>
      <c r="K133" s="14"/>
      <c r="L133" s="14"/>
    </row>
    <row r="134" spans="1:12" x14ac:dyDescent="0.3">
      <c r="A134" s="14"/>
      <c r="B134" s="14"/>
      <c r="C134" s="20"/>
      <c r="D134" s="21"/>
      <c r="E134" s="16"/>
      <c r="F134" s="16"/>
      <c r="G134" s="43">
        <f t="shared" si="17"/>
        <v>0</v>
      </c>
      <c r="H134" s="43">
        <f t="shared" si="19"/>
        <v>0</v>
      </c>
      <c r="I134" s="43">
        <f t="shared" si="20"/>
        <v>0</v>
      </c>
      <c r="J134" s="43">
        <f t="shared" si="18"/>
        <v>0</v>
      </c>
      <c r="K134" s="14"/>
      <c r="L134" s="14"/>
    </row>
    <row r="135" spans="1:12" x14ac:dyDescent="0.3">
      <c r="A135" s="14"/>
      <c r="B135" s="14"/>
      <c r="C135" s="20"/>
      <c r="D135" s="21"/>
      <c r="E135" s="16"/>
      <c r="F135" s="16"/>
      <c r="G135" s="43">
        <f t="shared" si="17"/>
        <v>0</v>
      </c>
      <c r="H135" s="43">
        <f t="shared" si="19"/>
        <v>0</v>
      </c>
      <c r="I135" s="43">
        <f t="shared" si="20"/>
        <v>0</v>
      </c>
      <c r="J135" s="43">
        <f t="shared" si="18"/>
        <v>0</v>
      </c>
      <c r="K135" s="14"/>
      <c r="L135" s="14"/>
    </row>
    <row r="136" spans="1:12" x14ac:dyDescent="0.3">
      <c r="A136" s="14"/>
      <c r="B136" s="14"/>
      <c r="C136" s="39" t="s">
        <v>25</v>
      </c>
      <c r="D136" s="138">
        <f>SUM(D130:D135)</f>
        <v>2</v>
      </c>
      <c r="E136" s="135">
        <f t="shared" ref="E136:J136" si="21">SUM(E130:E135)</f>
        <v>4000000</v>
      </c>
      <c r="F136" s="135">
        <f t="shared" si="21"/>
        <v>162000</v>
      </c>
      <c r="G136" s="135">
        <f t="shared" si="21"/>
        <v>2608866.4599999995</v>
      </c>
      <c r="H136" s="135">
        <f t="shared" si="21"/>
        <v>3385433.23</v>
      </c>
      <c r="I136" s="135">
        <f t="shared" si="21"/>
        <v>3385433.23</v>
      </c>
      <c r="J136" s="135">
        <f t="shared" si="21"/>
        <v>40625198.759999998</v>
      </c>
      <c r="K136" s="14"/>
      <c r="L136" s="14"/>
    </row>
    <row r="137" spans="1:12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</row>
    <row r="138" spans="1:12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</row>
    <row r="139" spans="1:12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</row>
    <row r="140" spans="1:12" x14ac:dyDescent="0.3">
      <c r="A140" s="15" t="s">
        <v>105</v>
      </c>
      <c r="B140" s="90">
        <v>18</v>
      </c>
      <c r="C140" s="492" t="s">
        <v>158</v>
      </c>
      <c r="D140" s="492"/>
      <c r="E140" s="14"/>
      <c r="F140" s="14"/>
      <c r="G140" s="14"/>
      <c r="H140" s="14"/>
      <c r="I140" s="14"/>
      <c r="J140" s="14"/>
      <c r="K140" s="14"/>
      <c r="L140" s="14"/>
    </row>
    <row r="141" spans="1:12" x14ac:dyDescent="0.3">
      <c r="A141" s="14"/>
      <c r="B141" s="14"/>
      <c r="C141" s="480" t="s">
        <v>107</v>
      </c>
      <c r="D141" s="487"/>
      <c r="E141" s="480" t="s">
        <v>137</v>
      </c>
      <c r="F141" s="478" t="s">
        <v>138</v>
      </c>
      <c r="G141" s="14"/>
      <c r="H141" s="14"/>
      <c r="I141" s="14"/>
      <c r="J141" s="14"/>
      <c r="K141" s="14"/>
      <c r="L141" s="14"/>
    </row>
    <row r="142" spans="1:12" x14ac:dyDescent="0.3">
      <c r="A142" s="14"/>
      <c r="B142" s="14"/>
      <c r="C142" s="488"/>
      <c r="D142" s="489"/>
      <c r="E142" s="481" t="s">
        <v>113</v>
      </c>
      <c r="F142" s="493"/>
      <c r="G142" s="14"/>
      <c r="H142" s="14"/>
      <c r="I142" s="14"/>
      <c r="J142" s="14"/>
      <c r="K142" s="14"/>
      <c r="L142" s="14"/>
    </row>
    <row r="143" spans="1:12" x14ac:dyDescent="0.3">
      <c r="A143" s="14"/>
      <c r="B143" s="14"/>
      <c r="C143" s="33" t="s">
        <v>139</v>
      </c>
      <c r="D143" s="109">
        <v>0.05</v>
      </c>
      <c r="E143" s="119">
        <f>F143/12</f>
        <v>12893.75</v>
      </c>
      <c r="F143" s="43">
        <f>E37*D143</f>
        <v>154725</v>
      </c>
      <c r="G143" s="14"/>
      <c r="H143" s="14"/>
      <c r="I143" s="14"/>
      <c r="J143" s="14"/>
      <c r="K143" s="14"/>
      <c r="L143" s="14"/>
    </row>
    <row r="144" spans="1:12" x14ac:dyDescent="0.3">
      <c r="A144" s="14"/>
      <c r="B144" s="14"/>
      <c r="C144" s="112" t="s">
        <v>140</v>
      </c>
      <c r="D144" s="116">
        <v>0.04</v>
      </c>
      <c r="E144" s="119">
        <f>F144/12</f>
        <v>36591.033333333326</v>
      </c>
      <c r="F144" s="119">
        <f>((E34*E45)+(E35*E46)+(E36*E47)+(E37*E48)+(E38*E49))*D144</f>
        <v>439092.39999999991</v>
      </c>
      <c r="G144" s="14"/>
      <c r="H144" s="14"/>
      <c r="I144" s="14"/>
      <c r="J144" s="14"/>
      <c r="K144" s="14"/>
      <c r="L144" s="14"/>
    </row>
    <row r="145" spans="1:12" ht="26.4" x14ac:dyDescent="0.3">
      <c r="A145" s="14"/>
      <c r="B145" s="14"/>
      <c r="C145" s="91" t="s">
        <v>141</v>
      </c>
      <c r="D145" s="97" t="s">
        <v>142</v>
      </c>
      <c r="E145" s="119">
        <f t="shared" ref="E145:E148" si="22">F145/12</f>
        <v>0</v>
      </c>
      <c r="F145" s="43">
        <f>F54</f>
        <v>0</v>
      </c>
      <c r="G145" s="14"/>
      <c r="H145" s="14"/>
      <c r="I145" s="14"/>
      <c r="J145" s="23"/>
      <c r="K145" s="14"/>
      <c r="L145" s="14"/>
    </row>
    <row r="146" spans="1:12" ht="26.4" x14ac:dyDescent="0.3">
      <c r="A146" s="14"/>
      <c r="B146" s="14"/>
      <c r="C146" s="91" t="s">
        <v>143</v>
      </c>
      <c r="D146" s="113" t="s">
        <v>142</v>
      </c>
      <c r="E146" s="119">
        <f t="shared" si="22"/>
        <v>10129.499999999998</v>
      </c>
      <c r="F146" s="43">
        <f>F55</f>
        <v>121553.99999999997</v>
      </c>
      <c r="G146" s="14"/>
      <c r="H146" s="14"/>
      <c r="I146" s="14"/>
      <c r="J146" s="14"/>
      <c r="K146" s="14" t="s">
        <v>159</v>
      </c>
      <c r="L146" s="14"/>
    </row>
    <row r="147" spans="1:12" ht="26.4" x14ac:dyDescent="0.3">
      <c r="A147" s="14"/>
      <c r="B147" s="14"/>
      <c r="C147" s="91" t="s">
        <v>144</v>
      </c>
      <c r="D147" s="97" t="s">
        <v>142</v>
      </c>
      <c r="E147" s="119">
        <f t="shared" si="22"/>
        <v>116278.66666666664</v>
      </c>
      <c r="F147" s="43">
        <f>F56</f>
        <v>1395343.9999999998</v>
      </c>
      <c r="G147" s="14"/>
      <c r="H147" s="14"/>
      <c r="I147" s="14"/>
      <c r="J147" s="14"/>
      <c r="K147" s="14"/>
      <c r="L147" s="14"/>
    </row>
    <row r="148" spans="1:12" ht="26.4" x14ac:dyDescent="0.3">
      <c r="A148" s="14"/>
      <c r="B148" s="14"/>
      <c r="C148" s="91" t="s">
        <v>145</v>
      </c>
      <c r="D148" s="97" t="s">
        <v>142</v>
      </c>
      <c r="E148" s="119">
        <f t="shared" si="22"/>
        <v>46417.5</v>
      </c>
      <c r="F148" s="43">
        <f>F57</f>
        <v>557010</v>
      </c>
      <c r="G148" s="14"/>
      <c r="H148" s="14"/>
      <c r="I148" s="14"/>
      <c r="J148" s="14"/>
      <c r="K148" s="14"/>
      <c r="L148" s="14"/>
    </row>
    <row r="149" spans="1:12" ht="26.4" x14ac:dyDescent="0.3">
      <c r="A149" s="14"/>
      <c r="B149" s="14"/>
      <c r="C149" s="91" t="s">
        <v>146</v>
      </c>
      <c r="D149" s="97" t="s">
        <v>142</v>
      </c>
      <c r="E149" s="119">
        <f>F149/12</f>
        <v>0</v>
      </c>
      <c r="F149" s="43">
        <f>F58</f>
        <v>0</v>
      </c>
      <c r="G149" s="14"/>
      <c r="H149" s="14"/>
      <c r="I149" s="14"/>
      <c r="J149" s="14"/>
      <c r="K149" s="14"/>
      <c r="L149" s="14"/>
    </row>
    <row r="150" spans="1:12" x14ac:dyDescent="0.3">
      <c r="A150" s="14"/>
      <c r="B150" s="14"/>
      <c r="C150" s="112" t="s">
        <v>148</v>
      </c>
      <c r="D150" s="97" t="s">
        <v>74</v>
      </c>
      <c r="E150" s="120">
        <f>INVERSIONES!E117</f>
        <v>199999.99999999994</v>
      </c>
      <c r="F150" s="43">
        <f>E150*12</f>
        <v>2399999.9999999991</v>
      </c>
      <c r="G150" s="14"/>
      <c r="H150" s="14"/>
      <c r="I150" s="14"/>
      <c r="J150" s="14"/>
      <c r="K150" s="14"/>
      <c r="L150" s="14"/>
    </row>
    <row r="151" spans="1:12" x14ac:dyDescent="0.3">
      <c r="A151" s="14"/>
      <c r="B151" s="14"/>
      <c r="C151" s="33" t="s">
        <v>147</v>
      </c>
      <c r="D151" s="97" t="s">
        <v>74</v>
      </c>
      <c r="E151" s="119">
        <f>INVERSIONES!E116+INVERSIONES!E118+INVERSIONES!E119+INVERSIONES!E120</f>
        <v>245499.99999999997</v>
      </c>
      <c r="F151" s="43">
        <f t="shared" ref="F151:F157" si="23">E151*12</f>
        <v>2945999.9999999995</v>
      </c>
      <c r="G151" s="14"/>
      <c r="H151" s="14"/>
      <c r="I151" s="14"/>
      <c r="J151" s="14"/>
      <c r="K151" s="14"/>
      <c r="L151" s="14"/>
    </row>
    <row r="152" spans="1:12" x14ac:dyDescent="0.3">
      <c r="A152" s="14"/>
      <c r="B152" s="14"/>
      <c r="C152" s="33" t="s">
        <v>160</v>
      </c>
      <c r="D152" s="97"/>
      <c r="E152" s="121">
        <f>+G152/2</f>
        <v>300000</v>
      </c>
      <c r="F152" s="43">
        <f t="shared" si="23"/>
        <v>3600000</v>
      </c>
      <c r="G152" s="18">
        <v>600000</v>
      </c>
      <c r="H152" s="23"/>
      <c r="I152" s="14"/>
      <c r="J152" s="14"/>
      <c r="K152" s="14"/>
      <c r="L152" s="14"/>
    </row>
    <row r="153" spans="1:12" x14ac:dyDescent="0.3">
      <c r="A153" s="14"/>
      <c r="B153" s="14"/>
      <c r="C153" s="33" t="s">
        <v>161</v>
      </c>
      <c r="D153" s="97"/>
      <c r="E153" s="121">
        <f t="shared" ref="E153:E155" si="24">+G153/2</f>
        <v>25000</v>
      </c>
      <c r="F153" s="43">
        <f t="shared" si="23"/>
        <v>300000</v>
      </c>
      <c r="G153" s="18">
        <v>50000</v>
      </c>
      <c r="H153" s="14"/>
      <c r="I153" s="14"/>
      <c r="J153" s="14"/>
      <c r="K153" s="14"/>
      <c r="L153" s="14"/>
    </row>
    <row r="154" spans="1:12" x14ac:dyDescent="0.3">
      <c r="A154" s="14"/>
      <c r="B154" s="14"/>
      <c r="C154" s="29" t="s">
        <v>487</v>
      </c>
      <c r="D154" s="97"/>
      <c r="E154" s="121">
        <f t="shared" si="24"/>
        <v>250000</v>
      </c>
      <c r="F154" s="43">
        <f t="shared" si="23"/>
        <v>3000000</v>
      </c>
      <c r="G154" s="18">
        <v>500000</v>
      </c>
      <c r="H154" s="14"/>
      <c r="I154" s="14"/>
      <c r="J154" s="14"/>
      <c r="K154" s="14"/>
      <c r="L154" s="14"/>
    </row>
    <row r="155" spans="1:12" x14ac:dyDescent="0.3">
      <c r="A155" s="14"/>
      <c r="B155" s="14"/>
      <c r="C155" s="29" t="s">
        <v>162</v>
      </c>
      <c r="D155" s="97"/>
      <c r="E155" s="121">
        <f t="shared" si="24"/>
        <v>25000</v>
      </c>
      <c r="F155" s="43">
        <f t="shared" si="23"/>
        <v>300000</v>
      </c>
      <c r="G155" s="18">
        <v>50000</v>
      </c>
      <c r="H155" s="14"/>
      <c r="I155" s="14"/>
      <c r="J155" s="14"/>
      <c r="K155" s="14"/>
      <c r="L155" s="14"/>
    </row>
    <row r="156" spans="1:12" x14ac:dyDescent="0.3">
      <c r="A156" s="14"/>
      <c r="B156" s="14"/>
      <c r="C156" s="33" t="s">
        <v>163</v>
      </c>
      <c r="D156" s="97"/>
      <c r="E156" s="119">
        <f>F156/12</f>
        <v>205166.66666666666</v>
      </c>
      <c r="F156" s="43">
        <f>INVERSIONES!D98</f>
        <v>2462000</v>
      </c>
      <c r="G156" s="14"/>
      <c r="H156" s="14"/>
      <c r="I156" s="14"/>
      <c r="J156" s="14"/>
      <c r="K156" s="14"/>
      <c r="L156" s="14"/>
    </row>
    <row r="157" spans="1:12" ht="26.4" x14ac:dyDescent="0.3">
      <c r="A157" s="14"/>
      <c r="B157" s="14"/>
      <c r="C157" s="91" t="s">
        <v>209</v>
      </c>
      <c r="D157" s="97"/>
      <c r="E157" s="121">
        <f>+G157/2</f>
        <v>450000</v>
      </c>
      <c r="F157" s="43">
        <f t="shared" si="23"/>
        <v>5400000</v>
      </c>
      <c r="G157" s="18">
        <v>900000</v>
      </c>
      <c r="H157" s="14"/>
      <c r="I157" s="14"/>
      <c r="J157" s="14"/>
      <c r="K157" s="14"/>
      <c r="L157" s="14"/>
    </row>
    <row r="158" spans="1:12" x14ac:dyDescent="0.3">
      <c r="A158" s="14"/>
      <c r="B158" s="14"/>
      <c r="C158" s="453" t="s">
        <v>25</v>
      </c>
      <c r="D158" s="485"/>
      <c r="E158" s="135">
        <f>SUM(E143:E157)</f>
        <v>1922977.1166666665</v>
      </c>
      <c r="F158" s="135">
        <f>SUM(F143:F157)</f>
        <v>23075725.399999999</v>
      </c>
      <c r="G158" s="14"/>
      <c r="H158" s="14"/>
      <c r="I158" s="14"/>
      <c r="J158" s="14"/>
      <c r="K158" s="14"/>
      <c r="L158" s="14"/>
    </row>
    <row r="159" spans="1:12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</row>
    <row r="160" spans="1:12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</row>
    <row r="161" spans="1:12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</row>
    <row r="162" spans="1:12" x14ac:dyDescent="0.3">
      <c r="A162" s="15" t="s">
        <v>105</v>
      </c>
      <c r="B162" s="90">
        <v>19</v>
      </c>
      <c r="C162" s="15" t="s">
        <v>164</v>
      </c>
      <c r="D162" s="14"/>
      <c r="E162" s="14"/>
      <c r="F162" s="14"/>
      <c r="G162" s="14"/>
      <c r="H162" s="14"/>
      <c r="I162" s="14"/>
      <c r="J162" s="14"/>
      <c r="K162" s="14"/>
      <c r="L162" s="14"/>
    </row>
    <row r="163" spans="1:12" x14ac:dyDescent="0.3">
      <c r="A163" s="14"/>
      <c r="B163" s="14"/>
      <c r="C163" s="478" t="s">
        <v>107</v>
      </c>
      <c r="D163" s="480" t="s">
        <v>32</v>
      </c>
      <c r="E163" s="480" t="s">
        <v>108</v>
      </c>
      <c r="F163" s="478" t="s">
        <v>109</v>
      </c>
      <c r="G163" s="478" t="s">
        <v>110</v>
      </c>
      <c r="H163" s="482" t="s">
        <v>111</v>
      </c>
      <c r="I163" s="483"/>
      <c r="J163" s="478" t="s">
        <v>112</v>
      </c>
      <c r="K163" s="14"/>
      <c r="L163" s="14"/>
    </row>
    <row r="164" spans="1:12" x14ac:dyDescent="0.3">
      <c r="A164" s="14"/>
      <c r="B164" s="14"/>
      <c r="C164" s="479"/>
      <c r="D164" s="481"/>
      <c r="E164" s="481" t="s">
        <v>113</v>
      </c>
      <c r="F164" s="484"/>
      <c r="G164" s="484"/>
      <c r="H164" s="41" t="s">
        <v>114</v>
      </c>
      <c r="I164" s="41" t="s">
        <v>25</v>
      </c>
      <c r="J164" s="479"/>
      <c r="K164" s="14"/>
      <c r="L164" s="14"/>
    </row>
    <row r="165" spans="1:12" x14ac:dyDescent="0.3">
      <c r="A165" s="14"/>
      <c r="B165" s="14"/>
      <c r="C165" s="91" t="s">
        <v>489</v>
      </c>
      <c r="D165" s="21">
        <v>1</v>
      </c>
      <c r="E165" s="16">
        <v>1300000</v>
      </c>
      <c r="F165" s="16">
        <v>162000</v>
      </c>
      <c r="G165" s="43">
        <f>(E165+F165)*$E$14</f>
        <v>916425.45999999985</v>
      </c>
      <c r="H165" s="43">
        <f>+K165/2</f>
        <v>1189212.73</v>
      </c>
      <c r="I165" s="43">
        <f>D165*H165</f>
        <v>1189212.73</v>
      </c>
      <c r="J165" s="43">
        <f>I165*12</f>
        <v>14270552.76</v>
      </c>
      <c r="K165" s="23">
        <f>+E165+F165+G165</f>
        <v>2378425.46</v>
      </c>
      <c r="L165" s="14"/>
    </row>
    <row r="166" spans="1:12" x14ac:dyDescent="0.3">
      <c r="A166" s="14"/>
      <c r="B166" s="14"/>
      <c r="C166" s="21"/>
      <c r="D166" s="21"/>
      <c r="E166" s="16"/>
      <c r="F166" s="16"/>
      <c r="G166" s="43">
        <f>(E166+F166)*$E$14</f>
        <v>0</v>
      </c>
      <c r="H166" s="43">
        <f>E166+F166+G166</f>
        <v>0</v>
      </c>
      <c r="I166" s="43">
        <f>D166*H166</f>
        <v>0</v>
      </c>
      <c r="J166" s="43">
        <f>I166*12</f>
        <v>0</v>
      </c>
      <c r="K166" s="14"/>
      <c r="L166" s="14"/>
    </row>
    <row r="167" spans="1:12" x14ac:dyDescent="0.3">
      <c r="A167" s="14"/>
      <c r="B167" s="14"/>
      <c r="C167" s="21"/>
      <c r="D167" s="21"/>
      <c r="E167" s="16"/>
      <c r="F167" s="16"/>
      <c r="G167" s="43">
        <f>(E167+F167)*$E$14</f>
        <v>0</v>
      </c>
      <c r="H167" s="43">
        <f>E167+F167+G167</f>
        <v>0</v>
      </c>
      <c r="I167" s="43">
        <f>D167*H167</f>
        <v>0</v>
      </c>
      <c r="J167" s="43">
        <f>I167*12</f>
        <v>0</v>
      </c>
      <c r="K167" s="14"/>
      <c r="L167" s="14"/>
    </row>
    <row r="168" spans="1:12" x14ac:dyDescent="0.3">
      <c r="A168" s="14"/>
      <c r="B168" s="14"/>
      <c r="C168" s="20"/>
      <c r="D168" s="21"/>
      <c r="E168" s="16"/>
      <c r="F168" s="16"/>
      <c r="G168" s="43">
        <f>(E168+F168)*$E$14</f>
        <v>0</v>
      </c>
      <c r="H168" s="43">
        <f>E168+F168+G168</f>
        <v>0</v>
      </c>
      <c r="I168" s="43">
        <f>D168*H168</f>
        <v>0</v>
      </c>
      <c r="J168" s="43">
        <f>I168*12</f>
        <v>0</v>
      </c>
      <c r="K168" s="14"/>
      <c r="L168" s="14"/>
    </row>
    <row r="169" spans="1:12" x14ac:dyDescent="0.3">
      <c r="A169" s="14"/>
      <c r="B169" s="14"/>
      <c r="C169" s="39" t="s">
        <v>25</v>
      </c>
      <c r="D169" s="138">
        <f>SUM(D165:D168)</f>
        <v>1</v>
      </c>
      <c r="E169" s="135">
        <f>SUM(E165:E168)</f>
        <v>1300000</v>
      </c>
      <c r="F169" s="135">
        <f>SUM(F165:F168)</f>
        <v>162000</v>
      </c>
      <c r="G169" s="135">
        <f t="shared" ref="G169:J169" si="25">SUM(G165:G168)</f>
        <v>916425.45999999985</v>
      </c>
      <c r="H169" s="135">
        <f t="shared" si="25"/>
        <v>1189212.73</v>
      </c>
      <c r="I169" s="135">
        <f t="shared" si="25"/>
        <v>1189212.73</v>
      </c>
      <c r="J169" s="135">
        <f t="shared" si="25"/>
        <v>14270552.76</v>
      </c>
      <c r="K169" s="14"/>
      <c r="L169" s="14"/>
    </row>
    <row r="170" spans="1:12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</row>
    <row r="171" spans="1:12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</row>
    <row r="172" spans="1:12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</row>
    <row r="173" spans="1:12" x14ac:dyDescent="0.3">
      <c r="A173" s="15" t="s">
        <v>105</v>
      </c>
      <c r="B173" s="90">
        <v>20</v>
      </c>
      <c r="C173" s="492" t="s">
        <v>165</v>
      </c>
      <c r="D173" s="492"/>
      <c r="E173" s="14"/>
      <c r="F173" s="14"/>
      <c r="G173" s="14"/>
      <c r="H173" s="14"/>
      <c r="I173" s="14"/>
      <c r="J173" s="14"/>
      <c r="K173" s="14"/>
      <c r="L173" s="14"/>
    </row>
    <row r="174" spans="1:12" x14ac:dyDescent="0.3">
      <c r="A174" s="14"/>
      <c r="B174" s="14"/>
      <c r="C174" s="480" t="s">
        <v>107</v>
      </c>
      <c r="D174" s="487"/>
      <c r="E174" s="480" t="s">
        <v>137</v>
      </c>
      <c r="F174" s="478" t="s">
        <v>138</v>
      </c>
      <c r="G174" s="14"/>
      <c r="H174" s="14"/>
      <c r="I174" s="14"/>
      <c r="J174" s="14"/>
      <c r="K174" s="14"/>
      <c r="L174" s="14"/>
    </row>
    <row r="175" spans="1:12" x14ac:dyDescent="0.3">
      <c r="A175" s="14"/>
      <c r="B175" s="14"/>
      <c r="C175" s="488"/>
      <c r="D175" s="489"/>
      <c r="E175" s="481" t="s">
        <v>113</v>
      </c>
      <c r="F175" s="493"/>
      <c r="G175" s="14"/>
      <c r="H175" s="14"/>
      <c r="I175" s="14"/>
      <c r="J175" s="14"/>
      <c r="K175" s="14"/>
      <c r="L175" s="14"/>
    </row>
    <row r="176" spans="1:12" ht="26.4" x14ac:dyDescent="0.3">
      <c r="A176" s="14"/>
      <c r="B176" s="14"/>
      <c r="C176" s="91" t="s">
        <v>156</v>
      </c>
      <c r="D176" s="109" t="s">
        <v>166</v>
      </c>
      <c r="E176" s="43">
        <f>F176/12</f>
        <v>3385433.23</v>
      </c>
      <c r="F176" s="43">
        <f>J136</f>
        <v>40625198.759999998</v>
      </c>
      <c r="G176" s="14"/>
      <c r="H176" s="14"/>
      <c r="I176" s="14"/>
      <c r="J176" s="14"/>
      <c r="K176" s="14"/>
      <c r="L176" s="14"/>
    </row>
    <row r="177" spans="1:12" ht="26.4" x14ac:dyDescent="0.3">
      <c r="A177" s="14"/>
      <c r="B177" s="14"/>
      <c r="C177" s="91" t="s">
        <v>167</v>
      </c>
      <c r="D177" s="109" t="s">
        <v>168</v>
      </c>
      <c r="E177" s="43">
        <f>F177/12</f>
        <v>1189212.73</v>
      </c>
      <c r="F177" s="43">
        <f>J169</f>
        <v>14270552.76</v>
      </c>
      <c r="G177" s="14"/>
      <c r="H177" s="14"/>
      <c r="I177" s="14"/>
      <c r="J177" s="14"/>
      <c r="K177" s="14"/>
      <c r="L177" s="14"/>
    </row>
    <row r="178" spans="1:12" x14ac:dyDescent="0.3">
      <c r="A178" s="14"/>
      <c r="B178" s="14"/>
      <c r="C178" s="141" t="s">
        <v>158</v>
      </c>
      <c r="D178" s="116" t="s">
        <v>169</v>
      </c>
      <c r="E178" s="43">
        <f>F178/12</f>
        <v>1922977.1166666665</v>
      </c>
      <c r="F178" s="43">
        <f>F158</f>
        <v>23075725.399999999</v>
      </c>
      <c r="G178" s="14"/>
      <c r="H178" s="14"/>
      <c r="I178" s="14"/>
      <c r="J178" s="14"/>
      <c r="K178" s="14"/>
      <c r="L178" s="14"/>
    </row>
    <row r="179" spans="1:12" x14ac:dyDescent="0.3">
      <c r="A179" s="14"/>
      <c r="B179" s="14"/>
      <c r="C179" s="453" t="s">
        <v>25</v>
      </c>
      <c r="D179" s="485"/>
      <c r="E179" s="135">
        <f>SUM(E176:E178)</f>
        <v>6497623.0766666662</v>
      </c>
      <c r="F179" s="135">
        <f>SUM(F176:F178)</f>
        <v>77971476.919999987</v>
      </c>
      <c r="G179" s="14"/>
      <c r="H179" s="14"/>
      <c r="I179" s="14"/>
      <c r="J179" s="14"/>
      <c r="K179" s="14"/>
      <c r="L179" s="14"/>
    </row>
    <row r="180" spans="1:12" x14ac:dyDescent="0.3">
      <c r="A180" s="14"/>
      <c r="B180" s="14"/>
      <c r="C180" s="122"/>
      <c r="D180" s="123"/>
      <c r="E180" s="14"/>
      <c r="F180" s="14"/>
      <c r="G180" s="14"/>
      <c r="H180" s="14"/>
      <c r="I180" s="14"/>
      <c r="J180" s="14"/>
      <c r="K180" s="14"/>
      <c r="L180" s="14"/>
    </row>
    <row r="181" spans="1:12" x14ac:dyDescent="0.3">
      <c r="A181" s="14"/>
      <c r="B181" s="14"/>
      <c r="C181" s="122"/>
      <c r="D181" s="123"/>
      <c r="E181" s="14"/>
      <c r="F181" s="14"/>
      <c r="G181" s="14"/>
      <c r="H181" s="14"/>
      <c r="I181" s="14"/>
      <c r="J181" s="14"/>
      <c r="K181" s="14"/>
      <c r="L181" s="14"/>
    </row>
    <row r="182" spans="1:12" x14ac:dyDescent="0.3">
      <c r="A182" s="14"/>
      <c r="B182" s="14"/>
      <c r="C182" s="122"/>
      <c r="D182" s="123"/>
      <c r="E182" s="14"/>
      <c r="F182" s="14"/>
      <c r="G182" s="14"/>
      <c r="H182" s="14"/>
      <c r="I182" s="14"/>
      <c r="J182" s="14"/>
      <c r="K182" s="14"/>
      <c r="L182" s="14"/>
    </row>
    <row r="183" spans="1:12" x14ac:dyDescent="0.3">
      <c r="A183" s="15" t="s">
        <v>105</v>
      </c>
      <c r="B183" s="90">
        <v>21</v>
      </c>
      <c r="C183" s="492" t="s">
        <v>170</v>
      </c>
      <c r="D183" s="492"/>
      <c r="E183" s="14"/>
      <c r="F183" s="14"/>
      <c r="G183" s="14"/>
      <c r="H183" s="14"/>
      <c r="I183" s="14"/>
      <c r="J183" s="14"/>
      <c r="K183" s="14"/>
      <c r="L183" s="14"/>
    </row>
    <row r="184" spans="1:12" x14ac:dyDescent="0.3">
      <c r="A184" s="14"/>
      <c r="B184" s="14"/>
      <c r="C184" s="480" t="s">
        <v>171</v>
      </c>
      <c r="D184" s="487"/>
      <c r="E184" s="478" t="s">
        <v>172</v>
      </c>
      <c r="F184" s="14"/>
      <c r="G184" s="14"/>
      <c r="H184" s="14"/>
      <c r="I184" s="14"/>
      <c r="J184" s="14"/>
      <c r="K184" s="14"/>
      <c r="L184" s="14"/>
    </row>
    <row r="185" spans="1:12" x14ac:dyDescent="0.3">
      <c r="A185" s="14"/>
      <c r="B185" s="14"/>
      <c r="C185" s="488"/>
      <c r="D185" s="489"/>
      <c r="E185" s="479" t="s">
        <v>113</v>
      </c>
      <c r="F185" s="14"/>
      <c r="G185" s="14"/>
      <c r="H185" s="14"/>
      <c r="I185" s="14"/>
      <c r="J185" s="14"/>
      <c r="K185" s="14"/>
      <c r="L185" s="14"/>
    </row>
    <row r="186" spans="1:12" x14ac:dyDescent="0.3">
      <c r="A186" s="14"/>
      <c r="B186" s="14"/>
      <c r="C186" s="33" t="s">
        <v>173</v>
      </c>
      <c r="D186" s="109" t="s">
        <v>174</v>
      </c>
      <c r="E186" s="43">
        <v>1052090.9780916909</v>
      </c>
      <c r="F186" s="14"/>
      <c r="G186" s="14"/>
      <c r="H186" s="14"/>
      <c r="I186" s="14"/>
      <c r="J186" s="14"/>
      <c r="K186" s="14"/>
      <c r="L186" s="14"/>
    </row>
    <row r="187" spans="1:12" x14ac:dyDescent="0.3">
      <c r="A187" s="14"/>
      <c r="B187" s="14"/>
      <c r="C187" s="33" t="s">
        <v>175</v>
      </c>
      <c r="D187" s="109" t="s">
        <v>174</v>
      </c>
      <c r="E187" s="43">
        <v>1037736.3677904157</v>
      </c>
      <c r="F187" s="14"/>
      <c r="G187" s="14"/>
      <c r="H187" s="14"/>
      <c r="I187" s="14"/>
      <c r="J187" s="14"/>
      <c r="K187" s="14"/>
      <c r="L187" s="14"/>
    </row>
    <row r="188" spans="1:12" x14ac:dyDescent="0.3">
      <c r="A188" s="14"/>
      <c r="B188" s="14"/>
      <c r="C188" s="33" t="s">
        <v>176</v>
      </c>
      <c r="D188" s="109" t="s">
        <v>174</v>
      </c>
      <c r="E188" s="43">
        <v>1023137.7291140187</v>
      </c>
      <c r="F188" s="14"/>
      <c r="G188" s="14"/>
      <c r="H188" s="14"/>
      <c r="I188" s="14"/>
      <c r="J188" s="14"/>
      <c r="K188" s="14"/>
      <c r="L188" s="14"/>
    </row>
    <row r="189" spans="1:12" x14ac:dyDescent="0.3">
      <c r="A189" s="14"/>
      <c r="B189" s="14"/>
      <c r="C189" s="14"/>
      <c r="D189" s="14"/>
      <c r="E189" s="23">
        <f>+SUM(E186:E188)</f>
        <v>3112965.0749961254</v>
      </c>
      <c r="F189" s="14"/>
      <c r="G189" s="14"/>
      <c r="H189" s="14"/>
      <c r="I189" s="14"/>
      <c r="J189" s="14"/>
      <c r="K189" s="14"/>
      <c r="L189" s="14"/>
    </row>
    <row r="190" spans="1:12" ht="15" thickBot="1" x14ac:dyDescent="0.35">
      <c r="A190" s="14"/>
      <c r="B190" s="14"/>
      <c r="C190" s="14"/>
      <c r="D190" s="14"/>
      <c r="E190" s="14"/>
      <c r="F190" s="14"/>
      <c r="G190" s="32"/>
      <c r="H190" s="14"/>
      <c r="I190" s="14"/>
      <c r="J190" s="14"/>
      <c r="K190" s="14"/>
      <c r="L190" s="14"/>
    </row>
    <row r="191" spans="1:12" ht="15" thickBot="1" x14ac:dyDescent="0.35">
      <c r="A191" s="14"/>
      <c r="B191" s="14"/>
      <c r="C191" s="124">
        <v>3</v>
      </c>
      <c r="D191" s="57" t="s">
        <v>525</v>
      </c>
      <c r="E191" s="125"/>
      <c r="F191" s="125"/>
      <c r="G191" s="126"/>
      <c r="K191" s="14"/>
      <c r="L191" s="14"/>
    </row>
    <row r="192" spans="1:12" x14ac:dyDescent="0.3">
      <c r="A192" s="14"/>
      <c r="B192" s="14"/>
      <c r="C192" s="14"/>
      <c r="D192" s="14"/>
      <c r="E192" s="14"/>
      <c r="F192" s="127"/>
      <c r="G192" s="15"/>
      <c r="H192" s="14"/>
      <c r="I192" s="14"/>
      <c r="J192" s="14"/>
      <c r="K192" s="14"/>
      <c r="L192" s="14"/>
    </row>
    <row r="193" spans="1:12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</row>
    <row r="194" spans="1:12" x14ac:dyDescent="0.3">
      <c r="A194" s="15" t="s">
        <v>105</v>
      </c>
      <c r="B194" s="90">
        <v>22</v>
      </c>
      <c r="C194" s="492" t="s">
        <v>177</v>
      </c>
      <c r="D194" s="492"/>
      <c r="E194" s="14"/>
      <c r="F194" s="14"/>
      <c r="G194" s="14"/>
      <c r="H194" s="14"/>
      <c r="I194" s="14"/>
      <c r="J194" s="14"/>
      <c r="K194" s="14"/>
      <c r="L194" s="14"/>
    </row>
    <row r="195" spans="1:12" x14ac:dyDescent="0.3">
      <c r="A195" s="14"/>
      <c r="B195" s="14"/>
      <c r="C195" s="480" t="s">
        <v>178</v>
      </c>
      <c r="D195" s="487"/>
      <c r="E195" s="480" t="s">
        <v>172</v>
      </c>
      <c r="F195" s="478" t="s">
        <v>179</v>
      </c>
      <c r="G195" s="14"/>
      <c r="H195" s="14"/>
      <c r="I195" s="14"/>
      <c r="J195" s="14"/>
      <c r="K195" s="14"/>
      <c r="L195" s="14"/>
    </row>
    <row r="196" spans="1:12" x14ac:dyDescent="0.3">
      <c r="A196" s="14"/>
      <c r="B196" s="14"/>
      <c r="C196" s="488"/>
      <c r="D196" s="489"/>
      <c r="E196" s="481" t="s">
        <v>113</v>
      </c>
      <c r="F196" s="479"/>
      <c r="G196" s="14"/>
      <c r="H196" s="14"/>
      <c r="I196" s="14"/>
      <c r="J196" s="14"/>
      <c r="K196" s="14"/>
      <c r="L196" s="14"/>
    </row>
    <row r="197" spans="1:12" ht="26.4" x14ac:dyDescent="0.3">
      <c r="A197" s="14"/>
      <c r="B197" s="14"/>
      <c r="C197" s="142" t="s">
        <v>180</v>
      </c>
      <c r="D197" s="97" t="s">
        <v>181</v>
      </c>
      <c r="E197" s="43">
        <f>E123</f>
        <v>30109177.653392859</v>
      </c>
      <c r="F197" s="119">
        <f>E197*C191</f>
        <v>90327532.960178584</v>
      </c>
      <c r="G197" s="14"/>
      <c r="H197" s="14"/>
      <c r="I197" s="14"/>
      <c r="J197" s="14"/>
      <c r="K197" s="14"/>
      <c r="L197" s="14"/>
    </row>
    <row r="198" spans="1:12" ht="26.4" x14ac:dyDescent="0.3">
      <c r="A198" s="14"/>
      <c r="B198" s="14"/>
      <c r="C198" s="142" t="s">
        <v>182</v>
      </c>
      <c r="D198" s="97" t="s">
        <v>183</v>
      </c>
      <c r="E198" s="43">
        <f>E179</f>
        <v>6497623.0766666662</v>
      </c>
      <c r="F198" s="119">
        <f>E198*C191</f>
        <v>19492869.229999997</v>
      </c>
      <c r="G198" s="14"/>
      <c r="H198" s="14"/>
      <c r="I198" s="14"/>
      <c r="J198" s="14"/>
      <c r="K198" s="14"/>
      <c r="L198" s="14"/>
    </row>
    <row r="199" spans="1:12" x14ac:dyDescent="0.3">
      <c r="A199" s="14"/>
      <c r="B199" s="14"/>
      <c r="C199" s="142" t="s">
        <v>170</v>
      </c>
      <c r="D199" s="97" t="s">
        <v>184</v>
      </c>
      <c r="E199" s="43">
        <f>E186</f>
        <v>1052090.9780916909</v>
      </c>
      <c r="F199" s="119">
        <f>E186+E187</f>
        <v>2089827.3458821066</v>
      </c>
      <c r="G199" s="14"/>
      <c r="H199" s="14"/>
      <c r="I199" s="14"/>
      <c r="J199" s="14"/>
      <c r="K199" s="14"/>
      <c r="L199" s="14"/>
    </row>
    <row r="200" spans="1:12" x14ac:dyDescent="0.3">
      <c r="A200" s="14"/>
      <c r="B200" s="14"/>
      <c r="C200" s="142" t="s">
        <v>185</v>
      </c>
      <c r="D200" s="97" t="s">
        <v>186</v>
      </c>
      <c r="E200" s="43">
        <f>+(PROYECCIONES!F30*0.004)/12</f>
        <v>210600</v>
      </c>
      <c r="F200" s="43">
        <f>E200*C191</f>
        <v>631800</v>
      </c>
      <c r="G200" s="14"/>
      <c r="H200" s="14"/>
      <c r="I200" s="14"/>
      <c r="J200" s="14"/>
      <c r="K200" s="14"/>
      <c r="L200" s="14"/>
    </row>
    <row r="201" spans="1:12" ht="26.4" x14ac:dyDescent="0.3">
      <c r="A201" s="14"/>
      <c r="B201" s="14"/>
      <c r="C201" s="142" t="s">
        <v>187</v>
      </c>
      <c r="D201" s="97" t="s">
        <v>188</v>
      </c>
      <c r="E201" s="43">
        <f>(E156+E149+E148+E147+E146+E145+E105+E106+E107+E108+E109)</f>
        <v>1576473.3333333333</v>
      </c>
      <c r="F201" s="43">
        <f>E201*C191</f>
        <v>4729420</v>
      </c>
      <c r="G201" s="14"/>
      <c r="H201" s="14"/>
      <c r="I201" s="14"/>
      <c r="J201" s="14"/>
      <c r="K201" s="14"/>
      <c r="L201" s="14"/>
    </row>
    <row r="202" spans="1:12" x14ac:dyDescent="0.3">
      <c r="A202" s="14"/>
      <c r="B202" s="14"/>
      <c r="C202" s="453" t="s">
        <v>25</v>
      </c>
      <c r="D202" s="485"/>
      <c r="E202" s="135">
        <f>SUM(E197:E200)-E201</f>
        <v>36293018.374817885</v>
      </c>
      <c r="F202" s="135">
        <f>SUM(F197:F200)-F201</f>
        <v>107812609.53606068</v>
      </c>
      <c r="G202" s="14"/>
      <c r="H202" s="14"/>
      <c r="I202" s="14"/>
      <c r="J202" s="14"/>
      <c r="K202" s="14"/>
      <c r="L202" s="14"/>
    </row>
    <row r="203" spans="1:12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</row>
    <row r="204" spans="1:12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</row>
    <row r="205" spans="1:12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</row>
    <row r="206" spans="1:12" x14ac:dyDescent="0.3">
      <c r="A206" s="15" t="s">
        <v>105</v>
      </c>
      <c r="B206" s="90">
        <v>23</v>
      </c>
      <c r="C206" s="492" t="s">
        <v>189</v>
      </c>
      <c r="D206" s="492"/>
      <c r="E206" s="14"/>
      <c r="F206" s="14"/>
      <c r="G206" s="14"/>
      <c r="H206" s="14"/>
      <c r="I206" s="14"/>
      <c r="J206" s="14"/>
      <c r="K206" s="14"/>
      <c r="L206" s="14"/>
    </row>
    <row r="207" spans="1:12" x14ac:dyDescent="0.3">
      <c r="A207" s="14"/>
      <c r="B207" s="14"/>
      <c r="C207" s="480" t="s">
        <v>190</v>
      </c>
      <c r="D207" s="487"/>
      <c r="E207" s="478" t="s">
        <v>191</v>
      </c>
      <c r="F207" s="14"/>
      <c r="G207" s="14"/>
      <c r="H207" s="14"/>
      <c r="I207" s="14"/>
      <c r="J207" s="14"/>
      <c r="K207" s="14"/>
      <c r="L207" s="14"/>
    </row>
    <row r="208" spans="1:12" x14ac:dyDescent="0.3">
      <c r="A208" s="14"/>
      <c r="B208" s="14"/>
      <c r="C208" s="488"/>
      <c r="D208" s="489"/>
      <c r="E208" s="479" t="s">
        <v>113</v>
      </c>
      <c r="F208" s="14"/>
      <c r="G208" s="14"/>
      <c r="H208" s="14"/>
      <c r="I208" s="14"/>
      <c r="J208" s="14"/>
      <c r="K208" s="14"/>
      <c r="L208" s="14"/>
    </row>
    <row r="209" spans="1:12" x14ac:dyDescent="0.3">
      <c r="A209" s="14"/>
      <c r="B209" s="14"/>
      <c r="C209" s="142" t="s">
        <v>46</v>
      </c>
      <c r="D209" s="97" t="s">
        <v>45</v>
      </c>
      <c r="E209" s="43">
        <f>+INVERSIONES!D82</f>
        <v>88356100</v>
      </c>
      <c r="F209" s="14"/>
      <c r="G209" s="14"/>
      <c r="H209" s="14"/>
      <c r="I209" s="14"/>
      <c r="J209" s="14"/>
      <c r="K209" s="14"/>
      <c r="L209" s="14"/>
    </row>
    <row r="210" spans="1:12" x14ac:dyDescent="0.3">
      <c r="A210" s="14"/>
      <c r="B210" s="14"/>
      <c r="C210" s="142" t="s">
        <v>192</v>
      </c>
      <c r="D210" s="97" t="s">
        <v>53</v>
      </c>
      <c r="E210" s="43">
        <f>+INVERSIONES!D96</f>
        <v>12310000</v>
      </c>
      <c r="F210" s="14"/>
      <c r="G210" s="14"/>
      <c r="H210" s="14"/>
      <c r="I210" s="14"/>
      <c r="J210" s="14"/>
      <c r="K210" s="14"/>
      <c r="L210" s="14"/>
    </row>
    <row r="211" spans="1:12" ht="26.4" x14ac:dyDescent="0.3">
      <c r="A211" s="14"/>
      <c r="B211" s="14"/>
      <c r="C211" s="142" t="s">
        <v>193</v>
      </c>
      <c r="D211" s="97" t="s">
        <v>194</v>
      </c>
      <c r="E211" s="43">
        <f>+F202</f>
        <v>107812609.53606068</v>
      </c>
      <c r="F211" s="14"/>
      <c r="G211" s="14"/>
      <c r="H211" s="14"/>
      <c r="I211" s="14"/>
      <c r="J211" s="14"/>
      <c r="K211" s="14"/>
      <c r="L211" s="14"/>
    </row>
    <row r="212" spans="1:12" x14ac:dyDescent="0.3">
      <c r="A212" s="14"/>
      <c r="B212" s="14"/>
      <c r="C212" s="453" t="s">
        <v>25</v>
      </c>
      <c r="D212" s="485"/>
      <c r="E212" s="135">
        <f>SUM(E209:E211)</f>
        <v>208478709.53606069</v>
      </c>
      <c r="F212" s="14"/>
      <c r="G212" s="14"/>
      <c r="H212" s="14"/>
      <c r="I212" s="14"/>
      <c r="J212" s="14"/>
      <c r="K212" s="14"/>
      <c r="L212" s="14"/>
    </row>
    <row r="213" spans="1:12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</row>
    <row r="214" spans="1:12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</row>
    <row r="215" spans="1:12" x14ac:dyDescent="0.3">
      <c r="A215" s="14"/>
      <c r="B215" s="14"/>
      <c r="C215" s="14"/>
      <c r="D215" s="14"/>
      <c r="E215" s="14"/>
      <c r="F215" s="14"/>
      <c r="G215" s="14"/>
      <c r="H215" s="128"/>
      <c r="I215" s="14"/>
      <c r="J215" s="14"/>
      <c r="K215" s="14"/>
      <c r="L215" s="14"/>
    </row>
    <row r="216" spans="1:12" x14ac:dyDescent="0.3">
      <c r="A216" s="14"/>
      <c r="B216" s="14"/>
      <c r="C216" s="14"/>
      <c r="D216" s="14"/>
      <c r="E216" s="14"/>
      <c r="F216" s="14"/>
      <c r="G216" s="32"/>
      <c r="H216" s="128"/>
      <c r="I216" s="14"/>
      <c r="J216" s="14"/>
      <c r="K216" s="14"/>
      <c r="L216" s="14"/>
    </row>
    <row r="217" spans="1:12" x14ac:dyDescent="0.3">
      <c r="A217" s="15" t="s">
        <v>105</v>
      </c>
      <c r="B217" s="15">
        <v>24</v>
      </c>
      <c r="C217" s="129" t="s">
        <v>189</v>
      </c>
      <c r="D217" s="43">
        <f>E212</f>
        <v>208478709.53606069</v>
      </c>
      <c r="E217" s="505" t="s">
        <v>195</v>
      </c>
      <c r="F217" s="505"/>
      <c r="G217" s="32"/>
      <c r="H217" s="130"/>
      <c r="I217" s="14"/>
      <c r="J217" s="14"/>
      <c r="K217" s="14"/>
      <c r="L217" s="14"/>
    </row>
    <row r="218" spans="1:12" x14ac:dyDescent="0.3">
      <c r="A218" s="14"/>
      <c r="B218" s="14"/>
      <c r="C218" s="91" t="s">
        <v>196</v>
      </c>
      <c r="D218" s="43">
        <v>30000000</v>
      </c>
      <c r="E218" s="131">
        <f>D218/E212</f>
        <v>0.14389958603811714</v>
      </c>
      <c r="F218" s="132" t="s">
        <v>197</v>
      </c>
      <c r="G218" s="14"/>
      <c r="H218" s="130"/>
      <c r="I218" s="14"/>
      <c r="J218" s="14"/>
      <c r="K218" s="14"/>
      <c r="L218" s="14"/>
    </row>
    <row r="219" spans="1:12" x14ac:dyDescent="0.3">
      <c r="A219" s="14"/>
      <c r="B219" s="14"/>
      <c r="C219" s="91" t="s">
        <v>198</v>
      </c>
      <c r="D219" s="40">
        <f>E212-D218</f>
        <v>178478709.53606069</v>
      </c>
      <c r="E219" s="131">
        <f>D219/E212</f>
        <v>0.85610041396188286</v>
      </c>
      <c r="F219" s="132" t="s">
        <v>199</v>
      </c>
      <c r="G219" s="14"/>
      <c r="H219" s="14"/>
      <c r="I219" s="14"/>
      <c r="J219" s="14"/>
      <c r="K219" s="14"/>
      <c r="L219" s="14"/>
    </row>
    <row r="220" spans="1:12" x14ac:dyDescent="0.3">
      <c r="A220" s="14"/>
      <c r="B220" s="14"/>
      <c r="C220" s="14"/>
      <c r="D220" s="23"/>
      <c r="E220" s="14"/>
      <c r="F220" s="14"/>
      <c r="G220" s="14"/>
      <c r="H220" s="14"/>
      <c r="I220" s="14"/>
      <c r="J220" s="14"/>
      <c r="K220" s="14"/>
      <c r="L220" s="14"/>
    </row>
    <row r="221" spans="1:12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</row>
    <row r="224" spans="1:12" x14ac:dyDescent="0.3">
      <c r="C224" s="435"/>
    </row>
    <row r="225" spans="5:5" x14ac:dyDescent="0.3">
      <c r="E225" s="432"/>
    </row>
  </sheetData>
  <mergeCells count="90">
    <mergeCell ref="C1:G2"/>
    <mergeCell ref="J87:L87"/>
    <mergeCell ref="E98:F98"/>
    <mergeCell ref="K128:K129"/>
    <mergeCell ref="E217:F217"/>
    <mergeCell ref="C14:D14"/>
    <mergeCell ref="C117:F117"/>
    <mergeCell ref="F195:F196"/>
    <mergeCell ref="C202:D202"/>
    <mergeCell ref="C206:D206"/>
    <mergeCell ref="C207:D208"/>
    <mergeCell ref="E207:E208"/>
    <mergeCell ref="C212:D212"/>
    <mergeCell ref="C179:D179"/>
    <mergeCell ref="C183:D183"/>
    <mergeCell ref="C184:D185"/>
    <mergeCell ref="E184:E185"/>
    <mergeCell ref="C194:D194"/>
    <mergeCell ref="C195:D196"/>
    <mergeCell ref="E195:E196"/>
    <mergeCell ref="H163:I163"/>
    <mergeCell ref="J163:J164"/>
    <mergeCell ref="C173:D173"/>
    <mergeCell ref="C174:D175"/>
    <mergeCell ref="E174:E175"/>
    <mergeCell ref="F174:F175"/>
    <mergeCell ref="G163:G164"/>
    <mergeCell ref="C158:D158"/>
    <mergeCell ref="C163:C164"/>
    <mergeCell ref="D163:D164"/>
    <mergeCell ref="E163:E164"/>
    <mergeCell ref="F163:F164"/>
    <mergeCell ref="H128:I128"/>
    <mergeCell ref="J128:J129"/>
    <mergeCell ref="C140:D140"/>
    <mergeCell ref="C141:D142"/>
    <mergeCell ref="E141:E142"/>
    <mergeCell ref="F141:F142"/>
    <mergeCell ref="G128:G129"/>
    <mergeCell ref="C127:D127"/>
    <mergeCell ref="C128:C129"/>
    <mergeCell ref="D128:D129"/>
    <mergeCell ref="E128:E129"/>
    <mergeCell ref="F128:F129"/>
    <mergeCell ref="C113:D113"/>
    <mergeCell ref="C118:D119"/>
    <mergeCell ref="E118:E119"/>
    <mergeCell ref="F118:F119"/>
    <mergeCell ref="C123:D123"/>
    <mergeCell ref="C100:E100"/>
    <mergeCell ref="C101:D102"/>
    <mergeCell ref="E101:E102"/>
    <mergeCell ref="F101:F102"/>
    <mergeCell ref="C62:C63"/>
    <mergeCell ref="D62:D63"/>
    <mergeCell ref="E62:E63"/>
    <mergeCell ref="F62:F63"/>
    <mergeCell ref="C52:C53"/>
    <mergeCell ref="E52:F52"/>
    <mergeCell ref="I62:I63"/>
    <mergeCell ref="J62:J63"/>
    <mergeCell ref="C70:D70"/>
    <mergeCell ref="G62:G63"/>
    <mergeCell ref="H62:H63"/>
    <mergeCell ref="C43:C44"/>
    <mergeCell ref="D43:E43"/>
    <mergeCell ref="C32:D33"/>
    <mergeCell ref="E32:E33"/>
    <mergeCell ref="F32:F33"/>
    <mergeCell ref="J18:J19"/>
    <mergeCell ref="I32:I33"/>
    <mergeCell ref="E18:E19"/>
    <mergeCell ref="J32:J33"/>
    <mergeCell ref="C39:D39"/>
    <mergeCell ref="G32:G33"/>
    <mergeCell ref="H32:H33"/>
    <mergeCell ref="F18:F19"/>
    <mergeCell ref="G18:G19"/>
    <mergeCell ref="H18:I18"/>
    <mergeCell ref="C10:D10"/>
    <mergeCell ref="C5:D5"/>
    <mergeCell ref="C6:D6"/>
    <mergeCell ref="C7:D7"/>
    <mergeCell ref="C8:D8"/>
    <mergeCell ref="C9:D9"/>
    <mergeCell ref="C11:D11"/>
    <mergeCell ref="C12:D12"/>
    <mergeCell ref="C13:D13"/>
    <mergeCell ref="C18:C19"/>
    <mergeCell ref="D18:D19"/>
  </mergeCells>
  <phoneticPr fontId="19" type="noConversion"/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B7D47-0083-452C-8B9A-A01E3833CCB6}">
  <dimension ref="A1:W62"/>
  <sheetViews>
    <sheetView zoomScale="85" zoomScaleNormal="85" workbookViewId="0"/>
  </sheetViews>
  <sheetFormatPr baseColWidth="10" defaultRowHeight="14.4" x14ac:dyDescent="0.3"/>
  <cols>
    <col min="2" max="2" width="11.5546875" style="63"/>
    <col min="4" max="7" width="13.33203125" customWidth="1"/>
    <col min="8" max="8" width="11.77734375" style="280" bestFit="1" customWidth="1"/>
    <col min="9" max="9" width="17.109375" customWidth="1"/>
    <col min="17" max="17" width="16.5546875" customWidth="1"/>
    <col min="18" max="18" width="16.109375" customWidth="1"/>
    <col min="19" max="19" width="17" customWidth="1"/>
    <col min="20" max="20" width="18.5546875" customWidth="1"/>
    <col min="21" max="22" width="17" customWidth="1"/>
    <col min="23" max="23" width="11.77734375" bestFit="1" customWidth="1"/>
  </cols>
  <sheetData>
    <row r="1" spans="2:23" ht="14.4" customHeight="1" x14ac:dyDescent="0.3">
      <c r="B1" s="468" t="s">
        <v>483</v>
      </c>
      <c r="C1" s="469"/>
      <c r="D1" s="469"/>
      <c r="E1" s="469"/>
      <c r="F1" s="469"/>
      <c r="G1" s="469"/>
      <c r="H1" s="469"/>
      <c r="I1" s="469"/>
      <c r="J1" s="469"/>
      <c r="K1" s="470"/>
    </row>
    <row r="2" spans="2:23" ht="15" customHeight="1" thickBot="1" x14ac:dyDescent="0.35">
      <c r="B2" s="471"/>
      <c r="C2" s="472"/>
      <c r="D2" s="472"/>
      <c r="E2" s="472"/>
      <c r="F2" s="472"/>
      <c r="G2" s="472"/>
      <c r="H2" s="472"/>
      <c r="I2" s="472"/>
      <c r="J2" s="472"/>
      <c r="K2" s="473"/>
    </row>
    <row r="3" spans="2:23" ht="15" thickBot="1" x14ac:dyDescent="0.35"/>
    <row r="4" spans="2:23" ht="15" thickBot="1" x14ac:dyDescent="0.35">
      <c r="B4" s="510" t="s">
        <v>475</v>
      </c>
      <c r="C4" s="511"/>
      <c r="D4" s="511"/>
      <c r="E4" s="511"/>
      <c r="F4" s="511"/>
      <c r="G4" s="511"/>
      <c r="H4" s="511"/>
      <c r="I4" s="512"/>
    </row>
    <row r="5" spans="2:23" s="286" customFormat="1" ht="44.4" customHeight="1" x14ac:dyDescent="0.3">
      <c r="B5" s="513" t="s">
        <v>416</v>
      </c>
      <c r="C5" s="513"/>
      <c r="D5" s="405" t="s">
        <v>412</v>
      </c>
      <c r="E5" s="406" t="s">
        <v>411</v>
      </c>
      <c r="F5" s="406" t="s">
        <v>410</v>
      </c>
      <c r="G5" s="406" t="s">
        <v>413</v>
      </c>
      <c r="H5" s="407" t="s">
        <v>415</v>
      </c>
      <c r="I5" s="406" t="s">
        <v>414</v>
      </c>
    </row>
    <row r="6" spans="2:23" x14ac:dyDescent="0.3">
      <c r="B6" s="37" t="s">
        <v>373</v>
      </c>
      <c r="C6" s="275"/>
      <c r="D6" s="287">
        <v>10</v>
      </c>
      <c r="E6" s="288">
        <v>35</v>
      </c>
      <c r="F6" s="288">
        <f>+D6/E6</f>
        <v>0.2857142857142857</v>
      </c>
      <c r="G6" s="288">
        <v>1</v>
      </c>
      <c r="H6" s="290">
        <f>+((F6*I6)/D6)*G6</f>
        <v>568.57142857142856</v>
      </c>
      <c r="I6" s="289">
        <v>19900</v>
      </c>
    </row>
    <row r="7" spans="2:23" x14ac:dyDescent="0.3">
      <c r="B7" s="37" t="s">
        <v>374</v>
      </c>
      <c r="C7" s="275"/>
      <c r="D7" s="287">
        <v>15</v>
      </c>
      <c r="E7" s="288">
        <v>40</v>
      </c>
      <c r="F7" s="288">
        <f t="shared" ref="F7:F14" si="0">+D7/E7</f>
        <v>0.375</v>
      </c>
      <c r="G7" s="288">
        <v>1</v>
      </c>
      <c r="H7" s="290">
        <f t="shared" ref="H7:H14" si="1">+((F7*I7)/D7)*G7</f>
        <v>1247.5</v>
      </c>
      <c r="I7" s="289">
        <v>49900</v>
      </c>
    </row>
    <row r="8" spans="2:23" x14ac:dyDescent="0.3">
      <c r="B8" s="37" t="s">
        <v>381</v>
      </c>
      <c r="C8" s="275"/>
      <c r="D8" s="287">
        <v>15</v>
      </c>
      <c r="E8" s="288">
        <v>40</v>
      </c>
      <c r="F8" s="288">
        <f t="shared" si="0"/>
        <v>0.375</v>
      </c>
      <c r="G8" s="288">
        <v>1</v>
      </c>
      <c r="H8" s="290">
        <f t="shared" si="1"/>
        <v>1247.5</v>
      </c>
      <c r="I8" s="289">
        <v>49900</v>
      </c>
    </row>
    <row r="9" spans="2:23" ht="26.4" customHeight="1" x14ac:dyDescent="0.3">
      <c r="B9" s="37" t="s">
        <v>380</v>
      </c>
      <c r="C9" s="275"/>
      <c r="D9" s="287">
        <v>7.5</v>
      </c>
      <c r="E9" s="288">
        <v>26</v>
      </c>
      <c r="F9" s="288">
        <f t="shared" si="0"/>
        <v>0.28846153846153844</v>
      </c>
      <c r="G9" s="288">
        <v>3</v>
      </c>
      <c r="H9" s="290">
        <f t="shared" si="1"/>
        <v>3450</v>
      </c>
      <c r="I9" s="289">
        <v>29900</v>
      </c>
    </row>
    <row r="10" spans="2:23" x14ac:dyDescent="0.3">
      <c r="B10" s="37" t="s">
        <v>379</v>
      </c>
      <c r="C10" s="275"/>
      <c r="D10" s="287">
        <v>4.5</v>
      </c>
      <c r="E10" s="288">
        <v>130</v>
      </c>
      <c r="F10" s="288">
        <f t="shared" si="0"/>
        <v>3.4615384615384617E-2</v>
      </c>
      <c r="G10" s="288">
        <v>1</v>
      </c>
      <c r="H10" s="290">
        <f t="shared" si="1"/>
        <v>230</v>
      </c>
      <c r="I10" s="289">
        <v>29900</v>
      </c>
    </row>
    <row r="11" spans="2:23" x14ac:dyDescent="0.3">
      <c r="B11" s="37" t="s">
        <v>378</v>
      </c>
      <c r="C11" s="275"/>
      <c r="D11" s="287">
        <v>3.5</v>
      </c>
      <c r="E11" s="288">
        <v>120</v>
      </c>
      <c r="F11" s="288">
        <f t="shared" si="0"/>
        <v>2.9166666666666667E-2</v>
      </c>
      <c r="G11" s="288">
        <v>1</v>
      </c>
      <c r="H11" s="290">
        <f t="shared" si="1"/>
        <v>232.5</v>
      </c>
      <c r="I11" s="289">
        <v>27900</v>
      </c>
      <c r="K11" s="286"/>
      <c r="L11" s="286"/>
      <c r="M11" s="286"/>
      <c r="N11" s="286"/>
      <c r="O11" s="286"/>
      <c r="P11" s="286"/>
      <c r="Q11" s="286"/>
      <c r="R11" s="286"/>
    </row>
    <row r="12" spans="2:23" x14ac:dyDescent="0.3">
      <c r="B12" s="37" t="s">
        <v>377</v>
      </c>
      <c r="C12" s="275"/>
      <c r="D12" s="287">
        <v>15</v>
      </c>
      <c r="E12" s="288">
        <v>100</v>
      </c>
      <c r="F12" s="288">
        <f t="shared" si="0"/>
        <v>0.15</v>
      </c>
      <c r="G12" s="288">
        <v>1</v>
      </c>
      <c r="H12" s="290">
        <f t="shared" si="1"/>
        <v>110</v>
      </c>
      <c r="I12" s="289">
        <v>11000</v>
      </c>
    </row>
    <row r="13" spans="2:23" x14ac:dyDescent="0.3">
      <c r="B13" s="37" t="s">
        <v>376</v>
      </c>
      <c r="C13" s="275"/>
      <c r="D13" s="287">
        <v>4.5</v>
      </c>
      <c r="E13" s="288">
        <v>70</v>
      </c>
      <c r="F13" s="288">
        <f t="shared" si="0"/>
        <v>6.4285714285714279E-2</v>
      </c>
      <c r="G13" s="288">
        <v>1</v>
      </c>
      <c r="H13" s="290">
        <f t="shared" si="1"/>
        <v>714.28571428571422</v>
      </c>
      <c r="I13" s="289">
        <v>50000</v>
      </c>
    </row>
    <row r="14" spans="2:23" x14ac:dyDescent="0.3">
      <c r="B14" s="37" t="s">
        <v>375</v>
      </c>
      <c r="C14" s="275"/>
      <c r="D14" s="287">
        <v>50</v>
      </c>
      <c r="E14" s="288">
        <v>40</v>
      </c>
      <c r="F14" s="288">
        <f t="shared" si="0"/>
        <v>1.25</v>
      </c>
      <c r="G14" s="288">
        <v>2</v>
      </c>
      <c r="H14" s="290">
        <f t="shared" si="1"/>
        <v>1795</v>
      </c>
      <c r="I14" s="289">
        <v>35900</v>
      </c>
    </row>
    <row r="15" spans="2:23" x14ac:dyDescent="0.3">
      <c r="B15" s="37" t="s">
        <v>400</v>
      </c>
      <c r="C15" s="275"/>
      <c r="D15" s="287">
        <v>300</v>
      </c>
      <c r="E15" s="288">
        <v>300</v>
      </c>
      <c r="F15" s="288">
        <f t="shared" ref="F15" si="2">+D15/E15</f>
        <v>1</v>
      </c>
      <c r="G15" s="288">
        <v>2</v>
      </c>
      <c r="H15" s="290">
        <f t="shared" ref="H15:H17" si="3">+((F15*I15)/D15)*G15</f>
        <v>40</v>
      </c>
      <c r="I15" s="289">
        <v>6000</v>
      </c>
      <c r="K15" s="14"/>
      <c r="L15" s="63"/>
      <c r="M15" s="14"/>
      <c r="N15" s="63"/>
      <c r="P15" s="63"/>
      <c r="Q15" s="280"/>
      <c r="R15" s="280"/>
      <c r="S15" s="278"/>
      <c r="T15" s="278"/>
      <c r="U15" s="278"/>
      <c r="V15" s="278"/>
      <c r="W15" s="281"/>
    </row>
    <row r="16" spans="2:23" x14ac:dyDescent="0.3">
      <c r="B16" s="37" t="s">
        <v>401</v>
      </c>
      <c r="C16" s="275"/>
      <c r="D16" s="287">
        <v>800</v>
      </c>
      <c r="E16" s="288">
        <v>120</v>
      </c>
      <c r="F16" s="288">
        <f>+D16/E16</f>
        <v>6.666666666666667</v>
      </c>
      <c r="G16" s="288">
        <v>1</v>
      </c>
      <c r="H16" s="290">
        <f t="shared" si="3"/>
        <v>316.66666666666669</v>
      </c>
      <c r="I16" s="289">
        <v>38000</v>
      </c>
      <c r="K16" s="14"/>
      <c r="L16" s="63"/>
      <c r="M16" s="63"/>
      <c r="Q16" s="280"/>
      <c r="R16" s="280"/>
      <c r="S16" s="278"/>
      <c r="T16" s="278"/>
      <c r="U16" s="278"/>
      <c r="V16" s="278"/>
      <c r="W16" s="281"/>
    </row>
    <row r="17" spans="2:23" x14ac:dyDescent="0.3">
      <c r="B17" s="37" t="s">
        <v>402</v>
      </c>
      <c r="C17" s="275"/>
      <c r="D17" s="287">
        <v>1000</v>
      </c>
      <c r="E17" s="288">
        <v>100</v>
      </c>
      <c r="F17" s="288">
        <f>+D17/E17</f>
        <v>10</v>
      </c>
      <c r="G17" s="288">
        <v>1</v>
      </c>
      <c r="H17" s="290">
        <f t="shared" si="3"/>
        <v>359.03</v>
      </c>
      <c r="I17" s="289">
        <v>35903</v>
      </c>
      <c r="K17" s="14"/>
      <c r="Q17" s="280"/>
      <c r="R17" s="280"/>
      <c r="S17" s="278"/>
      <c r="T17" s="278"/>
      <c r="U17" s="278"/>
      <c r="V17" s="278"/>
      <c r="W17" s="281"/>
    </row>
    <row r="18" spans="2:23" x14ac:dyDescent="0.3">
      <c r="B18" s="14"/>
      <c r="C18" s="63"/>
      <c r="D18" s="63"/>
      <c r="E18" s="63"/>
      <c r="H18" s="404">
        <f>SUM(H6:H17)</f>
        <v>10311.05380952381</v>
      </c>
      <c r="K18" s="14"/>
      <c r="L18" s="65"/>
      <c r="M18" s="63"/>
      <c r="N18" s="63"/>
      <c r="Q18" s="280"/>
      <c r="R18" s="280"/>
      <c r="S18" s="278"/>
      <c r="T18" s="278"/>
      <c r="U18" s="278"/>
      <c r="V18" s="278"/>
      <c r="W18" s="281"/>
    </row>
    <row r="19" spans="2:23" ht="15" thickBot="1" x14ac:dyDescent="0.35">
      <c r="K19" s="14"/>
      <c r="L19" s="65"/>
      <c r="M19" s="63"/>
      <c r="N19" s="63"/>
      <c r="Q19" s="280"/>
      <c r="R19" s="280"/>
      <c r="S19" s="278"/>
      <c r="T19" s="278"/>
      <c r="U19" s="278"/>
      <c r="V19" s="278"/>
      <c r="W19" s="281"/>
    </row>
    <row r="20" spans="2:23" ht="15" thickBot="1" x14ac:dyDescent="0.35">
      <c r="B20" s="510" t="s">
        <v>382</v>
      </c>
      <c r="C20" s="511"/>
      <c r="D20" s="511"/>
      <c r="E20" s="511"/>
      <c r="F20" s="511"/>
      <c r="G20" s="511"/>
      <c r="H20" s="511"/>
      <c r="I20" s="512"/>
      <c r="K20" s="14"/>
      <c r="L20" s="65"/>
      <c r="M20" s="63"/>
      <c r="N20" s="63"/>
      <c r="Q20" s="280"/>
      <c r="R20" s="280"/>
      <c r="S20" s="278"/>
      <c r="T20" s="278"/>
      <c r="U20" s="278"/>
      <c r="V20" s="278"/>
      <c r="W20" s="281"/>
    </row>
    <row r="21" spans="2:23" ht="39.6" x14ac:dyDescent="0.3">
      <c r="B21" s="514" t="s">
        <v>416</v>
      </c>
      <c r="C21" s="514"/>
      <c r="D21" s="408" t="s">
        <v>412</v>
      </c>
      <c r="E21" s="409" t="s">
        <v>411</v>
      </c>
      <c r="F21" s="409" t="s">
        <v>410</v>
      </c>
      <c r="G21" s="409" t="s">
        <v>413</v>
      </c>
      <c r="H21" s="410" t="s">
        <v>415</v>
      </c>
      <c r="I21" s="409" t="s">
        <v>414</v>
      </c>
      <c r="L21" s="65"/>
      <c r="M21" s="63"/>
      <c r="N21" s="63"/>
    </row>
    <row r="22" spans="2:23" x14ac:dyDescent="0.3">
      <c r="B22" s="508" t="s">
        <v>349</v>
      </c>
      <c r="C22" s="508"/>
      <c r="D22" s="275">
        <v>124</v>
      </c>
      <c r="E22" s="5">
        <v>1</v>
      </c>
      <c r="F22" s="5">
        <f>+D22/E22</f>
        <v>124</v>
      </c>
      <c r="G22" s="5">
        <v>1</v>
      </c>
      <c r="H22" s="411">
        <f>+((F22*I22)/D22)*G22</f>
        <v>20000</v>
      </c>
      <c r="I22" s="412">
        <v>20000</v>
      </c>
    </row>
    <row r="23" spans="2:23" x14ac:dyDescent="0.3">
      <c r="B23" s="508" t="s">
        <v>383</v>
      </c>
      <c r="C23" s="508"/>
      <c r="D23" s="275">
        <v>500</v>
      </c>
      <c r="E23" s="5">
        <f>+D23/F23</f>
        <v>6.25</v>
      </c>
      <c r="F23" s="5">
        <v>80</v>
      </c>
      <c r="G23" s="5">
        <v>1</v>
      </c>
      <c r="H23" s="411">
        <f>+((F23*I23)/D23)*G23</f>
        <v>8000</v>
      </c>
      <c r="I23" s="412">
        <v>50000</v>
      </c>
    </row>
    <row r="24" spans="2:23" x14ac:dyDescent="0.3">
      <c r="B24" s="508" t="s">
        <v>384</v>
      </c>
      <c r="C24" s="508"/>
      <c r="D24" s="275">
        <v>800</v>
      </c>
      <c r="E24" s="5">
        <f>+D24/F24</f>
        <v>33.333333333333336</v>
      </c>
      <c r="F24" s="5">
        <v>24</v>
      </c>
      <c r="G24" s="5">
        <v>1</v>
      </c>
      <c r="H24" s="411">
        <f>+((F24*I24)/D24)*G24</f>
        <v>2400</v>
      </c>
      <c r="I24" s="412">
        <v>80000</v>
      </c>
      <c r="Q24" s="279"/>
      <c r="S24" s="278"/>
    </row>
    <row r="25" spans="2:23" x14ac:dyDescent="0.3">
      <c r="B25" s="508" t="s">
        <v>367</v>
      </c>
      <c r="C25" s="508"/>
      <c r="D25" s="275">
        <v>1000</v>
      </c>
      <c r="E25" s="5">
        <f>+D25/F25</f>
        <v>100</v>
      </c>
      <c r="F25" s="5">
        <v>10</v>
      </c>
      <c r="G25" s="5">
        <v>2</v>
      </c>
      <c r="H25" s="411">
        <f>+((F25*I25)/D25)*G25</f>
        <v>900</v>
      </c>
      <c r="I25" s="412">
        <v>45000</v>
      </c>
      <c r="Q25" s="279"/>
      <c r="R25" s="279"/>
      <c r="S25" s="278"/>
      <c r="T25" s="38"/>
    </row>
    <row r="26" spans="2:23" x14ac:dyDescent="0.3">
      <c r="B26" s="508" t="s">
        <v>368</v>
      </c>
      <c r="C26" s="508"/>
      <c r="D26" s="275">
        <v>1000</v>
      </c>
      <c r="E26" s="5">
        <v>100</v>
      </c>
      <c r="F26" s="5">
        <f t="shared" ref="F26" si="4">+D26/E26</f>
        <v>10</v>
      </c>
      <c r="G26" s="5">
        <v>1</v>
      </c>
      <c r="H26" s="411">
        <f t="shared" ref="H26:H28" si="5">+((F26*I26)/D26)*G26</f>
        <v>450</v>
      </c>
      <c r="I26" s="412">
        <v>45000</v>
      </c>
      <c r="Q26" s="279"/>
    </row>
    <row r="27" spans="2:23" x14ac:dyDescent="0.3">
      <c r="B27" s="508" t="s">
        <v>369</v>
      </c>
      <c r="C27" s="508"/>
      <c r="D27" s="275">
        <v>300</v>
      </c>
      <c r="E27" s="5">
        <f>+D27/F27</f>
        <v>500</v>
      </c>
      <c r="F27" s="5">
        <v>0.6</v>
      </c>
      <c r="G27" s="5">
        <v>4</v>
      </c>
      <c r="H27" s="411">
        <f>+((F27*I27)/D27)*G27</f>
        <v>240</v>
      </c>
      <c r="I27" s="412">
        <v>30000</v>
      </c>
    </row>
    <row r="28" spans="2:23" x14ac:dyDescent="0.3">
      <c r="B28" s="508" t="s">
        <v>385</v>
      </c>
      <c r="C28" s="508"/>
      <c r="D28" s="275">
        <v>1000</v>
      </c>
      <c r="E28" s="5">
        <f>+D28/F28</f>
        <v>41.666666666666664</v>
      </c>
      <c r="F28" s="5">
        <v>24</v>
      </c>
      <c r="G28" s="5">
        <v>1</v>
      </c>
      <c r="H28" s="411">
        <f t="shared" si="5"/>
        <v>768</v>
      </c>
      <c r="I28" s="412">
        <v>32000</v>
      </c>
    </row>
    <row r="29" spans="2:23" x14ac:dyDescent="0.3">
      <c r="B29" s="65"/>
      <c r="C29" s="63"/>
      <c r="D29" s="63"/>
      <c r="H29" s="291">
        <f>+SUM(H22:H28)</f>
        <v>32758</v>
      </c>
      <c r="I29" s="278"/>
    </row>
    <row r="30" spans="2:23" ht="15" thickBot="1" x14ac:dyDescent="0.35">
      <c r="B30" s="65"/>
      <c r="C30" s="63"/>
      <c r="D30" s="63"/>
      <c r="I30" s="278"/>
    </row>
    <row r="31" spans="2:23" ht="15" thickBot="1" x14ac:dyDescent="0.35">
      <c r="B31" s="510" t="s">
        <v>394</v>
      </c>
      <c r="C31" s="511"/>
      <c r="D31" s="511"/>
      <c r="E31" s="511"/>
      <c r="F31" s="511"/>
      <c r="G31" s="511"/>
      <c r="H31" s="511"/>
      <c r="I31" s="512"/>
    </row>
    <row r="32" spans="2:23" ht="39.6" x14ac:dyDescent="0.3">
      <c r="B32" s="514" t="s">
        <v>416</v>
      </c>
      <c r="C32" s="514"/>
      <c r="D32" s="408" t="s">
        <v>412</v>
      </c>
      <c r="E32" s="409" t="s">
        <v>411</v>
      </c>
      <c r="F32" s="409" t="s">
        <v>410</v>
      </c>
      <c r="G32" s="409" t="s">
        <v>413</v>
      </c>
      <c r="H32" s="410" t="s">
        <v>415</v>
      </c>
      <c r="I32" s="409" t="s">
        <v>414</v>
      </c>
    </row>
    <row r="33" spans="1:9" x14ac:dyDescent="0.3">
      <c r="B33" s="508" t="s">
        <v>386</v>
      </c>
      <c r="C33" s="508"/>
      <c r="D33" s="275">
        <v>70</v>
      </c>
      <c r="E33" s="5">
        <v>70</v>
      </c>
      <c r="F33" s="5">
        <f>+D33/E33</f>
        <v>1</v>
      </c>
      <c r="G33" s="5">
        <v>1</v>
      </c>
      <c r="H33" s="411">
        <f>+((F33*I33)/D33)*G33</f>
        <v>242.85714285714286</v>
      </c>
      <c r="I33" s="412">
        <v>17000</v>
      </c>
    </row>
    <row r="34" spans="1:9" x14ac:dyDescent="0.3">
      <c r="A34" s="63"/>
      <c r="B34" s="508" t="s">
        <v>387</v>
      </c>
      <c r="C34" s="508"/>
      <c r="D34" s="5">
        <v>30</v>
      </c>
      <c r="E34" s="5">
        <v>25</v>
      </c>
      <c r="F34" s="5">
        <f t="shared" ref="F34:F45" si="6">+D34/E34</f>
        <v>1.2</v>
      </c>
      <c r="G34" s="5">
        <v>1</v>
      </c>
      <c r="H34" s="411">
        <f t="shared" ref="H34:H45" si="7">+((F34*I34)/D34)*G34</f>
        <v>1800</v>
      </c>
      <c r="I34" s="412">
        <v>45000</v>
      </c>
    </row>
    <row r="35" spans="1:9" x14ac:dyDescent="0.3">
      <c r="A35" s="63"/>
      <c r="B35" s="508" t="s">
        <v>388</v>
      </c>
      <c r="C35" s="508"/>
      <c r="D35" s="5">
        <v>30</v>
      </c>
      <c r="E35" s="5">
        <v>25</v>
      </c>
      <c r="F35" s="5">
        <f t="shared" si="6"/>
        <v>1.2</v>
      </c>
      <c r="G35" s="5">
        <v>1</v>
      </c>
      <c r="H35" s="411">
        <f t="shared" si="7"/>
        <v>4400</v>
      </c>
      <c r="I35" s="412">
        <v>110000</v>
      </c>
    </row>
    <row r="36" spans="1:9" x14ac:dyDescent="0.3">
      <c r="A36" s="63"/>
      <c r="B36" s="508" t="s">
        <v>360</v>
      </c>
      <c r="C36" s="508"/>
      <c r="D36" s="5">
        <v>100</v>
      </c>
      <c r="E36" s="5">
        <v>100</v>
      </c>
      <c r="F36" s="5">
        <f t="shared" si="6"/>
        <v>1</v>
      </c>
      <c r="G36" s="5">
        <v>1</v>
      </c>
      <c r="H36" s="411">
        <f t="shared" si="7"/>
        <v>380</v>
      </c>
      <c r="I36" s="412">
        <v>38000</v>
      </c>
    </row>
    <row r="37" spans="1:9" x14ac:dyDescent="0.3">
      <c r="A37" s="63"/>
      <c r="B37" s="508" t="s">
        <v>361</v>
      </c>
      <c r="C37" s="508"/>
      <c r="D37" s="5">
        <v>100</v>
      </c>
      <c r="E37" s="5">
        <v>100</v>
      </c>
      <c r="F37" s="5">
        <f t="shared" si="6"/>
        <v>1</v>
      </c>
      <c r="G37" s="5">
        <v>1</v>
      </c>
      <c r="H37" s="411">
        <f t="shared" si="7"/>
        <v>1150</v>
      </c>
      <c r="I37" s="412">
        <v>115000</v>
      </c>
    </row>
    <row r="38" spans="1:9" x14ac:dyDescent="0.3">
      <c r="A38" s="63"/>
      <c r="B38" s="508" t="s">
        <v>362</v>
      </c>
      <c r="C38" s="508"/>
      <c r="D38" s="5">
        <v>100</v>
      </c>
      <c r="E38" s="5">
        <v>100</v>
      </c>
      <c r="F38" s="5">
        <f t="shared" si="6"/>
        <v>1</v>
      </c>
      <c r="G38" s="5">
        <v>1</v>
      </c>
      <c r="H38" s="411">
        <f t="shared" si="7"/>
        <v>1150</v>
      </c>
      <c r="I38" s="412">
        <v>115000</v>
      </c>
    </row>
    <row r="39" spans="1:9" x14ac:dyDescent="0.3">
      <c r="B39" s="508" t="s">
        <v>363</v>
      </c>
      <c r="C39" s="508"/>
      <c r="D39" s="5">
        <v>100</v>
      </c>
      <c r="E39" s="5">
        <v>100</v>
      </c>
      <c r="F39" s="5">
        <f t="shared" si="6"/>
        <v>1</v>
      </c>
      <c r="G39" s="5">
        <v>1</v>
      </c>
      <c r="H39" s="411">
        <f t="shared" si="7"/>
        <v>650</v>
      </c>
      <c r="I39" s="412">
        <v>65000</v>
      </c>
    </row>
    <row r="40" spans="1:9" x14ac:dyDescent="0.3">
      <c r="B40" s="508" t="s">
        <v>364</v>
      </c>
      <c r="C40" s="508"/>
      <c r="D40" s="5">
        <v>100</v>
      </c>
      <c r="E40" s="5">
        <v>100</v>
      </c>
      <c r="F40" s="5">
        <f t="shared" si="6"/>
        <v>1</v>
      </c>
      <c r="G40" s="5">
        <v>1</v>
      </c>
      <c r="H40" s="411">
        <f t="shared" si="7"/>
        <v>1060</v>
      </c>
      <c r="I40" s="412">
        <v>106000</v>
      </c>
    </row>
    <row r="41" spans="1:9" x14ac:dyDescent="0.3">
      <c r="B41" s="508" t="s">
        <v>389</v>
      </c>
      <c r="C41" s="508"/>
      <c r="D41" s="5">
        <v>7.5</v>
      </c>
      <c r="E41" s="5">
        <v>50</v>
      </c>
      <c r="F41" s="5">
        <f t="shared" si="6"/>
        <v>0.15</v>
      </c>
      <c r="G41" s="5">
        <v>1</v>
      </c>
      <c r="H41" s="411">
        <f t="shared" si="7"/>
        <v>700</v>
      </c>
      <c r="I41" s="412">
        <v>35000</v>
      </c>
    </row>
    <row r="42" spans="1:9" x14ac:dyDescent="0.3">
      <c r="B42" s="508" t="s">
        <v>390</v>
      </c>
      <c r="C42" s="508"/>
      <c r="D42" s="5">
        <v>7.5</v>
      </c>
      <c r="E42" s="5">
        <v>50</v>
      </c>
      <c r="F42" s="5">
        <f t="shared" si="6"/>
        <v>0.15</v>
      </c>
      <c r="G42" s="5">
        <v>1</v>
      </c>
      <c r="H42" s="411">
        <f t="shared" si="7"/>
        <v>700</v>
      </c>
      <c r="I42" s="412">
        <v>35000</v>
      </c>
    </row>
    <row r="43" spans="1:9" x14ac:dyDescent="0.3">
      <c r="B43" s="508" t="s">
        <v>391</v>
      </c>
      <c r="C43" s="508" t="s">
        <v>392</v>
      </c>
      <c r="D43" s="5">
        <v>360</v>
      </c>
      <c r="E43" s="5">
        <v>360</v>
      </c>
      <c r="F43" s="5">
        <f t="shared" si="6"/>
        <v>1</v>
      </c>
      <c r="G43" s="5">
        <v>1</v>
      </c>
      <c r="H43" s="411">
        <f t="shared" si="7"/>
        <v>638.88888888888891</v>
      </c>
      <c r="I43" s="412">
        <v>230000</v>
      </c>
    </row>
    <row r="44" spans="1:9" x14ac:dyDescent="0.3">
      <c r="B44" s="508" t="s">
        <v>365</v>
      </c>
      <c r="C44" s="508"/>
      <c r="D44" s="5">
        <v>4.5</v>
      </c>
      <c r="E44" s="5">
        <v>50</v>
      </c>
      <c r="F44" s="5">
        <f t="shared" si="6"/>
        <v>0.09</v>
      </c>
      <c r="G44" s="5">
        <v>1</v>
      </c>
      <c r="H44" s="411">
        <f t="shared" si="7"/>
        <v>2200</v>
      </c>
      <c r="I44" s="412">
        <v>110000</v>
      </c>
    </row>
    <row r="45" spans="1:9" x14ac:dyDescent="0.3">
      <c r="B45" s="508" t="s">
        <v>393</v>
      </c>
      <c r="C45" s="508"/>
      <c r="D45" s="5">
        <v>9</v>
      </c>
      <c r="E45" s="5">
        <v>20</v>
      </c>
      <c r="F45" s="5">
        <f t="shared" si="6"/>
        <v>0.45</v>
      </c>
      <c r="G45" s="5">
        <v>1</v>
      </c>
      <c r="H45" s="411">
        <f t="shared" si="7"/>
        <v>3300</v>
      </c>
      <c r="I45" s="412">
        <v>66000</v>
      </c>
    </row>
    <row r="46" spans="1:9" x14ac:dyDescent="0.3">
      <c r="H46" s="291">
        <f>+SUM(H33:H45)</f>
        <v>18371.746031746032</v>
      </c>
    </row>
    <row r="47" spans="1:9" ht="15" thickBot="1" x14ac:dyDescent="0.35"/>
    <row r="48" spans="1:9" ht="15" thickBot="1" x14ac:dyDescent="0.35">
      <c r="B48" s="510" t="s">
        <v>395</v>
      </c>
      <c r="C48" s="511"/>
      <c r="D48" s="511"/>
      <c r="E48" s="511"/>
      <c r="F48" s="511"/>
      <c r="G48" s="511"/>
      <c r="H48" s="511"/>
      <c r="I48" s="512"/>
    </row>
    <row r="49" spans="2:9" ht="39.6" x14ac:dyDescent="0.3">
      <c r="B49" s="514" t="s">
        <v>416</v>
      </c>
      <c r="C49" s="514"/>
      <c r="D49" s="408" t="s">
        <v>412</v>
      </c>
      <c r="E49" s="409" t="s">
        <v>411</v>
      </c>
      <c r="F49" s="409" t="s">
        <v>410</v>
      </c>
      <c r="G49" s="409" t="s">
        <v>413</v>
      </c>
      <c r="H49" s="410" t="s">
        <v>415</v>
      </c>
      <c r="I49" s="409" t="s">
        <v>414</v>
      </c>
    </row>
    <row r="50" spans="2:9" x14ac:dyDescent="0.3">
      <c r="B50" s="508" t="s">
        <v>396</v>
      </c>
      <c r="C50" s="508"/>
      <c r="D50" s="275">
        <v>600</v>
      </c>
      <c r="E50" s="5">
        <f>+D50/F50</f>
        <v>600</v>
      </c>
      <c r="F50" s="5">
        <v>1</v>
      </c>
      <c r="G50" s="5">
        <v>8</v>
      </c>
      <c r="H50" s="411">
        <f>+((F50*I50)/D50)*G50</f>
        <v>80</v>
      </c>
      <c r="I50" s="412">
        <v>6000</v>
      </c>
    </row>
    <row r="51" spans="2:9" x14ac:dyDescent="0.3">
      <c r="B51" s="508" t="s">
        <v>397</v>
      </c>
      <c r="C51" s="508"/>
      <c r="D51" s="5">
        <v>240</v>
      </c>
      <c r="E51" s="5">
        <v>240</v>
      </c>
      <c r="F51" s="5">
        <v>4</v>
      </c>
      <c r="G51" s="5">
        <v>9</v>
      </c>
      <c r="H51" s="411">
        <f>+((F51*I51)/D51)*G51</f>
        <v>1050</v>
      </c>
      <c r="I51" s="412">
        <v>7000</v>
      </c>
    </row>
    <row r="52" spans="2:9" x14ac:dyDescent="0.3">
      <c r="B52" s="508" t="s">
        <v>398</v>
      </c>
      <c r="C52" s="508"/>
      <c r="D52" s="5">
        <v>75</v>
      </c>
      <c r="E52" s="5">
        <v>100</v>
      </c>
      <c r="F52" s="5">
        <f>+D52/E52</f>
        <v>0.75</v>
      </c>
      <c r="G52" s="5">
        <v>7</v>
      </c>
      <c r="H52" s="411">
        <f t="shared" ref="H52:H53" si="8">+((F52*I52)/D52)*G52</f>
        <v>1400</v>
      </c>
      <c r="I52" s="412">
        <v>20000</v>
      </c>
    </row>
    <row r="53" spans="2:9" x14ac:dyDescent="0.3">
      <c r="B53" s="508" t="s">
        <v>399</v>
      </c>
      <c r="C53" s="508"/>
      <c r="D53" s="5">
        <v>1000</v>
      </c>
      <c r="E53" s="5">
        <f>+D53/F53</f>
        <v>1666.6666666666667</v>
      </c>
      <c r="F53" s="5">
        <v>0.6</v>
      </c>
      <c r="G53" s="5">
        <v>3</v>
      </c>
      <c r="H53" s="411">
        <f t="shared" si="8"/>
        <v>72</v>
      </c>
      <c r="I53" s="412">
        <v>40000</v>
      </c>
    </row>
    <row r="54" spans="2:9" x14ac:dyDescent="0.3">
      <c r="H54" s="291">
        <f>+SUM(H50:H53)</f>
        <v>2602</v>
      </c>
    </row>
    <row r="55" spans="2:9" ht="15" thickBot="1" x14ac:dyDescent="0.35"/>
    <row r="56" spans="2:9" ht="15" thickBot="1" x14ac:dyDescent="0.35">
      <c r="B56" s="510" t="s">
        <v>474</v>
      </c>
      <c r="C56" s="511"/>
      <c r="D56" s="511"/>
      <c r="E56" s="511"/>
      <c r="F56" s="511"/>
      <c r="G56" s="511"/>
      <c r="H56" s="511"/>
      <c r="I56" s="512"/>
    </row>
    <row r="57" spans="2:9" ht="39.6" x14ac:dyDescent="0.3">
      <c r="B57" s="513" t="s">
        <v>416</v>
      </c>
      <c r="C57" s="513"/>
      <c r="D57" s="405" t="s">
        <v>412</v>
      </c>
      <c r="E57" s="406" t="s">
        <v>411</v>
      </c>
      <c r="F57" s="406" t="s">
        <v>410</v>
      </c>
      <c r="G57" s="406" t="s">
        <v>413</v>
      </c>
      <c r="H57" s="407" t="s">
        <v>415</v>
      </c>
      <c r="I57" s="406" t="s">
        <v>414</v>
      </c>
    </row>
    <row r="58" spans="2:9" x14ac:dyDescent="0.3">
      <c r="B58" s="508" t="s">
        <v>370</v>
      </c>
      <c r="C58" s="508"/>
      <c r="D58" s="287">
        <v>100</v>
      </c>
      <c r="E58" s="288">
        <v>200</v>
      </c>
      <c r="F58" s="288">
        <f>+D58/E58</f>
        <v>0.5</v>
      </c>
      <c r="G58" s="288">
        <v>1</v>
      </c>
      <c r="H58" s="290">
        <f>+((F58*I58)/D58)*G58</f>
        <v>175</v>
      </c>
      <c r="I58" s="353">
        <v>35000</v>
      </c>
    </row>
    <row r="59" spans="2:9" x14ac:dyDescent="0.3">
      <c r="B59" s="508" t="s">
        <v>371</v>
      </c>
      <c r="C59" s="508"/>
      <c r="D59" s="287">
        <v>5000</v>
      </c>
      <c r="E59" s="288">
        <f>+D59/F59</f>
        <v>5000</v>
      </c>
      <c r="F59" s="288">
        <v>1</v>
      </c>
      <c r="G59" s="288">
        <v>4</v>
      </c>
      <c r="H59" s="290">
        <f t="shared" ref="H59:H60" si="9">+((F59*I59)/D59)*G59</f>
        <v>16</v>
      </c>
      <c r="I59" s="353">
        <v>20000</v>
      </c>
    </row>
    <row r="60" spans="2:9" x14ac:dyDescent="0.3">
      <c r="B60" s="508" t="s">
        <v>372</v>
      </c>
      <c r="C60" s="508"/>
      <c r="D60" s="287">
        <v>100</v>
      </c>
      <c r="E60" s="288">
        <v>200</v>
      </c>
      <c r="F60" s="288">
        <v>8</v>
      </c>
      <c r="G60" s="288">
        <v>3</v>
      </c>
      <c r="H60" s="290">
        <f t="shared" si="9"/>
        <v>4800</v>
      </c>
      <c r="I60" s="353">
        <v>20000</v>
      </c>
    </row>
    <row r="61" spans="2:9" x14ac:dyDescent="0.3">
      <c r="B61" s="509" t="s">
        <v>476</v>
      </c>
      <c r="C61" s="509"/>
      <c r="D61" s="287">
        <v>500</v>
      </c>
      <c r="E61" s="288">
        <v>500</v>
      </c>
      <c r="F61" s="288">
        <f t="shared" ref="F61" si="10">+D61/E61</f>
        <v>1</v>
      </c>
      <c r="G61" s="288">
        <v>1</v>
      </c>
      <c r="H61" s="290">
        <f t="shared" ref="H61" si="11">+((F61*I61)/D61)*G61</f>
        <v>215.98</v>
      </c>
      <c r="I61" s="353">
        <v>107990</v>
      </c>
    </row>
    <row r="62" spans="2:9" x14ac:dyDescent="0.3">
      <c r="B62" s="286"/>
      <c r="C62" s="286"/>
      <c r="D62" s="286"/>
      <c r="E62" s="286"/>
      <c r="F62" s="286"/>
      <c r="G62" s="286"/>
      <c r="H62" s="354">
        <f>SUM(H58:H61)</f>
        <v>5206.9799999999996</v>
      </c>
      <c r="I62" s="286"/>
    </row>
  </sheetData>
  <mergeCells count="39">
    <mergeCell ref="B1:K2"/>
    <mergeCell ref="B45:C45"/>
    <mergeCell ref="B22:C22"/>
    <mergeCell ref="B23:C23"/>
    <mergeCell ref="B24:C24"/>
    <mergeCell ref="B25:C25"/>
    <mergeCell ref="B26:C26"/>
    <mergeCell ref="B27:C27"/>
    <mergeCell ref="B28:C28"/>
    <mergeCell ref="B31:I31"/>
    <mergeCell ref="B37:C37"/>
    <mergeCell ref="B38:C38"/>
    <mergeCell ref="B39:C39"/>
    <mergeCell ref="B4:I4"/>
    <mergeCell ref="B36:C36"/>
    <mergeCell ref="B40:C40"/>
    <mergeCell ref="B5:C5"/>
    <mergeCell ref="B50:C50"/>
    <mergeCell ref="B51:C51"/>
    <mergeCell ref="B52:C52"/>
    <mergeCell ref="B53:C53"/>
    <mergeCell ref="B42:C42"/>
    <mergeCell ref="B43:C43"/>
    <mergeCell ref="B44:C44"/>
    <mergeCell ref="B20:I20"/>
    <mergeCell ref="B21:C21"/>
    <mergeCell ref="B32:C32"/>
    <mergeCell ref="B49:C49"/>
    <mergeCell ref="B33:C33"/>
    <mergeCell ref="B34:C34"/>
    <mergeCell ref="B35:C35"/>
    <mergeCell ref="B60:C60"/>
    <mergeCell ref="B61:C61"/>
    <mergeCell ref="B41:C41"/>
    <mergeCell ref="B48:I48"/>
    <mergeCell ref="B57:C57"/>
    <mergeCell ref="B58:C58"/>
    <mergeCell ref="B59:C59"/>
    <mergeCell ref="B56:I5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C15C1-E63E-45F3-9CF3-41ADAD2BE0E0}">
  <dimension ref="A1:R116"/>
  <sheetViews>
    <sheetView zoomScale="85" zoomScaleNormal="85" workbookViewId="0"/>
  </sheetViews>
  <sheetFormatPr baseColWidth="10" defaultRowHeight="14.4" x14ac:dyDescent="0.3"/>
  <cols>
    <col min="4" max="7" width="17.88671875" customWidth="1"/>
    <col min="13" max="14" width="15.6640625" customWidth="1"/>
    <col min="15" max="15" width="19.33203125" customWidth="1"/>
    <col min="16" max="16" width="15.6640625" customWidth="1"/>
  </cols>
  <sheetData>
    <row r="1" spans="1:18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8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8" x14ac:dyDescent="0.3">
      <c r="A3" s="3" t="s">
        <v>105</v>
      </c>
      <c r="B3" s="143">
        <v>25</v>
      </c>
      <c r="C3" s="3" t="s">
        <v>210</v>
      </c>
      <c r="D3" s="3"/>
      <c r="E3" s="2"/>
      <c r="F3" s="161"/>
      <c r="G3" s="2">
        <f>5*12</f>
        <v>60</v>
      </c>
      <c r="H3" s="11"/>
      <c r="I3" s="2"/>
      <c r="J3" s="2"/>
      <c r="K3" s="2"/>
      <c r="L3" s="2"/>
      <c r="M3" s="2"/>
      <c r="N3" s="2"/>
      <c r="O3" s="2"/>
      <c r="P3" s="2"/>
      <c r="Q3" s="2"/>
    </row>
    <row r="4" spans="1:18" x14ac:dyDescent="0.3">
      <c r="A4" s="2"/>
      <c r="B4" s="2"/>
      <c r="C4" s="2"/>
      <c r="D4" s="2"/>
      <c r="E4" s="2"/>
      <c r="F4" s="2"/>
      <c r="G4" s="2"/>
      <c r="H4" s="11"/>
      <c r="I4" s="3"/>
      <c r="J4" s="3"/>
      <c r="K4" s="3"/>
      <c r="L4" s="3"/>
      <c r="M4" s="2"/>
      <c r="N4" s="2"/>
      <c r="O4" s="2"/>
      <c r="P4" s="2"/>
      <c r="Q4" s="2"/>
    </row>
    <row r="5" spans="1:18" x14ac:dyDescent="0.3">
      <c r="A5" s="2"/>
      <c r="B5" s="2"/>
      <c r="C5" s="2"/>
      <c r="D5" s="515" t="s">
        <v>211</v>
      </c>
      <c r="E5" s="515"/>
      <c r="F5" s="145">
        <f>+'COSTOS Y GASTOS'!D219</f>
        <v>178478709.53606069</v>
      </c>
      <c r="G5" s="2"/>
      <c r="H5" s="11"/>
      <c r="J5" s="2"/>
      <c r="K5" s="2"/>
      <c r="L5" s="2"/>
      <c r="M5" s="2"/>
      <c r="N5" s="2"/>
      <c r="O5" s="2"/>
      <c r="P5" s="2"/>
      <c r="Q5" s="2"/>
    </row>
    <row r="6" spans="1:18" x14ac:dyDescent="0.3">
      <c r="A6" s="2"/>
      <c r="B6" s="2"/>
      <c r="C6" s="2"/>
      <c r="D6" s="515" t="s">
        <v>212</v>
      </c>
      <c r="E6" s="515"/>
      <c r="F6" s="146">
        <v>36</v>
      </c>
      <c r="G6" s="2" t="s">
        <v>213</v>
      </c>
      <c r="H6" s="2"/>
      <c r="I6" s="2"/>
      <c r="J6" s="2"/>
      <c r="K6" s="2"/>
      <c r="L6" s="2"/>
      <c r="M6" s="2"/>
      <c r="N6" s="2"/>
      <c r="O6" s="2"/>
      <c r="P6" s="2"/>
      <c r="Q6" s="2"/>
    </row>
    <row r="7" spans="1:18" x14ac:dyDescent="0.3">
      <c r="A7" s="2"/>
      <c r="B7" s="2"/>
      <c r="C7" s="2"/>
      <c r="D7" s="515" t="s">
        <v>214</v>
      </c>
      <c r="E7" s="515"/>
      <c r="F7" s="425">
        <v>2.5899999999999999E-2</v>
      </c>
      <c r="G7" s="2" t="s">
        <v>215</v>
      </c>
      <c r="H7" s="147">
        <f>((1+F7)^12)-1</f>
        <v>0.35912799415918473</v>
      </c>
      <c r="I7" s="2" t="s">
        <v>216</v>
      </c>
      <c r="K7" s="2"/>
      <c r="L7" s="2"/>
      <c r="M7" s="2"/>
      <c r="N7" s="2"/>
      <c r="O7" s="2"/>
      <c r="P7" s="2"/>
      <c r="Q7" s="2"/>
    </row>
    <row r="8" spans="1:18" x14ac:dyDescent="0.3">
      <c r="A8" s="2"/>
      <c r="B8" s="2"/>
      <c r="C8" s="2"/>
      <c r="D8" s="515" t="s">
        <v>217</v>
      </c>
      <c r="E8" s="515"/>
      <c r="F8" s="148">
        <f>-PMT(F7,F6,F5)</f>
        <v>7682664.6417776803</v>
      </c>
      <c r="G8" s="2" t="s">
        <v>215</v>
      </c>
      <c r="H8" s="2"/>
      <c r="I8" s="2"/>
      <c r="J8" s="2"/>
      <c r="K8" s="2"/>
      <c r="N8" s="2"/>
      <c r="O8" s="2"/>
      <c r="P8" s="2"/>
      <c r="Q8" s="2"/>
    </row>
    <row r="9" spans="1:18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8" x14ac:dyDescent="0.3">
      <c r="A10" s="75"/>
      <c r="B10" s="75"/>
      <c r="C10" s="149"/>
      <c r="D10" s="149"/>
      <c r="E10" s="149"/>
      <c r="F10" s="149"/>
      <c r="G10" s="149"/>
      <c r="H10" s="75">
        <f>38.65/12</f>
        <v>3.2208333333333332</v>
      </c>
      <c r="I10" s="75"/>
      <c r="J10" s="75"/>
      <c r="K10" s="75"/>
      <c r="L10" s="75"/>
      <c r="M10" s="75"/>
      <c r="N10" s="75"/>
      <c r="O10" s="75"/>
      <c r="P10" s="75"/>
      <c r="Q10" s="75"/>
      <c r="R10" s="150"/>
    </row>
    <row r="11" spans="1:18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8" x14ac:dyDescent="0.3">
      <c r="A12" s="2"/>
      <c r="B12" s="2"/>
      <c r="C12" s="151" t="s">
        <v>218</v>
      </c>
      <c r="D12" s="151" t="s">
        <v>219</v>
      </c>
      <c r="E12" s="151" t="s">
        <v>220</v>
      </c>
      <c r="F12" s="151" t="s">
        <v>221</v>
      </c>
      <c r="G12" s="151" t="s">
        <v>222</v>
      </c>
      <c r="H12" s="2"/>
      <c r="I12" s="2"/>
      <c r="J12" s="3" t="s">
        <v>105</v>
      </c>
      <c r="K12" s="143">
        <f>B3+1</f>
        <v>26</v>
      </c>
      <c r="L12" s="3" t="s">
        <v>223</v>
      </c>
      <c r="M12" s="2"/>
      <c r="N12" s="2"/>
      <c r="O12" s="2"/>
      <c r="P12" s="2"/>
      <c r="Q12" s="2"/>
    </row>
    <row r="13" spans="1:18" x14ac:dyDescent="0.3">
      <c r="A13" s="2"/>
      <c r="B13" s="2"/>
      <c r="C13" s="152">
        <v>0</v>
      </c>
      <c r="D13" s="7"/>
      <c r="E13" s="7"/>
      <c r="F13" s="7"/>
      <c r="G13" s="153">
        <f>F5</f>
        <v>178478709.53606069</v>
      </c>
      <c r="H13" s="2"/>
      <c r="I13" s="2"/>
      <c r="J13" s="2"/>
      <c r="K13" s="2"/>
      <c r="L13" s="151" t="s">
        <v>124</v>
      </c>
      <c r="M13" s="151" t="s">
        <v>224</v>
      </c>
      <c r="N13" s="151" t="s">
        <v>220</v>
      </c>
      <c r="O13" s="151" t="s">
        <v>221</v>
      </c>
      <c r="P13" s="151" t="s">
        <v>222</v>
      </c>
      <c r="Q13" s="2"/>
    </row>
    <row r="14" spans="1:18" x14ac:dyDescent="0.3">
      <c r="A14" s="2"/>
      <c r="B14" s="2"/>
      <c r="C14" s="152">
        <f>C13+1</f>
        <v>1</v>
      </c>
      <c r="D14" s="154">
        <f>F8</f>
        <v>7682664.6417776803</v>
      </c>
      <c r="E14" s="153">
        <f>G13*$F$7</f>
        <v>4622598.5769839715</v>
      </c>
      <c r="F14" s="153">
        <f>D14-E14</f>
        <v>3060066.0647937087</v>
      </c>
      <c r="G14" s="153">
        <f>G13-F14</f>
        <v>175418643.47126698</v>
      </c>
      <c r="H14" s="2"/>
      <c r="I14" s="2"/>
      <c r="J14" s="2"/>
      <c r="K14" s="2"/>
      <c r="L14" s="152">
        <v>1</v>
      </c>
      <c r="M14" s="155">
        <f>SUM(D14:D25)</f>
        <v>92191975.701332167</v>
      </c>
      <c r="N14" s="155">
        <f>SUM(E14:E25)</f>
        <v>49761265.745967165</v>
      </c>
      <c r="O14" s="155">
        <f>SUM(F14:F25)</f>
        <v>42430709.955365002</v>
      </c>
      <c r="P14" s="155">
        <f>G25</f>
        <v>136047999.58069569</v>
      </c>
      <c r="Q14" s="2"/>
    </row>
    <row r="15" spans="1:18" x14ac:dyDescent="0.3">
      <c r="A15" s="2"/>
      <c r="B15" s="2"/>
      <c r="C15" s="152">
        <f t="shared" ref="C15:C73" si="0">C14+1</f>
        <v>2</v>
      </c>
      <c r="D15" s="154">
        <f>D14</f>
        <v>7682664.6417776803</v>
      </c>
      <c r="E15" s="153">
        <f t="shared" ref="E15:E49" si="1">G14*$F$7</f>
        <v>4543342.8659058148</v>
      </c>
      <c r="F15" s="153">
        <f t="shared" ref="F15:F48" si="2">D15-E15</f>
        <v>3139321.7758718655</v>
      </c>
      <c r="G15" s="153">
        <f t="shared" ref="G15:G49" si="3">G14-F15</f>
        <v>172279321.69539511</v>
      </c>
      <c r="H15" s="2"/>
      <c r="I15" s="2"/>
      <c r="J15" s="2"/>
      <c r="K15" s="2"/>
      <c r="L15" s="152">
        <f>L14+1</f>
        <v>2</v>
      </c>
      <c r="M15" s="155">
        <f>SUM(D26:D37)</f>
        <v>92191975.701332167</v>
      </c>
      <c r="N15" s="155">
        <f>SUM(E26:E37)</f>
        <v>34523209.988946781</v>
      </c>
      <c r="O15" s="155">
        <f>M15-N15</f>
        <v>57668765.712385386</v>
      </c>
      <c r="P15" s="155">
        <f>G37</f>
        <v>78379233.868310302</v>
      </c>
      <c r="Q15" s="2"/>
    </row>
    <row r="16" spans="1:18" x14ac:dyDescent="0.3">
      <c r="A16" s="2"/>
      <c r="B16" s="2"/>
      <c r="C16" s="152">
        <f t="shared" si="0"/>
        <v>3</v>
      </c>
      <c r="D16" s="154">
        <f t="shared" ref="D16:D48" si="4">D15</f>
        <v>7682664.6417776803</v>
      </c>
      <c r="E16" s="153">
        <f t="shared" si="1"/>
        <v>4462034.4319107337</v>
      </c>
      <c r="F16" s="153">
        <f t="shared" si="2"/>
        <v>3220630.2098669466</v>
      </c>
      <c r="G16" s="153">
        <f t="shared" si="3"/>
        <v>169058691.48552817</v>
      </c>
      <c r="H16" s="2"/>
      <c r="I16" s="2"/>
      <c r="J16" s="2"/>
      <c r="K16" s="2"/>
      <c r="L16" s="152">
        <f>L15+1</f>
        <v>3</v>
      </c>
      <c r="M16" s="155">
        <f>SUM(D38:D49)</f>
        <v>92191975.701332167</v>
      </c>
      <c r="N16" s="155">
        <f>SUM(E38:E49)</f>
        <v>13812741.833021851</v>
      </c>
      <c r="O16" s="155">
        <f>M16-N16</f>
        <v>78379233.868310317</v>
      </c>
      <c r="P16" s="155">
        <f>G49</f>
        <v>0</v>
      </c>
      <c r="Q16" s="2"/>
    </row>
    <row r="17" spans="1:17" x14ac:dyDescent="0.3">
      <c r="A17" s="2"/>
      <c r="B17" s="2"/>
      <c r="C17" s="152">
        <f t="shared" si="0"/>
        <v>4</v>
      </c>
      <c r="D17" s="154">
        <f t="shared" si="4"/>
        <v>7682664.6417776803</v>
      </c>
      <c r="E17" s="153">
        <f t="shared" si="1"/>
        <v>4378620.1094751796</v>
      </c>
      <c r="F17" s="153">
        <f t="shared" si="2"/>
        <v>3304044.5323025007</v>
      </c>
      <c r="G17" s="153">
        <f t="shared" si="3"/>
        <v>165754646.95322567</v>
      </c>
      <c r="H17" s="2"/>
      <c r="I17" s="2"/>
      <c r="J17" s="2"/>
      <c r="K17" s="2"/>
      <c r="L17" s="152">
        <f>L16+1</f>
        <v>4</v>
      </c>
      <c r="M17" s="155">
        <f>SUM(D50:D61)</f>
        <v>0</v>
      </c>
      <c r="N17" s="155">
        <f>SUM(E50:E61)</f>
        <v>0</v>
      </c>
      <c r="O17" s="155">
        <f>M17-N17</f>
        <v>0</v>
      </c>
      <c r="P17" s="155">
        <f>G61</f>
        <v>0</v>
      </c>
      <c r="Q17" s="2"/>
    </row>
    <row r="18" spans="1:17" x14ac:dyDescent="0.3">
      <c r="A18" s="2"/>
      <c r="B18" s="2"/>
      <c r="C18" s="152">
        <f t="shared" si="0"/>
        <v>5</v>
      </c>
      <c r="D18" s="154">
        <f t="shared" si="4"/>
        <v>7682664.6417776803</v>
      </c>
      <c r="E18" s="153">
        <f t="shared" si="1"/>
        <v>4293045.3560885452</v>
      </c>
      <c r="F18" s="153">
        <f t="shared" si="2"/>
        <v>3389619.2856891351</v>
      </c>
      <c r="G18" s="153">
        <f t="shared" si="3"/>
        <v>162365027.66753653</v>
      </c>
      <c r="H18" s="2"/>
      <c r="I18" s="2"/>
      <c r="J18" s="2"/>
      <c r="K18" s="2"/>
      <c r="L18" s="152">
        <f>L17+1</f>
        <v>5</v>
      </c>
      <c r="M18" s="155">
        <f>SUM(D62:D73)</f>
        <v>0</v>
      </c>
      <c r="N18" s="155">
        <f>SUM(E62:E73)</f>
        <v>0</v>
      </c>
      <c r="O18" s="155">
        <f>M18-N18</f>
        <v>0</v>
      </c>
      <c r="P18" s="153">
        <f>G73</f>
        <v>0</v>
      </c>
      <c r="Q18" s="2"/>
    </row>
    <row r="19" spans="1:17" x14ac:dyDescent="0.3">
      <c r="A19" s="2"/>
      <c r="B19" s="2"/>
      <c r="C19" s="152">
        <f t="shared" si="0"/>
        <v>6</v>
      </c>
      <c r="D19" s="154">
        <f t="shared" si="4"/>
        <v>7682664.6417776803</v>
      </c>
      <c r="E19" s="153">
        <f t="shared" si="1"/>
        <v>4205254.2165891957</v>
      </c>
      <c r="F19" s="153">
        <f t="shared" si="2"/>
        <v>3477410.4251884846</v>
      </c>
      <c r="G19" s="153">
        <f t="shared" si="3"/>
        <v>158887617.24234805</v>
      </c>
      <c r="H19" s="2"/>
      <c r="I19" s="2"/>
      <c r="J19" s="2"/>
      <c r="K19" s="2"/>
      <c r="L19" s="156" t="s">
        <v>25</v>
      </c>
      <c r="M19" s="157">
        <f>SUM(M14:M18)</f>
        <v>276575927.10399652</v>
      </c>
      <c r="N19" s="157">
        <f>SUM(N14:N18)</f>
        <v>98097217.567935795</v>
      </c>
      <c r="O19" s="157">
        <f>SUM(O14:O18)</f>
        <v>178478709.53606069</v>
      </c>
      <c r="P19" s="158"/>
      <c r="Q19" s="2"/>
    </row>
    <row r="20" spans="1:17" x14ac:dyDescent="0.3">
      <c r="A20" s="2"/>
      <c r="B20" s="2"/>
      <c r="C20" s="152">
        <f t="shared" si="0"/>
        <v>7</v>
      </c>
      <c r="D20" s="154">
        <f t="shared" si="4"/>
        <v>7682664.6417776803</v>
      </c>
      <c r="E20" s="153">
        <f t="shared" si="1"/>
        <v>4115189.2865768145</v>
      </c>
      <c r="F20" s="153">
        <f t="shared" si="2"/>
        <v>3567475.3552008658</v>
      </c>
      <c r="G20" s="153">
        <f t="shared" si="3"/>
        <v>155320141.88714719</v>
      </c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x14ac:dyDescent="0.3">
      <c r="A21" s="2"/>
      <c r="B21" s="2"/>
      <c r="C21" s="152">
        <f t="shared" si="0"/>
        <v>8</v>
      </c>
      <c r="D21" s="154">
        <f t="shared" si="4"/>
        <v>7682664.6417776803</v>
      </c>
      <c r="E21" s="153">
        <f t="shared" si="1"/>
        <v>4022791.6748771123</v>
      </c>
      <c r="F21" s="153">
        <f t="shared" si="2"/>
        <v>3659872.966900568</v>
      </c>
      <c r="G21" s="153">
        <f t="shared" si="3"/>
        <v>151660268.92024663</v>
      </c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x14ac:dyDescent="0.3">
      <c r="A22" s="2"/>
      <c r="B22" s="2"/>
      <c r="C22" s="152">
        <f t="shared" si="0"/>
        <v>9</v>
      </c>
      <c r="D22" s="154">
        <f t="shared" si="4"/>
        <v>7682664.6417776803</v>
      </c>
      <c r="E22" s="153">
        <f t="shared" si="1"/>
        <v>3928000.9650343875</v>
      </c>
      <c r="F22" s="153">
        <f t="shared" si="2"/>
        <v>3754663.6767432927</v>
      </c>
      <c r="G22" s="153">
        <f t="shared" si="3"/>
        <v>147905605.24350333</v>
      </c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x14ac:dyDescent="0.3">
      <c r="A23" s="2"/>
      <c r="B23" s="2"/>
      <c r="C23" s="152">
        <f t="shared" si="0"/>
        <v>10</v>
      </c>
      <c r="D23" s="154">
        <f t="shared" si="4"/>
        <v>7682664.6417776803</v>
      </c>
      <c r="E23" s="153">
        <f t="shared" si="1"/>
        <v>3830755.1758067361</v>
      </c>
      <c r="F23" s="153">
        <f t="shared" si="2"/>
        <v>3851909.4659709441</v>
      </c>
      <c r="G23" s="153">
        <f t="shared" si="3"/>
        <v>144053695.7775324</v>
      </c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 x14ac:dyDescent="0.3">
      <c r="A24" s="2"/>
      <c r="B24" s="2"/>
      <c r="C24" s="152">
        <f t="shared" si="0"/>
        <v>11</v>
      </c>
      <c r="D24" s="154">
        <f t="shared" si="4"/>
        <v>7682664.6417776803</v>
      </c>
      <c r="E24" s="153">
        <f t="shared" si="1"/>
        <v>3730990.7206380889</v>
      </c>
      <c r="F24" s="153">
        <f t="shared" si="2"/>
        <v>3951673.9211395914</v>
      </c>
      <c r="G24" s="153">
        <f t="shared" si="3"/>
        <v>140102021.8563928</v>
      </c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x14ac:dyDescent="0.3">
      <c r="A25" s="2"/>
      <c r="B25" s="2"/>
      <c r="C25" s="152">
        <f t="shared" si="0"/>
        <v>12</v>
      </c>
      <c r="D25" s="154">
        <f t="shared" si="4"/>
        <v>7682664.6417776803</v>
      </c>
      <c r="E25" s="153">
        <f t="shared" si="1"/>
        <v>3628642.3660805733</v>
      </c>
      <c r="F25" s="153">
        <f t="shared" si="2"/>
        <v>4054022.275697107</v>
      </c>
      <c r="G25" s="153">
        <f t="shared" si="3"/>
        <v>136047999.58069569</v>
      </c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x14ac:dyDescent="0.3">
      <c r="A26" s="2"/>
      <c r="B26" s="2"/>
      <c r="C26" s="152">
        <f t="shared" si="0"/>
        <v>13</v>
      </c>
      <c r="D26" s="154">
        <f t="shared" si="4"/>
        <v>7682664.6417776803</v>
      </c>
      <c r="E26" s="153">
        <f t="shared" si="1"/>
        <v>3523643.1891400181</v>
      </c>
      <c r="F26" s="153">
        <f t="shared" si="2"/>
        <v>4159021.4526376622</v>
      </c>
      <c r="G26" s="153">
        <f t="shared" si="3"/>
        <v>131888978.12805803</v>
      </c>
      <c r="H26" s="2"/>
      <c r="I26" s="2"/>
      <c r="J26" s="2"/>
      <c r="K26" s="2"/>
      <c r="L26" s="2"/>
      <c r="M26" s="2"/>
      <c r="N26" s="159"/>
      <c r="O26" s="2"/>
      <c r="P26" s="2"/>
      <c r="Q26" s="2"/>
    </row>
    <row r="27" spans="1:17" x14ac:dyDescent="0.3">
      <c r="A27" s="2"/>
      <c r="B27" s="2"/>
      <c r="C27" s="152">
        <f t="shared" si="0"/>
        <v>14</v>
      </c>
      <c r="D27" s="154">
        <f t="shared" si="4"/>
        <v>7682664.6417776803</v>
      </c>
      <c r="E27" s="153">
        <f t="shared" si="1"/>
        <v>3415924.5335167027</v>
      </c>
      <c r="F27" s="153">
        <f t="shared" si="2"/>
        <v>4266740.108260978</v>
      </c>
      <c r="G27" s="153">
        <f t="shared" si="3"/>
        <v>127622238.01979706</v>
      </c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x14ac:dyDescent="0.3">
      <c r="A28" s="2"/>
      <c r="B28" s="2"/>
      <c r="C28" s="152">
        <f t="shared" si="0"/>
        <v>15</v>
      </c>
      <c r="D28" s="154">
        <f t="shared" si="4"/>
        <v>7682664.6417776803</v>
      </c>
      <c r="E28" s="153">
        <f t="shared" si="1"/>
        <v>3305415.9647127436</v>
      </c>
      <c r="F28" s="153">
        <f t="shared" si="2"/>
        <v>4377248.6770649366</v>
      </c>
      <c r="G28" s="153">
        <f t="shared" si="3"/>
        <v>123244989.34273212</v>
      </c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 x14ac:dyDescent="0.3">
      <c r="A29" s="2"/>
      <c r="B29" s="2"/>
      <c r="C29" s="152">
        <f t="shared" si="0"/>
        <v>16</v>
      </c>
      <c r="D29" s="154">
        <f t="shared" si="4"/>
        <v>7682664.6417776803</v>
      </c>
      <c r="E29" s="153">
        <f t="shared" si="1"/>
        <v>3192045.2239767616</v>
      </c>
      <c r="F29" s="153">
        <f t="shared" si="2"/>
        <v>4490619.4178009182</v>
      </c>
      <c r="G29" s="153">
        <f t="shared" si="3"/>
        <v>118754369.9249312</v>
      </c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 x14ac:dyDescent="0.3">
      <c r="A30" s="2"/>
      <c r="B30" s="2"/>
      <c r="C30" s="152">
        <f t="shared" si="0"/>
        <v>17</v>
      </c>
      <c r="D30" s="154">
        <f t="shared" si="4"/>
        <v>7682664.6417776803</v>
      </c>
      <c r="E30" s="153">
        <f t="shared" si="1"/>
        <v>3075738.1810557181</v>
      </c>
      <c r="F30" s="153">
        <f t="shared" si="2"/>
        <v>4606926.4607219622</v>
      </c>
      <c r="G30" s="153">
        <f t="shared" si="3"/>
        <v>114147443.46420923</v>
      </c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 x14ac:dyDescent="0.3">
      <c r="A31" s="2"/>
      <c r="B31" s="2"/>
      <c r="C31" s="152">
        <f t="shared" si="0"/>
        <v>18</v>
      </c>
      <c r="D31" s="154">
        <f t="shared" si="4"/>
        <v>7682664.6417776803</v>
      </c>
      <c r="E31" s="153">
        <f t="shared" si="1"/>
        <v>2956418.7857230189</v>
      </c>
      <c r="F31" s="153">
        <f t="shared" si="2"/>
        <v>4726245.8560546618</v>
      </c>
      <c r="G31" s="153">
        <f t="shared" si="3"/>
        <v>109421197.60815457</v>
      </c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 x14ac:dyDescent="0.3">
      <c r="A32" s="2"/>
      <c r="B32" s="2"/>
      <c r="C32" s="152">
        <f t="shared" si="0"/>
        <v>19</v>
      </c>
      <c r="D32" s="154">
        <f t="shared" si="4"/>
        <v>7682664.6417776803</v>
      </c>
      <c r="E32" s="153">
        <f t="shared" si="1"/>
        <v>2834009.0180512033</v>
      </c>
      <c r="F32" s="153">
        <f t="shared" si="2"/>
        <v>4848655.6237264769</v>
      </c>
      <c r="G32" s="153">
        <f t="shared" si="3"/>
        <v>104572541.98442809</v>
      </c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 x14ac:dyDescent="0.3">
      <c r="A33" s="2"/>
      <c r="B33" s="2"/>
      <c r="C33" s="152">
        <f t="shared" si="0"/>
        <v>20</v>
      </c>
      <c r="D33" s="154">
        <f t="shared" si="4"/>
        <v>7682664.6417776803</v>
      </c>
      <c r="E33" s="153">
        <f t="shared" si="1"/>
        <v>2708428.8373966874</v>
      </c>
      <c r="F33" s="153">
        <f t="shared" si="2"/>
        <v>4974235.8043809924</v>
      </c>
      <c r="G33" s="153">
        <f t="shared" si="3"/>
        <v>99598306.180047095</v>
      </c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 x14ac:dyDescent="0.3">
      <c r="A34" s="2"/>
      <c r="B34" s="2"/>
      <c r="C34" s="152">
        <f t="shared" si="0"/>
        <v>21</v>
      </c>
      <c r="D34" s="154">
        <f t="shared" si="4"/>
        <v>7682664.6417776803</v>
      </c>
      <c r="E34" s="153">
        <f t="shared" si="1"/>
        <v>2579596.1300632199</v>
      </c>
      <c r="F34" s="153">
        <f t="shared" si="2"/>
        <v>5103068.5117144603</v>
      </c>
      <c r="G34" s="153">
        <f t="shared" si="3"/>
        <v>94495237.668332636</v>
      </c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x14ac:dyDescent="0.3">
      <c r="A35" s="2"/>
      <c r="B35" s="2"/>
      <c r="C35" s="152">
        <f t="shared" si="0"/>
        <v>22</v>
      </c>
      <c r="D35" s="154">
        <f t="shared" si="4"/>
        <v>7682664.6417776803</v>
      </c>
      <c r="E35" s="153">
        <f t="shared" si="1"/>
        <v>2447426.6556098154</v>
      </c>
      <c r="F35" s="153">
        <f t="shared" si="2"/>
        <v>5235237.9861678649</v>
      </c>
      <c r="G35" s="153">
        <f t="shared" si="3"/>
        <v>89259999.682164773</v>
      </c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x14ac:dyDescent="0.3">
      <c r="A36" s="2"/>
      <c r="B36" s="2"/>
      <c r="C36" s="152">
        <f t="shared" si="0"/>
        <v>23</v>
      </c>
      <c r="D36" s="154">
        <f t="shared" si="4"/>
        <v>7682664.6417776803</v>
      </c>
      <c r="E36" s="153">
        <f t="shared" si="1"/>
        <v>2311833.9917680677</v>
      </c>
      <c r="F36" s="153">
        <f t="shared" si="2"/>
        <v>5370830.6500096126</v>
      </c>
      <c r="G36" s="153">
        <f t="shared" si="3"/>
        <v>83889169.032155156</v>
      </c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x14ac:dyDescent="0.3">
      <c r="A37" s="2"/>
      <c r="B37" s="2"/>
      <c r="C37" s="152">
        <f t="shared" si="0"/>
        <v>24</v>
      </c>
      <c r="D37" s="154">
        <f t="shared" si="4"/>
        <v>7682664.6417776803</v>
      </c>
      <c r="E37" s="153">
        <f t="shared" si="1"/>
        <v>2172729.4779328187</v>
      </c>
      <c r="F37" s="153">
        <f t="shared" si="2"/>
        <v>5509935.1638448611</v>
      </c>
      <c r="G37" s="153">
        <f t="shared" si="3"/>
        <v>78379233.868310302</v>
      </c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x14ac:dyDescent="0.3">
      <c r="A38" s="2"/>
      <c r="B38" s="2"/>
      <c r="C38" s="152">
        <f t="shared" si="0"/>
        <v>25</v>
      </c>
      <c r="D38" s="154">
        <f t="shared" si="4"/>
        <v>7682664.6417776803</v>
      </c>
      <c r="E38" s="153">
        <f t="shared" si="1"/>
        <v>2030022.1571892367</v>
      </c>
      <c r="F38" s="153">
        <f t="shared" si="2"/>
        <v>5652642.4845884433</v>
      </c>
      <c r="G38" s="153">
        <f t="shared" si="3"/>
        <v>72726591.383721858</v>
      </c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x14ac:dyDescent="0.3">
      <c r="A39" s="2"/>
      <c r="B39" s="2"/>
      <c r="C39" s="152">
        <f t="shared" si="0"/>
        <v>26</v>
      </c>
      <c r="D39" s="154">
        <f t="shared" si="4"/>
        <v>7682664.6417776803</v>
      </c>
      <c r="E39" s="153">
        <f t="shared" si="1"/>
        <v>1883618.7168383962</v>
      </c>
      <c r="F39" s="153">
        <f t="shared" si="2"/>
        <v>5799045.9249392841</v>
      </c>
      <c r="G39" s="153">
        <f t="shared" si="3"/>
        <v>66927545.458782576</v>
      </c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x14ac:dyDescent="0.3">
      <c r="A40" s="2"/>
      <c r="B40" s="2"/>
      <c r="C40" s="152">
        <f t="shared" si="0"/>
        <v>27</v>
      </c>
      <c r="D40" s="154">
        <f t="shared" si="4"/>
        <v>7682664.6417776803</v>
      </c>
      <c r="E40" s="153">
        <f t="shared" si="1"/>
        <v>1733423.4273824687</v>
      </c>
      <c r="F40" s="153">
        <f t="shared" si="2"/>
        <v>5949241.214395212</v>
      </c>
      <c r="G40" s="153">
        <f t="shared" si="3"/>
        <v>60978304.244387366</v>
      </c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x14ac:dyDescent="0.3">
      <c r="A41" s="2"/>
      <c r="B41" s="2"/>
      <c r="C41" s="152">
        <f t="shared" si="0"/>
        <v>28</v>
      </c>
      <c r="D41" s="154">
        <f t="shared" si="4"/>
        <v>7682664.6417776803</v>
      </c>
      <c r="E41" s="153">
        <f t="shared" si="1"/>
        <v>1579338.0799296328</v>
      </c>
      <c r="F41" s="153">
        <f t="shared" si="2"/>
        <v>6103326.5618480472</v>
      </c>
      <c r="G41" s="153">
        <f t="shared" si="3"/>
        <v>54874977.682539321</v>
      </c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x14ac:dyDescent="0.3">
      <c r="A42" s="2"/>
      <c r="B42" s="2"/>
      <c r="C42" s="152">
        <f t="shared" si="0"/>
        <v>29</v>
      </c>
      <c r="D42" s="154">
        <f t="shared" si="4"/>
        <v>7682664.6417776803</v>
      </c>
      <c r="E42" s="153">
        <f t="shared" si="1"/>
        <v>1421261.9219777684</v>
      </c>
      <c r="F42" s="153">
        <f t="shared" si="2"/>
        <v>6261402.7197999116</v>
      </c>
      <c r="G42" s="153">
        <f t="shared" si="3"/>
        <v>48613574.962739408</v>
      </c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x14ac:dyDescent="0.3">
      <c r="A43" s="2"/>
      <c r="B43" s="2"/>
      <c r="C43" s="152">
        <f t="shared" si="0"/>
        <v>30</v>
      </c>
      <c r="D43" s="154">
        <f t="shared" si="4"/>
        <v>7682664.6417776803</v>
      </c>
      <c r="E43" s="153">
        <f t="shared" si="1"/>
        <v>1259091.5915349505</v>
      </c>
      <c r="F43" s="153">
        <f t="shared" si="2"/>
        <v>6423573.0502427295</v>
      </c>
      <c r="G43" s="153">
        <f t="shared" si="3"/>
        <v>42190001.912496679</v>
      </c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x14ac:dyDescent="0.3">
      <c r="A44" s="2"/>
      <c r="B44" s="2"/>
      <c r="C44" s="152">
        <f t="shared" si="0"/>
        <v>31</v>
      </c>
      <c r="D44" s="154">
        <f t="shared" si="4"/>
        <v>7682664.6417776803</v>
      </c>
      <c r="E44" s="153">
        <f t="shared" si="1"/>
        <v>1092721.049533664</v>
      </c>
      <c r="F44" s="153">
        <f t="shared" si="2"/>
        <v>6589943.592244016</v>
      </c>
      <c r="G44" s="153">
        <f t="shared" si="3"/>
        <v>35600058.320252664</v>
      </c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x14ac:dyDescent="0.3">
      <c r="A45" s="2"/>
      <c r="B45" s="2"/>
      <c r="C45" s="152">
        <f t="shared" si="0"/>
        <v>32</v>
      </c>
      <c r="D45" s="154">
        <f t="shared" si="4"/>
        <v>7682664.6417776803</v>
      </c>
      <c r="E45" s="153">
        <f t="shared" si="1"/>
        <v>922041.51049454394</v>
      </c>
      <c r="F45" s="153">
        <f t="shared" si="2"/>
        <v>6760623.1312831361</v>
      </c>
      <c r="G45" s="153">
        <f t="shared" si="3"/>
        <v>28839435.18896953</v>
      </c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x14ac:dyDescent="0.3">
      <c r="A46" s="2"/>
      <c r="B46" s="2"/>
      <c r="C46" s="152">
        <f t="shared" si="0"/>
        <v>33</v>
      </c>
      <c r="D46" s="154">
        <f t="shared" si="4"/>
        <v>7682664.6417776803</v>
      </c>
      <c r="E46" s="153">
        <f t="shared" si="1"/>
        <v>746941.37139431085</v>
      </c>
      <c r="F46" s="153">
        <f t="shared" si="2"/>
        <v>6935723.2703833692</v>
      </c>
      <c r="G46" s="153">
        <f t="shared" si="3"/>
        <v>21903711.918586161</v>
      </c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x14ac:dyDescent="0.3">
      <c r="A47" s="2"/>
      <c r="B47" s="2"/>
      <c r="C47" s="152">
        <f t="shared" si="0"/>
        <v>34</v>
      </c>
      <c r="D47" s="154">
        <f t="shared" si="4"/>
        <v>7682664.6417776803</v>
      </c>
      <c r="E47" s="153">
        <f t="shared" si="1"/>
        <v>567306.13869138155</v>
      </c>
      <c r="F47" s="153">
        <f t="shared" si="2"/>
        <v>7115358.5030862987</v>
      </c>
      <c r="G47" s="153">
        <f t="shared" si="3"/>
        <v>14788353.415499862</v>
      </c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x14ac:dyDescent="0.3">
      <c r="A48" s="2"/>
      <c r="B48" s="2"/>
      <c r="C48" s="152">
        <f t="shared" si="0"/>
        <v>35</v>
      </c>
      <c r="D48" s="154">
        <f t="shared" si="4"/>
        <v>7682664.6417776803</v>
      </c>
      <c r="E48" s="153">
        <f t="shared" si="1"/>
        <v>383018.35346144642</v>
      </c>
      <c r="F48" s="153">
        <f t="shared" si="2"/>
        <v>7299646.288316234</v>
      </c>
      <c r="G48" s="153">
        <f t="shared" si="3"/>
        <v>7488707.1271836283</v>
      </c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1:17" x14ac:dyDescent="0.3">
      <c r="A49" s="2"/>
      <c r="B49" s="2"/>
      <c r="C49" s="152">
        <f t="shared" si="0"/>
        <v>36</v>
      </c>
      <c r="D49" s="154">
        <f>D48</f>
        <v>7682664.6417776803</v>
      </c>
      <c r="E49" s="153">
        <f t="shared" si="1"/>
        <v>193957.51459405597</v>
      </c>
      <c r="F49" s="153">
        <f>D49-E49</f>
        <v>7488707.1271836245</v>
      </c>
      <c r="G49" s="153">
        <f t="shared" si="3"/>
        <v>0</v>
      </c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1:17" x14ac:dyDescent="0.3">
      <c r="A50" s="2"/>
      <c r="B50" s="2"/>
      <c r="C50" s="152">
        <f t="shared" si="0"/>
        <v>37</v>
      </c>
      <c r="D50" s="154"/>
      <c r="E50" s="153"/>
      <c r="F50" s="153"/>
      <c r="G50" s="153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1:17" x14ac:dyDescent="0.3">
      <c r="A51" s="2"/>
      <c r="B51" s="2"/>
      <c r="C51" s="152">
        <f t="shared" si="0"/>
        <v>38</v>
      </c>
      <c r="D51" s="154"/>
      <c r="E51" s="153"/>
      <c r="F51" s="153"/>
      <c r="G51" s="153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1:17" x14ac:dyDescent="0.3">
      <c r="A52" s="2"/>
      <c r="B52" s="2"/>
      <c r="C52" s="152">
        <f t="shared" si="0"/>
        <v>39</v>
      </c>
      <c r="D52" s="154"/>
      <c r="E52" s="153"/>
      <c r="F52" s="153"/>
      <c r="G52" s="153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1:17" x14ac:dyDescent="0.3">
      <c r="A53" s="2"/>
      <c r="B53" s="2"/>
      <c r="C53" s="152">
        <f t="shared" si="0"/>
        <v>40</v>
      </c>
      <c r="D53" s="154"/>
      <c r="E53" s="153"/>
      <c r="F53" s="153"/>
      <c r="G53" s="153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1:17" x14ac:dyDescent="0.3">
      <c r="A54" s="2"/>
      <c r="B54" s="2"/>
      <c r="C54" s="152">
        <f t="shared" si="0"/>
        <v>41</v>
      </c>
      <c r="D54" s="154"/>
      <c r="E54" s="153"/>
      <c r="F54" s="153"/>
      <c r="G54" s="153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1:17" x14ac:dyDescent="0.3">
      <c r="A55" s="2"/>
      <c r="B55" s="2"/>
      <c r="C55" s="152">
        <f t="shared" si="0"/>
        <v>42</v>
      </c>
      <c r="D55" s="154"/>
      <c r="E55" s="153"/>
      <c r="F55" s="153"/>
      <c r="G55" s="153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1:17" x14ac:dyDescent="0.3">
      <c r="A56" s="2"/>
      <c r="B56" s="2"/>
      <c r="C56" s="152">
        <f t="shared" si="0"/>
        <v>43</v>
      </c>
      <c r="D56" s="154"/>
      <c r="E56" s="153"/>
      <c r="F56" s="153"/>
      <c r="G56" s="153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1:17" x14ac:dyDescent="0.3">
      <c r="A57" s="2"/>
      <c r="B57" s="2"/>
      <c r="C57" s="152">
        <f t="shared" si="0"/>
        <v>44</v>
      </c>
      <c r="D57" s="154"/>
      <c r="E57" s="153"/>
      <c r="F57" s="153"/>
      <c r="G57" s="153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1:17" x14ac:dyDescent="0.3">
      <c r="A58" s="2"/>
      <c r="B58" s="2"/>
      <c r="C58" s="152">
        <f t="shared" si="0"/>
        <v>45</v>
      </c>
      <c r="D58" s="154"/>
      <c r="E58" s="153"/>
      <c r="F58" s="153"/>
      <c r="G58" s="153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1:17" x14ac:dyDescent="0.3">
      <c r="A59" s="2"/>
      <c r="B59" s="2"/>
      <c r="C59" s="152">
        <f t="shared" si="0"/>
        <v>46</v>
      </c>
      <c r="D59" s="154"/>
      <c r="E59" s="153"/>
      <c r="F59" s="153"/>
      <c r="G59" s="153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1:17" x14ac:dyDescent="0.3">
      <c r="A60" s="2"/>
      <c r="B60" s="2"/>
      <c r="C60" s="152">
        <f t="shared" si="0"/>
        <v>47</v>
      </c>
      <c r="D60" s="154"/>
      <c r="E60" s="153"/>
      <c r="F60" s="153"/>
      <c r="G60" s="153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1:17" x14ac:dyDescent="0.3">
      <c r="A61" s="2"/>
      <c r="B61" s="2"/>
      <c r="C61" s="152">
        <f t="shared" si="0"/>
        <v>48</v>
      </c>
      <c r="D61" s="154"/>
      <c r="E61" s="153"/>
      <c r="F61" s="153"/>
      <c r="G61" s="153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1:17" x14ac:dyDescent="0.3">
      <c r="A62" s="2"/>
      <c r="B62" s="2"/>
      <c r="C62" s="152">
        <f t="shared" si="0"/>
        <v>49</v>
      </c>
      <c r="D62" s="154"/>
      <c r="E62" s="153"/>
      <c r="F62" s="153"/>
      <c r="G62" s="153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1:17" x14ac:dyDescent="0.3">
      <c r="A63" s="2"/>
      <c r="B63" s="2"/>
      <c r="C63" s="152">
        <f t="shared" si="0"/>
        <v>50</v>
      </c>
      <c r="D63" s="154"/>
      <c r="E63" s="153"/>
      <c r="F63" s="153"/>
      <c r="G63" s="153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1:17" x14ac:dyDescent="0.3">
      <c r="A64" s="2"/>
      <c r="B64" s="2"/>
      <c r="C64" s="152">
        <f t="shared" si="0"/>
        <v>51</v>
      </c>
      <c r="D64" s="154"/>
      <c r="E64" s="153"/>
      <c r="F64" s="153"/>
      <c r="G64" s="153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1:17" x14ac:dyDescent="0.3">
      <c r="A65" s="2"/>
      <c r="B65" s="2"/>
      <c r="C65" s="152">
        <f t="shared" si="0"/>
        <v>52</v>
      </c>
      <c r="D65" s="154"/>
      <c r="E65" s="153"/>
      <c r="F65" s="153"/>
      <c r="G65" s="153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1:17" x14ac:dyDescent="0.3">
      <c r="A66" s="2"/>
      <c r="B66" s="2"/>
      <c r="C66" s="152">
        <f t="shared" si="0"/>
        <v>53</v>
      </c>
      <c r="D66" s="154"/>
      <c r="E66" s="153"/>
      <c r="F66" s="153"/>
      <c r="G66" s="153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1:17" x14ac:dyDescent="0.3">
      <c r="A67" s="2"/>
      <c r="B67" s="2"/>
      <c r="C67" s="152">
        <f t="shared" si="0"/>
        <v>54</v>
      </c>
      <c r="D67" s="154"/>
      <c r="E67" s="153"/>
      <c r="F67" s="153"/>
      <c r="G67" s="153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1:17" x14ac:dyDescent="0.3">
      <c r="A68" s="2"/>
      <c r="B68" s="2"/>
      <c r="C68" s="152">
        <f t="shared" si="0"/>
        <v>55</v>
      </c>
      <c r="D68" s="154"/>
      <c r="E68" s="153"/>
      <c r="F68" s="153"/>
      <c r="G68" s="153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1:17" x14ac:dyDescent="0.3">
      <c r="A69" s="2"/>
      <c r="B69" s="2"/>
      <c r="C69" s="152">
        <f t="shared" si="0"/>
        <v>56</v>
      </c>
      <c r="D69" s="154"/>
      <c r="E69" s="153"/>
      <c r="F69" s="153"/>
      <c r="G69" s="153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1:17" x14ac:dyDescent="0.3">
      <c r="A70" s="2"/>
      <c r="B70" s="2"/>
      <c r="C70" s="152">
        <f t="shared" si="0"/>
        <v>57</v>
      </c>
      <c r="D70" s="154"/>
      <c r="E70" s="153"/>
      <c r="F70" s="153"/>
      <c r="G70" s="153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1:17" x14ac:dyDescent="0.3">
      <c r="A71" s="2"/>
      <c r="B71" s="2"/>
      <c r="C71" s="152">
        <f t="shared" si="0"/>
        <v>58</v>
      </c>
      <c r="D71" s="154"/>
      <c r="E71" s="153"/>
      <c r="F71" s="153"/>
      <c r="G71" s="153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1:17" x14ac:dyDescent="0.3">
      <c r="A72" s="2"/>
      <c r="B72" s="2"/>
      <c r="C72" s="152">
        <f t="shared" si="0"/>
        <v>59</v>
      </c>
      <c r="D72" s="154"/>
      <c r="E72" s="153"/>
      <c r="F72" s="153"/>
      <c r="G72" s="153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1:17" x14ac:dyDescent="0.3">
      <c r="A73" s="2"/>
      <c r="B73" s="2"/>
      <c r="C73" s="152">
        <f t="shared" si="0"/>
        <v>60</v>
      </c>
      <c r="D73" s="154"/>
      <c r="E73" s="153"/>
      <c r="F73" s="153"/>
      <c r="G73" s="153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1:17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1:17" x14ac:dyDescent="0.3">
      <c r="C75" s="160"/>
      <c r="D75" s="160"/>
      <c r="E75" s="160"/>
      <c r="F75" s="160"/>
      <c r="G75" s="160"/>
      <c r="H75" s="160"/>
      <c r="I75" s="160"/>
      <c r="J75" s="160"/>
      <c r="K75" s="160"/>
    </row>
    <row r="76" spans="1:17" x14ac:dyDescent="0.3">
      <c r="C76" s="160"/>
      <c r="D76" s="160"/>
      <c r="E76" s="160"/>
      <c r="F76" s="160"/>
      <c r="G76" s="160"/>
      <c r="H76" s="160"/>
      <c r="I76" s="160"/>
      <c r="J76" s="160"/>
      <c r="K76" s="160"/>
    </row>
    <row r="77" spans="1:17" x14ac:dyDescent="0.3">
      <c r="C77" s="160"/>
      <c r="D77" s="160"/>
      <c r="E77" s="160"/>
      <c r="F77" s="160"/>
      <c r="G77" s="160"/>
      <c r="H77" s="160"/>
      <c r="I77" s="160"/>
      <c r="J77" s="160"/>
      <c r="K77" s="160"/>
    </row>
    <row r="78" spans="1:17" x14ac:dyDescent="0.3">
      <c r="C78" s="160"/>
      <c r="D78" s="160"/>
      <c r="E78" s="160"/>
      <c r="F78" s="160"/>
      <c r="G78" s="160"/>
      <c r="H78" s="160"/>
      <c r="I78" s="160"/>
      <c r="J78" s="160"/>
      <c r="K78" s="160"/>
    </row>
    <row r="79" spans="1:17" x14ac:dyDescent="0.3">
      <c r="C79" s="160"/>
      <c r="D79" s="160"/>
      <c r="E79" s="160"/>
      <c r="F79" s="160"/>
      <c r="G79" s="160"/>
      <c r="H79" s="160"/>
      <c r="I79" s="160"/>
      <c r="J79" s="160"/>
      <c r="K79" s="160"/>
    </row>
    <row r="80" spans="1:17" x14ac:dyDescent="0.3">
      <c r="C80" s="160"/>
      <c r="D80" s="160"/>
      <c r="E80" s="160"/>
      <c r="F80" s="160"/>
      <c r="G80" s="160"/>
      <c r="H80" s="160"/>
      <c r="I80" s="160"/>
      <c r="J80" s="160"/>
      <c r="K80" s="160"/>
    </row>
    <row r="81" spans="3:11" x14ac:dyDescent="0.3">
      <c r="C81" s="160"/>
      <c r="D81" s="160"/>
      <c r="E81" s="160"/>
      <c r="F81" s="160"/>
      <c r="G81" s="160"/>
      <c r="H81" s="160"/>
      <c r="I81" s="160"/>
      <c r="J81" s="160"/>
      <c r="K81" s="160"/>
    </row>
    <row r="82" spans="3:11" x14ac:dyDescent="0.3">
      <c r="C82" s="160"/>
      <c r="D82" s="160"/>
      <c r="E82" s="160"/>
      <c r="F82" s="160"/>
      <c r="G82" s="160"/>
      <c r="H82" s="160"/>
      <c r="I82" s="160"/>
      <c r="J82" s="160"/>
      <c r="K82" s="160"/>
    </row>
    <row r="83" spans="3:11" x14ac:dyDescent="0.3">
      <c r="C83" s="160"/>
      <c r="D83" s="160"/>
      <c r="E83" s="160"/>
      <c r="F83" s="160"/>
      <c r="G83" s="160"/>
      <c r="H83" s="160"/>
      <c r="I83" s="160"/>
      <c r="J83" s="160"/>
      <c r="K83" s="160"/>
    </row>
    <row r="84" spans="3:11" x14ac:dyDescent="0.3">
      <c r="C84" s="160"/>
      <c r="D84" s="160"/>
      <c r="E84" s="160"/>
      <c r="F84" s="160"/>
      <c r="G84" s="160"/>
      <c r="H84" s="160"/>
      <c r="I84" s="160"/>
      <c r="J84" s="160"/>
      <c r="K84" s="160"/>
    </row>
    <row r="85" spans="3:11" x14ac:dyDescent="0.3">
      <c r="C85" s="160"/>
      <c r="D85" s="160"/>
      <c r="E85" s="160"/>
      <c r="F85" s="160"/>
      <c r="G85" s="160"/>
      <c r="H85" s="160"/>
      <c r="I85" s="160"/>
      <c r="J85" s="160"/>
      <c r="K85" s="160"/>
    </row>
    <row r="86" spans="3:11" x14ac:dyDescent="0.3">
      <c r="C86" s="160"/>
      <c r="D86" s="160"/>
      <c r="E86" s="160"/>
      <c r="F86" s="160"/>
      <c r="G86" s="160"/>
      <c r="H86" s="160"/>
      <c r="I86" s="160"/>
      <c r="J86" s="160"/>
      <c r="K86" s="160"/>
    </row>
    <row r="87" spans="3:11" x14ac:dyDescent="0.3">
      <c r="C87" s="160"/>
      <c r="D87" s="160"/>
      <c r="E87" s="160"/>
      <c r="F87" s="160"/>
      <c r="G87" s="160"/>
      <c r="H87" s="160"/>
      <c r="I87" s="160"/>
      <c r="J87" s="160"/>
      <c r="K87" s="160"/>
    </row>
    <row r="88" spans="3:11" x14ac:dyDescent="0.3">
      <c r="C88" s="160"/>
      <c r="D88" s="160"/>
      <c r="E88" s="160"/>
      <c r="F88" s="160"/>
      <c r="G88" s="160"/>
      <c r="H88" s="160"/>
      <c r="I88" s="160"/>
      <c r="J88" s="160"/>
      <c r="K88" s="160"/>
    </row>
    <row r="89" spans="3:11" x14ac:dyDescent="0.3">
      <c r="C89" s="160"/>
      <c r="D89" s="160"/>
      <c r="E89" s="160"/>
      <c r="F89" s="160"/>
      <c r="G89" s="160"/>
      <c r="H89" s="160"/>
      <c r="I89" s="160"/>
      <c r="J89" s="160"/>
      <c r="K89" s="160"/>
    </row>
    <row r="90" spans="3:11" x14ac:dyDescent="0.3">
      <c r="C90" s="160"/>
      <c r="D90" s="160"/>
      <c r="E90" s="160"/>
      <c r="F90" s="160"/>
      <c r="G90" s="160"/>
      <c r="H90" s="160"/>
      <c r="I90" s="160"/>
      <c r="J90" s="160"/>
      <c r="K90" s="160"/>
    </row>
    <row r="91" spans="3:11" x14ac:dyDescent="0.3">
      <c r="C91" s="160"/>
      <c r="D91" s="160"/>
      <c r="E91" s="160"/>
      <c r="F91" s="160"/>
      <c r="G91" s="160"/>
      <c r="H91" s="160"/>
      <c r="I91" s="160"/>
      <c r="J91" s="160"/>
      <c r="K91" s="160"/>
    </row>
    <row r="92" spans="3:11" x14ac:dyDescent="0.3">
      <c r="C92" s="160"/>
      <c r="D92" s="160"/>
      <c r="E92" s="160"/>
      <c r="F92" s="160"/>
      <c r="G92" s="160"/>
      <c r="H92" s="160"/>
      <c r="I92" s="160"/>
      <c r="J92" s="160"/>
      <c r="K92" s="160"/>
    </row>
    <row r="93" spans="3:11" x14ac:dyDescent="0.3">
      <c r="C93" s="160"/>
      <c r="D93" s="160"/>
      <c r="E93" s="160"/>
      <c r="F93" s="160"/>
      <c r="G93" s="160"/>
      <c r="H93" s="160"/>
      <c r="I93" s="160"/>
      <c r="J93" s="160"/>
      <c r="K93" s="160"/>
    </row>
    <row r="94" spans="3:11" x14ac:dyDescent="0.3">
      <c r="C94" s="160"/>
      <c r="D94" s="160"/>
      <c r="E94" s="160"/>
      <c r="F94" s="160"/>
      <c r="G94" s="160"/>
      <c r="H94" s="160"/>
      <c r="I94" s="160"/>
      <c r="J94" s="160"/>
      <c r="K94" s="160"/>
    </row>
    <row r="95" spans="3:11" x14ac:dyDescent="0.3">
      <c r="C95" s="160"/>
      <c r="D95" s="160"/>
      <c r="E95" s="160"/>
      <c r="F95" s="160"/>
      <c r="G95" s="160"/>
      <c r="H95" s="160"/>
      <c r="I95" s="160"/>
      <c r="J95" s="160"/>
      <c r="K95" s="160"/>
    </row>
    <row r="96" spans="3:11" x14ac:dyDescent="0.3">
      <c r="C96" s="160"/>
      <c r="D96" s="160"/>
      <c r="E96" s="160"/>
      <c r="F96" s="160"/>
      <c r="G96" s="160"/>
      <c r="H96" s="160"/>
      <c r="I96" s="160"/>
      <c r="J96" s="160"/>
      <c r="K96" s="160"/>
    </row>
    <row r="97" spans="3:11" x14ac:dyDescent="0.3">
      <c r="C97" s="160"/>
      <c r="D97" s="160"/>
      <c r="E97" s="160"/>
      <c r="F97" s="160"/>
      <c r="G97" s="160"/>
      <c r="H97" s="160"/>
      <c r="I97" s="160"/>
      <c r="J97" s="160"/>
      <c r="K97" s="160"/>
    </row>
    <row r="98" spans="3:11" x14ac:dyDescent="0.3">
      <c r="C98" s="160"/>
      <c r="D98" s="160"/>
      <c r="E98" s="160"/>
      <c r="F98" s="160"/>
      <c r="G98" s="160"/>
      <c r="H98" s="160"/>
      <c r="I98" s="160"/>
      <c r="J98" s="160"/>
      <c r="K98" s="160"/>
    </row>
    <row r="99" spans="3:11" x14ac:dyDescent="0.3">
      <c r="C99" s="160"/>
      <c r="D99" s="160"/>
      <c r="E99" s="160"/>
      <c r="F99" s="160"/>
      <c r="G99" s="160"/>
      <c r="H99" s="160"/>
      <c r="I99" s="160"/>
      <c r="J99" s="160"/>
      <c r="K99" s="160"/>
    </row>
    <row r="100" spans="3:11" x14ac:dyDescent="0.3">
      <c r="C100" s="160"/>
      <c r="D100" s="160"/>
      <c r="E100" s="160"/>
      <c r="F100" s="160"/>
      <c r="G100" s="160"/>
      <c r="H100" s="160"/>
      <c r="I100" s="160"/>
      <c r="J100" s="160"/>
      <c r="K100" s="160"/>
    </row>
    <row r="101" spans="3:11" x14ac:dyDescent="0.3">
      <c r="C101" s="160"/>
      <c r="D101" s="160"/>
      <c r="E101" s="160"/>
      <c r="F101" s="160"/>
      <c r="G101" s="160"/>
      <c r="H101" s="160"/>
      <c r="I101" s="160"/>
      <c r="J101" s="160"/>
      <c r="K101" s="160"/>
    </row>
    <row r="102" spans="3:11" x14ac:dyDescent="0.3">
      <c r="C102" s="160"/>
      <c r="D102" s="160"/>
      <c r="E102" s="160"/>
      <c r="F102" s="160"/>
      <c r="G102" s="160"/>
      <c r="H102" s="160"/>
      <c r="I102" s="160"/>
      <c r="J102" s="160"/>
      <c r="K102" s="160"/>
    </row>
    <row r="103" spans="3:11" x14ac:dyDescent="0.3">
      <c r="C103" s="160"/>
      <c r="D103" s="160"/>
      <c r="E103" s="160"/>
      <c r="F103" s="160"/>
      <c r="G103" s="160"/>
      <c r="H103" s="160"/>
      <c r="I103" s="160"/>
      <c r="J103" s="160"/>
      <c r="K103" s="160"/>
    </row>
    <row r="104" spans="3:11" x14ac:dyDescent="0.3">
      <c r="C104" s="160"/>
      <c r="D104" s="160"/>
      <c r="E104" s="160"/>
      <c r="F104" s="160"/>
      <c r="G104" s="160"/>
      <c r="H104" s="160"/>
      <c r="I104" s="160"/>
      <c r="J104" s="160"/>
      <c r="K104" s="160"/>
    </row>
    <row r="105" spans="3:11" x14ac:dyDescent="0.3">
      <c r="C105" s="160"/>
      <c r="D105" s="160"/>
      <c r="E105" s="160"/>
      <c r="F105" s="160"/>
      <c r="G105" s="160"/>
      <c r="H105" s="160"/>
      <c r="I105" s="160"/>
      <c r="J105" s="160"/>
      <c r="K105" s="160"/>
    </row>
    <row r="106" spans="3:11" x14ac:dyDescent="0.3">
      <c r="C106" s="160"/>
      <c r="D106" s="160"/>
      <c r="E106" s="160"/>
      <c r="F106" s="160"/>
      <c r="G106" s="160"/>
      <c r="H106" s="160"/>
      <c r="I106" s="160"/>
      <c r="J106" s="160"/>
      <c r="K106" s="160"/>
    </row>
    <row r="107" spans="3:11" x14ac:dyDescent="0.3">
      <c r="C107" s="160"/>
      <c r="D107" s="160"/>
      <c r="E107" s="160"/>
      <c r="F107" s="160"/>
      <c r="G107" s="160"/>
      <c r="H107" s="160"/>
      <c r="I107" s="160"/>
      <c r="J107" s="160"/>
      <c r="K107" s="160"/>
    </row>
    <row r="108" spans="3:11" x14ac:dyDescent="0.3">
      <c r="C108" s="160"/>
      <c r="D108" s="160"/>
      <c r="E108" s="160"/>
      <c r="F108" s="160"/>
      <c r="G108" s="160"/>
      <c r="H108" s="160"/>
      <c r="I108" s="160"/>
      <c r="J108" s="160"/>
      <c r="K108" s="160"/>
    </row>
    <row r="109" spans="3:11" x14ac:dyDescent="0.3">
      <c r="C109" s="160"/>
      <c r="D109" s="160"/>
      <c r="E109" s="160"/>
      <c r="F109" s="160"/>
      <c r="G109" s="160"/>
      <c r="H109" s="160"/>
      <c r="I109" s="160"/>
      <c r="J109" s="160"/>
      <c r="K109" s="160"/>
    </row>
    <row r="110" spans="3:11" x14ac:dyDescent="0.3">
      <c r="C110" s="160"/>
      <c r="D110" s="160"/>
      <c r="E110" s="160"/>
      <c r="F110" s="160"/>
      <c r="G110" s="160"/>
      <c r="H110" s="160"/>
      <c r="I110" s="160"/>
      <c r="J110" s="160"/>
      <c r="K110" s="160"/>
    </row>
    <row r="111" spans="3:11" x14ac:dyDescent="0.3">
      <c r="C111" s="160"/>
      <c r="D111" s="160"/>
      <c r="E111" s="160"/>
      <c r="F111" s="160"/>
      <c r="G111" s="160"/>
      <c r="H111" s="160"/>
      <c r="I111" s="160"/>
      <c r="J111" s="160"/>
      <c r="K111" s="160"/>
    </row>
    <row r="112" spans="3:11" x14ac:dyDescent="0.3">
      <c r="C112" s="160"/>
      <c r="D112" s="160"/>
      <c r="E112" s="160"/>
      <c r="F112" s="160"/>
      <c r="G112" s="160"/>
      <c r="H112" s="160"/>
      <c r="I112" s="160"/>
      <c r="J112" s="160"/>
      <c r="K112" s="160"/>
    </row>
    <row r="113" spans="3:11" x14ac:dyDescent="0.3">
      <c r="C113" s="160"/>
      <c r="D113" s="160"/>
      <c r="E113" s="160"/>
      <c r="F113" s="160"/>
      <c r="G113" s="160"/>
      <c r="H113" s="160"/>
      <c r="I113" s="160"/>
      <c r="J113" s="160"/>
      <c r="K113" s="160"/>
    </row>
    <row r="114" spans="3:11" x14ac:dyDescent="0.3">
      <c r="C114" s="160"/>
      <c r="D114" s="160"/>
      <c r="E114" s="160"/>
      <c r="F114" s="160"/>
      <c r="G114" s="160"/>
      <c r="H114" s="160"/>
      <c r="I114" s="160"/>
      <c r="J114" s="160"/>
      <c r="K114" s="160"/>
    </row>
    <row r="115" spans="3:11" x14ac:dyDescent="0.3">
      <c r="C115" s="160"/>
      <c r="D115" s="160"/>
      <c r="E115" s="160"/>
      <c r="F115" s="160"/>
      <c r="G115" s="160"/>
      <c r="H115" s="160"/>
      <c r="I115" s="160"/>
      <c r="J115" s="160"/>
      <c r="K115" s="160"/>
    </row>
    <row r="116" spans="3:11" x14ac:dyDescent="0.3">
      <c r="C116" s="160"/>
      <c r="D116" s="160"/>
      <c r="E116" s="160"/>
      <c r="F116" s="160"/>
      <c r="G116" s="160"/>
      <c r="H116" s="160"/>
      <c r="I116" s="160"/>
      <c r="J116" s="160"/>
      <c r="K116" s="160"/>
    </row>
  </sheetData>
  <mergeCells count="4">
    <mergeCell ref="D5:E5"/>
    <mergeCell ref="D6:E6"/>
    <mergeCell ref="D7:E7"/>
    <mergeCell ref="D8:E8"/>
  </mergeCell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F2DE3-8F2D-4900-8C04-5421F2DE32D1}">
  <dimension ref="A3:H42"/>
  <sheetViews>
    <sheetView zoomScale="85" zoomScaleNormal="85" workbookViewId="0"/>
  </sheetViews>
  <sheetFormatPr baseColWidth="10" defaultRowHeight="14.4" x14ac:dyDescent="0.3"/>
  <cols>
    <col min="3" max="3" width="32.77734375" customWidth="1"/>
    <col min="4" max="4" width="15.21875" customWidth="1"/>
    <col min="6" max="6" width="15.109375" customWidth="1"/>
    <col min="7" max="7" width="21.5546875" customWidth="1"/>
  </cols>
  <sheetData>
    <row r="3" spans="1:7" x14ac:dyDescent="0.3">
      <c r="G3" s="2"/>
    </row>
    <row r="4" spans="1:7" x14ac:dyDescent="0.3">
      <c r="C4" s="2" t="s">
        <v>245</v>
      </c>
      <c r="F4" s="177">
        <f>+'COSTOS Y GASTOS'!D73</f>
        <v>14040</v>
      </c>
      <c r="G4" s="2"/>
    </row>
    <row r="6" spans="1:7" x14ac:dyDescent="0.3">
      <c r="A6" s="3" t="s">
        <v>105</v>
      </c>
      <c r="B6" s="143">
        <v>27</v>
      </c>
      <c r="C6" s="143" t="s">
        <v>225</v>
      </c>
      <c r="D6" s="162"/>
    </row>
    <row r="8" spans="1:7" x14ac:dyDescent="0.3">
      <c r="C8" s="480" t="s">
        <v>226</v>
      </c>
      <c r="D8" s="487"/>
      <c r="E8" s="487"/>
      <c r="F8" s="478" t="s">
        <v>138</v>
      </c>
    </row>
    <row r="9" spans="1:7" x14ac:dyDescent="0.3">
      <c r="C9" s="488"/>
      <c r="D9" s="489"/>
      <c r="E9" s="489"/>
      <c r="F9" s="479" t="s">
        <v>113</v>
      </c>
      <c r="G9" s="163"/>
    </row>
    <row r="10" spans="1:7" x14ac:dyDescent="0.3">
      <c r="C10" s="164" t="s">
        <v>150</v>
      </c>
      <c r="D10" s="165"/>
      <c r="E10" s="166" t="s">
        <v>151</v>
      </c>
      <c r="F10" s="178">
        <f>'COSTOS Y GASTOS'!F120</f>
        <v>228328844.16</v>
      </c>
    </row>
    <row r="11" spans="1:7" x14ac:dyDescent="0.3">
      <c r="C11" s="89" t="s">
        <v>227</v>
      </c>
      <c r="D11" s="167"/>
      <c r="E11" s="168" t="s">
        <v>155</v>
      </c>
      <c r="F11" s="78">
        <f>SUM(D12:D17)</f>
        <v>54203493.600000001</v>
      </c>
    </row>
    <row r="12" spans="1:7" x14ac:dyDescent="0.3">
      <c r="C12" s="89" t="s">
        <v>228</v>
      </c>
      <c r="D12" s="182">
        <f>'COSTOS Y GASTOS'!F111</f>
        <v>21600000</v>
      </c>
      <c r="E12" s="79"/>
      <c r="F12" s="78"/>
    </row>
    <row r="13" spans="1:7" x14ac:dyDescent="0.3">
      <c r="C13" s="169" t="s">
        <v>229</v>
      </c>
      <c r="D13" s="182">
        <f>'COSTOS Y GASTOS'!F110*0.2</f>
        <v>2518800</v>
      </c>
      <c r="E13" s="86"/>
      <c r="F13" s="179"/>
    </row>
    <row r="14" spans="1:7" x14ac:dyDescent="0.3">
      <c r="C14" s="89" t="s">
        <v>230</v>
      </c>
      <c r="D14" s="182">
        <f>SUM('COSTOS Y GASTOS'!F105:F109)</f>
        <v>14381772</v>
      </c>
      <c r="E14" s="79"/>
      <c r="F14" s="78"/>
    </row>
    <row r="15" spans="1:7" x14ac:dyDescent="0.3">
      <c r="C15" s="169" t="s">
        <v>231</v>
      </c>
      <c r="D15" s="182">
        <f>'COSTOS Y GASTOS'!F103</f>
        <v>607770</v>
      </c>
      <c r="E15" s="86"/>
      <c r="F15" s="179"/>
    </row>
    <row r="16" spans="1:7" x14ac:dyDescent="0.3">
      <c r="C16" s="89" t="s">
        <v>232</v>
      </c>
      <c r="D16" s="182">
        <f>'COSTOS Y GASTOS'!F104</f>
        <v>3095151.6</v>
      </c>
      <c r="E16" s="79"/>
      <c r="F16" s="78"/>
    </row>
    <row r="17" spans="1:8" x14ac:dyDescent="0.3">
      <c r="C17" s="89" t="s">
        <v>233</v>
      </c>
      <c r="D17" s="182">
        <f>'COSTOS Y GASTOS'!F112</f>
        <v>12000000</v>
      </c>
      <c r="E17" s="79"/>
      <c r="F17" s="78"/>
    </row>
    <row r="18" spans="1:8" x14ac:dyDescent="0.3">
      <c r="C18" s="170" t="s">
        <v>234</v>
      </c>
      <c r="D18" s="171"/>
      <c r="E18" s="168" t="s">
        <v>183</v>
      </c>
      <c r="F18" s="180">
        <f>'COSTOS Y GASTOS'!F179</f>
        <v>77971476.919999987</v>
      </c>
    </row>
    <row r="19" spans="1:8" x14ac:dyDescent="0.3">
      <c r="C19" s="170"/>
      <c r="D19" s="172"/>
      <c r="E19" s="83"/>
      <c r="F19" s="180"/>
    </row>
    <row r="20" spans="1:8" x14ac:dyDescent="0.3">
      <c r="C20" s="518" t="s">
        <v>25</v>
      </c>
      <c r="D20" s="519"/>
      <c r="E20" s="519"/>
      <c r="F20" s="181">
        <f>SUM(F10:F19)</f>
        <v>360503814.67999995</v>
      </c>
    </row>
    <row r="21" spans="1:8" x14ac:dyDescent="0.3">
      <c r="H21" s="173"/>
    </row>
    <row r="22" spans="1:8" x14ac:dyDescent="0.3">
      <c r="H22" s="173"/>
    </row>
    <row r="23" spans="1:8" x14ac:dyDescent="0.3">
      <c r="A23" s="3" t="s">
        <v>105</v>
      </c>
      <c r="B23" s="143">
        <v>28</v>
      </c>
      <c r="C23" s="143" t="s">
        <v>235</v>
      </c>
      <c r="D23" s="162"/>
    </row>
    <row r="24" spans="1:8" x14ac:dyDescent="0.3">
      <c r="A24" s="3"/>
      <c r="B24" s="143"/>
      <c r="C24" s="143"/>
      <c r="D24" s="162"/>
    </row>
    <row r="25" spans="1:8" x14ac:dyDescent="0.3">
      <c r="C25" s="480" t="s">
        <v>236</v>
      </c>
      <c r="D25" s="487"/>
      <c r="E25" s="487"/>
      <c r="F25" s="480" t="s">
        <v>138</v>
      </c>
      <c r="G25" s="2"/>
    </row>
    <row r="26" spans="1:8" x14ac:dyDescent="0.3">
      <c r="C26" s="488"/>
      <c r="D26" s="489"/>
      <c r="E26" s="489"/>
      <c r="F26" s="481" t="s">
        <v>113</v>
      </c>
      <c r="G26" s="2"/>
    </row>
    <row r="27" spans="1:8" x14ac:dyDescent="0.3">
      <c r="C27" s="89" t="s">
        <v>152</v>
      </c>
      <c r="D27" s="167"/>
      <c r="E27" s="166" t="s">
        <v>153</v>
      </c>
      <c r="F27" s="78">
        <f>'COSTOS Y GASTOS'!F121</f>
        <v>68702594.080714285</v>
      </c>
      <c r="G27" s="2"/>
      <c r="H27" s="2"/>
    </row>
    <row r="28" spans="1:8" x14ac:dyDescent="0.3">
      <c r="C28" s="89" t="s">
        <v>237</v>
      </c>
      <c r="D28" s="167"/>
      <c r="E28" s="166" t="s">
        <v>155</v>
      </c>
      <c r="F28" s="78">
        <f>D29</f>
        <v>10075200</v>
      </c>
      <c r="G28" s="2"/>
      <c r="H28" s="2"/>
    </row>
    <row r="29" spans="1:8" x14ac:dyDescent="0.3">
      <c r="C29" s="174" t="s">
        <v>147</v>
      </c>
      <c r="D29" s="183">
        <f>'COSTOS Y GASTOS'!F110*0.8</f>
        <v>10075200</v>
      </c>
      <c r="E29" s="79"/>
      <c r="F29" s="78"/>
      <c r="G29" s="2"/>
      <c r="H29" s="2"/>
    </row>
    <row r="30" spans="1:8" x14ac:dyDescent="0.3">
      <c r="C30" s="516" t="s">
        <v>25</v>
      </c>
      <c r="D30" s="517"/>
      <c r="E30" s="517"/>
      <c r="F30" s="77">
        <f>SUM(F27:F29)</f>
        <v>78777794.080714285</v>
      </c>
      <c r="G30" s="2"/>
    </row>
    <row r="31" spans="1:8" x14ac:dyDescent="0.3">
      <c r="C31" s="2"/>
      <c r="D31" s="2"/>
      <c r="E31" s="2"/>
      <c r="F31" s="2"/>
      <c r="G31" s="2"/>
    </row>
    <row r="32" spans="1:8" x14ac:dyDescent="0.3">
      <c r="C32" s="2"/>
      <c r="D32" s="2"/>
      <c r="E32" s="2"/>
      <c r="F32" s="2"/>
      <c r="G32" s="2"/>
    </row>
    <row r="33" spans="1:8" x14ac:dyDescent="0.3">
      <c r="A33" s="3" t="s">
        <v>105</v>
      </c>
      <c r="B33" s="143">
        <v>29</v>
      </c>
      <c r="C33" s="143" t="s">
        <v>238</v>
      </c>
      <c r="D33" s="2"/>
      <c r="E33" s="2"/>
      <c r="F33" s="2"/>
      <c r="G33" s="2"/>
    </row>
    <row r="34" spans="1:8" x14ac:dyDescent="0.3">
      <c r="A34" s="3"/>
      <c r="B34" s="143"/>
      <c r="C34" s="143"/>
      <c r="D34" s="2"/>
      <c r="E34" s="2"/>
      <c r="F34" s="2"/>
      <c r="G34" s="2"/>
    </row>
    <row r="35" spans="1:8" x14ac:dyDescent="0.3">
      <c r="C35" s="480" t="s">
        <v>239</v>
      </c>
      <c r="D35" s="487"/>
      <c r="E35" s="487"/>
      <c r="F35" s="480" t="s">
        <v>138</v>
      </c>
      <c r="G35" s="480" t="s">
        <v>133</v>
      </c>
    </row>
    <row r="36" spans="1:8" x14ac:dyDescent="0.3">
      <c r="C36" s="488"/>
      <c r="D36" s="489"/>
      <c r="E36" s="489"/>
      <c r="F36" s="481" t="s">
        <v>113</v>
      </c>
      <c r="G36" s="481"/>
    </row>
    <row r="37" spans="1:8" x14ac:dyDescent="0.3">
      <c r="C37" s="89" t="s">
        <v>240</v>
      </c>
      <c r="D37" s="167"/>
      <c r="E37" s="166" t="s">
        <v>241</v>
      </c>
      <c r="F37" s="78">
        <f>F20</f>
        <v>360503814.67999995</v>
      </c>
      <c r="G37" s="78">
        <f>F37/$F$4</f>
        <v>25676.909877492875</v>
      </c>
    </row>
    <row r="38" spans="1:8" x14ac:dyDescent="0.3">
      <c r="C38" s="89" t="s">
        <v>242</v>
      </c>
      <c r="D38" s="167"/>
      <c r="E38" s="166" t="s">
        <v>243</v>
      </c>
      <c r="F38" s="78">
        <f>F30</f>
        <v>78777794.080714285</v>
      </c>
      <c r="G38" s="78">
        <f>F38/$F$4</f>
        <v>5610.9539943528689</v>
      </c>
    </row>
    <row r="39" spans="1:8" x14ac:dyDescent="0.3">
      <c r="C39" s="89"/>
      <c r="D39" s="167"/>
      <c r="E39" s="79"/>
      <c r="F39" s="78"/>
      <c r="G39" s="78">
        <f>F39/$F$4</f>
        <v>0</v>
      </c>
    </row>
    <row r="40" spans="1:8" x14ac:dyDescent="0.3">
      <c r="C40" s="516" t="s">
        <v>25</v>
      </c>
      <c r="D40" s="517"/>
      <c r="E40" s="517"/>
      <c r="F40" s="77">
        <f>SUM(F37:F39)</f>
        <v>439281608.76071423</v>
      </c>
      <c r="G40" s="175">
        <f>F40/$F$4</f>
        <v>31287.863871845744</v>
      </c>
      <c r="H40" s="2" t="s">
        <v>244</v>
      </c>
    </row>
    <row r="42" spans="1:8" x14ac:dyDescent="0.3">
      <c r="C42" s="176"/>
      <c r="F42" s="81"/>
    </row>
  </sheetData>
  <mergeCells count="10">
    <mergeCell ref="C35:E36"/>
    <mergeCell ref="F35:F36"/>
    <mergeCell ref="G35:G36"/>
    <mergeCell ref="C40:E40"/>
    <mergeCell ref="C8:E9"/>
    <mergeCell ref="F8:F9"/>
    <mergeCell ref="C20:E20"/>
    <mergeCell ref="C25:E26"/>
    <mergeCell ref="F25:F26"/>
    <mergeCell ref="C30:E3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5A3FE-D7C6-40BD-A98D-EFCE51D3AAA7}">
  <dimension ref="A1:Q200"/>
  <sheetViews>
    <sheetView zoomScale="85" zoomScaleNormal="85" workbookViewId="0"/>
  </sheetViews>
  <sheetFormatPr baseColWidth="10" defaultRowHeight="14.4" x14ac:dyDescent="0.3"/>
  <cols>
    <col min="3" max="3" width="35.33203125" style="258" customWidth="1"/>
    <col min="6" max="6" width="16.21875" customWidth="1"/>
    <col min="7" max="7" width="19.77734375" customWidth="1"/>
    <col min="8" max="10" width="16.21875" customWidth="1"/>
    <col min="11" max="11" width="17.44140625" customWidth="1"/>
    <col min="12" max="12" width="11.77734375" bestFit="1" customWidth="1"/>
    <col min="13" max="13" width="14.109375" bestFit="1" customWidth="1"/>
  </cols>
  <sheetData>
    <row r="1" spans="1:17" x14ac:dyDescent="0.3">
      <c r="A1" s="2"/>
      <c r="B1" s="2"/>
      <c r="C1" s="246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3">
      <c r="A2" s="2"/>
      <c r="B2" s="2"/>
      <c r="C2" s="529" t="s">
        <v>246</v>
      </c>
      <c r="D2" s="529"/>
      <c r="E2" s="529"/>
      <c r="F2" s="529"/>
      <c r="G2" s="3"/>
      <c r="H2" s="3"/>
      <c r="I2" s="3"/>
      <c r="J2" s="2"/>
      <c r="K2" s="2"/>
      <c r="L2" s="2"/>
      <c r="M2" s="2"/>
      <c r="N2" s="2"/>
      <c r="O2" s="2"/>
      <c r="P2" s="2"/>
      <c r="Q2" s="2"/>
    </row>
    <row r="3" spans="1:17" x14ac:dyDescent="0.3">
      <c r="A3" s="2"/>
      <c r="B3" s="2"/>
      <c r="C3" s="247"/>
      <c r="D3" s="11"/>
      <c r="E3" s="11"/>
      <c r="F3" s="11"/>
      <c r="G3" s="11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x14ac:dyDescent="0.3">
      <c r="A4" s="2"/>
      <c r="B4" s="2"/>
      <c r="C4" s="144" t="s">
        <v>247</v>
      </c>
      <c r="D4" s="184">
        <v>0</v>
      </c>
      <c r="E4" s="82"/>
      <c r="F4" s="2"/>
      <c r="G4" s="2"/>
      <c r="H4" s="2"/>
      <c r="I4" s="2"/>
      <c r="J4" s="2"/>
      <c r="K4" s="2"/>
      <c r="L4" s="185"/>
      <c r="M4" s="2"/>
      <c r="N4" s="2"/>
      <c r="O4" s="2"/>
      <c r="P4" s="2"/>
      <c r="Q4" s="2"/>
    </row>
    <row r="5" spans="1:17" x14ac:dyDescent="0.3">
      <c r="A5" s="2"/>
      <c r="B5" s="2"/>
      <c r="C5" s="246"/>
      <c r="D5" s="2"/>
      <c r="E5" s="2"/>
      <c r="F5" s="2"/>
      <c r="G5" s="82"/>
      <c r="H5" s="2"/>
      <c r="I5" s="2"/>
      <c r="J5" s="2"/>
      <c r="K5" s="2"/>
      <c r="L5" s="2"/>
      <c r="M5" s="2"/>
      <c r="N5" s="13"/>
      <c r="O5" s="13"/>
      <c r="P5" s="2"/>
      <c r="Q5" s="2"/>
    </row>
    <row r="6" spans="1:17" x14ac:dyDescent="0.3">
      <c r="A6" s="3" t="s">
        <v>105</v>
      </c>
      <c r="B6" s="3">
        <v>30</v>
      </c>
      <c r="C6" s="76" t="s">
        <v>248</v>
      </c>
      <c r="D6" s="2"/>
      <c r="E6" s="2"/>
      <c r="F6" s="186"/>
      <c r="G6" s="186"/>
      <c r="H6" s="186"/>
      <c r="I6" s="186"/>
      <c r="J6" s="186"/>
      <c r="K6" s="2"/>
      <c r="L6" s="2"/>
      <c r="M6" s="2"/>
      <c r="N6" s="2"/>
      <c r="O6" s="2"/>
      <c r="P6" s="2"/>
      <c r="Q6" s="2"/>
    </row>
    <row r="7" spans="1:17" x14ac:dyDescent="0.3">
      <c r="A7" s="3"/>
      <c r="B7" s="3"/>
      <c r="C7" s="76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x14ac:dyDescent="0.3">
      <c r="A8" s="2"/>
      <c r="B8" s="2"/>
      <c r="C8" s="246"/>
      <c r="D8" s="480" t="s">
        <v>249</v>
      </c>
      <c r="E8" s="544"/>
      <c r="F8" s="244" t="s">
        <v>250</v>
      </c>
      <c r="G8" s="244" t="s">
        <v>250</v>
      </c>
      <c r="H8" s="244" t="s">
        <v>250</v>
      </c>
      <c r="I8" s="244" t="s">
        <v>250</v>
      </c>
      <c r="J8" s="244" t="s">
        <v>250</v>
      </c>
      <c r="K8" s="2"/>
      <c r="L8" s="2"/>
      <c r="M8" s="2"/>
      <c r="N8" s="2"/>
      <c r="O8" s="2"/>
      <c r="P8" s="2"/>
      <c r="Q8" s="2"/>
    </row>
    <row r="9" spans="1:17" x14ac:dyDescent="0.3">
      <c r="A9" s="2"/>
      <c r="B9" s="2"/>
      <c r="C9" s="246"/>
      <c r="D9" s="481"/>
      <c r="E9" s="545"/>
      <c r="F9" s="245">
        <f>D4+1</f>
        <v>1</v>
      </c>
      <c r="G9" s="245">
        <f>F9+1</f>
        <v>2</v>
      </c>
      <c r="H9" s="245">
        <f>G9+1</f>
        <v>3</v>
      </c>
      <c r="I9" s="245">
        <f>H9+1</f>
        <v>4</v>
      </c>
      <c r="J9" s="245">
        <f>I9+1</f>
        <v>5</v>
      </c>
      <c r="K9" s="2"/>
      <c r="L9" s="2"/>
      <c r="M9" s="2"/>
      <c r="N9" s="187"/>
      <c r="O9" s="187"/>
      <c r="P9" s="2"/>
      <c r="Q9" s="2"/>
    </row>
    <row r="10" spans="1:17" x14ac:dyDescent="0.3">
      <c r="A10" s="2"/>
      <c r="B10" s="2"/>
      <c r="C10" s="248" t="s">
        <v>251</v>
      </c>
      <c r="D10" s="546"/>
      <c r="E10" s="546"/>
      <c r="F10" s="177">
        <f>'COSTOS Y GASTOS'!D73</f>
        <v>14040</v>
      </c>
      <c r="G10" s="177">
        <f>F10*(1+G11)</f>
        <v>14742</v>
      </c>
      <c r="H10" s="177">
        <f>G10*(1+H11)</f>
        <v>15479.1</v>
      </c>
      <c r="I10" s="177">
        <f>H10*(1+I11)</f>
        <v>16253.055</v>
      </c>
      <c r="J10" s="177">
        <f>I10*(1+J11)</f>
        <v>17065.707750000001</v>
      </c>
      <c r="K10" s="2"/>
      <c r="L10" s="2"/>
      <c r="M10" s="2"/>
      <c r="N10" s="185"/>
      <c r="O10" s="185"/>
      <c r="P10" s="2"/>
      <c r="Q10" s="2"/>
    </row>
    <row r="11" spans="1:17" x14ac:dyDescent="0.3">
      <c r="A11" s="2"/>
      <c r="B11" s="2"/>
      <c r="C11" s="520" t="s">
        <v>252</v>
      </c>
      <c r="D11" s="521"/>
      <c r="E11" s="521"/>
      <c r="F11" s="522"/>
      <c r="G11" s="189">
        <v>0.05</v>
      </c>
      <c r="H11" s="189">
        <v>0.05</v>
      </c>
      <c r="I11" s="189">
        <v>0.05</v>
      </c>
      <c r="J11" s="189">
        <v>0.05</v>
      </c>
      <c r="K11" s="2"/>
      <c r="L11" s="2"/>
      <c r="M11" s="2"/>
      <c r="N11" s="2"/>
      <c r="O11" s="2"/>
      <c r="P11" s="2"/>
      <c r="Q11" s="2"/>
    </row>
    <row r="12" spans="1:17" x14ac:dyDescent="0.3">
      <c r="A12" s="2"/>
      <c r="B12" s="2"/>
      <c r="C12" s="246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 x14ac:dyDescent="0.3">
      <c r="A13" s="2"/>
      <c r="B13" s="2"/>
      <c r="C13" s="246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 x14ac:dyDescent="0.3">
      <c r="A14" s="2"/>
      <c r="B14" s="2"/>
      <c r="C14" s="246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7" x14ac:dyDescent="0.3">
      <c r="A15" s="3" t="s">
        <v>105</v>
      </c>
      <c r="B15" s="3">
        <v>31</v>
      </c>
      <c r="C15" s="76" t="s">
        <v>253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185"/>
      <c r="O15" s="185"/>
      <c r="P15" s="13"/>
      <c r="Q15" s="2"/>
    </row>
    <row r="16" spans="1:17" x14ac:dyDescent="0.3">
      <c r="A16" s="2"/>
      <c r="B16" s="2"/>
      <c r="C16" s="246"/>
      <c r="D16" s="2"/>
      <c r="E16" s="190" t="s">
        <v>254</v>
      </c>
      <c r="F16" s="190" t="s">
        <v>255</v>
      </c>
      <c r="G16" s="190" t="s">
        <v>256</v>
      </c>
      <c r="H16" s="190" t="s">
        <v>257</v>
      </c>
      <c r="I16" s="190" t="s">
        <v>258</v>
      </c>
      <c r="J16" s="2"/>
      <c r="K16" s="88"/>
      <c r="L16" s="2"/>
      <c r="M16" s="2"/>
      <c r="N16" s="185"/>
      <c r="O16" s="185"/>
      <c r="P16" s="185"/>
      <c r="Q16" s="2"/>
    </row>
    <row r="17" spans="1:17" x14ac:dyDescent="0.3">
      <c r="A17" s="2"/>
      <c r="B17" s="2"/>
      <c r="C17" s="144" t="s">
        <v>259</v>
      </c>
      <c r="D17" s="547">
        <f>+'COSTOS RESUMEN'!G40</f>
        <v>31287.863871845744</v>
      </c>
      <c r="E17" s="547"/>
      <c r="F17" s="191">
        <f>+D17*(1+3%)</f>
        <v>32226.499788001118</v>
      </c>
      <c r="G17" s="191">
        <f>+F17*(1+3%)</f>
        <v>33193.294781641154</v>
      </c>
      <c r="H17" s="191">
        <f>+G17*(1+3%)</f>
        <v>34189.093625090391</v>
      </c>
      <c r="I17" s="191">
        <f>+H17*(1+3%)</f>
        <v>35214.766433843106</v>
      </c>
      <c r="J17" s="2"/>
      <c r="K17" s="2"/>
      <c r="L17" s="2"/>
      <c r="M17" s="2"/>
      <c r="N17" s="192"/>
      <c r="O17" s="192"/>
      <c r="P17" s="192"/>
      <c r="Q17" s="2"/>
    </row>
    <row r="18" spans="1:17" x14ac:dyDescent="0.3">
      <c r="A18" s="2"/>
      <c r="B18" s="2"/>
      <c r="C18" s="144" t="s">
        <v>260</v>
      </c>
      <c r="D18" s="548">
        <v>0.3</v>
      </c>
      <c r="E18" s="548"/>
      <c r="F18" s="413">
        <v>0.3</v>
      </c>
      <c r="G18" s="413">
        <v>0.3</v>
      </c>
      <c r="H18" s="413">
        <v>0.3</v>
      </c>
      <c r="I18" s="413">
        <v>0.3</v>
      </c>
      <c r="J18" s="2"/>
      <c r="K18" s="2"/>
      <c r="L18" s="2"/>
      <c r="M18" s="2"/>
      <c r="N18" s="193"/>
      <c r="O18" s="193"/>
      <c r="P18" s="193"/>
      <c r="Q18" s="2"/>
    </row>
    <row r="19" spans="1:17" x14ac:dyDescent="0.3">
      <c r="A19" s="2"/>
      <c r="B19" s="2"/>
      <c r="C19" s="144" t="s">
        <v>261</v>
      </c>
      <c r="D19" s="547">
        <f>D17/(1-D18)</f>
        <v>44696.948388351069</v>
      </c>
      <c r="E19" s="547"/>
      <c r="F19" s="191">
        <f>F17/(1-F18)</f>
        <v>46037.856840001601</v>
      </c>
      <c r="G19" s="191">
        <f>G17/(1-G18)</f>
        <v>47418.992545201654</v>
      </c>
      <c r="H19" s="191">
        <f>H17/(1-H18)</f>
        <v>48841.562321557707</v>
      </c>
      <c r="I19" s="191">
        <f>I17/(1-I18)</f>
        <v>50306.80919120444</v>
      </c>
      <c r="J19" s="2"/>
      <c r="K19" s="2"/>
      <c r="L19" s="2"/>
      <c r="M19" s="2"/>
      <c r="N19" s="2"/>
      <c r="O19" s="2"/>
      <c r="P19" s="2"/>
      <c r="Q19" s="2"/>
    </row>
    <row r="20" spans="1:17" x14ac:dyDescent="0.3">
      <c r="A20" s="2"/>
      <c r="B20" s="2"/>
      <c r="C20" s="246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x14ac:dyDescent="0.3">
      <c r="A21" s="2"/>
      <c r="B21" s="2"/>
      <c r="C21" s="144" t="s">
        <v>261</v>
      </c>
      <c r="D21" s="536">
        <v>45000</v>
      </c>
      <c r="E21" s="537"/>
      <c r="F21" s="259">
        <v>47000</v>
      </c>
      <c r="G21" s="259">
        <v>48000</v>
      </c>
      <c r="H21" s="259">
        <v>49000</v>
      </c>
      <c r="I21" s="259">
        <v>55500</v>
      </c>
      <c r="J21" s="2"/>
      <c r="K21" s="2"/>
      <c r="L21" s="2"/>
      <c r="M21" s="2"/>
      <c r="N21" s="2"/>
      <c r="O21" s="2"/>
      <c r="P21" s="2"/>
      <c r="Q21" s="2"/>
    </row>
    <row r="22" spans="1:17" x14ac:dyDescent="0.3">
      <c r="A22" s="2"/>
      <c r="B22" s="2"/>
      <c r="C22" s="538" t="s">
        <v>262</v>
      </c>
      <c r="D22" s="539"/>
      <c r="E22" s="539"/>
      <c r="F22" s="3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x14ac:dyDescent="0.3">
      <c r="A23" s="2"/>
      <c r="B23" s="2"/>
      <c r="C23" s="246"/>
      <c r="D23" s="194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 x14ac:dyDescent="0.3">
      <c r="A24" s="2"/>
      <c r="B24" s="2"/>
      <c r="C24" s="246"/>
      <c r="D24" s="2"/>
      <c r="E24" s="9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x14ac:dyDescent="0.3">
      <c r="A25" s="2"/>
      <c r="B25" s="2"/>
      <c r="C25" s="246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x14ac:dyDescent="0.3">
      <c r="A26" s="3" t="s">
        <v>105</v>
      </c>
      <c r="B26" s="3">
        <v>32</v>
      </c>
      <c r="C26" s="76" t="s">
        <v>263</v>
      </c>
      <c r="D26" s="2"/>
      <c r="E26" s="2"/>
      <c r="F26" s="2"/>
      <c r="G26" s="9"/>
      <c r="H26" s="9"/>
      <c r="I26" s="9"/>
      <c r="J26" s="2"/>
      <c r="K26" s="2"/>
      <c r="L26" s="2"/>
      <c r="M26" s="2"/>
      <c r="N26" s="2"/>
      <c r="O26" s="2"/>
      <c r="P26" s="2"/>
      <c r="Q26" s="2"/>
    </row>
    <row r="27" spans="1:17" x14ac:dyDescent="0.3">
      <c r="A27" s="3"/>
      <c r="B27" s="2"/>
      <c r="C27" s="76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x14ac:dyDescent="0.3">
      <c r="A28" s="3"/>
      <c r="B28" s="2"/>
      <c r="C28" s="249"/>
      <c r="D28" s="75"/>
      <c r="E28" s="75"/>
      <c r="F28" s="244" t="s">
        <v>250</v>
      </c>
      <c r="G28" s="244" t="s">
        <v>250</v>
      </c>
      <c r="H28" s="244" t="s">
        <v>250</v>
      </c>
      <c r="I28" s="244" t="s">
        <v>250</v>
      </c>
      <c r="J28" s="244" t="s">
        <v>250</v>
      </c>
      <c r="K28" s="2"/>
      <c r="L28" s="2"/>
      <c r="M28" s="2"/>
      <c r="N28" s="2"/>
      <c r="O28" s="2"/>
      <c r="P28" s="2"/>
      <c r="Q28" s="2"/>
    </row>
    <row r="29" spans="1:17" x14ac:dyDescent="0.3">
      <c r="A29" s="2"/>
      <c r="B29" s="2"/>
      <c r="C29" s="250"/>
      <c r="D29" s="75"/>
      <c r="E29" s="75"/>
      <c r="F29" s="260">
        <f>F9</f>
        <v>1</v>
      </c>
      <c r="G29" s="260">
        <f>G9</f>
        <v>2</v>
      </c>
      <c r="H29" s="260">
        <f>H9</f>
        <v>3</v>
      </c>
      <c r="I29" s="260">
        <f>I9</f>
        <v>4</v>
      </c>
      <c r="J29" s="260">
        <f>J9</f>
        <v>5</v>
      </c>
      <c r="K29" s="2"/>
      <c r="L29" s="2"/>
      <c r="M29" s="2"/>
      <c r="N29" s="2"/>
      <c r="O29" s="2"/>
      <c r="P29" s="2"/>
      <c r="Q29" s="2"/>
    </row>
    <row r="30" spans="1:17" x14ac:dyDescent="0.3">
      <c r="A30" s="2"/>
      <c r="B30" s="2"/>
      <c r="C30" s="540" t="s">
        <v>264</v>
      </c>
      <c r="D30" s="541"/>
      <c r="E30" s="542"/>
      <c r="F30" s="4">
        <f>F10*D21</f>
        <v>631800000</v>
      </c>
      <c r="G30" s="4">
        <f>+F21*G10</f>
        <v>692874000</v>
      </c>
      <c r="H30" s="4">
        <f>+G21*H10</f>
        <v>742996800</v>
      </c>
      <c r="I30" s="4">
        <f>+H21*I10</f>
        <v>796399695</v>
      </c>
      <c r="J30" s="4">
        <f>+I21*J10</f>
        <v>947146780.12500012</v>
      </c>
      <c r="K30" s="9"/>
      <c r="L30" s="9"/>
      <c r="M30" s="2"/>
      <c r="N30" s="2"/>
      <c r="O30" s="2"/>
      <c r="P30" s="2"/>
      <c r="Q30" s="2"/>
    </row>
    <row r="31" spans="1:17" x14ac:dyDescent="0.3">
      <c r="A31" s="2"/>
      <c r="B31" s="2"/>
      <c r="C31" s="523" t="s">
        <v>265</v>
      </c>
      <c r="D31" s="524"/>
      <c r="E31" s="525"/>
      <c r="F31" s="264">
        <f>SUM(F30:F30)</f>
        <v>631800000</v>
      </c>
      <c r="G31" s="264">
        <f>SUM(G30:G30)</f>
        <v>692874000</v>
      </c>
      <c r="H31" s="264">
        <f>SUM(H30:H30)</f>
        <v>742996800</v>
      </c>
      <c r="I31" s="264">
        <f>SUM(I30:I30)</f>
        <v>796399695</v>
      </c>
      <c r="J31" s="264">
        <f>SUM(J30:J30)</f>
        <v>947146780.12500012</v>
      </c>
      <c r="K31" s="9"/>
      <c r="L31" s="9"/>
      <c r="M31" s="2"/>
      <c r="N31" s="2"/>
      <c r="O31" s="2"/>
      <c r="P31" s="2"/>
      <c r="Q31" s="2"/>
    </row>
    <row r="32" spans="1:17" x14ac:dyDescent="0.3">
      <c r="A32" s="2"/>
      <c r="B32" s="2"/>
      <c r="C32" s="246"/>
      <c r="D32" s="2"/>
      <c r="E32" s="2"/>
      <c r="F32" s="2"/>
      <c r="G32" s="2"/>
      <c r="H32" s="2"/>
      <c r="I32" s="2"/>
      <c r="J32" s="2"/>
      <c r="K32" s="9"/>
      <c r="L32" s="9"/>
      <c r="M32" s="2"/>
      <c r="N32" s="2"/>
      <c r="O32" s="2"/>
      <c r="P32" s="2"/>
      <c r="Q32" s="2"/>
    </row>
    <row r="33" spans="1:17" x14ac:dyDescent="0.3">
      <c r="A33" s="2"/>
      <c r="B33" s="2"/>
      <c r="C33" s="246"/>
      <c r="D33" s="2"/>
      <c r="E33" s="2"/>
      <c r="F33" s="2"/>
      <c r="G33" s="9"/>
      <c r="H33" s="2"/>
      <c r="I33" s="2"/>
      <c r="J33" s="2"/>
      <c r="K33" s="9"/>
      <c r="L33" s="9"/>
      <c r="M33" s="433">
        <f>+F31-'COSTOS Y GASTOS'!D217</f>
        <v>423321290.46393931</v>
      </c>
      <c r="N33" s="2"/>
      <c r="O33" s="2"/>
      <c r="P33" s="2"/>
      <c r="Q33" s="2"/>
    </row>
    <row r="34" spans="1:17" x14ac:dyDescent="0.3">
      <c r="A34" s="2"/>
      <c r="B34" s="2"/>
      <c r="C34" s="251" t="s">
        <v>150</v>
      </c>
      <c r="D34" s="196" t="s">
        <v>151</v>
      </c>
      <c r="E34" s="197"/>
      <c r="F34" s="4">
        <f>'COSTOS Y GASTOS'!J28</f>
        <v>228328844.16</v>
      </c>
      <c r="G34" s="4">
        <f>F34*(1+10%)</f>
        <v>251161728.57600001</v>
      </c>
      <c r="H34" s="4">
        <f>G34*(1+10%)</f>
        <v>276277901.43360001</v>
      </c>
      <c r="I34" s="4">
        <f t="shared" ref="I34:J34" si="0">H34*(1+10%)</f>
        <v>303905691.57696003</v>
      </c>
      <c r="J34" s="4">
        <f t="shared" si="0"/>
        <v>334296260.73465604</v>
      </c>
      <c r="K34" s="9"/>
      <c r="L34" s="9"/>
      <c r="M34" s="434">
        <f>+M33/'COSTOS Y GASTOS'!D217</f>
        <v>2.0305252819627473</v>
      </c>
      <c r="N34" s="2"/>
      <c r="O34" s="2"/>
      <c r="P34" s="2"/>
      <c r="Q34" s="2"/>
    </row>
    <row r="35" spans="1:17" x14ac:dyDescent="0.3">
      <c r="A35" s="2"/>
      <c r="B35" s="2"/>
      <c r="C35" s="251" t="s">
        <v>152</v>
      </c>
      <c r="D35" s="196" t="s">
        <v>153</v>
      </c>
      <c r="E35" s="197"/>
      <c r="F35" s="4">
        <f>F10*'COSTOS Y GASTOS'!$H$70</f>
        <v>160689805.15714285</v>
      </c>
      <c r="G35" s="4">
        <f>(G10*'COSTOS Y GASTOS'!$H$70)*(1+10%)</f>
        <v>185596724.95649999</v>
      </c>
      <c r="H35" s="4">
        <f>(H10*'COSTOS Y GASTOS'!$H$70)*(1+10%)</f>
        <v>194876561.20432502</v>
      </c>
      <c r="I35" s="4">
        <f>(I10*'COSTOS Y GASTOS'!$H$70)*(1+10%)</f>
        <v>204620389.26454124</v>
      </c>
      <c r="J35" s="4">
        <f>(J10*'COSTOS Y GASTOS'!$H$70)*(1+10%)</f>
        <v>214851408.72776833</v>
      </c>
      <c r="K35" s="9"/>
      <c r="L35" s="9"/>
      <c r="M35" s="431">
        <f>+M34</f>
        <v>2.0305252819627473</v>
      </c>
      <c r="N35" s="2"/>
      <c r="O35" s="2"/>
      <c r="P35" s="2"/>
      <c r="Q35" s="2"/>
    </row>
    <row r="36" spans="1:17" x14ac:dyDescent="0.3">
      <c r="A36" s="2"/>
      <c r="B36" s="2"/>
      <c r="C36" s="252" t="s">
        <v>347</v>
      </c>
      <c r="D36" s="196" t="s">
        <v>241</v>
      </c>
      <c r="E36" s="197"/>
      <c r="F36" s="4">
        <f>'COSTOS RESUMEN'!F11</f>
        <v>54203493.600000001</v>
      </c>
      <c r="G36" s="87">
        <f>F36*(1+5%)</f>
        <v>56913668.280000001</v>
      </c>
      <c r="H36" s="87">
        <f>G36*(1+5%)</f>
        <v>59759351.694000006</v>
      </c>
      <c r="I36" s="87">
        <f t="shared" ref="I36:J36" si="1">H36*(1+5%)</f>
        <v>62747319.278700009</v>
      </c>
      <c r="J36" s="87">
        <f t="shared" si="1"/>
        <v>65884685.242635012</v>
      </c>
      <c r="K36" s="9"/>
      <c r="L36" s="9"/>
      <c r="M36" s="2"/>
      <c r="N36" s="2"/>
      <c r="O36" s="2"/>
      <c r="P36" s="2"/>
      <c r="Q36" s="2"/>
    </row>
    <row r="37" spans="1:17" x14ac:dyDescent="0.3">
      <c r="A37" s="2"/>
      <c r="B37" s="2"/>
      <c r="C37" s="252" t="s">
        <v>348</v>
      </c>
      <c r="D37" s="196" t="s">
        <v>243</v>
      </c>
      <c r="E37" s="198"/>
      <c r="F37" s="4">
        <f>'COSTOS RESUMEN'!F28</f>
        <v>10075200</v>
      </c>
      <c r="G37" s="4">
        <f>(($F$37/$F$10)*G10)*(1+5%)</f>
        <v>11107908</v>
      </c>
      <c r="H37" s="4">
        <f t="shared" ref="H37:J37" si="2">(($F$37/$F$10)*H10)*(1+5%)</f>
        <v>11663303.4</v>
      </c>
      <c r="I37" s="4">
        <f t="shared" si="2"/>
        <v>12246468.57</v>
      </c>
      <c r="J37" s="4">
        <f t="shared" si="2"/>
        <v>12858791.998500003</v>
      </c>
      <c r="K37" s="9"/>
      <c r="L37" s="9"/>
      <c r="M37" s="2"/>
      <c r="N37" s="2"/>
      <c r="O37" s="2"/>
      <c r="P37" s="2"/>
      <c r="Q37" s="2"/>
    </row>
    <row r="38" spans="1:17" x14ac:dyDescent="0.3">
      <c r="A38" s="2"/>
      <c r="B38" s="2"/>
      <c r="C38" s="261" t="s">
        <v>266</v>
      </c>
      <c r="D38" s="262"/>
      <c r="E38" s="265"/>
      <c r="F38" s="266">
        <f>SUM(F34:F37)</f>
        <v>453297342.91714287</v>
      </c>
      <c r="G38" s="266">
        <f>SUM(G34:G37)</f>
        <v>504780029.8125</v>
      </c>
      <c r="H38" s="266">
        <f>SUM(H34:H37)</f>
        <v>542577117.73192501</v>
      </c>
      <c r="I38" s="266">
        <f>SUM(I34:I37)</f>
        <v>583519868.69020128</v>
      </c>
      <c r="J38" s="266">
        <f>SUM(J34:J37)</f>
        <v>627891146.7035594</v>
      </c>
      <c r="K38" s="9"/>
      <c r="L38" s="9"/>
      <c r="M38" s="2"/>
      <c r="N38" s="2"/>
      <c r="O38" s="2"/>
      <c r="P38" s="2"/>
      <c r="Q38" s="2"/>
    </row>
    <row r="39" spans="1:17" x14ac:dyDescent="0.3">
      <c r="A39" s="2"/>
      <c r="B39" s="2"/>
      <c r="C39" s="76"/>
      <c r="D39" s="84"/>
      <c r="E39" s="76"/>
      <c r="F39" s="85"/>
      <c r="G39" s="85"/>
      <c r="H39" s="85"/>
      <c r="I39" s="85"/>
      <c r="J39" s="85"/>
      <c r="K39" s="9"/>
      <c r="L39" s="9"/>
      <c r="M39" s="2"/>
      <c r="N39" s="2"/>
      <c r="O39" s="2"/>
      <c r="P39" s="2"/>
      <c r="Q39" s="2"/>
    </row>
    <row r="40" spans="1:17" x14ac:dyDescent="0.3">
      <c r="A40" s="2"/>
      <c r="B40" s="2"/>
      <c r="C40" s="261" t="s">
        <v>267</v>
      </c>
      <c r="D40" s="262"/>
      <c r="E40" s="263"/>
      <c r="F40" s="264">
        <f>F31-F38</f>
        <v>178502657.08285713</v>
      </c>
      <c r="G40" s="264">
        <f>G31-G38</f>
        <v>188093970.1875</v>
      </c>
      <c r="H40" s="264">
        <f>H31-H38</f>
        <v>200419682.26807499</v>
      </c>
      <c r="I40" s="264">
        <f>I31-I38</f>
        <v>212879826.30979872</v>
      </c>
      <c r="J40" s="264">
        <f>J31-J38</f>
        <v>319255633.42144072</v>
      </c>
      <c r="K40" s="9"/>
      <c r="L40" s="9"/>
      <c r="M40" s="2"/>
      <c r="N40" s="2"/>
      <c r="O40" s="2"/>
      <c r="P40" s="2"/>
      <c r="Q40" s="2"/>
    </row>
    <row r="41" spans="1:17" x14ac:dyDescent="0.3">
      <c r="A41" s="2"/>
      <c r="B41" s="2"/>
      <c r="C41" s="246"/>
      <c r="D41" s="2"/>
      <c r="E41" s="2"/>
      <c r="F41" s="2"/>
      <c r="G41" s="2"/>
      <c r="H41" s="2"/>
      <c r="I41" s="2"/>
      <c r="J41" s="2"/>
      <c r="K41" s="9"/>
      <c r="L41" s="9"/>
      <c r="M41" s="2"/>
      <c r="N41" s="2"/>
      <c r="O41" s="2"/>
      <c r="P41" s="2"/>
      <c r="Q41" s="2"/>
    </row>
    <row r="42" spans="1:17" x14ac:dyDescent="0.3">
      <c r="A42" s="2"/>
      <c r="B42" s="2"/>
      <c r="C42" s="252" t="s">
        <v>268</v>
      </c>
      <c r="D42" s="199" t="s">
        <v>166</v>
      </c>
      <c r="E42" s="200"/>
      <c r="F42" s="87">
        <f>+'COSTOS Y GASTOS'!J136</f>
        <v>40625198.759999998</v>
      </c>
      <c r="G42" s="87">
        <f>F42*(1+10%)</f>
        <v>44687718.636</v>
      </c>
      <c r="H42" s="87">
        <f t="shared" ref="H42:J42" si="3">G42*(1+10%)</f>
        <v>49156490.499600001</v>
      </c>
      <c r="I42" s="87">
        <f t="shared" si="3"/>
        <v>54072139.549560003</v>
      </c>
      <c r="J42" s="87">
        <f t="shared" si="3"/>
        <v>59479353.504516006</v>
      </c>
      <c r="K42" s="9"/>
      <c r="L42" s="9"/>
      <c r="M42" s="2"/>
      <c r="N42" s="2"/>
      <c r="O42" s="2"/>
      <c r="P42" s="2"/>
      <c r="Q42" s="2"/>
    </row>
    <row r="43" spans="1:17" x14ac:dyDescent="0.3">
      <c r="A43" s="2"/>
      <c r="B43" s="2"/>
      <c r="C43" s="252" t="s">
        <v>158</v>
      </c>
      <c r="D43" s="199" t="s">
        <v>168</v>
      </c>
      <c r="E43" s="200"/>
      <c r="F43" s="87">
        <f>+'COSTOS Y GASTOS'!F158</f>
        <v>23075725.399999999</v>
      </c>
      <c r="G43" s="87">
        <f>F43*(1+5%)</f>
        <v>24229511.669999998</v>
      </c>
      <c r="H43" s="87">
        <f>G43*(1+5%)</f>
        <v>25440987.2535</v>
      </c>
      <c r="I43" s="87">
        <f>H43*(1+5%)</f>
        <v>26713036.616175</v>
      </c>
      <c r="J43" s="87">
        <f>I43*(1+5%)</f>
        <v>28048688.446983751</v>
      </c>
      <c r="K43" s="9"/>
      <c r="L43" s="9"/>
      <c r="M43" s="2"/>
      <c r="N43" s="2"/>
      <c r="O43" s="2"/>
      <c r="P43" s="2"/>
      <c r="Q43" s="2"/>
    </row>
    <row r="44" spans="1:17" x14ac:dyDescent="0.3">
      <c r="A44" s="2"/>
      <c r="B44" s="2"/>
      <c r="C44" s="89" t="s">
        <v>269</v>
      </c>
      <c r="D44" s="201" t="s">
        <v>169</v>
      </c>
      <c r="E44" s="202"/>
      <c r="F44" s="87">
        <f>+'COSTOS Y GASTOS'!J169</f>
        <v>14270552.76</v>
      </c>
      <c r="G44" s="87">
        <f>F44*(1+10%)</f>
        <v>15697608.036</v>
      </c>
      <c r="H44" s="87">
        <f>G44*(1+10%)</f>
        <v>17267368.839600001</v>
      </c>
      <c r="I44" s="87">
        <f>H44*(1+10%)</f>
        <v>18994105.723560002</v>
      </c>
      <c r="J44" s="87">
        <f>I44*(1+10%)</f>
        <v>20893516.295916002</v>
      </c>
      <c r="K44" s="9"/>
      <c r="L44" s="9"/>
      <c r="M44" s="2"/>
      <c r="N44" s="2"/>
      <c r="O44" s="2"/>
      <c r="P44" s="2"/>
      <c r="Q44" s="2"/>
    </row>
    <row r="45" spans="1:17" x14ac:dyDescent="0.3">
      <c r="A45" s="2"/>
      <c r="B45" s="2"/>
      <c r="C45" s="261" t="s">
        <v>270</v>
      </c>
      <c r="D45" s="262"/>
      <c r="E45" s="265"/>
      <c r="F45" s="266">
        <f>F42+F43+F44</f>
        <v>77971476.920000002</v>
      </c>
      <c r="G45" s="266">
        <f>G42+G43+G44</f>
        <v>84614838.341999993</v>
      </c>
      <c r="H45" s="266">
        <f>H42+H43+H44</f>
        <v>91864846.592700005</v>
      </c>
      <c r="I45" s="266">
        <f>I42+I43+I44</f>
        <v>99779281.889295012</v>
      </c>
      <c r="J45" s="266">
        <f>J42+J43+J44</f>
        <v>108421558.24741577</v>
      </c>
      <c r="K45" s="9"/>
      <c r="L45" s="9"/>
      <c r="M45" s="2"/>
      <c r="N45" s="2"/>
      <c r="O45" s="2"/>
      <c r="P45" s="2"/>
      <c r="Q45" s="2"/>
    </row>
    <row r="46" spans="1:17" x14ac:dyDescent="0.3">
      <c r="A46" s="2"/>
      <c r="B46" s="2"/>
      <c r="C46" s="76"/>
      <c r="D46" s="84"/>
      <c r="E46" s="76"/>
      <c r="F46" s="85"/>
      <c r="G46" s="85"/>
      <c r="H46" s="85"/>
      <c r="I46" s="85"/>
      <c r="J46" s="85"/>
      <c r="K46" s="9"/>
      <c r="L46" s="9"/>
      <c r="M46" s="2"/>
      <c r="N46" s="2"/>
      <c r="O46" s="2"/>
      <c r="P46" s="2"/>
      <c r="Q46" s="2"/>
    </row>
    <row r="47" spans="1:17" x14ac:dyDescent="0.3">
      <c r="A47" s="2"/>
      <c r="B47" s="2"/>
      <c r="C47" s="246"/>
      <c r="D47" s="2"/>
      <c r="E47" s="2"/>
      <c r="F47" s="2"/>
      <c r="G47" s="9"/>
      <c r="H47" s="2"/>
      <c r="I47" s="2"/>
      <c r="J47" s="2"/>
      <c r="K47" s="9"/>
      <c r="L47" s="9"/>
      <c r="M47" s="2"/>
      <c r="N47" s="2"/>
      <c r="O47" s="2"/>
      <c r="P47" s="2"/>
      <c r="Q47" s="2"/>
    </row>
    <row r="48" spans="1:17" x14ac:dyDescent="0.3">
      <c r="A48" s="2"/>
      <c r="B48" s="2"/>
      <c r="C48" s="267" t="s">
        <v>271</v>
      </c>
      <c r="D48" s="263"/>
      <c r="E48" s="268"/>
      <c r="F48" s="264">
        <f>F40-F45</f>
        <v>100531180.16285713</v>
      </c>
      <c r="G48" s="264">
        <f>G40-G45</f>
        <v>103479131.84550001</v>
      </c>
      <c r="H48" s="264">
        <f>H40-H45</f>
        <v>108554835.67537498</v>
      </c>
      <c r="I48" s="264">
        <f>I40-I45</f>
        <v>113100544.42050371</v>
      </c>
      <c r="J48" s="264">
        <f>J40-J45</f>
        <v>210834075.17402494</v>
      </c>
      <c r="K48" s="9"/>
      <c r="L48" s="9"/>
      <c r="M48" s="2"/>
      <c r="N48" s="2"/>
      <c r="O48" s="2"/>
      <c r="P48" s="2"/>
      <c r="Q48" s="2"/>
    </row>
    <row r="49" spans="1:17" x14ac:dyDescent="0.3">
      <c r="A49" s="2"/>
      <c r="B49" s="2"/>
      <c r="C49" s="195" t="s">
        <v>170</v>
      </c>
      <c r="D49" s="203" t="s">
        <v>272</v>
      </c>
      <c r="E49" s="204"/>
      <c r="F49" s="4">
        <f>+CRÉDITO!N14</f>
        <v>49761265.745967165</v>
      </c>
      <c r="G49" s="4">
        <f>+CRÉDITO!N15</f>
        <v>34523209.988946781</v>
      </c>
      <c r="H49" s="4">
        <f>+CRÉDITO!N16</f>
        <v>13812741.833021851</v>
      </c>
      <c r="I49" s="4">
        <f>+CRÉDITO!N17</f>
        <v>0</v>
      </c>
      <c r="J49" s="4">
        <f>+CRÉDITO!N18</f>
        <v>0</v>
      </c>
      <c r="K49" s="9"/>
      <c r="L49" s="9"/>
      <c r="M49" s="2"/>
      <c r="N49" s="2"/>
      <c r="O49" s="2"/>
      <c r="P49" s="2"/>
      <c r="Q49" s="2"/>
    </row>
    <row r="50" spans="1:17" x14ac:dyDescent="0.3">
      <c r="A50" s="2"/>
      <c r="B50" s="2"/>
      <c r="C50" s="195" t="s">
        <v>185</v>
      </c>
      <c r="D50" s="205"/>
      <c r="E50" s="206"/>
      <c r="F50" s="4">
        <f>(F31*0.004)</f>
        <v>2527200</v>
      </c>
      <c r="G50" s="4">
        <f>(G31*0.004)</f>
        <v>2771496</v>
      </c>
      <c r="H50" s="4">
        <f>(H31*0.004)</f>
        <v>2971987.2</v>
      </c>
      <c r="I50" s="4">
        <f>(I31*0.004)</f>
        <v>3185598.7800000003</v>
      </c>
      <c r="J50" s="4">
        <f>(J31*0.004)</f>
        <v>3788587.1205000007</v>
      </c>
      <c r="K50" s="9"/>
      <c r="L50" s="9"/>
      <c r="M50" s="2"/>
      <c r="N50" s="2"/>
      <c r="O50" s="2"/>
      <c r="P50" s="2"/>
      <c r="Q50" s="2"/>
    </row>
    <row r="51" spans="1:17" x14ac:dyDescent="0.3">
      <c r="A51" s="2"/>
      <c r="B51" s="2"/>
      <c r="C51" s="195" t="s">
        <v>273</v>
      </c>
      <c r="D51" s="207"/>
      <c r="E51" s="208"/>
      <c r="F51" s="4"/>
      <c r="G51" s="87"/>
      <c r="H51" s="87"/>
      <c r="I51" s="87"/>
      <c r="J51" s="87"/>
      <c r="K51" s="9"/>
      <c r="L51" s="9"/>
      <c r="M51" s="2"/>
      <c r="N51" s="2"/>
      <c r="O51" s="2"/>
      <c r="P51" s="2"/>
      <c r="Q51" s="2"/>
    </row>
    <row r="52" spans="1:17" x14ac:dyDescent="0.3">
      <c r="A52" s="2"/>
      <c r="B52" s="2"/>
      <c r="C52" s="261" t="s">
        <v>274</v>
      </c>
      <c r="D52" s="263"/>
      <c r="E52" s="263"/>
      <c r="F52" s="264">
        <f>F48-F49-F50+F51</f>
        <v>48242714.416889966</v>
      </c>
      <c r="G52" s="264">
        <f>G48-G49-G50+G51</f>
        <v>66184425.856553227</v>
      </c>
      <c r="H52" s="264">
        <f>H48-H49-H50+H51</f>
        <v>91770106.642353132</v>
      </c>
      <c r="I52" s="264">
        <f>I48-I49-I50+I51</f>
        <v>109914945.6405037</v>
      </c>
      <c r="J52" s="264">
        <f>J48-J49-J50+J51</f>
        <v>207045488.05352494</v>
      </c>
      <c r="K52" s="9"/>
      <c r="L52" s="9"/>
      <c r="M52" s="2"/>
      <c r="N52" s="2"/>
      <c r="O52" s="2"/>
      <c r="P52" s="2"/>
      <c r="Q52" s="2"/>
    </row>
    <row r="53" spans="1:17" ht="5.4" customHeight="1" x14ac:dyDescent="0.3">
      <c r="A53" s="2"/>
      <c r="B53" s="2"/>
      <c r="C53" s="246"/>
      <c r="D53" s="2"/>
      <c r="E53" s="2"/>
      <c r="F53" s="2"/>
      <c r="G53" s="2"/>
      <c r="H53" s="2"/>
      <c r="I53" s="2"/>
      <c r="J53" s="2"/>
      <c r="K53" s="9"/>
      <c r="L53" s="9"/>
      <c r="M53" s="2"/>
      <c r="N53" s="2"/>
      <c r="O53" s="2"/>
      <c r="P53" s="2"/>
      <c r="Q53" s="2"/>
    </row>
    <row r="54" spans="1:17" x14ac:dyDescent="0.3">
      <c r="A54" s="2"/>
      <c r="B54" s="2"/>
      <c r="C54" s="195" t="s">
        <v>275</v>
      </c>
      <c r="D54" s="209">
        <v>0.35</v>
      </c>
      <c r="E54" s="210"/>
      <c r="F54" s="87">
        <f>IF(F52&gt;0,F52*$D$54,0)</f>
        <v>16884950.045911487</v>
      </c>
      <c r="G54" s="4">
        <f>IF(G52&gt;0,G52*$D$54,0)</f>
        <v>23164549.049793627</v>
      </c>
      <c r="H54" s="4">
        <f>IF(H52&gt;0,H52*$D$54,0)</f>
        <v>32119537.324823596</v>
      </c>
      <c r="I54" s="4">
        <f>IF(I52&gt;0,I52*$D$54,0)</f>
        <v>38470230.974176295</v>
      </c>
      <c r="J54" s="4">
        <f>IF(J52&gt;0,J52*$D$54,0)</f>
        <v>72465920.818733722</v>
      </c>
      <c r="K54" s="9"/>
      <c r="L54" s="9"/>
      <c r="M54" s="2"/>
      <c r="N54" s="2"/>
      <c r="O54" s="2"/>
      <c r="P54" s="2"/>
      <c r="Q54" s="2"/>
    </row>
    <row r="55" spans="1:17" ht="5.4" customHeight="1" x14ac:dyDescent="0.3">
      <c r="A55" s="2"/>
      <c r="B55" s="2"/>
      <c r="C55" s="246"/>
      <c r="D55" s="2"/>
      <c r="E55" s="2"/>
      <c r="F55" s="2"/>
      <c r="G55" s="2"/>
      <c r="H55" s="2"/>
      <c r="I55" s="2"/>
      <c r="J55" s="2"/>
      <c r="K55" s="9"/>
      <c r="L55" s="9"/>
      <c r="M55" s="2"/>
      <c r="N55" s="2"/>
      <c r="O55" s="2"/>
      <c r="P55" s="2"/>
      <c r="Q55" s="2"/>
    </row>
    <row r="56" spans="1:17" x14ac:dyDescent="0.3">
      <c r="A56" s="2"/>
      <c r="B56" s="2"/>
      <c r="C56" s="261" t="s">
        <v>276</v>
      </c>
      <c r="D56" s="269"/>
      <c r="E56" s="270"/>
      <c r="F56" s="264">
        <f>F52-F54</f>
        <v>31357764.370978478</v>
      </c>
      <c r="G56" s="264">
        <f>G52-G54</f>
        <v>43019876.806759596</v>
      </c>
      <c r="H56" s="264">
        <f>H52-H54</f>
        <v>59650569.317529537</v>
      </c>
      <c r="I56" s="264">
        <f>I52-I54</f>
        <v>71444714.666327417</v>
      </c>
      <c r="J56" s="264">
        <f>J52-J54</f>
        <v>134579567.23479122</v>
      </c>
      <c r="K56" s="9"/>
      <c r="L56" s="9"/>
      <c r="M56" s="2"/>
      <c r="N56" s="2"/>
      <c r="O56" s="2"/>
      <c r="P56" s="2"/>
      <c r="Q56" s="2"/>
    </row>
    <row r="57" spans="1:17" x14ac:dyDescent="0.3">
      <c r="A57" s="2"/>
      <c r="B57" s="2"/>
      <c r="C57" s="195" t="s">
        <v>277</v>
      </c>
      <c r="D57" s="211">
        <v>0.2</v>
      </c>
      <c r="E57" s="212"/>
      <c r="F57" s="87">
        <f>IF(F56&lt;0,0,(F56*$D$57))</f>
        <v>6271552.8741956959</v>
      </c>
      <c r="G57" s="4">
        <f>IF(G56&lt;0,0,(G56*$D$57))</f>
        <v>8603975.3613519203</v>
      </c>
      <c r="H57" s="4">
        <f>IF(H56&lt;0,0,(H56*$D$57))</f>
        <v>11930113.863505907</v>
      </c>
      <c r="I57" s="4">
        <f>IF(I56&lt;0,0,(I56*$D$57))</f>
        <v>14288942.933265485</v>
      </c>
      <c r="J57" s="4">
        <f>IF(J56&lt;0,0,(J56*$D$57))</f>
        <v>26915913.446958244</v>
      </c>
      <c r="K57" s="9"/>
      <c r="L57" s="9"/>
      <c r="M57" s="2"/>
      <c r="N57" s="2"/>
      <c r="O57" s="2"/>
      <c r="P57" s="2"/>
      <c r="Q57" s="2"/>
    </row>
    <row r="58" spans="1:17" x14ac:dyDescent="0.3">
      <c r="A58" s="2"/>
      <c r="B58" s="2"/>
      <c r="C58" s="543" t="s">
        <v>278</v>
      </c>
      <c r="D58" s="543"/>
      <c r="E58" s="543"/>
      <c r="F58" s="264">
        <f>F56-F57</f>
        <v>25086211.496782783</v>
      </c>
      <c r="G58" s="264">
        <f>G56-G57</f>
        <v>34415901.445407674</v>
      </c>
      <c r="H58" s="264">
        <f>H56-H57</f>
        <v>47720455.454023629</v>
      </c>
      <c r="I58" s="264">
        <f>I56-I57</f>
        <v>57155771.733061932</v>
      </c>
      <c r="J58" s="264">
        <f>J56-J57</f>
        <v>107663653.78783298</v>
      </c>
      <c r="K58" s="9"/>
      <c r="L58" s="9"/>
      <c r="M58" s="2"/>
      <c r="N58" s="2"/>
      <c r="O58" s="2"/>
      <c r="P58" s="2"/>
      <c r="Q58" s="2"/>
    </row>
    <row r="59" spans="1:17" x14ac:dyDescent="0.3">
      <c r="A59" s="2"/>
      <c r="B59" s="2"/>
      <c r="C59" s="246"/>
      <c r="D59" s="2"/>
      <c r="E59" s="2"/>
      <c r="F59" s="2"/>
      <c r="G59" s="2"/>
      <c r="H59" s="2"/>
      <c r="I59" s="2"/>
      <c r="J59" s="2"/>
      <c r="K59" s="9"/>
      <c r="L59" s="9"/>
      <c r="M59" s="2"/>
      <c r="N59" s="2"/>
      <c r="O59" s="2"/>
      <c r="P59" s="2"/>
      <c r="Q59" s="2"/>
    </row>
    <row r="60" spans="1:17" x14ac:dyDescent="0.3">
      <c r="A60" s="2"/>
      <c r="B60" s="2"/>
      <c r="C60" s="246"/>
      <c r="D60" s="2"/>
      <c r="E60" s="2"/>
      <c r="F60" s="2"/>
      <c r="G60" s="2"/>
      <c r="H60" s="2"/>
      <c r="I60" s="2"/>
      <c r="J60" s="2"/>
      <c r="K60" s="9"/>
      <c r="L60" s="9"/>
      <c r="M60" s="2"/>
      <c r="N60" s="2"/>
      <c r="O60" s="2"/>
      <c r="P60" s="2"/>
      <c r="Q60" s="2"/>
    </row>
    <row r="61" spans="1:17" x14ac:dyDescent="0.3">
      <c r="A61" s="2"/>
      <c r="B61" s="2"/>
      <c r="C61" s="246"/>
      <c r="D61" s="2"/>
      <c r="E61" s="2"/>
      <c r="F61" s="9"/>
      <c r="G61" s="2"/>
      <c r="H61" s="2"/>
      <c r="I61" s="2"/>
      <c r="J61" s="2"/>
      <c r="K61" s="9"/>
      <c r="L61" s="9"/>
      <c r="M61" s="2"/>
      <c r="N61" s="2"/>
      <c r="O61" s="2"/>
      <c r="P61" s="2"/>
      <c r="Q61" s="2"/>
    </row>
    <row r="62" spans="1:17" x14ac:dyDescent="0.3">
      <c r="A62" s="2"/>
      <c r="B62" s="2"/>
      <c r="C62" s="246"/>
      <c r="D62" s="2"/>
      <c r="E62" s="2"/>
      <c r="F62" s="2"/>
      <c r="G62" s="2"/>
      <c r="H62" s="2"/>
      <c r="I62" s="2"/>
      <c r="J62" s="2"/>
      <c r="K62" s="9"/>
      <c r="L62" s="9"/>
      <c r="M62" s="2"/>
      <c r="N62" s="2"/>
      <c r="O62" s="2"/>
      <c r="P62" s="2"/>
      <c r="Q62" s="2"/>
    </row>
    <row r="63" spans="1:17" x14ac:dyDescent="0.3">
      <c r="A63" s="3" t="s">
        <v>105</v>
      </c>
      <c r="B63" s="3">
        <v>33</v>
      </c>
      <c r="C63" s="76" t="s">
        <v>279</v>
      </c>
      <c r="D63" s="160"/>
      <c r="E63" s="160"/>
      <c r="F63" s="160"/>
      <c r="G63" s="160"/>
      <c r="H63" s="160"/>
      <c r="I63" s="160"/>
      <c r="J63" s="160"/>
      <c r="K63" s="160"/>
      <c r="L63" s="9" t="s">
        <v>159</v>
      </c>
      <c r="M63" s="2"/>
      <c r="N63" s="2"/>
      <c r="O63" s="2"/>
      <c r="P63" s="2"/>
      <c r="Q63" s="2"/>
    </row>
    <row r="64" spans="1:17" x14ac:dyDescent="0.3">
      <c r="C64" s="150"/>
      <c r="D64" s="150"/>
      <c r="E64" s="150"/>
      <c r="F64" s="244" t="s">
        <v>250</v>
      </c>
      <c r="G64" s="244" t="s">
        <v>250</v>
      </c>
      <c r="H64" s="244" t="s">
        <v>250</v>
      </c>
      <c r="I64" s="244" t="s">
        <v>250</v>
      </c>
      <c r="J64" s="244" t="s">
        <v>250</v>
      </c>
      <c r="K64" s="244" t="s">
        <v>250</v>
      </c>
      <c r="L64" s="213"/>
      <c r="M64" s="2"/>
      <c r="N64" s="2"/>
      <c r="O64" s="2"/>
      <c r="P64" s="2"/>
      <c r="Q64" s="2"/>
    </row>
    <row r="65" spans="3:17" x14ac:dyDescent="0.3">
      <c r="C65" s="150"/>
      <c r="D65" s="150"/>
      <c r="E65" s="150"/>
      <c r="F65" s="260">
        <f>D4</f>
        <v>0</v>
      </c>
      <c r="G65" s="260">
        <f t="shared" ref="G65:K66" si="4">F29</f>
        <v>1</v>
      </c>
      <c r="H65" s="260">
        <f t="shared" si="4"/>
        <v>2</v>
      </c>
      <c r="I65" s="260">
        <f t="shared" si="4"/>
        <v>3</v>
      </c>
      <c r="J65" s="260">
        <f t="shared" si="4"/>
        <v>4</v>
      </c>
      <c r="K65" s="245">
        <f t="shared" si="4"/>
        <v>5</v>
      </c>
      <c r="L65" s="9"/>
      <c r="M65" s="2"/>
      <c r="N65" s="2"/>
      <c r="O65" s="2"/>
      <c r="P65" s="2"/>
      <c r="Q65" s="2"/>
    </row>
    <row r="66" spans="3:17" x14ac:dyDescent="0.3">
      <c r="C66" s="530" t="s">
        <v>280</v>
      </c>
      <c r="D66" s="531"/>
      <c r="E66" s="532"/>
      <c r="F66" s="214"/>
      <c r="G66" s="4">
        <f>F30</f>
        <v>631800000</v>
      </c>
      <c r="H66" s="4">
        <f>G30</f>
        <v>692874000</v>
      </c>
      <c r="I66" s="4">
        <f t="shared" si="4"/>
        <v>742996800</v>
      </c>
      <c r="J66" s="4">
        <f t="shared" si="4"/>
        <v>796399695</v>
      </c>
      <c r="K66" s="4">
        <f t="shared" si="4"/>
        <v>947146780.12500012</v>
      </c>
      <c r="L66" s="213"/>
      <c r="M66" s="2"/>
      <c r="N66" s="2"/>
      <c r="O66" s="2"/>
      <c r="P66" s="2"/>
      <c r="Q66" s="2"/>
    </row>
    <row r="67" spans="3:17" x14ac:dyDescent="0.3">
      <c r="C67" s="530" t="s">
        <v>281</v>
      </c>
      <c r="D67" s="531"/>
      <c r="E67" s="532"/>
      <c r="F67" s="214"/>
      <c r="G67" s="7"/>
      <c r="H67" s="4"/>
      <c r="I67" s="4"/>
      <c r="J67" s="4"/>
      <c r="K67" s="4"/>
      <c r="L67" s="215"/>
      <c r="M67" s="2"/>
      <c r="N67" s="2"/>
      <c r="O67" s="2"/>
      <c r="P67" s="2"/>
      <c r="Q67" s="2"/>
    </row>
    <row r="68" spans="3:17" x14ac:dyDescent="0.3">
      <c r="C68" s="523" t="s">
        <v>282</v>
      </c>
      <c r="D68" s="524"/>
      <c r="E68" s="525"/>
      <c r="F68" s="271"/>
      <c r="G68" s="264">
        <f>G66+G67</f>
        <v>631800000</v>
      </c>
      <c r="H68" s="264">
        <f>H66+H67</f>
        <v>692874000</v>
      </c>
      <c r="I68" s="264">
        <f>I66+I67</f>
        <v>742996800</v>
      </c>
      <c r="J68" s="264">
        <f>J66+J67</f>
        <v>796399695</v>
      </c>
      <c r="K68" s="264">
        <f>K66+K67</f>
        <v>947146780.12500012</v>
      </c>
      <c r="L68" s="213"/>
      <c r="M68" s="2"/>
      <c r="N68" s="2"/>
      <c r="O68" s="2"/>
      <c r="P68" s="2"/>
      <c r="Q68" s="2"/>
    </row>
    <row r="69" spans="3:17" x14ac:dyDescent="0.3">
      <c r="C69" s="246"/>
      <c r="D69" s="2"/>
      <c r="E69" s="216"/>
      <c r="F69" s="2"/>
      <c r="G69" s="2"/>
      <c r="H69" s="9"/>
      <c r="I69" s="9"/>
      <c r="J69" s="9"/>
      <c r="K69" s="9"/>
      <c r="L69" s="213"/>
      <c r="M69" s="2"/>
      <c r="N69" s="2"/>
      <c r="O69" s="2"/>
      <c r="P69" s="2"/>
      <c r="Q69" s="2"/>
    </row>
    <row r="70" spans="3:17" x14ac:dyDescent="0.3">
      <c r="C70" s="76" t="s">
        <v>283</v>
      </c>
      <c r="D70" s="2"/>
      <c r="E70" s="217"/>
      <c r="F70" s="2"/>
      <c r="G70" s="9"/>
      <c r="H70" s="9"/>
      <c r="I70" s="9"/>
      <c r="J70" s="9"/>
      <c r="K70" s="9"/>
      <c r="L70" s="213"/>
      <c r="M70" s="2"/>
      <c r="N70" s="2"/>
      <c r="O70" s="2"/>
      <c r="P70" s="2"/>
      <c r="Q70" s="2"/>
    </row>
    <row r="71" spans="3:17" x14ac:dyDescent="0.3">
      <c r="C71" s="253" t="s">
        <v>284</v>
      </c>
      <c r="D71" s="218" t="s">
        <v>105</v>
      </c>
      <c r="E71" s="219">
        <v>14</v>
      </c>
      <c r="F71" s="220"/>
      <c r="G71" s="4">
        <f>(F35)</f>
        <v>160689805.15714285</v>
      </c>
      <c r="H71" s="4">
        <f>(G35)</f>
        <v>185596724.95649999</v>
      </c>
      <c r="I71" s="4">
        <f>(H35)</f>
        <v>194876561.20432502</v>
      </c>
      <c r="J71" s="4">
        <f>(I35)</f>
        <v>204620389.26454124</v>
      </c>
      <c r="K71" s="4">
        <f>(J35)</f>
        <v>214851408.72776833</v>
      </c>
      <c r="L71" s="213"/>
      <c r="M71" s="2"/>
      <c r="N71" s="2"/>
      <c r="O71" s="2"/>
      <c r="P71" s="2"/>
      <c r="Q71" s="2"/>
    </row>
    <row r="72" spans="3:17" x14ac:dyDescent="0.3">
      <c r="C72" s="253" t="s">
        <v>285</v>
      </c>
      <c r="D72" s="218" t="s">
        <v>105</v>
      </c>
      <c r="E72" s="219">
        <v>11</v>
      </c>
      <c r="F72" s="220"/>
      <c r="G72" s="4">
        <f>F34</f>
        <v>228328844.16</v>
      </c>
      <c r="H72" s="4">
        <f>G34</f>
        <v>251161728.57600001</v>
      </c>
      <c r="I72" s="4">
        <f>H34</f>
        <v>276277901.43360001</v>
      </c>
      <c r="J72" s="4">
        <f>I34</f>
        <v>303905691.57696003</v>
      </c>
      <c r="K72" s="4">
        <f>J34</f>
        <v>334296260.73465604</v>
      </c>
      <c r="L72" s="213"/>
      <c r="M72" s="2"/>
      <c r="N72" s="2"/>
      <c r="O72" s="2"/>
      <c r="P72" s="2"/>
      <c r="Q72" s="2"/>
    </row>
    <row r="73" spans="3:17" x14ac:dyDescent="0.3">
      <c r="C73" s="195" t="s">
        <v>286</v>
      </c>
      <c r="D73" s="221" t="s">
        <v>105</v>
      </c>
      <c r="E73" s="219">
        <v>15</v>
      </c>
      <c r="F73" s="220"/>
      <c r="G73" s="4">
        <f>F36</f>
        <v>54203493.600000001</v>
      </c>
      <c r="H73" s="4">
        <f>G36</f>
        <v>56913668.280000001</v>
      </c>
      <c r="I73" s="4">
        <f>H36</f>
        <v>59759351.694000006</v>
      </c>
      <c r="J73" s="4">
        <f>I36</f>
        <v>62747319.278700009</v>
      </c>
      <c r="K73" s="4">
        <f>J36</f>
        <v>65884685.242635012</v>
      </c>
      <c r="L73" s="213"/>
      <c r="M73" s="2"/>
      <c r="N73" s="2"/>
      <c r="O73" s="2"/>
      <c r="P73" s="2"/>
      <c r="Q73" s="2"/>
    </row>
    <row r="74" spans="3:17" x14ac:dyDescent="0.3">
      <c r="C74" s="254" t="s">
        <v>115</v>
      </c>
      <c r="D74" s="221" t="s">
        <v>105</v>
      </c>
      <c r="E74" s="219">
        <v>13</v>
      </c>
      <c r="F74" s="220"/>
      <c r="G74" s="4">
        <f>'COSTOS RESUMEN'!D14</f>
        <v>14381772</v>
      </c>
      <c r="H74" s="4">
        <f>G74</f>
        <v>14381772</v>
      </c>
      <c r="I74" s="4">
        <f>H74</f>
        <v>14381772</v>
      </c>
      <c r="J74" s="4">
        <f>I74</f>
        <v>14381772</v>
      </c>
      <c r="K74" s="4">
        <f>J74</f>
        <v>14381772</v>
      </c>
      <c r="L74" s="213"/>
      <c r="M74" s="2"/>
      <c r="N74" s="2"/>
      <c r="O74" s="2"/>
      <c r="P74" s="2"/>
      <c r="Q74" s="2"/>
    </row>
    <row r="75" spans="3:17" x14ac:dyDescent="0.3">
      <c r="C75" s="254" t="s">
        <v>287</v>
      </c>
      <c r="D75" s="222" t="s">
        <v>105</v>
      </c>
      <c r="E75" s="223">
        <v>15</v>
      </c>
      <c r="F75" s="220"/>
      <c r="G75" s="4">
        <f>F37</f>
        <v>10075200</v>
      </c>
      <c r="H75" s="4">
        <f>G37</f>
        <v>11107908</v>
      </c>
      <c r="I75" s="4">
        <f>H37</f>
        <v>11663303.4</v>
      </c>
      <c r="J75" s="4">
        <f>I37</f>
        <v>12246468.57</v>
      </c>
      <c r="K75" s="4">
        <f>J37</f>
        <v>12858791.998500003</v>
      </c>
      <c r="L75" s="213"/>
      <c r="M75" s="2"/>
      <c r="N75" s="2"/>
      <c r="O75" s="2"/>
      <c r="P75" s="2"/>
      <c r="Q75" s="2"/>
    </row>
    <row r="76" spans="3:17" x14ac:dyDescent="0.3">
      <c r="C76" s="261" t="s">
        <v>288</v>
      </c>
      <c r="D76" s="269"/>
      <c r="E76" s="270"/>
      <c r="F76" s="270"/>
      <c r="G76" s="264">
        <f>SUM(G71:G75)</f>
        <v>467679114.91714287</v>
      </c>
      <c r="H76" s="264">
        <f>SUM(H71:H75)</f>
        <v>519161801.8125</v>
      </c>
      <c r="I76" s="264">
        <f>SUM(I71:I75)</f>
        <v>556958889.73192501</v>
      </c>
      <c r="J76" s="264">
        <f>SUM(J71:J75)</f>
        <v>597901640.69020128</v>
      </c>
      <c r="K76" s="264">
        <f>SUM(K71:K75)</f>
        <v>642272918.7035594</v>
      </c>
      <c r="L76" s="213"/>
      <c r="M76" s="2"/>
      <c r="N76" s="2"/>
      <c r="O76" s="2"/>
      <c r="P76" s="2"/>
      <c r="Q76" s="2"/>
    </row>
    <row r="77" spans="3:17" x14ac:dyDescent="0.3">
      <c r="C77" s="246"/>
      <c r="D77" s="2"/>
      <c r="E77" s="2"/>
      <c r="F77" s="2"/>
      <c r="G77" s="2"/>
      <c r="H77" s="2"/>
      <c r="I77" s="2"/>
      <c r="J77" s="2"/>
      <c r="K77" s="2"/>
      <c r="L77" s="213"/>
      <c r="M77" s="2"/>
      <c r="N77" s="2"/>
      <c r="O77" s="2"/>
      <c r="P77" s="2"/>
      <c r="Q77" s="2"/>
    </row>
    <row r="78" spans="3:17" x14ac:dyDescent="0.3">
      <c r="C78" s="272" t="s">
        <v>289</v>
      </c>
      <c r="D78" s="273"/>
      <c r="E78" s="274"/>
      <c r="F78" s="268"/>
      <c r="G78" s="264">
        <f>G68-G76</f>
        <v>164120885.08285713</v>
      </c>
      <c r="H78" s="264">
        <f>H68-H76</f>
        <v>173712198.1875</v>
      </c>
      <c r="I78" s="264">
        <f>I68-I76</f>
        <v>186037910.26807499</v>
      </c>
      <c r="J78" s="264">
        <f>J68-J76</f>
        <v>198498054.30979872</v>
      </c>
      <c r="K78" s="264">
        <f>K68-K76</f>
        <v>304873861.42144072</v>
      </c>
      <c r="L78" s="213"/>
      <c r="M78" s="2"/>
      <c r="N78" s="2"/>
      <c r="O78" s="2"/>
      <c r="P78" s="2"/>
      <c r="Q78" s="2"/>
    </row>
    <row r="79" spans="3:17" x14ac:dyDescent="0.3">
      <c r="C79" s="246"/>
      <c r="D79" s="2"/>
      <c r="E79" s="2"/>
      <c r="F79" s="2"/>
      <c r="G79" s="2"/>
      <c r="H79" s="2"/>
      <c r="I79" s="2"/>
      <c r="J79" s="2"/>
      <c r="K79" s="2"/>
      <c r="L79" s="213"/>
      <c r="M79" s="2"/>
      <c r="N79" s="2"/>
      <c r="O79" s="2"/>
      <c r="P79" s="2"/>
      <c r="Q79" s="2"/>
    </row>
    <row r="80" spans="3:17" x14ac:dyDescent="0.3">
      <c r="C80" s="249" t="s">
        <v>290</v>
      </c>
      <c r="D80" s="75"/>
      <c r="E80" s="75"/>
      <c r="F80" s="75"/>
      <c r="G80" s="2"/>
      <c r="H80" s="2"/>
      <c r="I80" s="2"/>
      <c r="J80" s="2"/>
      <c r="K80" s="2"/>
      <c r="L80" s="213"/>
      <c r="M80" s="2"/>
      <c r="N80" s="2"/>
      <c r="O80" s="2"/>
      <c r="P80" s="2"/>
      <c r="Q80" s="2"/>
    </row>
    <row r="81" spans="1:17" x14ac:dyDescent="0.3">
      <c r="C81" s="195" t="s">
        <v>291</v>
      </c>
      <c r="D81" s="221" t="s">
        <v>105</v>
      </c>
      <c r="E81" s="223">
        <v>20</v>
      </c>
      <c r="F81" s="224"/>
      <c r="G81" s="4">
        <f>F43+F42</f>
        <v>63700924.159999996</v>
      </c>
      <c r="H81" s="4">
        <f>G43+G42</f>
        <v>68917230.305999994</v>
      </c>
      <c r="I81" s="4">
        <f>H43+H42</f>
        <v>74597477.753100008</v>
      </c>
      <c r="J81" s="4">
        <f>I43+I42</f>
        <v>80785176.165735006</v>
      </c>
      <c r="K81" s="4">
        <f>J43+J42</f>
        <v>87528041.95149976</v>
      </c>
      <c r="L81" s="213"/>
      <c r="M81" s="2"/>
      <c r="N81" s="2"/>
      <c r="O81" s="2"/>
      <c r="P81" s="2"/>
      <c r="Q81" s="2"/>
    </row>
    <row r="82" spans="1:17" x14ac:dyDescent="0.3">
      <c r="C82" s="195" t="s">
        <v>292</v>
      </c>
      <c r="D82" s="221" t="s">
        <v>105</v>
      </c>
      <c r="E82" s="223">
        <v>8</v>
      </c>
      <c r="F82" s="224"/>
      <c r="G82" s="4">
        <f>-'COSTOS Y GASTOS'!F156</f>
        <v>-2462000</v>
      </c>
      <c r="H82" s="4">
        <f t="shared" ref="H82:K83" si="5">G82</f>
        <v>-2462000</v>
      </c>
      <c r="I82" s="4">
        <f t="shared" si="5"/>
        <v>-2462000</v>
      </c>
      <c r="J82" s="4">
        <f t="shared" si="5"/>
        <v>-2462000</v>
      </c>
      <c r="K82" s="4">
        <f t="shared" si="5"/>
        <v>-2462000</v>
      </c>
      <c r="L82" s="213"/>
      <c r="M82" s="2"/>
      <c r="N82" s="2"/>
      <c r="O82" s="2"/>
      <c r="P82" s="2"/>
      <c r="Q82" s="2"/>
    </row>
    <row r="83" spans="1:17" x14ac:dyDescent="0.3">
      <c r="C83" s="195" t="s">
        <v>115</v>
      </c>
      <c r="D83" s="221" t="s">
        <v>105</v>
      </c>
      <c r="E83" s="223">
        <v>13</v>
      </c>
      <c r="F83" s="224"/>
      <c r="G83" s="4">
        <f>-(SUM('COSTOS Y GASTOS'!F145:F149))</f>
        <v>-2073907.9999999998</v>
      </c>
      <c r="H83" s="4">
        <f t="shared" si="5"/>
        <v>-2073907.9999999998</v>
      </c>
      <c r="I83" s="4">
        <f t="shared" si="5"/>
        <v>-2073907.9999999998</v>
      </c>
      <c r="J83" s="4">
        <f t="shared" si="5"/>
        <v>-2073907.9999999998</v>
      </c>
      <c r="K83" s="4">
        <f t="shared" si="5"/>
        <v>-2073907.9999999998</v>
      </c>
      <c r="L83" s="213"/>
      <c r="M83" s="2"/>
      <c r="N83" s="2"/>
      <c r="O83" s="2"/>
      <c r="P83" s="2"/>
      <c r="Q83" s="2"/>
    </row>
    <row r="84" spans="1:17" x14ac:dyDescent="0.3">
      <c r="C84" s="195" t="s">
        <v>293</v>
      </c>
      <c r="D84" s="221" t="s">
        <v>105</v>
      </c>
      <c r="E84" s="223">
        <v>20</v>
      </c>
      <c r="F84" s="224"/>
      <c r="G84" s="4">
        <f>F44</f>
        <v>14270552.76</v>
      </c>
      <c r="H84" s="4">
        <f>G44</f>
        <v>15697608.036</v>
      </c>
      <c r="I84" s="4">
        <f>H44</f>
        <v>17267368.839600001</v>
      </c>
      <c r="J84" s="4">
        <f>I44</f>
        <v>18994105.723560002</v>
      </c>
      <c r="K84" s="4">
        <f>J44</f>
        <v>20893516.295916002</v>
      </c>
      <c r="L84" s="213"/>
      <c r="M84" s="2"/>
      <c r="N84" s="2"/>
      <c r="O84" s="2"/>
      <c r="P84" s="2"/>
      <c r="Q84" s="2"/>
    </row>
    <row r="85" spans="1:17" x14ac:dyDescent="0.3">
      <c r="C85" s="195" t="s">
        <v>294</v>
      </c>
      <c r="D85" s="221" t="s">
        <v>105</v>
      </c>
      <c r="E85" s="223">
        <v>32</v>
      </c>
      <c r="F85" s="224"/>
      <c r="G85" s="2"/>
      <c r="H85" s="4">
        <f>F54</f>
        <v>16884950.045911487</v>
      </c>
      <c r="I85" s="4">
        <f>G54</f>
        <v>23164549.049793627</v>
      </c>
      <c r="J85" s="4">
        <f>H54</f>
        <v>32119537.324823596</v>
      </c>
      <c r="K85" s="4">
        <f>I54</f>
        <v>38470230.974176295</v>
      </c>
      <c r="L85" s="9"/>
      <c r="M85" s="2"/>
      <c r="N85" s="2"/>
      <c r="O85" s="2"/>
      <c r="P85" s="2"/>
      <c r="Q85" s="2"/>
    </row>
    <row r="86" spans="1:17" x14ac:dyDescent="0.3">
      <c r="C86" s="261" t="s">
        <v>295</v>
      </c>
      <c r="D86" s="269"/>
      <c r="E86" s="270"/>
      <c r="F86" s="292"/>
      <c r="G86" s="264">
        <f>SUM(G81:G85)</f>
        <v>73435568.920000002</v>
      </c>
      <c r="H86" s="264">
        <f>SUM(H81:H85)</f>
        <v>96963880.387911484</v>
      </c>
      <c r="I86" s="264">
        <f>SUM(I81:I85)</f>
        <v>110493487.64249364</v>
      </c>
      <c r="J86" s="264">
        <f>SUM(J81:J85)</f>
        <v>127362911.2141186</v>
      </c>
      <c r="K86" s="264">
        <f>SUM(K81:K85)</f>
        <v>142355881.22159207</v>
      </c>
      <c r="L86" s="213"/>
      <c r="M86" s="2"/>
      <c r="N86" s="2"/>
      <c r="O86" s="2"/>
      <c r="P86" s="2"/>
      <c r="Q86" s="2"/>
    </row>
    <row r="87" spans="1:17" x14ac:dyDescent="0.3">
      <c r="C87" s="246"/>
      <c r="D87" s="2"/>
      <c r="E87" s="2"/>
      <c r="F87" s="2"/>
      <c r="G87" s="2"/>
      <c r="H87" s="2"/>
      <c r="I87" s="2"/>
      <c r="J87" s="2"/>
      <c r="K87" s="2"/>
      <c r="L87" s="213"/>
      <c r="M87" s="2"/>
      <c r="N87" s="2"/>
      <c r="O87" s="2"/>
      <c r="P87" s="2"/>
      <c r="Q87" s="2"/>
    </row>
    <row r="88" spans="1:17" x14ac:dyDescent="0.3">
      <c r="C88" s="533" t="s">
        <v>296</v>
      </c>
      <c r="D88" s="534"/>
      <c r="E88" s="535"/>
      <c r="F88" s="270"/>
      <c r="G88" s="264">
        <f>G78-G86</f>
        <v>90685316.16285713</v>
      </c>
      <c r="H88" s="264">
        <f>H78-H86</f>
        <v>76748317.799588516</v>
      </c>
      <c r="I88" s="264">
        <f>I78-I86</f>
        <v>75544422.625581354</v>
      </c>
      <c r="J88" s="264">
        <f>J78-J86</f>
        <v>71135143.095680118</v>
      </c>
      <c r="K88" s="264">
        <f>K78-K86</f>
        <v>162517980.19984865</v>
      </c>
      <c r="L88" s="213"/>
      <c r="M88" s="2"/>
      <c r="N88" s="2"/>
      <c r="O88" s="2"/>
      <c r="P88" s="2"/>
      <c r="Q88" s="2"/>
    </row>
    <row r="89" spans="1:17" x14ac:dyDescent="0.3">
      <c r="C89" s="246"/>
      <c r="D89" s="2"/>
      <c r="E89" s="2"/>
      <c r="F89" s="2"/>
      <c r="G89" s="2"/>
      <c r="H89" s="2"/>
      <c r="I89" s="2"/>
      <c r="J89" s="2"/>
      <c r="K89" s="2"/>
      <c r="L89" s="213"/>
      <c r="M89" s="2"/>
      <c r="N89" s="2"/>
      <c r="O89" s="2"/>
      <c r="P89" s="2"/>
      <c r="Q89" s="2"/>
    </row>
    <row r="90" spans="1:17" x14ac:dyDescent="0.3">
      <c r="A90" s="213"/>
      <c r="C90" s="249" t="s">
        <v>297</v>
      </c>
      <c r="D90" s="75"/>
      <c r="E90" s="75"/>
      <c r="F90" s="75"/>
      <c r="G90" s="75"/>
      <c r="H90" s="75"/>
      <c r="I90" s="75"/>
      <c r="J90" s="75"/>
      <c r="K90" s="75"/>
      <c r="L90" s="213"/>
      <c r="M90" s="2"/>
      <c r="N90" s="2"/>
      <c r="O90" s="2"/>
      <c r="P90" s="2"/>
      <c r="Q90" s="2"/>
    </row>
    <row r="91" spans="1:17" x14ac:dyDescent="0.3">
      <c r="C91" s="195" t="s">
        <v>46</v>
      </c>
      <c r="D91" s="221" t="s">
        <v>105</v>
      </c>
      <c r="E91" s="223">
        <v>7</v>
      </c>
      <c r="F91" s="4">
        <f>+'COSTOS Y GASTOS'!E209</f>
        <v>88356100</v>
      </c>
      <c r="G91" s="4"/>
      <c r="H91" s="4"/>
      <c r="I91" s="4"/>
      <c r="J91" s="4"/>
      <c r="K91" s="4"/>
      <c r="L91" s="213"/>
      <c r="M91" s="2"/>
      <c r="N91" s="2"/>
      <c r="O91" s="2"/>
      <c r="P91" s="2"/>
      <c r="Q91" s="2"/>
    </row>
    <row r="92" spans="1:17" x14ac:dyDescent="0.3">
      <c r="A92" s="213"/>
      <c r="C92" s="195" t="s">
        <v>192</v>
      </c>
      <c r="D92" s="221" t="s">
        <v>105</v>
      </c>
      <c r="E92" s="223">
        <v>8</v>
      </c>
      <c r="F92" s="4">
        <f>+'COSTOS Y GASTOS'!E210</f>
        <v>12310000</v>
      </c>
      <c r="G92" s="4"/>
      <c r="H92" s="4"/>
      <c r="I92" s="4"/>
      <c r="J92" s="4"/>
      <c r="K92" s="4"/>
      <c r="L92" s="213"/>
      <c r="M92" s="2"/>
      <c r="N92" s="2"/>
      <c r="O92" s="2"/>
      <c r="P92" s="2"/>
      <c r="Q92" s="2"/>
    </row>
    <row r="93" spans="1:17" x14ac:dyDescent="0.3">
      <c r="C93" s="195" t="s">
        <v>193</v>
      </c>
      <c r="D93" s="221" t="s">
        <v>105</v>
      </c>
      <c r="E93" s="223">
        <v>22</v>
      </c>
      <c r="F93" s="4">
        <f>+'COSTOS Y GASTOS'!E211</f>
        <v>107812609.53606068</v>
      </c>
      <c r="G93" s="4"/>
      <c r="H93" s="4"/>
      <c r="I93" s="4"/>
      <c r="J93" s="4"/>
      <c r="K93" s="4"/>
      <c r="L93" s="213"/>
      <c r="M93" s="2"/>
      <c r="N93" s="2"/>
      <c r="O93" s="2"/>
      <c r="P93" s="2"/>
      <c r="Q93" s="2"/>
    </row>
    <row r="94" spans="1:17" x14ac:dyDescent="0.3">
      <c r="C94" s="523" t="s">
        <v>298</v>
      </c>
      <c r="D94" s="524"/>
      <c r="E94" s="525"/>
      <c r="F94" s="293">
        <f>SUM(F91:F93)</f>
        <v>208478709.53606069</v>
      </c>
      <c r="G94" s="293">
        <f t="shared" ref="G94:K94" si="6">SUM(G91:G93)</f>
        <v>0</v>
      </c>
      <c r="H94" s="293">
        <f t="shared" si="6"/>
        <v>0</v>
      </c>
      <c r="I94" s="293">
        <f t="shared" si="6"/>
        <v>0</v>
      </c>
      <c r="J94" s="293">
        <f t="shared" si="6"/>
        <v>0</v>
      </c>
      <c r="K94" s="293">
        <f t="shared" si="6"/>
        <v>0</v>
      </c>
      <c r="L94" s="213"/>
      <c r="M94" s="2"/>
      <c r="N94" s="2"/>
      <c r="O94" s="2"/>
      <c r="P94" s="2"/>
      <c r="Q94" s="2"/>
    </row>
    <row r="95" spans="1:17" x14ac:dyDescent="0.3">
      <c r="C95" s="246"/>
      <c r="D95" s="225"/>
      <c r="E95" s="226"/>
      <c r="F95" s="9"/>
      <c r="G95" s="2"/>
      <c r="H95" s="2"/>
      <c r="I95" s="2"/>
      <c r="J95" s="2"/>
      <c r="K95" s="2"/>
      <c r="L95" s="213"/>
      <c r="M95" s="2"/>
      <c r="N95" s="2"/>
      <c r="O95" s="2"/>
      <c r="P95" s="2"/>
      <c r="Q95" s="2"/>
    </row>
    <row r="96" spans="1:17" x14ac:dyDescent="0.3">
      <c r="C96" s="261" t="s">
        <v>299</v>
      </c>
      <c r="D96" s="294"/>
      <c r="E96" s="295"/>
      <c r="F96" s="264">
        <f>F88-F94</f>
        <v>-208478709.53606069</v>
      </c>
      <c r="G96" s="264">
        <f>G88-G94</f>
        <v>90685316.16285713</v>
      </c>
      <c r="H96" s="264">
        <f t="shared" ref="H96:K96" si="7">H88-H94</f>
        <v>76748317.799588516</v>
      </c>
      <c r="I96" s="264">
        <f t="shared" si="7"/>
        <v>75544422.625581354</v>
      </c>
      <c r="J96" s="264">
        <f t="shared" si="7"/>
        <v>71135143.095680118</v>
      </c>
      <c r="K96" s="264">
        <f t="shared" si="7"/>
        <v>162517980.19984865</v>
      </c>
      <c r="L96" s="213"/>
      <c r="M96" s="2"/>
      <c r="N96" s="2"/>
      <c r="O96" s="2"/>
      <c r="P96" s="2"/>
      <c r="Q96" s="2"/>
    </row>
    <row r="97" spans="3:17" x14ac:dyDescent="0.3">
      <c r="C97" s="246"/>
      <c r="D97" s="2"/>
      <c r="E97" s="2"/>
      <c r="F97" s="2"/>
      <c r="G97" s="2"/>
      <c r="H97" s="2"/>
      <c r="I97" s="2"/>
      <c r="J97" s="2"/>
      <c r="K97" s="2"/>
      <c r="L97" s="213"/>
      <c r="M97" s="2"/>
      <c r="N97" s="2"/>
      <c r="O97" s="2"/>
      <c r="P97" s="2"/>
      <c r="Q97" s="2"/>
    </row>
    <row r="98" spans="3:17" x14ac:dyDescent="0.3">
      <c r="C98" s="249" t="s">
        <v>300</v>
      </c>
      <c r="D98" s="75"/>
      <c r="E98" s="75"/>
      <c r="F98" s="75"/>
      <c r="G98" s="75"/>
      <c r="H98" s="75"/>
      <c r="I98" s="75"/>
      <c r="J98" s="75"/>
      <c r="K98" s="75"/>
      <c r="L98" s="213"/>
      <c r="M98" s="2"/>
      <c r="N98" s="2"/>
      <c r="O98" s="2"/>
      <c r="P98" s="2"/>
      <c r="Q98" s="2"/>
    </row>
    <row r="99" spans="3:17" x14ac:dyDescent="0.3">
      <c r="C99" s="195" t="s">
        <v>301</v>
      </c>
      <c r="D99" s="221"/>
      <c r="E99" s="223"/>
      <c r="F99" s="4">
        <f>+'COSTOS Y GASTOS'!D218</f>
        <v>30000000</v>
      </c>
      <c r="G99" s="4"/>
      <c r="H99" s="4"/>
      <c r="I99" s="4"/>
      <c r="J99" s="4"/>
      <c r="K99" s="4"/>
      <c r="L99" s="213"/>
      <c r="M99" s="2"/>
      <c r="N99" s="2"/>
      <c r="O99" s="2"/>
      <c r="P99" s="2"/>
      <c r="Q99" s="2"/>
    </row>
    <row r="100" spans="3:17" x14ac:dyDescent="0.3">
      <c r="C100" s="195" t="s">
        <v>302</v>
      </c>
      <c r="D100" s="221" t="s">
        <v>105</v>
      </c>
      <c r="E100" s="227">
        <v>25</v>
      </c>
      <c r="F100" s="4">
        <f>+'COSTOS Y GASTOS'!D219</f>
        <v>178478709.53606069</v>
      </c>
      <c r="G100" s="4"/>
      <c r="H100" s="4"/>
      <c r="I100" s="4"/>
      <c r="J100" s="4"/>
      <c r="K100" s="4"/>
      <c r="L100" s="213"/>
      <c r="M100" s="2"/>
      <c r="N100" s="2"/>
      <c r="O100" s="2"/>
      <c r="P100" s="2"/>
      <c r="Q100" s="2"/>
    </row>
    <row r="101" spans="3:17" x14ac:dyDescent="0.3">
      <c r="C101" s="195" t="s">
        <v>303</v>
      </c>
      <c r="D101" s="221"/>
      <c r="E101" s="227"/>
      <c r="F101" s="4"/>
      <c r="G101" s="4"/>
      <c r="H101" s="4"/>
      <c r="I101" s="4"/>
      <c r="J101" s="4"/>
      <c r="K101" s="4"/>
      <c r="L101" s="213"/>
      <c r="M101" s="2"/>
      <c r="N101" s="2"/>
      <c r="O101" s="2"/>
      <c r="P101" s="2"/>
      <c r="Q101" s="2"/>
    </row>
    <row r="102" spans="3:17" x14ac:dyDescent="0.3">
      <c r="C102" s="261" t="s">
        <v>304</v>
      </c>
      <c r="D102" s="269"/>
      <c r="E102" s="270"/>
      <c r="F102" s="264">
        <f>F99+F100+F101</f>
        <v>208478709.53606069</v>
      </c>
      <c r="G102" s="264">
        <f t="shared" ref="G102:K102" si="8">G99+G100+G101</f>
        <v>0</v>
      </c>
      <c r="H102" s="264">
        <f t="shared" si="8"/>
        <v>0</v>
      </c>
      <c r="I102" s="264">
        <f t="shared" si="8"/>
        <v>0</v>
      </c>
      <c r="J102" s="264">
        <f t="shared" si="8"/>
        <v>0</v>
      </c>
      <c r="K102" s="264">
        <f t="shared" si="8"/>
        <v>0</v>
      </c>
      <c r="L102" s="213"/>
      <c r="M102" s="2"/>
      <c r="N102" s="2"/>
      <c r="O102" s="2"/>
      <c r="P102" s="2"/>
      <c r="Q102" s="2"/>
    </row>
    <row r="103" spans="3:17" x14ac:dyDescent="0.3">
      <c r="C103" s="246"/>
      <c r="D103" s="225"/>
      <c r="E103" s="226"/>
      <c r="F103" s="9"/>
      <c r="G103" s="2"/>
      <c r="H103" s="2"/>
      <c r="I103" s="2"/>
      <c r="J103" s="2"/>
      <c r="K103" s="2"/>
      <c r="L103" s="213"/>
      <c r="M103" s="2"/>
      <c r="N103" s="2"/>
      <c r="O103" s="2"/>
      <c r="P103" s="2"/>
      <c r="Q103" s="2"/>
    </row>
    <row r="104" spans="3:17" x14ac:dyDescent="0.3">
      <c r="C104" s="246"/>
      <c r="D104" s="2"/>
      <c r="E104" s="2"/>
      <c r="F104" s="2"/>
      <c r="G104" s="2"/>
      <c r="H104" s="2"/>
      <c r="I104" s="2"/>
      <c r="J104" s="2"/>
      <c r="K104" s="2"/>
      <c r="L104" s="213"/>
      <c r="M104" s="9"/>
      <c r="N104" s="9"/>
      <c r="O104" s="9"/>
      <c r="P104" s="9"/>
      <c r="Q104" s="2"/>
    </row>
    <row r="105" spans="3:17" x14ac:dyDescent="0.3">
      <c r="C105" s="249" t="s">
        <v>305</v>
      </c>
      <c r="D105" s="75"/>
      <c r="E105" s="75"/>
      <c r="F105" s="75"/>
      <c r="G105" s="75"/>
      <c r="H105" s="75"/>
      <c r="I105" s="75"/>
      <c r="J105" s="75"/>
      <c r="K105" s="75"/>
      <c r="L105" s="213"/>
      <c r="M105" s="2"/>
      <c r="N105" s="2"/>
      <c r="O105" s="2"/>
      <c r="P105" s="2"/>
      <c r="Q105" s="2"/>
    </row>
    <row r="106" spans="3:17" x14ac:dyDescent="0.3">
      <c r="C106" s="195" t="s">
        <v>306</v>
      </c>
      <c r="D106" s="221"/>
      <c r="E106" s="200"/>
      <c r="F106" s="7"/>
      <c r="G106" s="4">
        <f>+CRÉDITO!O14</f>
        <v>42430709.955365002</v>
      </c>
      <c r="H106" s="4">
        <f>+CRÉDITO!O15</f>
        <v>57668765.712385386</v>
      </c>
      <c r="I106" s="4">
        <f>+CRÉDITO!O16</f>
        <v>78379233.868310317</v>
      </c>
      <c r="J106" s="4">
        <f>+CRÉDITO!O17</f>
        <v>0</v>
      </c>
      <c r="K106" s="4">
        <f>+CRÉDITO!O18</f>
        <v>0</v>
      </c>
      <c r="L106" s="213"/>
      <c r="M106" s="9"/>
      <c r="N106" s="9"/>
      <c r="O106" s="9"/>
      <c r="P106" s="9"/>
      <c r="Q106" s="2"/>
    </row>
    <row r="107" spans="3:17" x14ac:dyDescent="0.3">
      <c r="C107" s="195" t="s">
        <v>307</v>
      </c>
      <c r="D107" s="221"/>
      <c r="E107" s="200"/>
      <c r="F107" s="7"/>
      <c r="G107" s="4">
        <f>+CRÉDITO!N14</f>
        <v>49761265.745967165</v>
      </c>
      <c r="H107" s="4">
        <f>+CRÉDITO!N15</f>
        <v>34523209.988946781</v>
      </c>
      <c r="I107" s="4">
        <f>+CRÉDITO!N16</f>
        <v>13812741.833021851</v>
      </c>
      <c r="J107" s="4">
        <f>+CRÉDITO!N17</f>
        <v>0</v>
      </c>
      <c r="K107" s="4">
        <f>+CRÉDITO!N18</f>
        <v>0</v>
      </c>
      <c r="L107" s="213"/>
      <c r="M107" s="2"/>
      <c r="N107" s="2"/>
      <c r="O107" s="2"/>
      <c r="P107" s="2"/>
      <c r="Q107" s="2"/>
    </row>
    <row r="108" spans="3:17" x14ac:dyDescent="0.3">
      <c r="C108" s="195" t="s">
        <v>185</v>
      </c>
      <c r="D108" s="221"/>
      <c r="E108" s="221"/>
      <c r="F108" s="7"/>
      <c r="G108" s="4">
        <f>F50</f>
        <v>2527200</v>
      </c>
      <c r="H108" s="4">
        <f>G50</f>
        <v>2771496</v>
      </c>
      <c r="I108" s="4">
        <f>H50</f>
        <v>2971987.2</v>
      </c>
      <c r="J108" s="4">
        <f>I50</f>
        <v>3185598.7800000003</v>
      </c>
      <c r="K108" s="4">
        <f>J50</f>
        <v>3788587.1205000007</v>
      </c>
      <c r="L108" s="213"/>
      <c r="M108" s="9"/>
      <c r="N108" s="9"/>
      <c r="O108" s="9"/>
      <c r="P108" s="9"/>
      <c r="Q108" s="2"/>
    </row>
    <row r="109" spans="3:17" x14ac:dyDescent="0.3">
      <c r="C109" s="195" t="s">
        <v>308</v>
      </c>
      <c r="D109" s="221"/>
      <c r="E109" s="221"/>
      <c r="F109" s="7"/>
      <c r="G109" s="4"/>
      <c r="H109" s="4"/>
      <c r="I109" s="4"/>
      <c r="J109" s="4"/>
      <c r="K109" s="4"/>
      <c r="L109" s="213"/>
      <c r="M109" s="2"/>
      <c r="N109" s="2"/>
      <c r="O109" s="2"/>
      <c r="P109" s="2"/>
      <c r="Q109" s="2"/>
    </row>
    <row r="110" spans="3:17" x14ac:dyDescent="0.3">
      <c r="C110" s="261" t="s">
        <v>309</v>
      </c>
      <c r="D110" s="269"/>
      <c r="E110" s="270"/>
      <c r="F110" s="264">
        <f t="shared" ref="F110" si="9">SUM(F106:F109)</f>
        <v>0</v>
      </c>
      <c r="G110" s="264">
        <f>SUM(G106:G109)</f>
        <v>94719175.701332167</v>
      </c>
      <c r="H110" s="264">
        <f>SUM(H106:H109)</f>
        <v>94963471.701332167</v>
      </c>
      <c r="I110" s="264">
        <f>SUM(I106:I109)</f>
        <v>95163962.90133217</v>
      </c>
      <c r="J110" s="264">
        <f>SUM(J106:J109)</f>
        <v>3185598.7800000003</v>
      </c>
      <c r="K110" s="264">
        <f>SUM(K106:K109)</f>
        <v>3788587.1205000007</v>
      </c>
      <c r="L110" s="213"/>
      <c r="M110" s="9"/>
      <c r="N110" s="9"/>
      <c r="O110" s="9"/>
      <c r="P110" s="9"/>
      <c r="Q110" s="2"/>
    </row>
    <row r="111" spans="3:17" x14ac:dyDescent="0.3">
      <c r="C111" s="246"/>
      <c r="D111" s="2"/>
      <c r="E111" s="2"/>
      <c r="F111" s="2"/>
      <c r="G111" s="2"/>
      <c r="H111" s="2"/>
      <c r="I111" s="2"/>
      <c r="J111" s="2"/>
      <c r="K111" s="2"/>
      <c r="L111" s="213"/>
      <c r="M111" s="2"/>
      <c r="N111" s="2"/>
      <c r="O111" s="2"/>
      <c r="P111" s="2"/>
      <c r="Q111" s="2"/>
    </row>
    <row r="112" spans="3:17" x14ac:dyDescent="0.3">
      <c r="C112" s="261" t="s">
        <v>310</v>
      </c>
      <c r="D112" s="294"/>
      <c r="E112" s="295"/>
      <c r="F112" s="264">
        <f t="shared" ref="F112:K112" si="10">F102-F110</f>
        <v>208478709.53606069</v>
      </c>
      <c r="G112" s="264">
        <f t="shared" si="10"/>
        <v>-94719175.701332167</v>
      </c>
      <c r="H112" s="264">
        <f t="shared" si="10"/>
        <v>-94963471.701332167</v>
      </c>
      <c r="I112" s="264">
        <f t="shared" si="10"/>
        <v>-95163962.90133217</v>
      </c>
      <c r="J112" s="264">
        <f t="shared" si="10"/>
        <v>-3185598.7800000003</v>
      </c>
      <c r="K112" s="264">
        <f t="shared" si="10"/>
        <v>-3788587.1205000007</v>
      </c>
      <c r="L112" s="213"/>
      <c r="M112" s="2"/>
      <c r="N112" s="2"/>
      <c r="O112" s="2"/>
      <c r="P112" s="2"/>
      <c r="Q112" s="2"/>
    </row>
    <row r="113" spans="1:17" x14ac:dyDescent="0.3">
      <c r="C113" s="246"/>
      <c r="D113" s="2"/>
      <c r="E113" s="2"/>
      <c r="F113" s="2"/>
      <c r="G113" s="2"/>
      <c r="H113" s="2"/>
      <c r="I113" s="2"/>
      <c r="J113" s="2"/>
      <c r="K113" s="2"/>
      <c r="L113" s="213"/>
      <c r="M113" s="2"/>
      <c r="N113" s="2"/>
      <c r="O113" s="2"/>
      <c r="P113" s="2"/>
      <c r="Q113" s="2"/>
    </row>
    <row r="114" spans="1:17" x14ac:dyDescent="0.3">
      <c r="C114" s="246"/>
      <c r="D114" s="2"/>
      <c r="E114" s="2"/>
      <c r="F114" s="2"/>
      <c r="G114" s="2"/>
      <c r="H114" s="2"/>
      <c r="I114" s="2"/>
      <c r="J114" s="2"/>
      <c r="K114" s="2"/>
      <c r="L114" s="213"/>
      <c r="M114" s="2"/>
      <c r="N114" s="2"/>
      <c r="O114" s="2"/>
      <c r="P114" s="2"/>
      <c r="Q114" s="2"/>
    </row>
    <row r="115" spans="1:17" x14ac:dyDescent="0.3">
      <c r="C115" s="261" t="s">
        <v>311</v>
      </c>
      <c r="D115" s="269"/>
      <c r="E115" s="269"/>
      <c r="F115" s="264">
        <f>F96+F112</f>
        <v>0</v>
      </c>
      <c r="G115" s="264">
        <f>G96+G112</f>
        <v>-4033859.5384750366</v>
      </c>
      <c r="H115" s="264">
        <f t="shared" ref="H115:K115" si="11">H96+H112</f>
        <v>-18215153.90174365</v>
      </c>
      <c r="I115" s="264">
        <f t="shared" si="11"/>
        <v>-19619540.275750816</v>
      </c>
      <c r="J115" s="264">
        <f t="shared" si="11"/>
        <v>67949544.315680116</v>
      </c>
      <c r="K115" s="264">
        <f t="shared" si="11"/>
        <v>158729393.07934865</v>
      </c>
      <c r="L115" s="213"/>
      <c r="M115" s="2"/>
      <c r="N115" s="2"/>
      <c r="O115" s="2"/>
      <c r="P115" s="2"/>
      <c r="Q115" s="2"/>
    </row>
    <row r="116" spans="1:17" x14ac:dyDescent="0.3">
      <c r="C116" s="246"/>
      <c r="D116" s="2"/>
      <c r="E116" s="2"/>
      <c r="F116" s="2"/>
      <c r="G116" s="2"/>
      <c r="H116" s="2"/>
      <c r="I116" s="2"/>
      <c r="J116" s="2"/>
      <c r="K116" s="2"/>
      <c r="L116" s="213"/>
      <c r="M116" s="2"/>
      <c r="N116" s="2"/>
      <c r="O116" s="2"/>
      <c r="P116" s="2"/>
      <c r="Q116" s="2"/>
    </row>
    <row r="117" spans="1:17" x14ac:dyDescent="0.3">
      <c r="C117" s="195" t="s">
        <v>312</v>
      </c>
      <c r="D117" s="10"/>
      <c r="E117" s="210"/>
      <c r="F117" s="4">
        <f>F96+F115</f>
        <v>-208478709.53606069</v>
      </c>
      <c r="G117" s="4">
        <f>G115</f>
        <v>-4033859.5384750366</v>
      </c>
      <c r="H117" s="4">
        <f>H115</f>
        <v>-18215153.90174365</v>
      </c>
      <c r="I117" s="4">
        <f>I115</f>
        <v>-19619540.275750816</v>
      </c>
      <c r="J117" s="4">
        <f>J115</f>
        <v>67949544.315680116</v>
      </c>
      <c r="K117" s="4">
        <f>K115</f>
        <v>158729393.07934865</v>
      </c>
      <c r="L117" s="213"/>
      <c r="M117" s="2"/>
      <c r="N117" s="2"/>
      <c r="O117" s="2"/>
      <c r="P117" s="2"/>
      <c r="Q117" s="2"/>
    </row>
    <row r="118" spans="1:17" x14ac:dyDescent="0.3">
      <c r="C118" s="195" t="s">
        <v>313</v>
      </c>
      <c r="D118" s="10"/>
      <c r="E118" s="210"/>
      <c r="F118" s="7"/>
      <c r="G118" s="4">
        <f>+'COSTOS Y GASTOS'!E211</f>
        <v>107812609.53606068</v>
      </c>
      <c r="H118" s="4">
        <f>G120</f>
        <v>103778749.99758564</v>
      </c>
      <c r="I118" s="4">
        <f>H120</f>
        <v>85563596.095841989</v>
      </c>
      <c r="J118" s="4">
        <f>I120</f>
        <v>65944055.820091173</v>
      </c>
      <c r="K118" s="4">
        <f>J120</f>
        <v>133893600.13577129</v>
      </c>
      <c r="L118" s="213"/>
      <c r="M118" s="2"/>
      <c r="N118" s="2"/>
      <c r="O118" s="2"/>
      <c r="P118" s="2"/>
      <c r="Q118" s="2"/>
    </row>
    <row r="119" spans="1:17" x14ac:dyDescent="0.3">
      <c r="C119" s="246"/>
      <c r="D119" s="2"/>
      <c r="E119" s="2"/>
      <c r="F119" s="2"/>
      <c r="G119" s="2"/>
      <c r="H119" s="2"/>
      <c r="I119" s="2"/>
      <c r="J119" s="2"/>
      <c r="K119" s="2"/>
      <c r="L119" s="213"/>
      <c r="M119" s="2"/>
      <c r="N119" s="2"/>
      <c r="O119" s="2"/>
      <c r="P119" s="2"/>
      <c r="Q119" s="2"/>
    </row>
    <row r="120" spans="1:17" x14ac:dyDescent="0.3">
      <c r="C120" s="261" t="s">
        <v>314</v>
      </c>
      <c r="D120" s="263"/>
      <c r="E120" s="268"/>
      <c r="F120" s="264">
        <f t="shared" ref="F120:K120" si="12">F117+F118</f>
        <v>-208478709.53606069</v>
      </c>
      <c r="G120" s="264">
        <f t="shared" si="12"/>
        <v>103778749.99758564</v>
      </c>
      <c r="H120" s="264">
        <f t="shared" si="12"/>
        <v>85563596.095841989</v>
      </c>
      <c r="I120" s="264">
        <f t="shared" si="12"/>
        <v>65944055.820091173</v>
      </c>
      <c r="J120" s="264">
        <f t="shared" si="12"/>
        <v>133893600.13577129</v>
      </c>
      <c r="K120" s="264">
        <f t="shared" si="12"/>
        <v>292622993.21511996</v>
      </c>
      <c r="L120" s="213"/>
      <c r="M120" s="2"/>
      <c r="N120" s="2"/>
      <c r="O120" s="2"/>
      <c r="P120" s="2"/>
      <c r="Q120" s="2"/>
    </row>
    <row r="121" spans="1:17" x14ac:dyDescent="0.3">
      <c r="A121" s="2"/>
      <c r="B121" s="2"/>
      <c r="C121" s="246"/>
      <c r="D121" s="2"/>
      <c r="E121" s="2"/>
      <c r="F121" s="2"/>
      <c r="G121" s="2"/>
      <c r="H121" s="2"/>
      <c r="I121" s="2"/>
      <c r="J121" s="2"/>
      <c r="K121" s="9"/>
      <c r="L121" s="9"/>
      <c r="M121" s="2"/>
      <c r="N121" s="2"/>
      <c r="O121" s="2"/>
      <c r="P121" s="2"/>
      <c r="Q121" s="2"/>
    </row>
    <row r="122" spans="1:17" x14ac:dyDescent="0.3">
      <c r="A122" s="2"/>
      <c r="B122" s="2"/>
      <c r="C122" s="246"/>
      <c r="D122" s="2"/>
      <c r="E122" s="2"/>
      <c r="F122" s="2"/>
      <c r="G122" s="2"/>
      <c r="H122" s="2"/>
      <c r="I122" s="2"/>
      <c r="J122" s="2"/>
      <c r="K122" s="9"/>
      <c r="L122" s="9"/>
      <c r="M122" s="2"/>
      <c r="N122" s="2"/>
      <c r="O122" s="2"/>
      <c r="P122" s="2"/>
      <c r="Q122" s="2"/>
    </row>
    <row r="123" spans="1:17" x14ac:dyDescent="0.3">
      <c r="A123" s="2"/>
      <c r="B123" s="2"/>
      <c r="C123" s="246"/>
      <c r="D123" s="2"/>
      <c r="E123" s="2"/>
      <c r="F123" s="2"/>
      <c r="G123" s="2"/>
      <c r="H123" s="2"/>
      <c r="I123" s="2"/>
      <c r="J123" s="2"/>
      <c r="K123" s="9"/>
      <c r="L123" s="9"/>
      <c r="M123" s="2"/>
      <c r="N123" s="2"/>
      <c r="O123" s="2"/>
      <c r="P123" s="2"/>
      <c r="Q123" s="2"/>
    </row>
    <row r="124" spans="1:17" x14ac:dyDescent="0.3">
      <c r="A124" s="2"/>
      <c r="B124" s="2"/>
      <c r="C124" s="246"/>
      <c r="D124" s="2"/>
      <c r="E124" s="2"/>
      <c r="F124" s="2"/>
      <c r="G124" s="9"/>
      <c r="H124" s="9"/>
      <c r="I124" s="9"/>
      <c r="J124" s="9"/>
      <c r="K124" s="9"/>
      <c r="L124" s="9"/>
      <c r="M124" s="2"/>
      <c r="N124" s="2"/>
      <c r="O124" s="2"/>
      <c r="P124" s="2"/>
      <c r="Q124" s="2"/>
    </row>
    <row r="125" spans="1:17" x14ac:dyDescent="0.3">
      <c r="A125" s="3" t="s">
        <v>105</v>
      </c>
      <c r="B125" s="3">
        <v>34</v>
      </c>
      <c r="C125" s="76" t="s">
        <v>315</v>
      </c>
      <c r="D125" s="2"/>
      <c r="E125" s="2"/>
      <c r="F125" s="2"/>
      <c r="G125" s="2"/>
      <c r="H125" s="2"/>
      <c r="I125" s="2"/>
      <c r="J125" s="2"/>
      <c r="K125" s="9"/>
      <c r="L125" s="9"/>
      <c r="M125" s="2"/>
      <c r="N125" s="2"/>
      <c r="O125" s="2"/>
      <c r="P125" s="2"/>
      <c r="Q125" s="2"/>
    </row>
    <row r="126" spans="1:17" x14ac:dyDescent="0.3">
      <c r="A126" s="2"/>
      <c r="B126" s="2"/>
      <c r="C126" s="246"/>
      <c r="D126" s="2"/>
      <c r="E126" s="2"/>
      <c r="F126" s="2"/>
      <c r="G126" s="2"/>
      <c r="H126" s="2"/>
      <c r="I126" s="2"/>
      <c r="J126" s="2"/>
      <c r="K126" s="9"/>
      <c r="L126" s="9"/>
      <c r="M126" s="2"/>
      <c r="N126" s="2"/>
      <c r="O126" s="2"/>
      <c r="P126" s="2"/>
      <c r="Q126" s="2"/>
    </row>
    <row r="127" spans="1:17" x14ac:dyDescent="0.3">
      <c r="A127" s="2"/>
      <c r="B127" s="2"/>
      <c r="C127" s="246"/>
      <c r="D127" s="75"/>
      <c r="E127" s="75"/>
      <c r="F127" s="244" t="s">
        <v>250</v>
      </c>
      <c r="G127" s="244" t="s">
        <v>250</v>
      </c>
      <c r="H127" s="244" t="s">
        <v>250</v>
      </c>
      <c r="I127" s="244" t="s">
        <v>250</v>
      </c>
      <c r="J127" s="244" t="s">
        <v>250</v>
      </c>
      <c r="K127" s="244" t="s">
        <v>250</v>
      </c>
      <c r="L127" s="9"/>
      <c r="M127" s="2"/>
      <c r="N127" s="2"/>
      <c r="O127" s="2"/>
      <c r="P127" s="2"/>
      <c r="Q127" s="2"/>
    </row>
    <row r="128" spans="1:17" x14ac:dyDescent="0.3">
      <c r="A128" s="2"/>
      <c r="B128" s="2"/>
      <c r="C128" s="250"/>
      <c r="D128" s="212"/>
      <c r="E128" s="228"/>
      <c r="F128" s="260">
        <v>0</v>
      </c>
      <c r="G128" s="260">
        <v>1</v>
      </c>
      <c r="H128" s="260">
        <v>2</v>
      </c>
      <c r="I128" s="260">
        <v>3</v>
      </c>
      <c r="J128" s="260">
        <v>4</v>
      </c>
      <c r="K128" s="260">
        <v>5</v>
      </c>
      <c r="L128" s="9"/>
      <c r="M128" s="2"/>
      <c r="N128" s="2"/>
      <c r="O128" s="2"/>
      <c r="P128" s="2"/>
      <c r="Q128" s="2"/>
    </row>
    <row r="129" spans="1:17" x14ac:dyDescent="0.3">
      <c r="A129" s="2"/>
      <c r="B129" s="2"/>
      <c r="C129" s="255" t="s">
        <v>316</v>
      </c>
      <c r="D129" s="229" t="s">
        <v>105</v>
      </c>
      <c r="E129" s="229">
        <v>33</v>
      </c>
      <c r="F129" s="8">
        <f>+'COSTOS Y GASTOS'!E211</f>
        <v>107812609.53606068</v>
      </c>
      <c r="G129" s="87">
        <f>G120</f>
        <v>103778749.99758564</v>
      </c>
      <c r="H129" s="4">
        <f>H120</f>
        <v>85563596.095841989</v>
      </c>
      <c r="I129" s="4">
        <f>I120</f>
        <v>65944055.820091173</v>
      </c>
      <c r="J129" s="4">
        <f>J120</f>
        <v>133893600.13577129</v>
      </c>
      <c r="K129" s="4">
        <f>K120</f>
        <v>292622993.21511996</v>
      </c>
      <c r="L129" s="9"/>
      <c r="M129" s="2"/>
      <c r="N129" s="2"/>
      <c r="O129" s="2"/>
      <c r="P129" s="2"/>
      <c r="Q129" s="2"/>
    </row>
    <row r="130" spans="1:17" x14ac:dyDescent="0.3">
      <c r="A130" s="2"/>
      <c r="B130" s="2"/>
      <c r="C130" s="261" t="s">
        <v>317</v>
      </c>
      <c r="D130" s="296"/>
      <c r="E130" s="296"/>
      <c r="F130" s="297">
        <f t="shared" ref="F130:K130" si="13">F129</f>
        <v>107812609.53606068</v>
      </c>
      <c r="G130" s="266">
        <f t="shared" si="13"/>
        <v>103778749.99758564</v>
      </c>
      <c r="H130" s="264">
        <f t="shared" si="13"/>
        <v>85563596.095841989</v>
      </c>
      <c r="I130" s="264">
        <f t="shared" si="13"/>
        <v>65944055.820091173</v>
      </c>
      <c r="J130" s="264">
        <f t="shared" si="13"/>
        <v>133893600.13577129</v>
      </c>
      <c r="K130" s="264">
        <f t="shared" si="13"/>
        <v>292622993.21511996</v>
      </c>
      <c r="L130" s="9"/>
      <c r="M130" s="2"/>
      <c r="N130" s="2"/>
      <c r="O130" s="2"/>
      <c r="P130" s="2"/>
      <c r="Q130" s="2"/>
    </row>
    <row r="131" spans="1:17" x14ac:dyDescent="0.3">
      <c r="A131" s="2"/>
      <c r="B131" s="2"/>
      <c r="C131" s="526"/>
      <c r="D131" s="527"/>
      <c r="E131" s="528"/>
      <c r="F131" s="8"/>
      <c r="G131" s="2"/>
      <c r="H131" s="2"/>
      <c r="I131" s="2"/>
      <c r="J131" s="2"/>
      <c r="K131" s="2"/>
      <c r="L131" s="9"/>
      <c r="M131" s="2"/>
      <c r="N131" s="2"/>
      <c r="O131" s="2"/>
      <c r="P131" s="2"/>
      <c r="Q131" s="2"/>
    </row>
    <row r="132" spans="1:17" x14ac:dyDescent="0.3">
      <c r="A132" s="2"/>
      <c r="B132" s="2"/>
      <c r="C132" s="254" t="s">
        <v>318</v>
      </c>
      <c r="D132" s="207" t="s">
        <v>105</v>
      </c>
      <c r="E132" s="207">
        <v>1</v>
      </c>
      <c r="F132" s="8">
        <v>0</v>
      </c>
      <c r="G132" s="87">
        <v>0</v>
      </c>
      <c r="H132" s="4">
        <v>0</v>
      </c>
      <c r="I132" s="4">
        <f>H132</f>
        <v>0</v>
      </c>
      <c r="J132" s="4">
        <f t="shared" ref="J132:J133" si="14">I132</f>
        <v>0</v>
      </c>
      <c r="K132" s="4">
        <f>J132</f>
        <v>0</v>
      </c>
      <c r="L132" s="9"/>
      <c r="M132" s="2"/>
      <c r="N132" s="2"/>
      <c r="O132" s="2"/>
      <c r="P132" s="2"/>
      <c r="Q132" s="2"/>
    </row>
    <row r="133" spans="1:17" x14ac:dyDescent="0.3">
      <c r="A133" s="2"/>
      <c r="B133" s="2"/>
      <c r="C133" s="195" t="s">
        <v>319</v>
      </c>
      <c r="D133" s="205" t="s">
        <v>105</v>
      </c>
      <c r="E133" s="205">
        <v>2</v>
      </c>
      <c r="F133" s="8">
        <v>0</v>
      </c>
      <c r="G133" s="87">
        <v>0</v>
      </c>
      <c r="H133" s="4">
        <v>0</v>
      </c>
      <c r="I133" s="4">
        <v>0</v>
      </c>
      <c r="J133" s="4">
        <f t="shared" si="14"/>
        <v>0</v>
      </c>
      <c r="K133" s="4">
        <f>J133</f>
        <v>0</v>
      </c>
      <c r="L133" s="9"/>
      <c r="M133" s="2"/>
      <c r="N133" s="2"/>
      <c r="O133" s="2"/>
      <c r="P133" s="2"/>
      <c r="Q133" s="2"/>
    </row>
    <row r="134" spans="1:17" x14ac:dyDescent="0.3">
      <c r="A134" s="2"/>
      <c r="B134" s="2"/>
      <c r="C134" s="195" t="s">
        <v>320</v>
      </c>
      <c r="D134" s="205" t="s">
        <v>105</v>
      </c>
      <c r="E134" s="205">
        <v>3</v>
      </c>
      <c r="F134" s="4">
        <f>+INVERSIONES!D78</f>
        <v>12155400</v>
      </c>
      <c r="G134" s="87">
        <f>+F134</f>
        <v>12155400</v>
      </c>
      <c r="H134" s="87">
        <f t="shared" ref="H134:J134" si="15">+G134</f>
        <v>12155400</v>
      </c>
      <c r="I134" s="87">
        <f t="shared" si="15"/>
        <v>12155400</v>
      </c>
      <c r="J134" s="87">
        <f t="shared" si="15"/>
        <v>12155400</v>
      </c>
      <c r="K134" s="87">
        <f>+J134</f>
        <v>12155400</v>
      </c>
      <c r="L134" s="9"/>
      <c r="M134" s="2"/>
      <c r="N134" s="2"/>
      <c r="O134" s="2"/>
      <c r="P134" s="2"/>
      <c r="Q134" s="2"/>
    </row>
    <row r="135" spans="1:17" x14ac:dyDescent="0.3">
      <c r="A135" s="2"/>
      <c r="B135" s="2"/>
      <c r="C135" s="195" t="s">
        <v>321</v>
      </c>
      <c r="D135" s="205" t="s">
        <v>105</v>
      </c>
      <c r="E135" s="205">
        <v>4</v>
      </c>
      <c r="F135" s="4">
        <f>+INVERSIONES!D79</f>
        <v>69767200</v>
      </c>
      <c r="G135" s="87">
        <f t="shared" ref="G135:K135" si="16">+F135</f>
        <v>69767200</v>
      </c>
      <c r="H135" s="87">
        <f t="shared" si="16"/>
        <v>69767200</v>
      </c>
      <c r="I135" s="87">
        <f t="shared" si="16"/>
        <v>69767200</v>
      </c>
      <c r="J135" s="87">
        <f t="shared" si="16"/>
        <v>69767200</v>
      </c>
      <c r="K135" s="87">
        <f t="shared" si="16"/>
        <v>69767200</v>
      </c>
      <c r="L135" s="9"/>
      <c r="M135" s="2"/>
      <c r="N135" s="2"/>
      <c r="O135" s="2"/>
      <c r="P135" s="2"/>
      <c r="Q135" s="2"/>
    </row>
    <row r="136" spans="1:17" x14ac:dyDescent="0.3">
      <c r="A136" s="2"/>
      <c r="B136" s="2"/>
      <c r="C136" s="195" t="s">
        <v>322</v>
      </c>
      <c r="D136" s="205" t="s">
        <v>105</v>
      </c>
      <c r="E136" s="205">
        <v>5</v>
      </c>
      <c r="F136" s="4">
        <f>+INVERSIONES!D80</f>
        <v>3094500</v>
      </c>
      <c r="G136" s="87">
        <f t="shared" ref="G136:K136" si="17">+F136</f>
        <v>3094500</v>
      </c>
      <c r="H136" s="87">
        <f t="shared" si="17"/>
        <v>3094500</v>
      </c>
      <c r="I136" s="87">
        <f t="shared" si="17"/>
        <v>3094500</v>
      </c>
      <c r="J136" s="87">
        <f t="shared" si="17"/>
        <v>3094500</v>
      </c>
      <c r="K136" s="87">
        <f t="shared" si="17"/>
        <v>3094500</v>
      </c>
      <c r="L136" s="9"/>
      <c r="M136" s="2"/>
      <c r="N136" s="2"/>
      <c r="O136" s="2"/>
      <c r="P136" s="2"/>
      <c r="Q136" s="2"/>
    </row>
    <row r="137" spans="1:17" x14ac:dyDescent="0.3">
      <c r="A137" s="2"/>
      <c r="B137" s="2"/>
      <c r="C137" s="195" t="s">
        <v>127</v>
      </c>
      <c r="D137" s="205" t="s">
        <v>105</v>
      </c>
      <c r="E137" s="205">
        <v>6</v>
      </c>
      <c r="F137" s="4">
        <f>+INVERSIONES!D81</f>
        <v>3339000</v>
      </c>
      <c r="G137" s="87">
        <f>+F137</f>
        <v>3339000</v>
      </c>
      <c r="H137" s="87">
        <f t="shared" ref="H137:K137" si="18">+G137</f>
        <v>3339000</v>
      </c>
      <c r="I137" s="87">
        <f t="shared" si="18"/>
        <v>3339000</v>
      </c>
      <c r="J137" s="87">
        <f t="shared" si="18"/>
        <v>3339000</v>
      </c>
      <c r="K137" s="87">
        <f t="shared" si="18"/>
        <v>3339000</v>
      </c>
      <c r="L137" s="9"/>
      <c r="M137" s="2"/>
      <c r="N137" s="2"/>
      <c r="O137" s="2"/>
      <c r="P137" s="2"/>
      <c r="Q137" s="2"/>
    </row>
    <row r="138" spans="1:17" x14ac:dyDescent="0.3">
      <c r="A138" s="2"/>
      <c r="B138" s="2"/>
      <c r="C138" s="195" t="s">
        <v>323</v>
      </c>
      <c r="D138" s="205" t="s">
        <v>105</v>
      </c>
      <c r="E138" s="205">
        <v>13</v>
      </c>
      <c r="F138" s="4">
        <f>+F83+F74</f>
        <v>0</v>
      </c>
      <c r="G138" s="4">
        <f>+G83+G74</f>
        <v>12307864</v>
      </c>
      <c r="H138" s="4">
        <f>+H83+H74+G138</f>
        <v>24615728</v>
      </c>
      <c r="I138" s="4">
        <f>+I83+I74+H138</f>
        <v>36923592</v>
      </c>
      <c r="J138" s="4">
        <f>+J83+J74+I138</f>
        <v>49231456</v>
      </c>
      <c r="K138" s="4">
        <f>+K83+K74+J138</f>
        <v>61539320</v>
      </c>
      <c r="L138" s="9"/>
      <c r="M138" s="2"/>
      <c r="N138" s="2"/>
      <c r="O138" s="2"/>
      <c r="P138" s="2"/>
      <c r="Q138" s="2"/>
    </row>
    <row r="139" spans="1:17" x14ac:dyDescent="0.3">
      <c r="A139" s="2"/>
      <c r="B139" s="2"/>
      <c r="C139" s="298" t="s">
        <v>324</v>
      </c>
      <c r="D139" s="296"/>
      <c r="E139" s="296"/>
      <c r="F139" s="297">
        <f>SUM(F132:F138)</f>
        <v>88356100</v>
      </c>
      <c r="G139" s="266">
        <f>SUM(G132:G138)</f>
        <v>100663964</v>
      </c>
      <c r="H139" s="264">
        <f>SUM(H132:H138)</f>
        <v>112971828</v>
      </c>
      <c r="I139" s="264">
        <f t="shared" ref="I139" si="19">SUM(I132:I138)</f>
        <v>125279692</v>
      </c>
      <c r="J139" s="264">
        <f>SUM(J132:J138)</f>
        <v>137587556</v>
      </c>
      <c r="K139" s="264">
        <f>SUM(K132:K138)</f>
        <v>149895420</v>
      </c>
      <c r="L139" s="9"/>
      <c r="M139" s="2"/>
      <c r="N139" s="2"/>
      <c r="O139" s="2"/>
      <c r="P139" s="2"/>
      <c r="Q139" s="2"/>
    </row>
    <row r="140" spans="1:17" x14ac:dyDescent="0.3">
      <c r="A140" s="2"/>
      <c r="B140" s="2"/>
      <c r="C140" s="255" t="s">
        <v>325</v>
      </c>
      <c r="D140" s="190" t="s">
        <v>105</v>
      </c>
      <c r="E140" s="190">
        <v>8</v>
      </c>
      <c r="F140" s="4">
        <f>+INVERSIONES!D96</f>
        <v>12310000</v>
      </c>
      <c r="G140" s="87">
        <f>+F140</f>
        <v>12310000</v>
      </c>
      <c r="H140" s="87">
        <f t="shared" ref="H140:J140" si="20">+G140</f>
        <v>12310000</v>
      </c>
      <c r="I140" s="87">
        <f t="shared" si="20"/>
        <v>12310000</v>
      </c>
      <c r="J140" s="87">
        <f t="shared" si="20"/>
        <v>12310000</v>
      </c>
      <c r="K140" s="87">
        <f>+J140</f>
        <v>12310000</v>
      </c>
      <c r="L140" s="9"/>
      <c r="M140" s="9"/>
      <c r="N140" s="2"/>
      <c r="O140" s="2"/>
      <c r="P140" s="2"/>
      <c r="Q140" s="2"/>
    </row>
    <row r="141" spans="1:17" x14ac:dyDescent="0.3">
      <c r="A141" s="2"/>
      <c r="B141" s="2"/>
      <c r="C141" s="255" t="s">
        <v>326</v>
      </c>
      <c r="D141" s="229"/>
      <c r="E141" s="229"/>
      <c r="F141" s="8"/>
      <c r="G141" s="87">
        <f>+G82</f>
        <v>-2462000</v>
      </c>
      <c r="H141" s="4">
        <f>G141+G82</f>
        <v>-4924000</v>
      </c>
      <c r="I141" s="4">
        <f>H141+H82</f>
        <v>-7386000</v>
      </c>
      <c r="J141" s="4">
        <f>I141+I82</f>
        <v>-9848000</v>
      </c>
      <c r="K141" s="4">
        <f>J141+J82</f>
        <v>-12310000</v>
      </c>
      <c r="L141" s="9"/>
      <c r="M141" s="2"/>
      <c r="N141" s="2"/>
      <c r="O141" s="2"/>
      <c r="P141" s="2"/>
      <c r="Q141" s="2"/>
    </row>
    <row r="142" spans="1:17" x14ac:dyDescent="0.3">
      <c r="A142" s="2"/>
      <c r="B142" s="2"/>
      <c r="C142" s="298" t="s">
        <v>327</v>
      </c>
      <c r="D142" s="299"/>
      <c r="E142" s="299"/>
      <c r="F142" s="297">
        <f>SUM(F140:F141)</f>
        <v>12310000</v>
      </c>
      <c r="G142" s="266">
        <f>SUM(G140:G141)</f>
        <v>9848000</v>
      </c>
      <c r="H142" s="264">
        <f>SUM(H140:H141)</f>
        <v>7386000</v>
      </c>
      <c r="I142" s="264">
        <f t="shared" ref="I142:K142" si="21">SUM(I140:I141)</f>
        <v>4924000</v>
      </c>
      <c r="J142" s="264">
        <f t="shared" si="21"/>
        <v>2462000</v>
      </c>
      <c r="K142" s="264">
        <f t="shared" si="21"/>
        <v>0</v>
      </c>
      <c r="L142" s="9"/>
      <c r="M142" s="2"/>
      <c r="N142" s="2"/>
      <c r="O142" s="2"/>
      <c r="P142" s="2"/>
      <c r="Q142" s="2"/>
    </row>
    <row r="143" spans="1:17" x14ac:dyDescent="0.3">
      <c r="A143" s="2"/>
      <c r="B143" s="2"/>
      <c r="C143" s="261" t="s">
        <v>328</v>
      </c>
      <c r="D143" s="263"/>
      <c r="E143" s="263"/>
      <c r="F143" s="266">
        <f>F142+F139+F130</f>
        <v>208478709.53606069</v>
      </c>
      <c r="G143" s="266">
        <f t="shared" ref="G143:K143" si="22">G142+G139+G130</f>
        <v>214290713.99758565</v>
      </c>
      <c r="H143" s="264">
        <f>H142+H139+H130</f>
        <v>205921424.095842</v>
      </c>
      <c r="I143" s="264">
        <f t="shared" si="22"/>
        <v>196147747.82009119</v>
      </c>
      <c r="J143" s="264">
        <f t="shared" si="22"/>
        <v>273943156.13577127</v>
      </c>
      <c r="K143" s="264">
        <f t="shared" si="22"/>
        <v>442518413.21511996</v>
      </c>
      <c r="L143" s="9"/>
      <c r="M143" s="2"/>
      <c r="N143" s="2"/>
      <c r="O143" s="2"/>
      <c r="P143" s="2"/>
      <c r="Q143" s="2"/>
    </row>
    <row r="144" spans="1:17" x14ac:dyDescent="0.3">
      <c r="A144" s="2"/>
      <c r="B144" s="2"/>
      <c r="C144" s="188"/>
      <c r="D144" s="230"/>
      <c r="E144" s="230"/>
      <c r="F144" s="8"/>
      <c r="G144" s="230"/>
      <c r="H144" s="230"/>
      <c r="I144" s="230"/>
      <c r="J144" s="230"/>
      <c r="K144" s="231"/>
      <c r="L144" s="9"/>
      <c r="M144" s="2"/>
      <c r="N144" s="2"/>
      <c r="O144" s="2"/>
      <c r="P144" s="2"/>
      <c r="Q144" s="2"/>
    </row>
    <row r="145" spans="1:17" x14ac:dyDescent="0.3">
      <c r="A145" s="2"/>
      <c r="B145" s="2"/>
      <c r="C145" s="255" t="s">
        <v>329</v>
      </c>
      <c r="D145" s="232"/>
      <c r="E145" s="233"/>
      <c r="F145" s="4">
        <f>+CRÉDITO!O14</f>
        <v>42430709.955365002</v>
      </c>
      <c r="G145" s="87">
        <f>+CRÉDITO!O15</f>
        <v>57668765.712385386</v>
      </c>
      <c r="H145" s="4">
        <f>+CRÉDITO!O16</f>
        <v>78379233.868310317</v>
      </c>
      <c r="I145" s="4">
        <f>+CRÉDITO!O17</f>
        <v>0</v>
      </c>
      <c r="J145" s="4">
        <f>+CRÉDITO!O18</f>
        <v>0</v>
      </c>
      <c r="K145" s="4">
        <f>+CRÉDITO!P18</f>
        <v>0</v>
      </c>
      <c r="L145" s="9" t="s">
        <v>159</v>
      </c>
      <c r="M145" s="2"/>
      <c r="N145" s="2"/>
      <c r="O145" s="2"/>
      <c r="P145" s="2"/>
      <c r="Q145" s="2"/>
    </row>
    <row r="146" spans="1:17" x14ac:dyDescent="0.3">
      <c r="A146" s="2"/>
      <c r="B146" s="2"/>
      <c r="C146" s="255" t="s">
        <v>330</v>
      </c>
      <c r="D146" s="232"/>
      <c r="E146" s="229"/>
      <c r="F146" s="8"/>
      <c r="G146" s="87">
        <f>F54</f>
        <v>16884950.045911487</v>
      </c>
      <c r="H146" s="4">
        <f>G54</f>
        <v>23164549.049793627</v>
      </c>
      <c r="I146" s="4">
        <f>H54</f>
        <v>32119537.324823596</v>
      </c>
      <c r="J146" s="4">
        <f>I54</f>
        <v>38470230.974176295</v>
      </c>
      <c r="K146" s="4">
        <f>J54</f>
        <v>72465920.818733722</v>
      </c>
      <c r="L146" s="9"/>
      <c r="M146" s="2"/>
      <c r="N146" s="2"/>
      <c r="O146" s="2"/>
      <c r="P146" s="2"/>
      <c r="Q146" s="2"/>
    </row>
    <row r="147" spans="1:17" x14ac:dyDescent="0.3">
      <c r="A147" s="2"/>
      <c r="B147" s="2"/>
      <c r="C147" s="261" t="s">
        <v>331</v>
      </c>
      <c r="D147" s="269"/>
      <c r="E147" s="269"/>
      <c r="F147" s="266">
        <f>SUM(F145:F146)</f>
        <v>42430709.955365002</v>
      </c>
      <c r="G147" s="266">
        <f>SUM(G145:G146)</f>
        <v>74553715.758296877</v>
      </c>
      <c r="H147" s="264">
        <f>SUM(H145:H146)</f>
        <v>101543782.91810395</v>
      </c>
      <c r="I147" s="264">
        <f>SUM(I145:I146)</f>
        <v>32119537.324823596</v>
      </c>
      <c r="J147" s="264">
        <f t="shared" ref="J147" si="23">SUM(J145:J146)</f>
        <v>38470230.974176295</v>
      </c>
      <c r="K147" s="264">
        <f>SUM(K145:K146)</f>
        <v>72465920.818733722</v>
      </c>
      <c r="L147" s="9"/>
      <c r="M147" s="2"/>
      <c r="N147" s="2"/>
      <c r="O147" s="2"/>
      <c r="P147" s="2"/>
      <c r="Q147" s="2"/>
    </row>
    <row r="148" spans="1:17" x14ac:dyDescent="0.3">
      <c r="A148" s="2"/>
      <c r="B148" s="2"/>
      <c r="C148" s="520" t="s">
        <v>332</v>
      </c>
      <c r="D148" s="521"/>
      <c r="E148" s="522"/>
      <c r="F148" s="87">
        <f>+CRÉDITO!P14</f>
        <v>136047999.58069569</v>
      </c>
      <c r="G148" s="87">
        <f>+CRÉDITO!P15</f>
        <v>78379233.868310302</v>
      </c>
      <c r="H148" s="4">
        <f>+CRÉDITO!P16</f>
        <v>0</v>
      </c>
      <c r="I148" s="4">
        <f>+CRÉDITO!P17</f>
        <v>0</v>
      </c>
      <c r="J148" s="4">
        <f>+CRÉDITO!P18</f>
        <v>0</v>
      </c>
      <c r="K148" s="4">
        <f>+CRÉDITO!P18</f>
        <v>0</v>
      </c>
      <c r="L148" s="9"/>
      <c r="M148" s="2"/>
      <c r="N148" s="2"/>
      <c r="O148" s="2"/>
      <c r="P148" s="2"/>
      <c r="Q148" s="2"/>
    </row>
    <row r="149" spans="1:17" x14ac:dyDescent="0.3">
      <c r="A149" s="2"/>
      <c r="B149" s="2"/>
      <c r="C149" s="261" t="s">
        <v>333</v>
      </c>
      <c r="D149" s="263"/>
      <c r="E149" s="263"/>
      <c r="F149" s="297">
        <f>SUM(F147:F148)</f>
        <v>178478709.53606069</v>
      </c>
      <c r="G149" s="266">
        <f>G147+G148</f>
        <v>152932949.62660718</v>
      </c>
      <c r="H149" s="264">
        <f>H147+H148</f>
        <v>101543782.91810395</v>
      </c>
      <c r="I149" s="264">
        <f>I147+I148</f>
        <v>32119537.324823596</v>
      </c>
      <c r="J149" s="264">
        <f>J147+J148</f>
        <v>38470230.974176295</v>
      </c>
      <c r="K149" s="264">
        <f>K147+K148</f>
        <v>72465920.818733722</v>
      </c>
      <c r="L149" s="9"/>
      <c r="M149" s="2"/>
      <c r="N149" s="2"/>
      <c r="O149" s="2"/>
      <c r="P149" s="2"/>
      <c r="Q149" s="2"/>
    </row>
    <row r="150" spans="1:17" x14ac:dyDescent="0.3">
      <c r="A150" s="2"/>
      <c r="B150" s="2"/>
      <c r="C150" s="188"/>
      <c r="D150" s="230"/>
      <c r="E150" s="230"/>
      <c r="F150" s="8"/>
      <c r="G150" s="230"/>
      <c r="H150" s="230"/>
      <c r="I150" s="230"/>
      <c r="J150" s="230"/>
      <c r="K150" s="231"/>
      <c r="L150" s="9"/>
      <c r="M150" s="2"/>
      <c r="N150" s="2"/>
      <c r="O150" s="2"/>
      <c r="P150" s="2"/>
      <c r="Q150" s="2"/>
    </row>
    <row r="151" spans="1:17" x14ac:dyDescent="0.3">
      <c r="A151" s="2"/>
      <c r="B151" s="2"/>
      <c r="C151" s="256" t="s">
        <v>334</v>
      </c>
      <c r="D151" s="234"/>
      <c r="E151" s="235"/>
      <c r="F151" s="8">
        <f>+'COSTOS Y GASTOS'!D218</f>
        <v>30000000</v>
      </c>
      <c r="G151" s="87">
        <f>F151</f>
        <v>30000000</v>
      </c>
      <c r="H151" s="87">
        <f>G151</f>
        <v>30000000</v>
      </c>
      <c r="I151" s="87">
        <f>H151</f>
        <v>30000000</v>
      </c>
      <c r="J151" s="87">
        <f>I151</f>
        <v>30000000</v>
      </c>
      <c r="K151" s="87">
        <f>J151</f>
        <v>30000000</v>
      </c>
      <c r="L151" s="9"/>
      <c r="M151" s="2"/>
      <c r="N151" s="2"/>
      <c r="O151" s="2"/>
      <c r="P151" s="2"/>
      <c r="Q151" s="2"/>
    </row>
    <row r="152" spans="1:17" x14ac:dyDescent="0.3">
      <c r="A152" s="2"/>
      <c r="B152" s="2"/>
      <c r="C152" s="255" t="s">
        <v>335</v>
      </c>
      <c r="D152" s="232"/>
      <c r="E152" s="229"/>
      <c r="F152" s="8"/>
      <c r="G152" s="87"/>
      <c r="H152" s="4">
        <f>G153+G152</f>
        <v>25086211.496782783</v>
      </c>
      <c r="I152" s="4">
        <f>H153+H152</f>
        <v>59502112.942190453</v>
      </c>
      <c r="J152" s="4">
        <f>I153+I152</f>
        <v>107222568.39621408</v>
      </c>
      <c r="K152" s="4">
        <f>J153+J152</f>
        <v>164378340.12927601</v>
      </c>
      <c r="L152" s="9"/>
      <c r="M152" s="2"/>
      <c r="N152" s="2"/>
      <c r="O152" s="2"/>
      <c r="P152" s="2"/>
      <c r="Q152" s="2"/>
    </row>
    <row r="153" spans="1:17" x14ac:dyDescent="0.3">
      <c r="A153" s="2"/>
      <c r="B153" s="2"/>
      <c r="C153" s="255" t="s">
        <v>336</v>
      </c>
      <c r="D153" s="232"/>
      <c r="E153" s="229"/>
      <c r="F153" s="8"/>
      <c r="G153" s="87">
        <f>F58</f>
        <v>25086211.496782783</v>
      </c>
      <c r="H153" s="4">
        <f>G58</f>
        <v>34415901.445407674</v>
      </c>
      <c r="I153" s="4">
        <f>H58</f>
        <v>47720455.454023629</v>
      </c>
      <c r="J153" s="4">
        <f>I58</f>
        <v>57155771.733061932</v>
      </c>
      <c r="K153" s="4">
        <f>J58</f>
        <v>107663653.78783298</v>
      </c>
      <c r="L153" s="9"/>
      <c r="M153" s="2"/>
      <c r="N153" s="2"/>
      <c r="O153" s="2"/>
      <c r="P153" s="2"/>
      <c r="Q153" s="2"/>
    </row>
    <row r="154" spans="1:17" x14ac:dyDescent="0.3">
      <c r="A154" s="2"/>
      <c r="B154" s="2"/>
      <c r="C154" s="257" t="s">
        <v>337</v>
      </c>
      <c r="D154" s="236"/>
      <c r="E154" s="190"/>
      <c r="F154" s="8"/>
      <c r="G154" s="87">
        <f>F57</f>
        <v>6271552.8741956959</v>
      </c>
      <c r="H154" s="4">
        <f>G154+G57</f>
        <v>14875528.235547617</v>
      </c>
      <c r="I154" s="4">
        <f>H154+H57</f>
        <v>26805642.099053524</v>
      </c>
      <c r="J154" s="4">
        <f>I154+I57</f>
        <v>41094585.032319009</v>
      </c>
      <c r="K154" s="4">
        <f>J154+J57</f>
        <v>68010498.479277253</v>
      </c>
      <c r="L154" s="9"/>
      <c r="M154" s="2"/>
      <c r="N154" s="2"/>
      <c r="O154" s="2"/>
      <c r="P154" s="2"/>
      <c r="Q154" s="2"/>
    </row>
    <row r="155" spans="1:17" x14ac:dyDescent="0.3">
      <c r="A155" s="2"/>
      <c r="B155" s="2"/>
      <c r="C155" s="261" t="s">
        <v>338</v>
      </c>
      <c r="D155" s="269"/>
      <c r="E155" s="269"/>
      <c r="F155" s="300">
        <f>SUM(F151:F154)</f>
        <v>30000000</v>
      </c>
      <c r="G155" s="300">
        <f>SUM(G151:G154)</f>
        <v>61357764.370978475</v>
      </c>
      <c r="H155" s="301">
        <f t="shared" ref="H155:I155" si="24">SUM(H151:H154)</f>
        <v>104377641.17773807</v>
      </c>
      <c r="I155" s="301">
        <f t="shared" si="24"/>
        <v>164028210.4952676</v>
      </c>
      <c r="J155" s="301">
        <f>SUM(J151:J154)</f>
        <v>235472925.16159502</v>
      </c>
      <c r="K155" s="301">
        <f>SUM(K151:K154)</f>
        <v>370052492.39638627</v>
      </c>
      <c r="L155" s="9"/>
      <c r="M155" s="2"/>
      <c r="N155" s="2"/>
      <c r="O155" s="2"/>
      <c r="P155" s="2"/>
      <c r="Q155" s="2"/>
    </row>
    <row r="156" spans="1:17" x14ac:dyDescent="0.3">
      <c r="A156" s="2"/>
      <c r="B156" s="2"/>
      <c r="C156" s="261" t="s">
        <v>339</v>
      </c>
      <c r="D156" s="269"/>
      <c r="E156" s="269"/>
      <c r="F156" s="297">
        <f>F149+F155</f>
        <v>208478709.53606069</v>
      </c>
      <c r="G156" s="266">
        <f t="shared" ref="G156:K156" si="25">G149+G155</f>
        <v>214290713.99758565</v>
      </c>
      <c r="H156" s="264">
        <f t="shared" si="25"/>
        <v>205921424.095842</v>
      </c>
      <c r="I156" s="264">
        <f t="shared" si="25"/>
        <v>196147747.82009119</v>
      </c>
      <c r="J156" s="264">
        <f t="shared" si="25"/>
        <v>273943156.13577133</v>
      </c>
      <c r="K156" s="264">
        <f t="shared" si="25"/>
        <v>442518413.21511996</v>
      </c>
      <c r="L156" s="9"/>
      <c r="M156" s="2"/>
      <c r="N156" s="2"/>
      <c r="O156" s="2"/>
      <c r="P156" s="2"/>
      <c r="Q156" s="2"/>
    </row>
    <row r="157" spans="1:17" x14ac:dyDescent="0.3">
      <c r="A157" s="2"/>
      <c r="B157" s="2"/>
      <c r="C157" s="246"/>
      <c r="D157" s="2"/>
      <c r="E157" s="2"/>
      <c r="F157" s="1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x14ac:dyDescent="0.3">
      <c r="A158" s="2"/>
      <c r="B158" s="2"/>
      <c r="C158" s="246"/>
      <c r="D158" s="2"/>
      <c r="E158" s="2"/>
      <c r="F158" s="12"/>
      <c r="G158" s="9"/>
      <c r="H158" s="9"/>
      <c r="I158" s="9"/>
      <c r="J158" s="9"/>
      <c r="K158" s="9"/>
      <c r="L158" s="2"/>
      <c r="M158" s="2"/>
      <c r="N158" s="2"/>
      <c r="O158" s="2"/>
      <c r="P158" s="2"/>
      <c r="Q158" s="2"/>
    </row>
    <row r="159" spans="1:17" x14ac:dyDescent="0.3">
      <c r="A159" s="2"/>
      <c r="B159" s="2"/>
      <c r="C159" s="261" t="s">
        <v>340</v>
      </c>
      <c r="D159" s="269"/>
      <c r="E159" s="269"/>
      <c r="F159" s="302">
        <f t="shared" ref="F159:K159" si="26">(F143-F156)*-1</f>
        <v>0</v>
      </c>
      <c r="G159" s="264">
        <f t="shared" si="26"/>
        <v>0</v>
      </c>
      <c r="H159" s="264">
        <f t="shared" si="26"/>
        <v>0</v>
      </c>
      <c r="I159" s="264">
        <f t="shared" si="26"/>
        <v>0</v>
      </c>
      <c r="J159" s="264">
        <f t="shared" si="26"/>
        <v>5.9604644775390625E-8</v>
      </c>
      <c r="K159" s="264">
        <f t="shared" si="26"/>
        <v>0</v>
      </c>
      <c r="L159" s="2"/>
      <c r="M159" s="2"/>
      <c r="N159" s="2"/>
      <c r="O159" s="2"/>
      <c r="P159" s="2"/>
      <c r="Q159" s="2"/>
    </row>
    <row r="160" spans="1:17" x14ac:dyDescent="0.3">
      <c r="A160" s="2"/>
      <c r="B160" s="2"/>
      <c r="C160" s="246"/>
      <c r="D160" s="2"/>
      <c r="E160" s="2"/>
      <c r="F160" s="2"/>
      <c r="G160" s="2"/>
      <c r="H160" s="2"/>
      <c r="I160" s="2"/>
      <c r="J160" s="2"/>
      <c r="K160" s="2"/>
      <c r="L160" s="9"/>
      <c r="M160" s="2"/>
      <c r="N160" s="2"/>
      <c r="O160" s="2"/>
      <c r="P160" s="2"/>
      <c r="Q160" s="2"/>
    </row>
    <row r="161" spans="1:17" x14ac:dyDescent="0.3">
      <c r="A161" s="2"/>
      <c r="B161" s="2"/>
      <c r="C161" s="246"/>
      <c r="D161" s="2"/>
      <c r="E161" s="2"/>
      <c r="F161" s="9"/>
      <c r="G161" s="2"/>
      <c r="H161" s="9"/>
      <c r="I161" s="2"/>
      <c r="J161" s="9"/>
      <c r="K161" s="9"/>
      <c r="L161" s="2"/>
      <c r="M161" s="2"/>
      <c r="N161" s="2"/>
      <c r="O161" s="2"/>
      <c r="P161" s="2"/>
      <c r="Q161" s="2"/>
    </row>
    <row r="162" spans="1:17" x14ac:dyDescent="0.3">
      <c r="A162" s="2"/>
      <c r="B162" s="2"/>
      <c r="C162" s="246"/>
      <c r="D162" s="2"/>
      <c r="E162" s="2"/>
      <c r="F162" s="9"/>
      <c r="G162" s="2"/>
      <c r="H162" s="9"/>
      <c r="I162" s="2"/>
      <c r="J162" s="9"/>
      <c r="K162" s="2"/>
      <c r="L162" s="2"/>
      <c r="M162" s="2"/>
      <c r="N162" s="2"/>
      <c r="O162" s="2"/>
      <c r="P162" s="2"/>
      <c r="Q162" s="2"/>
    </row>
    <row r="163" spans="1:17" x14ac:dyDescent="0.3">
      <c r="A163" s="2"/>
      <c r="B163" s="2"/>
      <c r="C163" s="76" t="s">
        <v>341</v>
      </c>
      <c r="D163" s="2" t="s">
        <v>159</v>
      </c>
      <c r="E163" s="2"/>
      <c r="F163" s="9"/>
      <c r="G163" s="2"/>
      <c r="H163" s="9"/>
      <c r="I163" s="2"/>
      <c r="J163" s="9"/>
      <c r="K163" s="2"/>
      <c r="L163" s="2"/>
      <c r="M163" s="2"/>
      <c r="N163" s="2"/>
      <c r="O163" s="2"/>
      <c r="P163" s="2"/>
      <c r="Q163" s="2"/>
    </row>
    <row r="164" spans="1:17" x14ac:dyDescent="0.3">
      <c r="A164" s="2"/>
      <c r="B164" s="2"/>
      <c r="C164" s="246"/>
      <c r="D164" s="2"/>
      <c r="E164" s="2"/>
      <c r="F164" s="9"/>
      <c r="G164" s="9"/>
      <c r="H164" s="9"/>
      <c r="I164" s="9"/>
      <c r="J164" s="9"/>
      <c r="K164" s="2"/>
      <c r="L164" s="2"/>
      <c r="M164" s="2"/>
      <c r="N164" s="2"/>
      <c r="O164" s="2"/>
      <c r="P164" s="2"/>
      <c r="Q164" s="2"/>
    </row>
    <row r="165" spans="1:17" x14ac:dyDescent="0.3">
      <c r="A165" s="2"/>
      <c r="B165" s="2"/>
      <c r="C165" s="246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x14ac:dyDescent="0.3">
      <c r="A166" s="2"/>
      <c r="B166" s="2"/>
      <c r="C166" s="76" t="s">
        <v>342</v>
      </c>
      <c r="D166" s="2"/>
      <c r="E166" s="2"/>
      <c r="F166" s="303" t="s">
        <v>250</v>
      </c>
      <c r="G166" s="244" t="s">
        <v>250</v>
      </c>
      <c r="H166" s="304" t="s">
        <v>250</v>
      </c>
      <c r="I166" s="244" t="s">
        <v>250</v>
      </c>
      <c r="J166" s="305" t="s">
        <v>250</v>
      </c>
      <c r="K166" s="2"/>
      <c r="L166" s="2"/>
      <c r="M166" s="2"/>
      <c r="N166" s="2"/>
      <c r="O166" s="2"/>
      <c r="P166" s="2"/>
      <c r="Q166" s="2"/>
    </row>
    <row r="167" spans="1:17" x14ac:dyDescent="0.3">
      <c r="A167" s="2"/>
      <c r="B167" s="2"/>
      <c r="C167" s="76"/>
      <c r="D167" s="2"/>
      <c r="E167" s="2"/>
      <c r="F167" s="306">
        <f>G128</f>
        <v>1</v>
      </c>
      <c r="G167" s="245">
        <f>H128</f>
        <v>2</v>
      </c>
      <c r="H167" s="307">
        <f>I128</f>
        <v>3</v>
      </c>
      <c r="I167" s="245">
        <f>J128</f>
        <v>4</v>
      </c>
      <c r="J167" s="308">
        <f>K128</f>
        <v>5</v>
      </c>
      <c r="K167" s="2"/>
      <c r="L167" s="2"/>
      <c r="M167" s="2"/>
      <c r="N167" s="2"/>
      <c r="O167" s="2"/>
      <c r="P167" s="2"/>
      <c r="Q167" s="2"/>
    </row>
    <row r="168" spans="1:17" x14ac:dyDescent="0.3">
      <c r="A168" s="2"/>
      <c r="B168" s="2"/>
      <c r="C168" s="76"/>
      <c r="D168" s="2"/>
      <c r="E168" s="2"/>
      <c r="F168" s="309">
        <f>G130/G147</f>
        <v>1.391999700377595</v>
      </c>
      <c r="G168" s="309">
        <f>H130/H147</f>
        <v>0.84262761970223099</v>
      </c>
      <c r="H168" s="309">
        <f>I130/I147</f>
        <v>2.0530823701848995</v>
      </c>
      <c r="I168" s="309">
        <f>J130/J147</f>
        <v>3.4804470039613054</v>
      </c>
      <c r="J168" s="309">
        <f>K130/K147</f>
        <v>4.0380773459994694</v>
      </c>
      <c r="K168" s="2"/>
      <c r="L168" s="2"/>
      <c r="M168" s="2"/>
      <c r="N168" s="2"/>
      <c r="O168" s="2"/>
      <c r="P168" s="2"/>
      <c r="Q168" s="2"/>
    </row>
    <row r="169" spans="1:17" x14ac:dyDescent="0.3">
      <c r="A169" s="2"/>
      <c r="B169" s="2"/>
      <c r="C169" s="76"/>
      <c r="D169" s="2"/>
      <c r="E169" s="2"/>
      <c r="F169" s="237"/>
      <c r="G169" s="237"/>
      <c r="H169" s="237"/>
      <c r="I169" s="237"/>
      <c r="J169" s="237"/>
      <c r="K169" s="2"/>
      <c r="L169" s="2"/>
      <c r="M169" s="2"/>
      <c r="N169" s="2"/>
      <c r="O169" s="2"/>
      <c r="P169" s="2"/>
      <c r="Q169" s="2"/>
    </row>
    <row r="170" spans="1:17" x14ac:dyDescent="0.3">
      <c r="A170" s="2"/>
      <c r="B170" s="2"/>
      <c r="C170" s="76"/>
      <c r="D170" s="2"/>
      <c r="E170" s="2"/>
      <c r="F170" s="238"/>
      <c r="G170" s="238"/>
      <c r="H170" s="238"/>
      <c r="I170" s="238"/>
      <c r="J170" s="238"/>
      <c r="K170" s="2"/>
      <c r="L170" s="2"/>
      <c r="M170" s="2"/>
      <c r="N170" s="2"/>
      <c r="O170" s="2"/>
      <c r="P170" s="2"/>
      <c r="Q170" s="2"/>
    </row>
    <row r="171" spans="1:17" x14ac:dyDescent="0.3">
      <c r="A171" s="2"/>
      <c r="B171" s="2"/>
      <c r="C171" s="76"/>
      <c r="D171" s="2"/>
      <c r="E171" s="2"/>
      <c r="F171" s="238"/>
      <c r="G171" s="238"/>
      <c r="H171" s="238"/>
      <c r="I171" s="238"/>
      <c r="J171" s="238"/>
      <c r="K171" s="2"/>
      <c r="L171" s="2"/>
      <c r="M171" s="2"/>
      <c r="N171" s="2"/>
      <c r="O171" s="2"/>
      <c r="P171" s="2"/>
      <c r="Q171" s="2"/>
    </row>
    <row r="172" spans="1:17" x14ac:dyDescent="0.3">
      <c r="A172" s="2"/>
      <c r="B172" s="2"/>
      <c r="C172" s="76" t="s">
        <v>178</v>
      </c>
      <c r="D172" s="2"/>
      <c r="E172" s="2"/>
      <c r="F172" s="310" t="str">
        <f t="shared" ref="F172:J173" si="27">F166</f>
        <v>Año</v>
      </c>
      <c r="G172" s="311" t="str">
        <f t="shared" si="27"/>
        <v>Año</v>
      </c>
      <c r="H172" s="312" t="str">
        <f t="shared" si="27"/>
        <v>Año</v>
      </c>
      <c r="I172" s="311" t="str">
        <f t="shared" si="27"/>
        <v>Año</v>
      </c>
      <c r="J172" s="313" t="str">
        <f t="shared" si="27"/>
        <v>Año</v>
      </c>
      <c r="K172" s="2"/>
      <c r="L172" s="2"/>
      <c r="M172" s="2"/>
      <c r="N172" s="2"/>
      <c r="O172" s="2"/>
      <c r="P172" s="2"/>
      <c r="Q172" s="2"/>
    </row>
    <row r="173" spans="1:17" x14ac:dyDescent="0.3">
      <c r="A173" s="2"/>
      <c r="B173" s="2"/>
      <c r="C173" s="76"/>
      <c r="D173" s="2"/>
      <c r="E173" s="2"/>
      <c r="F173" s="314">
        <f t="shared" si="27"/>
        <v>1</v>
      </c>
      <c r="G173" s="315">
        <f t="shared" si="27"/>
        <v>2</v>
      </c>
      <c r="H173" s="316">
        <f t="shared" si="27"/>
        <v>3</v>
      </c>
      <c r="I173" s="315">
        <f t="shared" si="27"/>
        <v>4</v>
      </c>
      <c r="J173" s="317">
        <f t="shared" si="27"/>
        <v>5</v>
      </c>
      <c r="K173" s="2"/>
      <c r="L173" s="2"/>
      <c r="M173" s="2"/>
      <c r="N173" s="2"/>
      <c r="O173" s="2"/>
      <c r="P173" s="2"/>
      <c r="Q173" s="2"/>
    </row>
    <row r="174" spans="1:17" x14ac:dyDescent="0.3">
      <c r="A174" s="2"/>
      <c r="B174" s="2"/>
      <c r="C174" s="76"/>
      <c r="D174" s="2"/>
      <c r="E174" s="2"/>
      <c r="F174" s="180">
        <f>G130-G147</f>
        <v>29225034.239288762</v>
      </c>
      <c r="G174" s="180">
        <f>H130-H147</f>
        <v>-15980186.822261959</v>
      </c>
      <c r="H174" s="180">
        <f>I130-I147</f>
        <v>33824518.495267577</v>
      </c>
      <c r="I174" s="180">
        <f>J130-J147</f>
        <v>95423369.161594987</v>
      </c>
      <c r="J174" s="180">
        <f>K130-K147</f>
        <v>220157072.39638624</v>
      </c>
      <c r="K174" s="2"/>
      <c r="L174" s="2"/>
      <c r="M174" s="2"/>
      <c r="N174" s="2"/>
      <c r="O174" s="2"/>
      <c r="P174" s="2"/>
      <c r="Q174" s="2"/>
    </row>
    <row r="175" spans="1:17" x14ac:dyDescent="0.3">
      <c r="A175" s="2"/>
      <c r="B175" s="2"/>
      <c r="C175" s="76"/>
      <c r="D175" s="2"/>
      <c r="E175" s="2"/>
      <c r="F175" s="239"/>
      <c r="G175" s="239"/>
      <c r="H175" s="239"/>
      <c r="I175" s="239"/>
      <c r="J175" s="239"/>
      <c r="K175" s="2"/>
      <c r="L175" s="2"/>
      <c r="M175" s="2"/>
      <c r="N175" s="2"/>
      <c r="O175" s="2"/>
      <c r="P175" s="2"/>
      <c r="Q175" s="2"/>
    </row>
    <row r="176" spans="1:17" x14ac:dyDescent="0.3">
      <c r="A176" s="2"/>
      <c r="B176" s="2"/>
      <c r="C176" s="76"/>
      <c r="D176" s="2"/>
      <c r="E176" s="2"/>
      <c r="F176" s="9"/>
      <c r="G176" s="9"/>
      <c r="H176" s="9"/>
      <c r="I176" s="9"/>
      <c r="J176" s="9"/>
      <c r="K176" s="2"/>
      <c r="L176" s="2"/>
      <c r="M176" s="2"/>
      <c r="N176" s="2"/>
      <c r="O176" s="2"/>
      <c r="P176" s="2"/>
      <c r="Q176" s="2"/>
    </row>
    <row r="177" spans="1:17" x14ac:dyDescent="0.3">
      <c r="A177" s="2"/>
      <c r="B177" s="2"/>
      <c r="C177" s="76"/>
      <c r="D177" s="2"/>
      <c r="E177" s="2"/>
      <c r="F177" s="9"/>
      <c r="G177" s="9"/>
      <c r="H177" s="9"/>
      <c r="I177" s="9"/>
      <c r="J177" s="9"/>
      <c r="K177" s="2"/>
      <c r="L177" s="2"/>
      <c r="M177" s="2"/>
      <c r="N177" s="2"/>
      <c r="O177" s="2"/>
      <c r="P177" s="2"/>
      <c r="Q177" s="2"/>
    </row>
    <row r="178" spans="1:17" x14ac:dyDescent="0.3">
      <c r="A178" s="2"/>
      <c r="B178" s="2"/>
      <c r="C178" s="76" t="s">
        <v>343</v>
      </c>
      <c r="D178" s="2"/>
      <c r="E178" s="2"/>
      <c r="F178" s="318" t="str">
        <f>F172</f>
        <v>Año</v>
      </c>
      <c r="G178" s="319" t="str">
        <f>G172</f>
        <v>Año</v>
      </c>
      <c r="H178" s="320" t="str">
        <f>H172</f>
        <v>Año</v>
      </c>
      <c r="I178" s="319" t="str">
        <f>I172</f>
        <v>Año</v>
      </c>
      <c r="J178" s="321" t="str">
        <f>J172</f>
        <v>Año</v>
      </c>
      <c r="K178" s="2"/>
      <c r="L178" s="2"/>
      <c r="M178" s="2"/>
      <c r="N178" s="2"/>
      <c r="O178" s="2"/>
      <c r="P178" s="2"/>
      <c r="Q178" s="2"/>
    </row>
    <row r="179" spans="1:17" x14ac:dyDescent="0.3">
      <c r="A179" s="2"/>
      <c r="B179" s="2"/>
      <c r="C179" s="76"/>
      <c r="D179" s="2"/>
      <c r="E179" s="2"/>
      <c r="F179" s="306">
        <f>F167</f>
        <v>1</v>
      </c>
      <c r="G179" s="245">
        <f>G167</f>
        <v>2</v>
      </c>
      <c r="H179" s="307">
        <f>H167</f>
        <v>3</v>
      </c>
      <c r="I179" s="245">
        <f>I167</f>
        <v>4</v>
      </c>
      <c r="J179" s="308">
        <f>J167</f>
        <v>5</v>
      </c>
      <c r="K179" s="2"/>
      <c r="L179" s="2"/>
      <c r="M179" s="2"/>
      <c r="N179" s="2"/>
      <c r="O179" s="2"/>
      <c r="P179" s="2"/>
      <c r="Q179" s="2"/>
    </row>
    <row r="180" spans="1:17" x14ac:dyDescent="0.3">
      <c r="A180" s="2"/>
      <c r="B180" s="2"/>
      <c r="C180" s="76"/>
      <c r="D180" s="2"/>
      <c r="E180" s="2"/>
      <c r="F180" s="322">
        <f>G149/G143</f>
        <v>0.71367044690667381</v>
      </c>
      <c r="G180" s="322">
        <f>H149/H143</f>
        <v>0.49311907861924276</v>
      </c>
      <c r="H180" s="322">
        <f>I149/I143</f>
        <v>0.16375175183904725</v>
      </c>
      <c r="I180" s="322">
        <f>J149/J143</f>
        <v>0.1404314366412196</v>
      </c>
      <c r="J180" s="322">
        <f>K149/K143</f>
        <v>0.163757978548807</v>
      </c>
      <c r="K180" s="2"/>
      <c r="L180" s="2"/>
      <c r="M180" s="2"/>
      <c r="N180" s="2"/>
      <c r="O180" s="2"/>
      <c r="P180" s="2"/>
      <c r="Q180" s="2"/>
    </row>
    <row r="181" spans="1:17" x14ac:dyDescent="0.3">
      <c r="A181" s="2"/>
      <c r="B181" s="2"/>
      <c r="C181" s="76"/>
      <c r="D181" s="2"/>
      <c r="E181" s="2"/>
      <c r="F181" s="240"/>
      <c r="G181" s="240"/>
      <c r="H181" s="240"/>
      <c r="I181" s="240"/>
      <c r="J181" s="240"/>
      <c r="K181" s="2"/>
      <c r="L181" s="2"/>
      <c r="M181" s="2"/>
      <c r="N181" s="2"/>
      <c r="O181" s="2"/>
      <c r="P181" s="2"/>
      <c r="Q181" s="2"/>
    </row>
    <row r="182" spans="1:17" x14ac:dyDescent="0.3">
      <c r="A182" s="2"/>
      <c r="B182" s="2"/>
      <c r="C182" s="76"/>
      <c r="D182" s="2"/>
      <c r="E182" s="2"/>
      <c r="F182" s="240"/>
      <c r="G182" s="240"/>
      <c r="H182" s="240"/>
      <c r="I182" s="240"/>
      <c r="J182" s="240"/>
      <c r="K182" s="2"/>
      <c r="L182" s="2"/>
      <c r="M182" s="2"/>
      <c r="N182" s="2"/>
      <c r="O182" s="2"/>
      <c r="P182" s="2"/>
      <c r="Q182" s="2"/>
    </row>
    <row r="183" spans="1:17" x14ac:dyDescent="0.3">
      <c r="A183" s="2"/>
      <c r="B183" s="2"/>
      <c r="C183" s="76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x14ac:dyDescent="0.3">
      <c r="A184" s="2"/>
      <c r="B184" s="2"/>
      <c r="C184" s="76" t="s">
        <v>344</v>
      </c>
      <c r="D184" s="2"/>
      <c r="E184" s="2"/>
      <c r="F184" s="318" t="str">
        <f t="shared" ref="F184:J185" si="28">F178</f>
        <v>Año</v>
      </c>
      <c r="G184" s="319" t="str">
        <f t="shared" si="28"/>
        <v>Año</v>
      </c>
      <c r="H184" s="320" t="str">
        <f t="shared" si="28"/>
        <v>Año</v>
      </c>
      <c r="I184" s="319" t="str">
        <f t="shared" si="28"/>
        <v>Año</v>
      </c>
      <c r="J184" s="321" t="str">
        <f t="shared" si="28"/>
        <v>Año</v>
      </c>
      <c r="K184" s="2"/>
      <c r="L184" s="2"/>
      <c r="M184" s="2"/>
      <c r="N184" s="2"/>
      <c r="O184" s="2"/>
      <c r="P184" s="2"/>
      <c r="Q184" s="2"/>
    </row>
    <row r="185" spans="1:17" x14ac:dyDescent="0.3">
      <c r="A185" s="2"/>
      <c r="B185" s="2"/>
      <c r="C185" s="76"/>
      <c r="D185" s="2"/>
      <c r="E185" s="2"/>
      <c r="F185" s="314">
        <f t="shared" si="28"/>
        <v>1</v>
      </c>
      <c r="G185" s="315">
        <f t="shared" si="28"/>
        <v>2</v>
      </c>
      <c r="H185" s="316">
        <f t="shared" si="28"/>
        <v>3</v>
      </c>
      <c r="I185" s="315">
        <f t="shared" si="28"/>
        <v>4</v>
      </c>
      <c r="J185" s="317">
        <f t="shared" si="28"/>
        <v>5</v>
      </c>
      <c r="K185" s="2"/>
      <c r="L185" s="2"/>
      <c r="M185" s="2"/>
      <c r="N185" s="2"/>
      <c r="O185" s="2"/>
      <c r="P185" s="2"/>
      <c r="Q185" s="2"/>
    </row>
    <row r="186" spans="1:17" x14ac:dyDescent="0.3">
      <c r="A186" s="2"/>
      <c r="B186" s="2"/>
      <c r="C186" s="76"/>
      <c r="D186" s="2"/>
      <c r="E186" s="2"/>
      <c r="F186" s="323">
        <f>F31/G143</f>
        <v>2.948331209569437</v>
      </c>
      <c r="G186" s="323">
        <f>G31/H143</f>
        <v>3.3647494574314698</v>
      </c>
      <c r="H186" s="323">
        <f>H31/I143</f>
        <v>3.7879445890017793</v>
      </c>
      <c r="I186" s="323">
        <f>I31/J143</f>
        <v>2.9071713498302896</v>
      </c>
      <c r="J186" s="323">
        <f>J31/K143</f>
        <v>2.1403556368276293</v>
      </c>
      <c r="K186" s="2"/>
      <c r="L186" s="2"/>
      <c r="M186" s="2"/>
      <c r="N186" s="2"/>
      <c r="O186" s="2"/>
      <c r="P186" s="2"/>
      <c r="Q186" s="2"/>
    </row>
    <row r="187" spans="1:17" x14ac:dyDescent="0.3">
      <c r="A187" s="2"/>
      <c r="B187" s="2"/>
      <c r="C187" s="76"/>
      <c r="D187" s="2"/>
      <c r="E187" s="2"/>
      <c r="F187" s="241"/>
      <c r="G187" s="241"/>
      <c r="H187" s="241"/>
      <c r="I187" s="241"/>
      <c r="J187" s="241"/>
      <c r="K187" s="2"/>
      <c r="L187" s="2"/>
      <c r="M187" s="2"/>
      <c r="N187" s="2"/>
      <c r="O187" s="2"/>
      <c r="P187" s="2"/>
      <c r="Q187" s="2"/>
    </row>
    <row r="188" spans="1:17" x14ac:dyDescent="0.3">
      <c r="A188" s="2"/>
      <c r="B188" s="2"/>
      <c r="C188" s="76"/>
      <c r="D188" s="2"/>
      <c r="E188" s="2"/>
      <c r="F188" s="242"/>
      <c r="G188" s="242"/>
      <c r="H188" s="242"/>
      <c r="I188" s="242"/>
      <c r="J188" s="242"/>
      <c r="K188" s="2"/>
      <c r="L188" s="2"/>
      <c r="M188" s="2"/>
      <c r="N188" s="2"/>
      <c r="O188" s="2"/>
      <c r="P188" s="2"/>
      <c r="Q188" s="2"/>
    </row>
    <row r="189" spans="1:17" x14ac:dyDescent="0.3">
      <c r="A189" s="2"/>
      <c r="B189" s="2"/>
      <c r="C189" s="76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x14ac:dyDescent="0.3">
      <c r="A190" s="2"/>
      <c r="B190" s="2"/>
      <c r="C190" s="76" t="s">
        <v>345</v>
      </c>
      <c r="D190" s="236" t="s">
        <v>530</v>
      </c>
      <c r="E190" s="2"/>
      <c r="F190" s="318" t="str">
        <f t="shared" ref="F190:J191" si="29">F184</f>
        <v>Año</v>
      </c>
      <c r="G190" s="319" t="str">
        <f t="shared" si="29"/>
        <v>Año</v>
      </c>
      <c r="H190" s="320" t="str">
        <f t="shared" si="29"/>
        <v>Año</v>
      </c>
      <c r="I190" s="319" t="str">
        <f t="shared" si="29"/>
        <v>Año</v>
      </c>
      <c r="J190" s="321" t="str">
        <f t="shared" si="29"/>
        <v>Año</v>
      </c>
      <c r="K190" s="2"/>
      <c r="L190" s="2"/>
      <c r="M190" s="2"/>
      <c r="N190" s="2"/>
      <c r="O190" s="2"/>
      <c r="P190" s="2"/>
      <c r="Q190" s="2"/>
    </row>
    <row r="191" spans="1:17" x14ac:dyDescent="0.3">
      <c r="A191" s="2"/>
      <c r="B191" s="2"/>
      <c r="C191" s="76"/>
      <c r="D191" s="2" t="s">
        <v>418</v>
      </c>
      <c r="E191" s="2"/>
      <c r="F191" s="314">
        <f t="shared" si="29"/>
        <v>1</v>
      </c>
      <c r="G191" s="315">
        <f t="shared" si="29"/>
        <v>2</v>
      </c>
      <c r="H191" s="316">
        <f t="shared" si="29"/>
        <v>3</v>
      </c>
      <c r="I191" s="315">
        <f t="shared" si="29"/>
        <v>4</v>
      </c>
      <c r="J191" s="317">
        <f t="shared" si="29"/>
        <v>5</v>
      </c>
      <c r="K191" s="2"/>
      <c r="L191" s="2"/>
      <c r="M191" s="2"/>
      <c r="N191" s="2"/>
      <c r="O191" s="2"/>
      <c r="P191" s="2"/>
      <c r="Q191" s="2"/>
    </row>
    <row r="192" spans="1:17" x14ac:dyDescent="0.3">
      <c r="A192" s="2"/>
      <c r="B192" s="2"/>
      <c r="C192" s="76"/>
      <c r="D192" s="2"/>
      <c r="E192" s="2"/>
      <c r="F192" s="322">
        <f>F40/F31</f>
        <v>0.28253032143535473</v>
      </c>
      <c r="G192" s="322">
        <f>G40/G31</f>
        <v>0.2714692284419678</v>
      </c>
      <c r="H192" s="322">
        <f>H40/H31</f>
        <v>0.26974501406745627</v>
      </c>
      <c r="I192" s="322">
        <f>I40/I31</f>
        <v>0.26730274715863461</v>
      </c>
      <c r="J192" s="322">
        <f>J40/J31</f>
        <v>0.33707091669498873</v>
      </c>
      <c r="K192" s="2"/>
      <c r="L192" s="2"/>
      <c r="M192" s="2"/>
      <c r="N192" s="2"/>
      <c r="O192" s="2"/>
      <c r="P192" s="2"/>
      <c r="Q192" s="2"/>
    </row>
    <row r="193" spans="1:17" x14ac:dyDescent="0.3">
      <c r="A193" s="2"/>
      <c r="B193" s="2"/>
      <c r="C193" s="76"/>
      <c r="D193" s="2"/>
      <c r="E193" s="2"/>
      <c r="F193" s="243"/>
      <c r="G193" s="243"/>
      <c r="H193" s="243"/>
      <c r="I193" s="243"/>
      <c r="J193" s="243"/>
      <c r="K193" s="2"/>
      <c r="L193" s="2"/>
      <c r="M193" s="2"/>
      <c r="N193" s="2"/>
      <c r="O193" s="2"/>
      <c r="P193" s="2"/>
      <c r="Q193" s="2"/>
    </row>
    <row r="194" spans="1:17" x14ac:dyDescent="0.3">
      <c r="A194" s="2"/>
      <c r="B194" s="2"/>
      <c r="C194" s="76"/>
      <c r="D194" s="2"/>
      <c r="E194" s="2"/>
      <c r="F194" s="240"/>
      <c r="G194" s="240"/>
      <c r="H194" s="240"/>
      <c r="I194" s="240"/>
      <c r="J194" s="240"/>
      <c r="K194" s="2"/>
      <c r="L194" s="2"/>
      <c r="M194" s="2"/>
      <c r="N194" s="2"/>
      <c r="O194" s="2"/>
      <c r="P194" s="2"/>
      <c r="Q194" s="2"/>
    </row>
    <row r="195" spans="1:17" x14ac:dyDescent="0.3">
      <c r="A195" s="2"/>
      <c r="B195" s="2"/>
      <c r="C195" s="76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x14ac:dyDescent="0.3">
      <c r="A196" s="2"/>
      <c r="B196" s="2"/>
      <c r="C196" s="76" t="s">
        <v>346</v>
      </c>
      <c r="D196" s="236" t="s">
        <v>417</v>
      </c>
      <c r="E196" s="2"/>
      <c r="F196" s="319" t="str">
        <f t="shared" ref="F196:J197" si="30">F190</f>
        <v>Año</v>
      </c>
      <c r="G196" s="320" t="str">
        <f t="shared" si="30"/>
        <v>Año</v>
      </c>
      <c r="H196" s="319" t="str">
        <f t="shared" si="30"/>
        <v>Año</v>
      </c>
      <c r="I196" s="319" t="str">
        <f t="shared" si="30"/>
        <v>Año</v>
      </c>
      <c r="J196" s="321" t="str">
        <f t="shared" si="30"/>
        <v>Año</v>
      </c>
      <c r="K196" s="2"/>
      <c r="L196" s="2"/>
      <c r="M196" s="2"/>
      <c r="N196" s="2"/>
      <c r="O196" s="2"/>
      <c r="P196" s="2"/>
      <c r="Q196" s="2"/>
    </row>
    <row r="197" spans="1:17" x14ac:dyDescent="0.3">
      <c r="A197" s="2"/>
      <c r="B197" s="2"/>
      <c r="C197" s="246"/>
      <c r="D197" s="2" t="s">
        <v>418</v>
      </c>
      <c r="E197" s="2"/>
      <c r="F197" s="315">
        <f t="shared" si="30"/>
        <v>1</v>
      </c>
      <c r="G197" s="316">
        <f t="shared" si="30"/>
        <v>2</v>
      </c>
      <c r="H197" s="315">
        <f t="shared" si="30"/>
        <v>3</v>
      </c>
      <c r="I197" s="315">
        <f t="shared" si="30"/>
        <v>4</v>
      </c>
      <c r="J197" s="317">
        <f t="shared" si="30"/>
        <v>5</v>
      </c>
      <c r="K197" s="2"/>
      <c r="L197" s="2"/>
      <c r="M197" s="2"/>
      <c r="N197" s="2"/>
      <c r="O197" s="2"/>
      <c r="P197" s="2"/>
      <c r="Q197" s="2"/>
    </row>
    <row r="198" spans="1:17" x14ac:dyDescent="0.3">
      <c r="A198" s="2"/>
      <c r="B198" s="2"/>
      <c r="C198" s="246"/>
      <c r="D198" s="2"/>
      <c r="E198" s="2"/>
      <c r="F198" s="322">
        <f>F56/F31</f>
        <v>4.9632422239598732E-2</v>
      </c>
      <c r="G198" s="324">
        <f>G56/G31</f>
        <v>6.2089033225030232E-2</v>
      </c>
      <c r="H198" s="322">
        <f>H56/H31</f>
        <v>8.0283749967065179E-2</v>
      </c>
      <c r="I198" s="322">
        <f>I56/I31</f>
        <v>8.9709620828430148E-2</v>
      </c>
      <c r="J198" s="322">
        <f>J56/J31</f>
        <v>0.14208945229907241</v>
      </c>
      <c r="K198" s="2"/>
      <c r="L198" s="2"/>
      <c r="M198" s="2"/>
      <c r="N198" s="2"/>
      <c r="O198" s="2"/>
      <c r="P198" s="2"/>
      <c r="Q198" s="2"/>
    </row>
    <row r="199" spans="1:17" x14ac:dyDescent="0.3">
      <c r="A199" s="2"/>
      <c r="B199" s="2"/>
      <c r="C199" s="246"/>
      <c r="D199" s="2"/>
      <c r="E199" s="2"/>
      <c r="F199" s="75"/>
      <c r="G199" s="75"/>
      <c r="H199" s="75"/>
      <c r="I199" s="75"/>
      <c r="J199" s="75"/>
      <c r="K199" s="2"/>
      <c r="L199" s="2"/>
      <c r="M199" s="2"/>
      <c r="N199" s="2"/>
      <c r="O199" s="2"/>
      <c r="P199" s="2"/>
      <c r="Q199" s="2"/>
    </row>
    <row r="200" spans="1:17" x14ac:dyDescent="0.3">
      <c r="A200" s="2"/>
      <c r="B200" s="2"/>
      <c r="C200" s="246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</sheetData>
  <mergeCells count="19">
    <mergeCell ref="D17:E17"/>
    <mergeCell ref="D18:E18"/>
    <mergeCell ref="D19:E19"/>
    <mergeCell ref="C148:E148"/>
    <mergeCell ref="C94:E94"/>
    <mergeCell ref="C131:E131"/>
    <mergeCell ref="C2:F2"/>
    <mergeCell ref="C66:E66"/>
    <mergeCell ref="C67:E67"/>
    <mergeCell ref="C68:E68"/>
    <mergeCell ref="C88:E88"/>
    <mergeCell ref="D21:E21"/>
    <mergeCell ref="C22:E22"/>
    <mergeCell ref="C30:E30"/>
    <mergeCell ref="C31:E31"/>
    <mergeCell ref="C58:E58"/>
    <mergeCell ref="D8:E9"/>
    <mergeCell ref="D10:E10"/>
    <mergeCell ref="C11:F1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36431-1032-43AE-8F00-DCB466390600}">
  <dimension ref="A1:Q111"/>
  <sheetViews>
    <sheetView zoomScaleNormal="100" workbookViewId="0"/>
  </sheetViews>
  <sheetFormatPr baseColWidth="10" defaultRowHeight="14.4" x14ac:dyDescent="0.3"/>
  <cols>
    <col min="1" max="1" width="29.6640625" customWidth="1"/>
    <col min="2" max="2" width="19.77734375" bestFit="1" customWidth="1"/>
    <col min="3" max="6" width="14.88671875" customWidth="1"/>
    <col min="7" max="9" width="15.5546875" customWidth="1"/>
  </cols>
  <sheetData>
    <row r="1" spans="1:14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x14ac:dyDescent="0.3">
      <c r="A2" s="2" t="s">
        <v>419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3">
      <c r="A4" s="3" t="s">
        <v>420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x14ac:dyDescent="0.3">
      <c r="A5" s="2"/>
      <c r="B5" s="2"/>
      <c r="C5" s="2"/>
      <c r="D5" s="2"/>
      <c r="E5" s="244" t="s">
        <v>250</v>
      </c>
      <c r="F5" s="244" t="s">
        <v>250</v>
      </c>
      <c r="G5" s="244" t="s">
        <v>250</v>
      </c>
      <c r="H5" s="244" t="s">
        <v>250</v>
      </c>
      <c r="I5" s="244" t="s">
        <v>250</v>
      </c>
      <c r="J5" s="84"/>
      <c r="K5" s="84"/>
      <c r="L5" s="84"/>
      <c r="M5" s="84"/>
      <c r="N5" s="84"/>
    </row>
    <row r="6" spans="1:14" x14ac:dyDescent="0.3">
      <c r="A6" s="2"/>
      <c r="B6" s="2"/>
      <c r="C6" s="2"/>
      <c r="D6" s="2"/>
      <c r="E6" s="260">
        <v>1</v>
      </c>
      <c r="F6" s="260">
        <v>2</v>
      </c>
      <c r="G6" s="260">
        <v>3</v>
      </c>
      <c r="H6" s="260">
        <v>4</v>
      </c>
      <c r="I6" s="260">
        <v>5</v>
      </c>
      <c r="J6" s="81"/>
      <c r="K6" s="81"/>
      <c r="L6" s="81"/>
      <c r="M6" s="81"/>
      <c r="N6" s="81"/>
    </row>
    <row r="7" spans="1:14" x14ac:dyDescent="0.3">
      <c r="A7" s="550" t="s">
        <v>280</v>
      </c>
      <c r="B7" s="550"/>
      <c r="C7" s="550"/>
      <c r="D7" s="214"/>
      <c r="E7" s="78">
        <f>+PROYECCIONES!G66</f>
        <v>631800000</v>
      </c>
      <c r="F7" s="78">
        <f>+PROYECCIONES!H66</f>
        <v>692874000</v>
      </c>
      <c r="G7" s="78">
        <f>+PROYECCIONES!I66</f>
        <v>742996800</v>
      </c>
      <c r="H7" s="78">
        <f>+PROYECCIONES!J66</f>
        <v>796399695</v>
      </c>
      <c r="I7" s="78">
        <f>+PROYECCIONES!K66</f>
        <v>947146780.12500012</v>
      </c>
      <c r="J7" s="9"/>
      <c r="K7" s="9"/>
      <c r="L7" s="9"/>
      <c r="M7" s="9"/>
      <c r="N7" s="9"/>
    </row>
    <row r="8" spans="1:14" x14ac:dyDescent="0.3">
      <c r="A8" s="550" t="s">
        <v>281</v>
      </c>
      <c r="B8" s="550"/>
      <c r="C8" s="550"/>
      <c r="D8" s="214"/>
      <c r="E8" s="78"/>
      <c r="F8" s="78"/>
      <c r="G8" s="78"/>
      <c r="H8" s="78"/>
      <c r="I8" s="78"/>
      <c r="J8" s="9"/>
      <c r="K8" s="9"/>
      <c r="L8" s="9"/>
      <c r="M8" s="9"/>
      <c r="N8" s="9"/>
    </row>
    <row r="9" spans="1:14" x14ac:dyDescent="0.3">
      <c r="A9" s="543" t="s">
        <v>282</v>
      </c>
      <c r="B9" s="543"/>
      <c r="C9" s="543"/>
      <c r="D9" s="271"/>
      <c r="E9" s="264">
        <f>+SUM(E7:E8)</f>
        <v>631800000</v>
      </c>
      <c r="F9" s="264">
        <f>+SUM(F7:F8)</f>
        <v>692874000</v>
      </c>
      <c r="G9" s="264">
        <f>+SUM(G7:G8)</f>
        <v>742996800</v>
      </c>
      <c r="H9" s="264">
        <f>+SUM(H7:H8)</f>
        <v>796399695</v>
      </c>
      <c r="I9" s="264">
        <f>+SUM(I7:I8)</f>
        <v>947146780.12500012</v>
      </c>
      <c r="J9" s="85"/>
      <c r="K9" s="85"/>
      <c r="L9" s="85"/>
      <c r="M9" s="85"/>
      <c r="N9" s="85"/>
    </row>
    <row r="10" spans="1:14" x14ac:dyDescent="0.3">
      <c r="A10" s="75"/>
      <c r="B10" s="75"/>
      <c r="C10" s="75"/>
      <c r="D10" s="75"/>
      <c r="E10" s="75"/>
      <c r="F10" s="75"/>
      <c r="G10" s="75"/>
      <c r="H10" s="75"/>
      <c r="I10" s="75"/>
      <c r="J10" s="2"/>
      <c r="K10" s="2"/>
      <c r="L10" s="2"/>
      <c r="M10" s="2"/>
      <c r="N10" s="2"/>
    </row>
    <row r="11" spans="1:14" x14ac:dyDescent="0.3">
      <c r="A11" s="325" t="s">
        <v>283</v>
      </c>
      <c r="B11" s="75"/>
      <c r="C11" s="75"/>
      <c r="D11" s="75"/>
      <c r="E11" s="75"/>
      <c r="F11" s="75"/>
      <c r="G11" s="75"/>
      <c r="H11" s="75"/>
      <c r="I11" s="75"/>
      <c r="J11" s="2"/>
      <c r="K11" s="2"/>
      <c r="L11" s="2"/>
      <c r="M11" s="2"/>
      <c r="N11" s="2"/>
    </row>
    <row r="12" spans="1:14" x14ac:dyDescent="0.3">
      <c r="A12" s="326" t="s">
        <v>284</v>
      </c>
      <c r="B12" s="203" t="s">
        <v>105</v>
      </c>
      <c r="C12" s="204">
        <v>14</v>
      </c>
      <c r="D12" s="203"/>
      <c r="E12" s="78">
        <f>+PROYECCIONES!G71</f>
        <v>160689805.15714285</v>
      </c>
      <c r="F12" s="78">
        <f>+PROYECCIONES!H71</f>
        <v>185596724.95649999</v>
      </c>
      <c r="G12" s="78">
        <f>+PROYECCIONES!I71</f>
        <v>194876561.20432502</v>
      </c>
      <c r="H12" s="78">
        <f>+PROYECCIONES!J71</f>
        <v>204620389.26454124</v>
      </c>
      <c r="I12" s="78">
        <f>+PROYECCIONES!K71</f>
        <v>214851408.72776833</v>
      </c>
      <c r="J12" s="9"/>
      <c r="K12" s="9"/>
      <c r="L12" s="9"/>
      <c r="M12" s="9"/>
      <c r="N12" s="9"/>
    </row>
    <row r="13" spans="1:14" x14ac:dyDescent="0.3">
      <c r="A13" s="326" t="s">
        <v>285</v>
      </c>
      <c r="B13" s="203" t="s">
        <v>105</v>
      </c>
      <c r="C13" s="204">
        <v>11</v>
      </c>
      <c r="D13" s="203"/>
      <c r="E13" s="78">
        <f>+PROYECCIONES!G72</f>
        <v>228328844.16</v>
      </c>
      <c r="F13" s="78">
        <f>+PROYECCIONES!H72</f>
        <v>251161728.57600001</v>
      </c>
      <c r="G13" s="78">
        <f>+PROYECCIONES!I72</f>
        <v>276277901.43360001</v>
      </c>
      <c r="H13" s="78">
        <f>+PROYECCIONES!J72</f>
        <v>303905691.57696003</v>
      </c>
      <c r="I13" s="78">
        <f>+PROYECCIONES!K72</f>
        <v>334296260.73465604</v>
      </c>
      <c r="J13" s="9"/>
      <c r="K13" s="9"/>
      <c r="L13" s="9"/>
      <c r="M13" s="9"/>
      <c r="N13" s="9"/>
    </row>
    <row r="14" spans="1:14" x14ac:dyDescent="0.3">
      <c r="A14" s="327" t="s">
        <v>286</v>
      </c>
      <c r="B14" s="205" t="s">
        <v>105</v>
      </c>
      <c r="C14" s="204">
        <v>15</v>
      </c>
      <c r="D14" s="203"/>
      <c r="E14" s="78">
        <f>+PROYECCIONES!G73</f>
        <v>54203493.600000001</v>
      </c>
      <c r="F14" s="78">
        <f>+PROYECCIONES!H73</f>
        <v>56913668.280000001</v>
      </c>
      <c r="G14" s="78">
        <f>+PROYECCIONES!I73</f>
        <v>59759351.694000006</v>
      </c>
      <c r="H14" s="78">
        <f>+PROYECCIONES!J73</f>
        <v>62747319.278700009</v>
      </c>
      <c r="I14" s="78">
        <f>+PROYECCIONES!K73</f>
        <v>65884685.242635012</v>
      </c>
      <c r="J14" s="9"/>
      <c r="K14" s="9"/>
      <c r="L14" s="9"/>
      <c r="M14" s="9"/>
      <c r="N14" s="9"/>
    </row>
    <row r="15" spans="1:14" x14ac:dyDescent="0.3">
      <c r="A15" s="328" t="s">
        <v>115</v>
      </c>
      <c r="B15" s="205" t="s">
        <v>105</v>
      </c>
      <c r="C15" s="204">
        <v>13</v>
      </c>
      <c r="D15" s="203"/>
      <c r="E15" s="78">
        <f>+PROYECCIONES!G74</f>
        <v>14381772</v>
      </c>
      <c r="F15" s="78">
        <f>+PROYECCIONES!H74</f>
        <v>14381772</v>
      </c>
      <c r="G15" s="78">
        <f>+PROYECCIONES!I74</f>
        <v>14381772</v>
      </c>
      <c r="H15" s="78">
        <f>+PROYECCIONES!J74</f>
        <v>14381772</v>
      </c>
      <c r="I15" s="78">
        <f>+PROYECCIONES!K74</f>
        <v>14381772</v>
      </c>
      <c r="J15" s="9"/>
      <c r="K15" s="9"/>
      <c r="L15" s="9"/>
      <c r="M15" s="9"/>
      <c r="N15" s="9"/>
    </row>
    <row r="16" spans="1:14" x14ac:dyDescent="0.3">
      <c r="A16" s="328" t="s">
        <v>287</v>
      </c>
      <c r="B16" s="207" t="s">
        <v>105</v>
      </c>
      <c r="C16" s="204">
        <v>15</v>
      </c>
      <c r="D16" s="203"/>
      <c r="E16" s="78">
        <f>+PROYECCIONES!G75</f>
        <v>10075200</v>
      </c>
      <c r="F16" s="78">
        <f>+PROYECCIONES!H75</f>
        <v>11107908</v>
      </c>
      <c r="G16" s="78">
        <f>+PROYECCIONES!I75</f>
        <v>11663303.4</v>
      </c>
      <c r="H16" s="78">
        <f>+PROYECCIONES!J75</f>
        <v>12246468.57</v>
      </c>
      <c r="I16" s="78">
        <f>+PROYECCIONES!K75</f>
        <v>12858791.998500003</v>
      </c>
      <c r="J16" s="9"/>
      <c r="K16" s="9"/>
      <c r="L16" s="9"/>
      <c r="M16" s="9"/>
      <c r="N16" s="9"/>
    </row>
    <row r="17" spans="1:14" x14ac:dyDescent="0.3">
      <c r="A17" s="342" t="s">
        <v>288</v>
      </c>
      <c r="B17" s="269"/>
      <c r="C17" s="270"/>
      <c r="D17" s="270"/>
      <c r="E17" s="264">
        <f>SUM(E12:E16)</f>
        <v>467679114.91714287</v>
      </c>
      <c r="F17" s="264">
        <f>SUM(F12:F16)</f>
        <v>519161801.8125</v>
      </c>
      <c r="G17" s="264">
        <f>SUM(G12:G16)</f>
        <v>556958889.73192501</v>
      </c>
      <c r="H17" s="264">
        <f>SUM(H12:H16)</f>
        <v>597901640.69020128</v>
      </c>
      <c r="I17" s="264">
        <f>SUM(I12:I16)</f>
        <v>642272918.7035594</v>
      </c>
      <c r="J17" s="85"/>
      <c r="K17" s="85"/>
      <c r="L17" s="85"/>
      <c r="M17" s="85"/>
      <c r="N17" s="85"/>
    </row>
    <row r="18" spans="1:14" x14ac:dyDescent="0.3">
      <c r="A18" s="2"/>
      <c r="B18" s="2"/>
      <c r="C18" s="2"/>
      <c r="D18" s="2"/>
      <c r="E18" s="2"/>
      <c r="F18" s="2"/>
      <c r="G18" s="2"/>
      <c r="H18" s="2"/>
      <c r="I18" s="343"/>
      <c r="J18" s="2"/>
      <c r="K18" s="2"/>
      <c r="L18" s="2"/>
      <c r="M18" s="2"/>
      <c r="N18" s="2"/>
    </row>
    <row r="19" spans="1:14" x14ac:dyDescent="0.3">
      <c r="A19" s="342" t="s">
        <v>289</v>
      </c>
      <c r="B19" s="269"/>
      <c r="C19" s="270"/>
      <c r="D19" s="268"/>
      <c r="E19" s="264">
        <f>E9-E17</f>
        <v>164120885.08285713</v>
      </c>
      <c r="F19" s="264">
        <f>F9-F17</f>
        <v>173712198.1875</v>
      </c>
      <c r="G19" s="264">
        <f>G9-G17</f>
        <v>186037910.26807499</v>
      </c>
      <c r="H19" s="264">
        <f>H9-H17</f>
        <v>198498054.30979872</v>
      </c>
      <c r="I19" s="264">
        <f>I9-I17</f>
        <v>304873861.42144072</v>
      </c>
      <c r="J19" s="85"/>
      <c r="K19" s="85"/>
      <c r="L19" s="85"/>
      <c r="M19" s="85"/>
      <c r="N19" s="85"/>
    </row>
    <row r="20" spans="1:14" x14ac:dyDescent="0.3">
      <c r="A20" s="75"/>
      <c r="B20" s="75"/>
      <c r="C20" s="75"/>
      <c r="D20" s="75"/>
      <c r="E20" s="75"/>
      <c r="F20" s="75"/>
      <c r="G20" s="75"/>
      <c r="H20" s="75"/>
      <c r="I20" s="75"/>
      <c r="J20" s="2"/>
      <c r="K20" s="2"/>
      <c r="L20" s="2"/>
      <c r="M20" s="2"/>
      <c r="N20" s="2"/>
    </row>
    <row r="21" spans="1:14" x14ac:dyDescent="0.3">
      <c r="A21" s="325" t="s">
        <v>290</v>
      </c>
      <c r="B21" s="75"/>
      <c r="C21" s="75"/>
      <c r="D21" s="75"/>
      <c r="E21" s="75"/>
      <c r="F21" s="75"/>
      <c r="G21" s="75"/>
      <c r="H21" s="75"/>
      <c r="I21" s="75"/>
      <c r="J21" s="2"/>
      <c r="K21" s="2"/>
      <c r="L21" s="2"/>
      <c r="M21" s="2"/>
      <c r="N21" s="2"/>
    </row>
    <row r="22" spans="1:14" x14ac:dyDescent="0.3">
      <c r="A22" s="327" t="s">
        <v>291</v>
      </c>
      <c r="B22" s="203" t="s">
        <v>105</v>
      </c>
      <c r="C22" s="203">
        <v>20</v>
      </c>
      <c r="D22" s="203"/>
      <c r="E22" s="78">
        <f>+PROYECCIONES!G81</f>
        <v>63700924.159999996</v>
      </c>
      <c r="F22" s="78">
        <f>+PROYECCIONES!H81</f>
        <v>68917230.305999994</v>
      </c>
      <c r="G22" s="78">
        <f>+PROYECCIONES!I81</f>
        <v>74597477.753100008</v>
      </c>
      <c r="H22" s="78">
        <f>+PROYECCIONES!J81</f>
        <v>80785176.165735006</v>
      </c>
      <c r="I22" s="78">
        <f>+PROYECCIONES!K81</f>
        <v>87528041.95149976</v>
      </c>
      <c r="J22" s="9"/>
      <c r="K22" s="9"/>
      <c r="L22" s="9"/>
      <c r="M22" s="9"/>
      <c r="N22" s="9"/>
    </row>
    <row r="23" spans="1:14" x14ac:dyDescent="0.3">
      <c r="A23" s="327" t="s">
        <v>292</v>
      </c>
      <c r="B23" s="203" t="s">
        <v>105</v>
      </c>
      <c r="C23" s="203">
        <v>8</v>
      </c>
      <c r="D23" s="203"/>
      <c r="E23" s="78">
        <f>+PROYECCIONES!G82</f>
        <v>-2462000</v>
      </c>
      <c r="F23" s="78">
        <f>+PROYECCIONES!H82</f>
        <v>-2462000</v>
      </c>
      <c r="G23" s="78">
        <f>+PROYECCIONES!I82</f>
        <v>-2462000</v>
      </c>
      <c r="H23" s="78">
        <f>+PROYECCIONES!J82</f>
        <v>-2462000</v>
      </c>
      <c r="I23" s="78">
        <f>+PROYECCIONES!K82</f>
        <v>-2462000</v>
      </c>
      <c r="J23" s="9"/>
      <c r="K23" s="9"/>
      <c r="L23" s="9"/>
      <c r="M23" s="9"/>
      <c r="N23" s="9"/>
    </row>
    <row r="24" spans="1:14" x14ac:dyDescent="0.3">
      <c r="A24" s="327" t="s">
        <v>115</v>
      </c>
      <c r="B24" s="203" t="s">
        <v>105</v>
      </c>
      <c r="C24" s="203">
        <v>13</v>
      </c>
      <c r="D24" s="203"/>
      <c r="E24" s="78">
        <f>+PROYECCIONES!G83</f>
        <v>-2073907.9999999998</v>
      </c>
      <c r="F24" s="78">
        <f>+PROYECCIONES!H83</f>
        <v>-2073907.9999999998</v>
      </c>
      <c r="G24" s="78">
        <f>+PROYECCIONES!I83</f>
        <v>-2073907.9999999998</v>
      </c>
      <c r="H24" s="78">
        <f>+PROYECCIONES!J83</f>
        <v>-2073907.9999999998</v>
      </c>
      <c r="I24" s="78">
        <f>+PROYECCIONES!K83</f>
        <v>-2073907.9999999998</v>
      </c>
      <c r="J24" s="9"/>
      <c r="K24" s="9"/>
      <c r="L24" s="9"/>
      <c r="M24" s="9"/>
      <c r="N24" s="9"/>
    </row>
    <row r="25" spans="1:14" x14ac:dyDescent="0.3">
      <c r="A25" s="327" t="s">
        <v>293</v>
      </c>
      <c r="B25" s="203" t="s">
        <v>105</v>
      </c>
      <c r="C25" s="203">
        <v>20</v>
      </c>
      <c r="D25" s="203"/>
      <c r="E25" s="78">
        <f>+PROYECCIONES!G84</f>
        <v>14270552.76</v>
      </c>
      <c r="F25" s="78">
        <f>+PROYECCIONES!H84</f>
        <v>15697608.036</v>
      </c>
      <c r="G25" s="78">
        <f>+PROYECCIONES!I84</f>
        <v>17267368.839600001</v>
      </c>
      <c r="H25" s="78">
        <f>+PROYECCIONES!J84</f>
        <v>18994105.723560002</v>
      </c>
      <c r="I25" s="78">
        <f>+PROYECCIONES!K84</f>
        <v>20893516.295916002</v>
      </c>
      <c r="J25" s="9"/>
      <c r="K25" s="9"/>
      <c r="L25" s="9"/>
      <c r="M25" s="9"/>
      <c r="N25" s="9"/>
    </row>
    <row r="26" spans="1:14" x14ac:dyDescent="0.3">
      <c r="A26" s="327" t="s">
        <v>294</v>
      </c>
      <c r="B26" s="203" t="s">
        <v>105</v>
      </c>
      <c r="C26" s="203">
        <v>32</v>
      </c>
      <c r="D26" s="203"/>
      <c r="E26" s="78">
        <f>+PROYECCIONES!G85</f>
        <v>0</v>
      </c>
      <c r="F26" s="78">
        <f>+PROYECCIONES!H85</f>
        <v>16884950.045911487</v>
      </c>
      <c r="G26" s="78">
        <f>+PROYECCIONES!I85</f>
        <v>23164549.049793627</v>
      </c>
      <c r="H26" s="78">
        <f>+PROYECCIONES!J85</f>
        <v>32119537.324823596</v>
      </c>
      <c r="I26" s="78">
        <f>+PROYECCIONES!K85</f>
        <v>38470230.974176295</v>
      </c>
      <c r="J26" s="9"/>
      <c r="K26" s="9"/>
      <c r="L26" s="9"/>
      <c r="M26" s="9"/>
      <c r="N26" s="9"/>
    </row>
    <row r="27" spans="1:14" x14ac:dyDescent="0.3">
      <c r="A27" s="342" t="s">
        <v>295</v>
      </c>
      <c r="B27" s="269"/>
      <c r="C27" s="270"/>
      <c r="D27" s="344"/>
      <c r="E27" s="264">
        <f>SUM(E22:E26)</f>
        <v>73435568.920000002</v>
      </c>
      <c r="F27" s="264">
        <f>SUM(F22:F26)</f>
        <v>96963880.387911484</v>
      </c>
      <c r="G27" s="264">
        <f>SUM(G22:G26)</f>
        <v>110493487.64249364</v>
      </c>
      <c r="H27" s="264">
        <f>SUM(H22:H26)</f>
        <v>127362911.2141186</v>
      </c>
      <c r="I27" s="264">
        <f>SUM(I22:I26)</f>
        <v>142355881.22159207</v>
      </c>
      <c r="J27" s="85"/>
      <c r="K27" s="85"/>
      <c r="L27" s="85"/>
      <c r="M27" s="85"/>
      <c r="N27" s="85"/>
    </row>
    <row r="28" spans="1:14" x14ac:dyDescent="0.3">
      <c r="A28" s="2"/>
      <c r="B28" s="2"/>
      <c r="C28" s="2"/>
      <c r="D28" s="2"/>
      <c r="E28" s="2"/>
      <c r="F28" s="2"/>
      <c r="G28" s="2"/>
      <c r="H28" s="2"/>
      <c r="I28" s="343"/>
      <c r="J28" s="2"/>
      <c r="K28" s="2"/>
      <c r="L28" s="2"/>
      <c r="M28" s="2"/>
      <c r="N28" s="2"/>
    </row>
    <row r="29" spans="1:14" x14ac:dyDescent="0.3">
      <c r="A29" s="523" t="s">
        <v>296</v>
      </c>
      <c r="B29" s="524"/>
      <c r="C29" s="525"/>
      <c r="D29" s="270"/>
      <c r="E29" s="264">
        <f>E19-E27</f>
        <v>90685316.16285713</v>
      </c>
      <c r="F29" s="264">
        <f>F19-F27</f>
        <v>76748317.799588516</v>
      </c>
      <c r="G29" s="264">
        <f>G19-G27</f>
        <v>75544422.625581354</v>
      </c>
      <c r="H29" s="264">
        <f>H19-H27</f>
        <v>71135143.095680118</v>
      </c>
      <c r="I29" s="264">
        <f>I19-I27</f>
        <v>162517980.19984865</v>
      </c>
      <c r="J29" s="85"/>
      <c r="K29" s="85"/>
      <c r="L29" s="85"/>
      <c r="M29" s="85"/>
      <c r="N29" s="85"/>
    </row>
    <row r="30" spans="1:14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x14ac:dyDescent="0.3">
      <c r="A31" s="325" t="s">
        <v>297</v>
      </c>
      <c r="B31" s="75"/>
      <c r="C31" s="75"/>
      <c r="D31" s="75"/>
      <c r="E31" s="75"/>
      <c r="F31" s="75"/>
      <c r="G31" s="75"/>
      <c r="H31" s="75"/>
      <c r="I31" s="75"/>
      <c r="J31" s="2"/>
      <c r="K31" s="2"/>
      <c r="L31" s="2"/>
      <c r="M31" s="2"/>
      <c r="N31" s="2"/>
    </row>
    <row r="32" spans="1:14" x14ac:dyDescent="0.3">
      <c r="A32" s="327" t="s">
        <v>46</v>
      </c>
      <c r="B32" s="203" t="s">
        <v>105</v>
      </c>
      <c r="C32" s="203">
        <v>7</v>
      </c>
      <c r="D32" s="78">
        <f>+PROYECCIONES!F91</f>
        <v>88356100</v>
      </c>
      <c r="E32" s="4"/>
      <c r="F32" s="4"/>
      <c r="G32" s="4"/>
      <c r="H32" s="4"/>
      <c r="I32" s="4"/>
      <c r="J32" s="9"/>
      <c r="K32" s="9"/>
      <c r="L32" s="9"/>
      <c r="M32" s="9"/>
      <c r="N32" s="9"/>
    </row>
    <row r="33" spans="1:14" x14ac:dyDescent="0.3">
      <c r="A33" s="327" t="s">
        <v>192</v>
      </c>
      <c r="B33" s="203" t="s">
        <v>105</v>
      </c>
      <c r="C33" s="203">
        <v>8</v>
      </c>
      <c r="D33" s="78">
        <f>+PROYECCIONES!F92</f>
        <v>12310000</v>
      </c>
      <c r="E33" s="4"/>
      <c r="F33" s="4"/>
      <c r="G33" s="4"/>
      <c r="H33" s="4"/>
      <c r="I33" s="4"/>
      <c r="J33" s="9"/>
      <c r="K33" s="9"/>
      <c r="L33" s="9"/>
      <c r="M33" s="9"/>
      <c r="N33" s="9"/>
    </row>
    <row r="34" spans="1:14" x14ac:dyDescent="0.3">
      <c r="A34" s="327" t="s">
        <v>193</v>
      </c>
      <c r="B34" s="203" t="s">
        <v>105</v>
      </c>
      <c r="C34" s="203">
        <v>22</v>
      </c>
      <c r="D34" s="78">
        <f>+PROYECCIONES!F93</f>
        <v>107812609.53606068</v>
      </c>
      <c r="E34" s="4"/>
      <c r="F34" s="4"/>
      <c r="G34" s="4"/>
      <c r="H34" s="4"/>
      <c r="I34" s="4"/>
      <c r="J34" s="9"/>
      <c r="K34" s="9"/>
      <c r="L34" s="9"/>
      <c r="M34" s="9"/>
      <c r="N34" s="9"/>
    </row>
    <row r="35" spans="1:14" x14ac:dyDescent="0.3">
      <c r="A35" s="523" t="s">
        <v>298</v>
      </c>
      <c r="B35" s="524"/>
      <c r="C35" s="525"/>
      <c r="D35" s="293">
        <f t="shared" ref="D35:I35" si="0">SUM(D32:D34)</f>
        <v>208478709.53606069</v>
      </c>
      <c r="E35" s="293">
        <f t="shared" si="0"/>
        <v>0</v>
      </c>
      <c r="F35" s="293">
        <f t="shared" si="0"/>
        <v>0</v>
      </c>
      <c r="G35" s="293">
        <f t="shared" si="0"/>
        <v>0</v>
      </c>
      <c r="H35" s="293">
        <f t="shared" si="0"/>
        <v>0</v>
      </c>
      <c r="I35" s="293">
        <f t="shared" si="0"/>
        <v>0</v>
      </c>
      <c r="J35" s="9"/>
      <c r="K35" s="9"/>
      <c r="L35" s="9"/>
      <c r="M35" s="9"/>
      <c r="N35" s="9"/>
    </row>
    <row r="36" spans="1:14" x14ac:dyDescent="0.3">
      <c r="A36" s="2"/>
      <c r="B36" s="88"/>
      <c r="C36" s="186"/>
      <c r="D36" s="9"/>
      <c r="E36" s="2"/>
      <c r="F36" s="2"/>
      <c r="G36" s="2"/>
      <c r="H36" s="2"/>
      <c r="I36" s="343"/>
      <c r="J36" s="2"/>
      <c r="K36" s="2"/>
      <c r="L36" s="2"/>
      <c r="M36" s="2"/>
      <c r="N36" s="2"/>
    </row>
    <row r="37" spans="1:14" x14ac:dyDescent="0.3">
      <c r="A37" s="342" t="s">
        <v>299</v>
      </c>
      <c r="B37" s="296"/>
      <c r="C37" s="345"/>
      <c r="D37" s="264">
        <f>D29-D35</f>
        <v>-208478709.53606069</v>
      </c>
      <c r="E37" s="264">
        <f>E29</f>
        <v>90685316.16285713</v>
      </c>
      <c r="F37" s="264">
        <f>F29</f>
        <v>76748317.799588516</v>
      </c>
      <c r="G37" s="264">
        <f>G29</f>
        <v>75544422.625581354</v>
      </c>
      <c r="H37" s="264">
        <f>H29</f>
        <v>71135143.095680118</v>
      </c>
      <c r="I37" s="264">
        <f>I29</f>
        <v>162517980.19984865</v>
      </c>
      <c r="J37" s="85"/>
      <c r="K37" s="85"/>
      <c r="L37" s="85"/>
      <c r="M37" s="85"/>
      <c r="N37" s="85"/>
    </row>
    <row r="38" spans="1:14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 x14ac:dyDescent="0.3">
      <c r="A40" s="3" t="s">
        <v>536</v>
      </c>
      <c r="B40" s="3"/>
      <c r="C40" s="3"/>
      <c r="D40" s="3"/>
      <c r="E40" s="356"/>
      <c r="F40" s="2"/>
      <c r="G40" s="2"/>
      <c r="H40" s="2"/>
      <c r="I40" s="2"/>
      <c r="J40" s="2"/>
      <c r="K40" s="2"/>
      <c r="L40" s="2"/>
      <c r="M40" s="2"/>
      <c r="N40" s="2"/>
    </row>
    <row r="41" spans="1:14" x14ac:dyDescent="0.3">
      <c r="A41" s="436" t="s">
        <v>532</v>
      </c>
      <c r="B41" s="437">
        <f>(+B42+B43*(B44-B42))+10%</f>
        <v>0.2185</v>
      </c>
      <c r="C41" s="3"/>
      <c r="D41" s="3"/>
      <c r="E41" s="356"/>
      <c r="F41" s="2"/>
      <c r="G41" s="2"/>
      <c r="H41" s="2"/>
      <c r="I41" s="2"/>
      <c r="J41" s="2"/>
      <c r="K41" s="2"/>
      <c r="L41" s="2"/>
      <c r="M41" s="2"/>
      <c r="N41" s="2"/>
    </row>
    <row r="42" spans="1:14" x14ac:dyDescent="0.3">
      <c r="A42" s="7" t="s">
        <v>533</v>
      </c>
      <c r="B42" s="437">
        <v>0.1075</v>
      </c>
      <c r="C42" s="2"/>
      <c r="J42" s="2"/>
      <c r="K42" s="2"/>
      <c r="L42" s="2"/>
      <c r="M42" s="2"/>
      <c r="N42" s="2"/>
    </row>
    <row r="43" spans="1:14" x14ac:dyDescent="0.3">
      <c r="A43" s="7" t="s">
        <v>534</v>
      </c>
      <c r="B43" s="7">
        <v>0.88</v>
      </c>
      <c r="C43" s="2"/>
      <c r="J43" s="2"/>
      <c r="K43" s="2"/>
      <c r="L43" s="2"/>
      <c r="M43" s="2"/>
      <c r="N43" s="2"/>
    </row>
    <row r="44" spans="1:14" x14ac:dyDescent="0.3">
      <c r="A44" s="438" t="s">
        <v>535</v>
      </c>
      <c r="B44" s="439">
        <v>0.12</v>
      </c>
      <c r="C44" s="2"/>
      <c r="H44" s="2"/>
      <c r="I44" s="2"/>
      <c r="J44" s="2"/>
      <c r="K44" s="2"/>
      <c r="L44" s="2"/>
      <c r="M44" s="2"/>
      <c r="N44" s="2"/>
    </row>
    <row r="45" spans="1:14" x14ac:dyDescent="0.3">
      <c r="A45" s="7" t="s">
        <v>531</v>
      </c>
      <c r="B45" s="440">
        <f>+('COSTOS Y GASTOS'!D218*EVALUACION!B41)/('COSTOS Y GASTOS'!D218+'COSTOS Y GASTOS'!D219)</f>
        <v>3.1442059549328598E-2</v>
      </c>
      <c r="C45" s="440">
        <f>+('COSTOS Y GASTOS'!D219/('COSTOS Y GASTOS'!D219+'COSTOS Y GASTOS'!D218))*CRÉDITO!F7*(1-25%)</f>
        <v>1.6629750541209572E-2</v>
      </c>
      <c r="H45" s="2"/>
      <c r="I45" s="2"/>
      <c r="J45" s="2"/>
      <c r="K45" s="2"/>
      <c r="L45" s="2"/>
      <c r="M45" s="2"/>
      <c r="N45" s="2"/>
    </row>
    <row r="46" spans="1:14" x14ac:dyDescent="0.3">
      <c r="A46" s="7" t="s">
        <v>531</v>
      </c>
      <c r="B46" s="437">
        <f>+B45+C45</f>
        <v>4.8071810090538167E-2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x14ac:dyDescent="0.3">
      <c r="A47" s="551" t="s">
        <v>537</v>
      </c>
      <c r="B47" s="551"/>
      <c r="C47" s="347">
        <f>B46</f>
        <v>4.8071810090538167E-2</v>
      </c>
      <c r="D47" s="346" t="s">
        <v>216</v>
      </c>
      <c r="E47" s="356"/>
      <c r="I47" s="2"/>
      <c r="J47" s="2"/>
      <c r="K47" s="2"/>
      <c r="L47" s="2"/>
      <c r="M47" s="2"/>
      <c r="N47" s="2"/>
    </row>
    <row r="48" spans="1:14" x14ac:dyDescent="0.3">
      <c r="A48" s="2"/>
      <c r="B48" s="2"/>
      <c r="C48" s="2"/>
      <c r="D48" s="2"/>
      <c r="E48" s="2"/>
      <c r="I48" s="2"/>
      <c r="J48" s="2"/>
      <c r="K48" s="2"/>
      <c r="L48" s="2"/>
      <c r="M48" s="2"/>
      <c r="N48" s="2"/>
    </row>
    <row r="49" spans="1:14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 x14ac:dyDescent="0.3">
      <c r="A51" s="552" t="s">
        <v>421</v>
      </c>
      <c r="B51" s="55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 x14ac:dyDescent="0.3">
      <c r="A53" s="3" t="s">
        <v>422</v>
      </c>
      <c r="B53" s="549" t="s">
        <v>124</v>
      </c>
      <c r="C53" s="549"/>
      <c r="D53" s="549" t="s">
        <v>423</v>
      </c>
      <c r="E53" s="549" t="s">
        <v>424</v>
      </c>
      <c r="F53" s="549" t="s">
        <v>425</v>
      </c>
      <c r="G53" s="549" t="s">
        <v>426</v>
      </c>
      <c r="H53" s="2"/>
      <c r="I53" s="2"/>
      <c r="J53" s="2"/>
      <c r="K53" s="2"/>
      <c r="L53" s="2"/>
      <c r="M53" s="2"/>
      <c r="N53" s="2"/>
    </row>
    <row r="54" spans="1:14" x14ac:dyDescent="0.3">
      <c r="A54" s="2"/>
      <c r="B54" s="478"/>
      <c r="C54" s="478"/>
      <c r="D54" s="549"/>
      <c r="E54" s="549"/>
      <c r="F54" s="549"/>
      <c r="G54" s="549"/>
      <c r="H54" s="2"/>
      <c r="I54" s="2"/>
      <c r="J54" s="2"/>
      <c r="K54" s="2"/>
      <c r="L54" s="2"/>
      <c r="M54" s="2"/>
      <c r="N54" s="2"/>
    </row>
    <row r="55" spans="1:14" x14ac:dyDescent="0.3">
      <c r="A55" s="2"/>
      <c r="B55" s="330" t="s">
        <v>250</v>
      </c>
      <c r="C55" s="331">
        <v>0</v>
      </c>
      <c r="D55" s="348">
        <f>D37</f>
        <v>-208478709.53606069</v>
      </c>
      <c r="E55" s="349">
        <f>C47</f>
        <v>4.8071810090538167E-2</v>
      </c>
      <c r="F55" s="350">
        <f>1/((1+E55)^C55)</f>
        <v>1</v>
      </c>
      <c r="G55" s="78">
        <f>D55*F55</f>
        <v>-208478709.53606069</v>
      </c>
      <c r="H55" s="2"/>
      <c r="I55" s="2"/>
      <c r="J55" s="2"/>
      <c r="K55" s="2"/>
      <c r="L55" s="2"/>
      <c r="M55" s="2"/>
      <c r="N55" s="2"/>
    </row>
    <row r="56" spans="1:14" x14ac:dyDescent="0.3">
      <c r="A56" s="2"/>
      <c r="B56" s="332" t="s">
        <v>250</v>
      </c>
      <c r="C56" s="333">
        <v>1</v>
      </c>
      <c r="D56" s="348">
        <f>E37</f>
        <v>90685316.16285713</v>
      </c>
      <c r="E56" s="349">
        <f>E55</f>
        <v>4.8071810090538167E-2</v>
      </c>
      <c r="F56" s="350">
        <f t="shared" ref="F56:F60" si="1">1/((1+E56)^C56)</f>
        <v>0.9541330950534912</v>
      </c>
      <c r="G56" s="78">
        <f t="shared" ref="G56:G59" si="2">D56*F56</f>
        <v>86525861.38637127</v>
      </c>
      <c r="H56" s="2"/>
      <c r="I56" s="2"/>
      <c r="J56" s="2"/>
      <c r="K56" s="2"/>
      <c r="L56" s="2"/>
      <c r="M56" s="2"/>
      <c r="N56" s="2"/>
    </row>
    <row r="57" spans="1:14" x14ac:dyDescent="0.3">
      <c r="A57" s="2"/>
      <c r="B57" s="334" t="s">
        <v>250</v>
      </c>
      <c r="C57" s="335">
        <v>2</v>
      </c>
      <c r="D57" s="348">
        <f>F37</f>
        <v>76748317.799588516</v>
      </c>
      <c r="E57" s="349">
        <f>E56</f>
        <v>4.8071810090538167E-2</v>
      </c>
      <c r="F57" s="350">
        <f t="shared" si="1"/>
        <v>0.91036996307635432</v>
      </c>
      <c r="G57" s="78">
        <f t="shared" si="2"/>
        <v>69869363.241383702</v>
      </c>
      <c r="H57" s="2"/>
      <c r="I57" s="2"/>
      <c r="J57" s="2"/>
      <c r="K57" s="2"/>
      <c r="L57" s="2"/>
      <c r="M57" s="2"/>
      <c r="N57" s="2"/>
    </row>
    <row r="58" spans="1:14" x14ac:dyDescent="0.3">
      <c r="A58" s="2"/>
      <c r="B58" s="330" t="s">
        <v>250</v>
      </c>
      <c r="C58" s="331">
        <v>3</v>
      </c>
      <c r="D58" s="348">
        <f>G37</f>
        <v>75544422.625581354</v>
      </c>
      <c r="E58" s="349">
        <f>E57</f>
        <v>4.8071810090538167E-2</v>
      </c>
      <c r="F58" s="350">
        <f>1/((1+E58)^C58)</f>
        <v>0.86861411051377435</v>
      </c>
      <c r="G58" s="78">
        <f t="shared" si="2"/>
        <v>65618951.463195994</v>
      </c>
      <c r="H58" s="2"/>
      <c r="I58" s="2"/>
      <c r="J58" s="2"/>
      <c r="K58" s="2"/>
      <c r="L58" s="2"/>
      <c r="M58" s="2"/>
      <c r="N58" s="2"/>
    </row>
    <row r="59" spans="1:14" x14ac:dyDescent="0.3">
      <c r="A59" s="2"/>
      <c r="B59" s="334" t="s">
        <v>250</v>
      </c>
      <c r="C59" s="335">
        <v>4</v>
      </c>
      <c r="D59" s="348">
        <f>H37</f>
        <v>71135143.095680118</v>
      </c>
      <c r="E59" s="349">
        <f>E58</f>
        <v>4.8071810090538167E-2</v>
      </c>
      <c r="F59" s="350">
        <f t="shared" si="1"/>
        <v>0.82877346967164278</v>
      </c>
      <c r="G59" s="78">
        <f t="shared" si="2"/>
        <v>58954919.358995616</v>
      </c>
      <c r="H59" s="2"/>
      <c r="I59" s="2"/>
      <c r="J59" s="2"/>
      <c r="K59" s="2"/>
      <c r="L59" s="2"/>
      <c r="M59" s="2"/>
      <c r="N59" s="2"/>
    </row>
    <row r="60" spans="1:14" x14ac:dyDescent="0.3">
      <c r="A60" s="2"/>
      <c r="B60" s="330" t="s">
        <v>250</v>
      </c>
      <c r="C60" s="331">
        <v>5</v>
      </c>
      <c r="D60" s="348">
        <f>I37</f>
        <v>162517980.19984865</v>
      </c>
      <c r="E60" s="349">
        <f>E59</f>
        <v>4.8071810090538167E-2</v>
      </c>
      <c r="F60" s="350">
        <f t="shared" si="1"/>
        <v>0.79076019571602518</v>
      </c>
      <c r="G60" s="78">
        <f>D60*F60</f>
        <v>128512749.83020543</v>
      </c>
      <c r="H60" s="2"/>
      <c r="I60" s="2"/>
      <c r="J60" s="2"/>
      <c r="K60" s="2"/>
      <c r="L60" s="2"/>
      <c r="M60" s="2"/>
      <c r="N60" s="2"/>
    </row>
    <row r="61" spans="1:14" x14ac:dyDescent="0.3">
      <c r="A61" s="2"/>
      <c r="B61" s="551" t="s">
        <v>427</v>
      </c>
      <c r="C61" s="551"/>
      <c r="D61" s="553"/>
      <c r="E61" s="553"/>
      <c r="F61" s="553"/>
      <c r="G61" s="264">
        <f>SUM(G55:G60)</f>
        <v>201003135.74409133</v>
      </c>
      <c r="H61" s="2"/>
      <c r="I61" s="2"/>
      <c r="J61" s="2"/>
      <c r="K61" s="2"/>
      <c r="L61" s="2"/>
      <c r="M61" s="2"/>
      <c r="N61" s="2"/>
    </row>
    <row r="62" spans="1:14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14" x14ac:dyDescent="0.3">
      <c r="A64" s="3" t="s">
        <v>428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4" x14ac:dyDescent="0.3">
      <c r="A65" s="2"/>
      <c r="B65" s="546" t="s">
        <v>429</v>
      </c>
      <c r="C65" s="546"/>
      <c r="D65" s="78">
        <f>+D55</f>
        <v>-208478709.53606069</v>
      </c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1:14" x14ac:dyDescent="0.3">
      <c r="A66" s="2"/>
      <c r="B66" s="546" t="s">
        <v>430</v>
      </c>
      <c r="C66" s="546"/>
      <c r="D66" s="78">
        <f>+D56</f>
        <v>90685316.16285713</v>
      </c>
      <c r="E66" s="2"/>
      <c r="F66" s="2"/>
      <c r="G66" s="2"/>
      <c r="H66" s="2"/>
      <c r="I66" s="3"/>
      <c r="J66" s="3"/>
      <c r="K66" s="2"/>
      <c r="L66" s="2"/>
      <c r="M66" s="2"/>
      <c r="N66" s="2"/>
    </row>
    <row r="67" spans="1:14" x14ac:dyDescent="0.3">
      <c r="A67" s="2"/>
      <c r="B67" s="546" t="s">
        <v>431</v>
      </c>
      <c r="C67" s="546"/>
      <c r="D67" s="78">
        <f>+D57</f>
        <v>76748317.799588516</v>
      </c>
      <c r="E67" s="2"/>
      <c r="F67" s="2"/>
      <c r="G67" s="2"/>
      <c r="H67" s="2"/>
      <c r="I67" s="3"/>
      <c r="J67" s="3"/>
      <c r="K67" s="2"/>
      <c r="L67" s="2"/>
      <c r="M67" s="2"/>
      <c r="N67" s="2"/>
    </row>
    <row r="68" spans="1:14" x14ac:dyDescent="0.3">
      <c r="A68" s="2"/>
      <c r="B68" s="546" t="s">
        <v>432</v>
      </c>
      <c r="C68" s="546"/>
      <c r="D68" s="78">
        <f t="shared" ref="D68:D70" si="3">+D58</f>
        <v>75544422.625581354</v>
      </c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14" x14ac:dyDescent="0.3">
      <c r="A69" s="2"/>
      <c r="B69" s="546" t="s">
        <v>433</v>
      </c>
      <c r="C69" s="546"/>
      <c r="D69" s="78">
        <f t="shared" si="3"/>
        <v>71135143.095680118</v>
      </c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14" x14ac:dyDescent="0.3">
      <c r="A70" s="2"/>
      <c r="B70" s="546" t="s">
        <v>434</v>
      </c>
      <c r="C70" s="546"/>
      <c r="D70" s="78">
        <f t="shared" si="3"/>
        <v>162517980.19984865</v>
      </c>
      <c r="E70" s="2"/>
      <c r="F70" s="2"/>
      <c r="G70" s="2"/>
      <c r="H70" s="2"/>
      <c r="I70" s="2"/>
      <c r="J70" s="2"/>
      <c r="K70" s="2"/>
      <c r="L70" s="2"/>
      <c r="M70" s="2"/>
      <c r="N70" s="2"/>
    </row>
    <row r="71" spans="1:14" x14ac:dyDescent="0.3">
      <c r="A71" s="2"/>
      <c r="B71" s="554"/>
      <c r="C71" s="555"/>
      <c r="D71" s="7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spans="1:14" x14ac:dyDescent="0.3">
      <c r="A72" s="2"/>
      <c r="B72" s="553" t="s">
        <v>435</v>
      </c>
      <c r="C72" s="553"/>
      <c r="D72" s="347">
        <f>C47</f>
        <v>4.8071810090538167E-2</v>
      </c>
      <c r="E72" s="2"/>
      <c r="F72" s="2"/>
      <c r="G72" s="2"/>
      <c r="H72" s="2"/>
      <c r="I72" s="2"/>
      <c r="J72" s="2"/>
      <c r="K72" s="2"/>
      <c r="L72" s="2"/>
      <c r="M72" s="2"/>
      <c r="N72" s="2"/>
    </row>
    <row r="73" spans="1:14" x14ac:dyDescent="0.3">
      <c r="A73" s="2"/>
      <c r="B73" s="554"/>
      <c r="C73" s="555"/>
      <c r="D73" s="7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14" x14ac:dyDescent="0.3">
      <c r="A74" s="2"/>
      <c r="B74" s="553"/>
      <c r="C74" s="553"/>
      <c r="D74" s="264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 spans="1:14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 spans="1:14" x14ac:dyDescent="0.3">
      <c r="A76" s="3" t="s">
        <v>436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 spans="1:14" x14ac:dyDescent="0.3">
      <c r="A77" s="3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 spans="1:14" x14ac:dyDescent="0.3">
      <c r="A78" s="2"/>
      <c r="B78" s="546" t="s">
        <v>429</v>
      </c>
      <c r="C78" s="546"/>
      <c r="D78" s="78">
        <f>+D65</f>
        <v>-208478709.53606069</v>
      </c>
      <c r="E78" s="2"/>
      <c r="F78" s="2"/>
      <c r="G78" s="2"/>
      <c r="H78" s="2"/>
      <c r="I78" s="2"/>
      <c r="J78" s="2"/>
      <c r="K78" s="2"/>
      <c r="L78" s="2"/>
      <c r="M78" s="2"/>
      <c r="N78" s="2"/>
    </row>
    <row r="79" spans="1:14" x14ac:dyDescent="0.3">
      <c r="A79" s="2"/>
      <c r="B79" s="546" t="s">
        <v>430</v>
      </c>
      <c r="C79" s="546"/>
      <c r="D79" s="78">
        <f t="shared" ref="D79:D83" si="4">+D66</f>
        <v>90685316.16285713</v>
      </c>
      <c r="E79" s="2"/>
      <c r="F79" s="2"/>
      <c r="G79" s="2"/>
      <c r="H79" s="2"/>
      <c r="I79" s="2"/>
      <c r="J79" s="2"/>
      <c r="K79" s="2"/>
      <c r="L79" s="2"/>
      <c r="M79" s="2"/>
      <c r="N79" s="2"/>
    </row>
    <row r="80" spans="1:14" x14ac:dyDescent="0.3">
      <c r="A80" s="2"/>
      <c r="B80" s="546" t="s">
        <v>431</v>
      </c>
      <c r="C80" s="546"/>
      <c r="D80" s="78">
        <f t="shared" si="4"/>
        <v>76748317.799588516</v>
      </c>
      <c r="E80" s="2"/>
      <c r="F80" s="2"/>
      <c r="G80" s="2"/>
      <c r="H80" s="2"/>
      <c r="I80" s="2"/>
      <c r="J80" s="2"/>
      <c r="K80" s="2"/>
      <c r="L80" s="2"/>
      <c r="M80" s="2"/>
      <c r="N80" s="2"/>
    </row>
    <row r="81" spans="1:14" x14ac:dyDescent="0.3">
      <c r="A81" s="2"/>
      <c r="B81" s="546" t="s">
        <v>432</v>
      </c>
      <c r="C81" s="546"/>
      <c r="D81" s="78">
        <f t="shared" si="4"/>
        <v>75544422.625581354</v>
      </c>
      <c r="E81" s="2"/>
      <c r="F81" s="2"/>
      <c r="G81" s="2"/>
      <c r="H81" s="2"/>
      <c r="I81" s="2"/>
      <c r="J81" s="2"/>
      <c r="K81" s="2"/>
      <c r="L81" s="2"/>
      <c r="M81" s="2"/>
      <c r="N81" s="2"/>
    </row>
    <row r="82" spans="1:14" x14ac:dyDescent="0.3">
      <c r="A82" s="2"/>
      <c r="B82" s="546" t="s">
        <v>433</v>
      </c>
      <c r="C82" s="546"/>
      <c r="D82" s="78">
        <f t="shared" si="4"/>
        <v>71135143.095680118</v>
      </c>
      <c r="E82" s="2"/>
      <c r="F82" s="3"/>
      <c r="G82" s="3"/>
      <c r="H82" s="2"/>
      <c r="I82" s="2"/>
      <c r="J82" s="2"/>
      <c r="K82" s="2"/>
      <c r="L82" s="2"/>
      <c r="M82" s="2"/>
      <c r="N82" s="2"/>
    </row>
    <row r="83" spans="1:14" x14ac:dyDescent="0.3">
      <c r="A83" s="2"/>
      <c r="B83" s="546" t="s">
        <v>434</v>
      </c>
      <c r="C83" s="546"/>
      <c r="D83" s="78">
        <f t="shared" si="4"/>
        <v>162517980.19984865</v>
      </c>
      <c r="E83" s="2"/>
      <c r="F83" s="3"/>
      <c r="G83" s="3"/>
      <c r="H83" s="2"/>
      <c r="I83" s="2"/>
      <c r="J83" s="2"/>
      <c r="K83" s="2"/>
      <c r="L83" s="2"/>
      <c r="M83" s="2"/>
      <c r="N83" s="2"/>
    </row>
    <row r="84" spans="1:14" x14ac:dyDescent="0.3">
      <c r="A84" s="2"/>
      <c r="B84" s="554"/>
      <c r="C84" s="555"/>
      <c r="D84" s="7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 spans="1:14" x14ac:dyDescent="0.3">
      <c r="A85" s="2"/>
      <c r="B85" s="553" t="s">
        <v>437</v>
      </c>
      <c r="C85" s="553"/>
      <c r="D85" s="347">
        <f>IRR(D78:D83)</f>
        <v>0.32264386766237685</v>
      </c>
      <c r="E85" s="3" t="s">
        <v>216</v>
      </c>
      <c r="F85" s="2"/>
      <c r="G85" s="2"/>
      <c r="H85" s="2"/>
      <c r="I85" s="2"/>
      <c r="J85" s="2"/>
      <c r="K85" s="2"/>
      <c r="L85" s="2"/>
      <c r="M85" s="2"/>
      <c r="N85" s="2"/>
    </row>
    <row r="86" spans="1:14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 spans="1:14" x14ac:dyDescent="0.3">
      <c r="A87" s="277" t="s">
        <v>438</v>
      </c>
      <c r="K87" s="2"/>
      <c r="L87" s="2"/>
      <c r="M87" s="2"/>
      <c r="N87" s="2"/>
    </row>
    <row r="88" spans="1:14" x14ac:dyDescent="0.3">
      <c r="G88" s="2"/>
      <c r="H88" s="2"/>
      <c r="I88" s="2"/>
      <c r="J88" s="2"/>
      <c r="K88" s="2"/>
      <c r="L88" s="2"/>
      <c r="M88" s="2"/>
      <c r="N88" s="2"/>
    </row>
    <row r="89" spans="1:14" x14ac:dyDescent="0.3">
      <c r="B89" s="414" t="s">
        <v>439</v>
      </c>
      <c r="C89" s="415" t="s">
        <v>440</v>
      </c>
      <c r="D89" s="415" t="s">
        <v>441</v>
      </c>
      <c r="E89" s="415" t="s">
        <v>442</v>
      </c>
      <c r="F89" s="416" t="s">
        <v>443</v>
      </c>
      <c r="G89" s="415" t="s">
        <v>213</v>
      </c>
      <c r="H89" s="2"/>
      <c r="I89" s="2"/>
      <c r="J89" s="2"/>
      <c r="K89" s="2"/>
      <c r="L89" s="2"/>
      <c r="M89" s="2"/>
      <c r="N89" s="2"/>
    </row>
    <row r="90" spans="1:14" x14ac:dyDescent="0.3">
      <c r="B90" s="336" t="s">
        <v>429</v>
      </c>
      <c r="C90" s="337">
        <f>+D78</f>
        <v>-208478709.53606069</v>
      </c>
      <c r="D90" s="337"/>
      <c r="E90" s="337">
        <f>D78</f>
        <v>-208478709.53606069</v>
      </c>
      <c r="F90" s="417">
        <v>3</v>
      </c>
      <c r="G90" s="418">
        <f>E92/(-D93)</f>
        <v>0.54332370474317571</v>
      </c>
      <c r="H90" s="2"/>
      <c r="I90" s="2"/>
      <c r="J90" s="2"/>
      <c r="K90" s="2"/>
      <c r="L90" s="2"/>
      <c r="M90" s="2"/>
      <c r="N90" s="2"/>
    </row>
    <row r="91" spans="1:14" x14ac:dyDescent="0.3">
      <c r="B91" s="336" t="s">
        <v>430</v>
      </c>
      <c r="C91" s="337"/>
      <c r="D91" s="338">
        <f>D79</f>
        <v>90685316.16285713</v>
      </c>
      <c r="E91" s="337">
        <f>E90+D91</f>
        <v>-117793393.37320356</v>
      </c>
      <c r="F91" s="419">
        <f>F90</f>
        <v>3</v>
      </c>
      <c r="G91" s="420">
        <f>G90</f>
        <v>0.54332370474317571</v>
      </c>
      <c r="H91" s="2"/>
      <c r="I91" s="2"/>
      <c r="J91" s="2"/>
      <c r="K91" s="2"/>
      <c r="L91" s="2"/>
      <c r="M91" s="2"/>
      <c r="N91" s="2"/>
    </row>
    <row r="92" spans="1:14" x14ac:dyDescent="0.3">
      <c r="B92" s="336" t="s">
        <v>431</v>
      </c>
      <c r="C92" s="337"/>
      <c r="D92" s="338">
        <f>D80</f>
        <v>76748317.799588516</v>
      </c>
      <c r="E92" s="337">
        <f>D92+E91</f>
        <v>-41045075.573615044</v>
      </c>
      <c r="K92" s="2"/>
      <c r="L92" s="2"/>
      <c r="M92" s="2"/>
      <c r="N92" s="2"/>
    </row>
    <row r="93" spans="1:14" x14ac:dyDescent="0.3">
      <c r="B93" s="336" t="s">
        <v>444</v>
      </c>
      <c r="C93" s="337"/>
      <c r="D93" s="338">
        <f>D81</f>
        <v>75544422.625581354</v>
      </c>
      <c r="E93" s="337">
        <f>D93+E92</f>
        <v>34499347.05196631</v>
      </c>
      <c r="F93" s="339"/>
      <c r="K93" s="2"/>
      <c r="L93" s="2"/>
      <c r="M93" s="2"/>
      <c r="N93" s="2"/>
    </row>
    <row r="94" spans="1:14" x14ac:dyDescent="0.3">
      <c r="B94" s="336" t="s">
        <v>433</v>
      </c>
      <c r="C94" s="337"/>
      <c r="D94" s="338">
        <f>D82</f>
        <v>71135143.095680118</v>
      </c>
      <c r="E94" s="337">
        <f>D94+E93</f>
        <v>105634490.14764643</v>
      </c>
      <c r="G94" s="424"/>
      <c r="K94" s="2"/>
      <c r="L94" s="2"/>
      <c r="M94" s="2"/>
      <c r="N94" s="2"/>
    </row>
    <row r="95" spans="1:14" x14ac:dyDescent="0.3">
      <c r="B95" s="336" t="s">
        <v>434</v>
      </c>
      <c r="C95" s="337"/>
      <c r="D95" s="338">
        <f>D83</f>
        <v>162517980.19984865</v>
      </c>
      <c r="E95" s="337">
        <f>D95+E94</f>
        <v>268152470.34749508</v>
      </c>
      <c r="G95" s="339"/>
      <c r="K95" s="2"/>
      <c r="L95" s="2"/>
      <c r="M95" s="2"/>
      <c r="N95" s="2"/>
    </row>
    <row r="96" spans="1:14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 spans="1:17" x14ac:dyDescent="0.3">
      <c r="A97" s="2"/>
      <c r="B97" s="88"/>
      <c r="C97" s="329" t="s">
        <v>443</v>
      </c>
      <c r="D97" s="329" t="s">
        <v>213</v>
      </c>
      <c r="E97" s="2"/>
      <c r="F97" s="2"/>
      <c r="G97" s="2"/>
      <c r="J97" s="2"/>
      <c r="K97" s="2"/>
      <c r="L97" s="2"/>
      <c r="M97" s="2"/>
      <c r="N97" s="2"/>
    </row>
    <row r="98" spans="1:17" ht="15" thickBot="1" x14ac:dyDescent="0.35">
      <c r="A98" s="340"/>
      <c r="B98" s="346" t="s">
        <v>445</v>
      </c>
      <c r="C98" s="346">
        <f>F91</f>
        <v>3</v>
      </c>
      <c r="D98" s="426">
        <f>G91</f>
        <v>0.54332370474317571</v>
      </c>
      <c r="E98" s="2"/>
      <c r="F98" s="2"/>
      <c r="G98" s="2"/>
      <c r="J98" s="2"/>
      <c r="K98" s="2"/>
      <c r="L98" s="2"/>
      <c r="M98" s="2"/>
      <c r="N98" s="2"/>
      <c r="O98" s="2"/>
      <c r="P98" s="2"/>
      <c r="Q98" s="2"/>
    </row>
    <row r="99" spans="1:17" ht="14.4" customHeight="1" x14ac:dyDescent="0.3">
      <c r="A99" s="2"/>
      <c r="B99" s="2"/>
      <c r="C99" s="2"/>
      <c r="D99" s="422">
        <f>+G90*30</f>
        <v>16.299711142295273</v>
      </c>
      <c r="E99" s="423" t="s">
        <v>526</v>
      </c>
      <c r="F99" s="556" t="s">
        <v>529</v>
      </c>
      <c r="G99" s="557"/>
      <c r="J99" s="2"/>
      <c r="K99" s="2"/>
      <c r="L99" s="2"/>
      <c r="M99" s="2"/>
      <c r="N99" s="2"/>
    </row>
    <row r="100" spans="1:17" ht="15" thickBot="1" x14ac:dyDescent="0.35">
      <c r="A100" s="2"/>
      <c r="B100" s="2"/>
      <c r="C100" s="2"/>
      <c r="D100" s="2"/>
      <c r="E100" s="2"/>
      <c r="F100" s="558"/>
      <c r="G100" s="559"/>
      <c r="J100" s="2"/>
      <c r="K100" s="2"/>
      <c r="L100" s="2"/>
      <c r="M100" s="2"/>
      <c r="N100" s="2"/>
    </row>
    <row r="101" spans="1:17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</row>
    <row r="102" spans="1:17" x14ac:dyDescent="0.3">
      <c r="A102" s="3" t="s">
        <v>446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</row>
    <row r="103" spans="1:17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 spans="1:17" x14ac:dyDescent="0.3">
      <c r="B104" s="553" t="s">
        <v>447</v>
      </c>
      <c r="C104" s="55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 spans="1:17" x14ac:dyDescent="0.3">
      <c r="B105" s="7" t="s">
        <v>225</v>
      </c>
      <c r="C105" s="341">
        <f>+'COSTOS RESUMEN'!F20</f>
        <v>360503814.67999995</v>
      </c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 spans="1:17" x14ac:dyDescent="0.3">
      <c r="B106" s="7" t="s">
        <v>448</v>
      </c>
      <c r="C106" s="341">
        <f>+PROYECCIONES!D21</f>
        <v>45000</v>
      </c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 spans="1:17" x14ac:dyDescent="0.3">
      <c r="B107" s="7" t="s">
        <v>449</v>
      </c>
      <c r="C107" s="341">
        <f>+'COSTOS RESUMEN'!G38</f>
        <v>5610.9539943528689</v>
      </c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108" spans="1:17" x14ac:dyDescent="0.3">
      <c r="B108" s="346" t="s">
        <v>450</v>
      </c>
      <c r="C108" s="421">
        <f>C105/(C106-C107)</f>
        <v>9152.387560448029</v>
      </c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 spans="1:17" x14ac:dyDescent="0.3">
      <c r="A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</row>
    <row r="110" spans="1:17" x14ac:dyDescent="0.3">
      <c r="A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</row>
    <row r="111" spans="1:17" x14ac:dyDescent="0.3">
      <c r="A111" s="2"/>
      <c r="F111" s="2"/>
      <c r="G111" s="2"/>
      <c r="H111" s="2"/>
      <c r="I111" s="2"/>
      <c r="J111" s="2"/>
      <c r="K111" s="2"/>
      <c r="L111" s="2"/>
      <c r="M111" s="2"/>
      <c r="N111" s="2"/>
    </row>
  </sheetData>
  <mergeCells count="33">
    <mergeCell ref="F99:G100"/>
    <mergeCell ref="B81:C81"/>
    <mergeCell ref="B82:C82"/>
    <mergeCell ref="B83:C83"/>
    <mergeCell ref="B104:C104"/>
    <mergeCell ref="B84:C84"/>
    <mergeCell ref="B85:C85"/>
    <mergeCell ref="B70:C70"/>
    <mergeCell ref="B71:C71"/>
    <mergeCell ref="B72:C72"/>
    <mergeCell ref="B73:C73"/>
    <mergeCell ref="B74:C74"/>
    <mergeCell ref="B65:C65"/>
    <mergeCell ref="B66:C66"/>
    <mergeCell ref="B67:C67"/>
    <mergeCell ref="B68:C68"/>
    <mergeCell ref="B69:C69"/>
    <mergeCell ref="B79:C79"/>
    <mergeCell ref="B80:C80"/>
    <mergeCell ref="G53:G54"/>
    <mergeCell ref="A7:C7"/>
    <mergeCell ref="A8:C8"/>
    <mergeCell ref="A9:C9"/>
    <mergeCell ref="A29:C29"/>
    <mergeCell ref="A35:C35"/>
    <mergeCell ref="A47:B47"/>
    <mergeCell ref="A51:B51"/>
    <mergeCell ref="B53:C54"/>
    <mergeCell ref="D53:D54"/>
    <mergeCell ref="E53:E54"/>
    <mergeCell ref="F53:F54"/>
    <mergeCell ref="B78:C78"/>
    <mergeCell ref="B61:F61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PART. EN EL MERCADO</vt:lpstr>
      <vt:lpstr>INVERSIONES</vt:lpstr>
      <vt:lpstr>ESPECIFICACIONES</vt:lpstr>
      <vt:lpstr>COSTOS Y GASTOS</vt:lpstr>
      <vt:lpstr>COSTOS PS</vt:lpstr>
      <vt:lpstr>CRÉDITO</vt:lpstr>
      <vt:lpstr>COSTOS RESUMEN</vt:lpstr>
      <vt:lpstr>PROYECCIONES</vt:lpstr>
      <vt:lpstr>EVALUACION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Jheimy Jhomary Roa Ramirez</dc:creator>
  <cp:lastModifiedBy>Jheimy Jhomary Roa Ramirez</cp:lastModifiedBy>
  <dcterms:created xsi:type="dcterms:W3CDTF">2024-06-11T14:17:47Z</dcterms:created>
  <dcterms:modified xsi:type="dcterms:W3CDTF">2024-08-02T19:49:44Z</dcterms:modified>
</cp:coreProperties>
</file>