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/>
  <mc:AlternateContent xmlns:mc="http://schemas.openxmlformats.org/markup-compatibility/2006">
    <mc:Choice Requires="x15">
      <x15ac:absPath xmlns:x15ac="http://schemas.microsoft.com/office/spreadsheetml/2010/11/ac" url="/Users/cesargustavocastellanoslandazabal/Desktop/tonainterventoria/CONSULTORIA/08.Estructural/02. Anexos/MUROS ESTRUCTURALES/"/>
    </mc:Choice>
  </mc:AlternateContent>
  <bookViews>
    <workbookView xWindow="0" yWindow="0" windowWidth="28800" windowHeight="18000" tabRatio="866" activeTab="1"/>
  </bookViews>
  <sheets>
    <sheet name="MURO" sheetId="26" r:id="rId1"/>
    <sheet name="RESISTENCIA" sheetId="37" r:id="rId2"/>
    <sheet name="EXTREMO I" sheetId="44" r:id="rId3"/>
    <sheet name="VASTAGO RESISTENCIA" sheetId="47" r:id="rId4"/>
    <sheet name="VASTAGO EVENTO EXTREMO" sheetId="52" r:id="rId5"/>
    <sheet name="ZAPATA RESISTENCIA" sheetId="39" r:id="rId6"/>
    <sheet name="ZAPATA EVENTO EXTREMO 1" sheetId="50" r:id="rId7"/>
    <sheet name="ZAPATA SERVICIO" sheetId="53" r:id="rId8"/>
    <sheet name="DENTELLON" sheetId="51" r:id="rId9"/>
  </sheets>
  <definedNames>
    <definedName name="_xlnm.Print_Area" localSheetId="8">DENTELLON!$A$1:$E$43</definedName>
    <definedName name="_xlnm.Print_Area" localSheetId="2">'EXTREMO I'!$A$1:$G$257</definedName>
    <definedName name="_xlnm.Print_Area" localSheetId="0">MURO!$A$1:$H$484</definedName>
    <definedName name="_xlnm.Print_Area" localSheetId="1">RESISTENCIA!$A$1:$G$245</definedName>
    <definedName name="_xlnm.Print_Area" localSheetId="4">'VASTAGO EVENTO EXTREMO'!$A$1:$G$184</definedName>
    <definedName name="_xlnm.Print_Area" localSheetId="3">'VASTAGO RESISTENCIA'!$A$1:$G$169</definedName>
    <definedName name="_xlnm.Print_Area" localSheetId="6">'ZAPATA EVENTO EXTREMO 1'!$A$1:$G$193</definedName>
    <definedName name="_xlnm.Print_Area" localSheetId="5">'ZAPATA RESISTENCIA'!$A$1:$G$203</definedName>
    <definedName name="_xlnm.Print_Area" localSheetId="7">'ZAPATA SERVICIO'!$A$1:$G$203</definedName>
    <definedName name="_xlnm.Print_Titles" localSheetId="2">'EXTREMO I'!$1:$1</definedName>
    <definedName name="_xlnm.Print_Titles" localSheetId="0">MURO!$1:$2</definedName>
    <definedName name="_xlnm.Print_Titles" localSheetId="1">RESISTENCIA!$1:$1</definedName>
    <definedName name="_xlnm.Print_Titles" localSheetId="4">'VASTAGO EVENTO EXTREMO'!$1:$1</definedName>
    <definedName name="_xlnm.Print_Titles" localSheetId="3">'VASTAGO RESISTENCIA'!$1:$1</definedName>
    <definedName name="_xlnm.Print_Titles" localSheetId="6">'ZAPATA EVENTO EXTREMO 1'!$1:$1</definedName>
    <definedName name="_xlnm.Print_Titles" localSheetId="5">'ZAPATA RESISTENCIA'!$1:$1</definedName>
    <definedName name="_xlnm.Print_Titles" localSheetId="7">'ZAPATA SERVICIO'!$1:$1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25" i="37" l="1"/>
  <c r="D71" i="37"/>
  <c r="B59" i="37"/>
  <c r="D84" i="26"/>
  <c r="D38" i="37"/>
  <c r="D6" i="37"/>
  <c r="D10" i="26"/>
  <c r="B149" i="26"/>
  <c r="C5" i="51"/>
  <c r="C11" i="51"/>
  <c r="B14" i="51"/>
  <c r="D11" i="51"/>
  <c r="B15" i="51"/>
  <c r="B16" i="51"/>
  <c r="B35" i="51"/>
  <c r="B41" i="51"/>
  <c r="B43" i="51"/>
  <c r="D88" i="26"/>
  <c r="C121" i="26"/>
  <c r="D134" i="26"/>
  <c r="C161" i="26"/>
  <c r="D14" i="51"/>
  <c r="D15" i="51"/>
  <c r="D16" i="51"/>
  <c r="B382" i="26"/>
  <c r="E382" i="26"/>
  <c r="D382" i="26"/>
  <c r="F382" i="26"/>
  <c r="G382" i="26"/>
  <c r="B318" i="26"/>
  <c r="C318" i="26"/>
  <c r="D318" i="26"/>
  <c r="G318" i="26"/>
  <c r="H318" i="26"/>
  <c r="D121" i="26"/>
  <c r="D13" i="26"/>
  <c r="D85" i="26"/>
  <c r="G18" i="37"/>
  <c r="B143" i="37"/>
  <c r="C188" i="37"/>
  <c r="D89" i="26"/>
  <c r="D7" i="37"/>
  <c r="B153" i="37"/>
  <c r="C189" i="37"/>
  <c r="G35" i="37"/>
  <c r="C34" i="37"/>
  <c r="D32" i="37"/>
  <c r="C32" i="37"/>
  <c r="F32" i="37"/>
  <c r="B133" i="37"/>
  <c r="C187" i="37"/>
  <c r="C190" i="37"/>
  <c r="D86" i="26"/>
  <c r="E22" i="37"/>
  <c r="D90" i="26"/>
  <c r="D9" i="37"/>
  <c r="B165" i="37"/>
  <c r="C191" i="37"/>
  <c r="B176" i="37"/>
  <c r="C192" i="37"/>
  <c r="D40" i="26"/>
  <c r="C193" i="37"/>
  <c r="C194" i="37"/>
  <c r="B233" i="37"/>
  <c r="B147" i="37"/>
  <c r="D188" i="37"/>
  <c r="E188" i="37"/>
  <c r="B158" i="37"/>
  <c r="D189" i="37"/>
  <c r="E189" i="37"/>
  <c r="B137" i="37"/>
  <c r="D187" i="37"/>
  <c r="E187" i="37"/>
  <c r="E190" i="37"/>
  <c r="B170" i="37"/>
  <c r="D191" i="37"/>
  <c r="E191" i="37"/>
  <c r="B181" i="37"/>
  <c r="D192" i="37"/>
  <c r="E192" i="37"/>
  <c r="D193" i="37"/>
  <c r="E193" i="37"/>
  <c r="E194" i="37"/>
  <c r="D195" i="37"/>
  <c r="E195" i="37"/>
  <c r="B232" i="37"/>
  <c r="D87" i="26"/>
  <c r="A24" i="37"/>
  <c r="F64" i="37"/>
  <c r="B63" i="37"/>
  <c r="C117" i="37"/>
  <c r="B68" i="37"/>
  <c r="D117" i="37"/>
  <c r="E117" i="37"/>
  <c r="B86" i="37"/>
  <c r="C118" i="37"/>
  <c r="G82" i="37"/>
  <c r="D118" i="37"/>
  <c r="E118" i="37"/>
  <c r="B231" i="37"/>
  <c r="B234" i="37"/>
  <c r="B219" i="37"/>
  <c r="B230" i="37"/>
  <c r="B235" i="37"/>
  <c r="B236" i="37"/>
  <c r="E236" i="37"/>
  <c r="B222" i="37"/>
  <c r="B223" i="37"/>
  <c r="B221" i="37"/>
  <c r="B224" i="37"/>
  <c r="B225" i="37"/>
  <c r="B220" i="37"/>
  <c r="B207" i="37"/>
  <c r="B208" i="37"/>
  <c r="B209" i="37"/>
  <c r="B213" i="37"/>
  <c r="B214" i="37"/>
  <c r="C78" i="26"/>
  <c r="F102" i="37"/>
  <c r="C47" i="37"/>
  <c r="C49" i="37"/>
  <c r="B53" i="37"/>
  <c r="D109" i="37"/>
  <c r="E8" i="51"/>
  <c r="B26" i="51"/>
  <c r="B47" i="37"/>
  <c r="B49" i="37"/>
  <c r="D83" i="26"/>
  <c r="B80" i="37"/>
  <c r="A244" i="37"/>
  <c r="G106" i="26"/>
  <c r="A200" i="26"/>
  <c r="B200" i="26"/>
  <c r="D289" i="26"/>
  <c r="D288" i="26"/>
  <c r="D282" i="26"/>
  <c r="D279" i="26"/>
  <c r="D278" i="26"/>
  <c r="D230" i="26"/>
  <c r="D229" i="26"/>
  <c r="D223" i="26"/>
  <c r="D220" i="26"/>
  <c r="D219" i="26"/>
  <c r="D214" i="26"/>
  <c r="D221" i="26"/>
  <c r="D222" i="26"/>
  <c r="D280" i="26"/>
  <c r="D281" i="26"/>
  <c r="A259" i="26"/>
  <c r="D290" i="26"/>
  <c r="D295" i="26"/>
  <c r="D297" i="26"/>
  <c r="F298" i="26"/>
  <c r="D231" i="26"/>
  <c r="D236" i="26"/>
  <c r="D238" i="26"/>
  <c r="F239" i="26"/>
  <c r="B259" i="26"/>
  <c r="D273" i="26"/>
  <c r="B253" i="26"/>
  <c r="B180" i="26"/>
  <c r="F222" i="26"/>
  <c r="D224" i="26"/>
  <c r="D283" i="26"/>
  <c r="B312" i="26"/>
  <c r="B181" i="26"/>
  <c r="F281" i="26"/>
  <c r="C253" i="26"/>
  <c r="C180" i="26"/>
  <c r="C312" i="26"/>
  <c r="C181" i="26"/>
  <c r="C15" i="51"/>
  <c r="C14" i="51"/>
  <c r="B481" i="26"/>
  <c r="B482" i="26"/>
  <c r="B449" i="26"/>
  <c r="B97" i="26"/>
  <c r="D97" i="26"/>
  <c r="B96" i="26"/>
  <c r="D96" i="26"/>
  <c r="B484" i="26"/>
  <c r="B483" i="26"/>
  <c r="E99" i="47"/>
  <c r="D99" i="47"/>
  <c r="E8" i="53"/>
  <c r="D100" i="53"/>
  <c r="D8" i="53"/>
  <c r="B8" i="53"/>
  <c r="D144" i="53"/>
  <c r="B179" i="53"/>
  <c r="B80" i="44"/>
  <c r="D246" i="44"/>
  <c r="A191" i="44"/>
  <c r="D248" i="44"/>
  <c r="D238" i="44"/>
  <c r="D142" i="53"/>
  <c r="B157" i="53"/>
  <c r="D143" i="53"/>
  <c r="B168" i="53"/>
  <c r="B124" i="53"/>
  <c r="D101" i="53"/>
  <c r="D99" i="53"/>
  <c r="B113" i="53"/>
  <c r="B229" i="37"/>
  <c r="B244" i="44"/>
  <c r="D223" i="37"/>
  <c r="B47" i="44"/>
  <c r="B51" i="44"/>
  <c r="B18" i="51"/>
  <c r="D233" i="37"/>
  <c r="C101" i="53"/>
  <c r="E101" i="53"/>
  <c r="A203" i="44"/>
  <c r="B203" i="44"/>
  <c r="G10" i="53"/>
  <c r="B106" i="37"/>
  <c r="E98" i="26"/>
  <c r="F98" i="26"/>
  <c r="G105" i="26"/>
  <c r="C122" i="26"/>
  <c r="E122" i="26"/>
  <c r="G108" i="26"/>
  <c r="E327" i="26"/>
  <c r="F327" i="26"/>
  <c r="E328" i="26"/>
  <c r="F328" i="26"/>
  <c r="E329" i="26"/>
  <c r="F329" i="26"/>
  <c r="E330" i="26"/>
  <c r="F330" i="26"/>
  <c r="E331" i="26"/>
  <c r="F331" i="26"/>
  <c r="B108" i="26"/>
  <c r="E97" i="26"/>
  <c r="F97" i="26"/>
  <c r="G97" i="26"/>
  <c r="H97" i="26"/>
  <c r="E96" i="26"/>
  <c r="F96" i="26"/>
  <c r="G96" i="26"/>
  <c r="H96" i="26"/>
  <c r="C386" i="26"/>
  <c r="C387" i="26"/>
  <c r="C388" i="26"/>
  <c r="C389" i="26"/>
  <c r="C390" i="26"/>
  <c r="B99" i="44"/>
  <c r="C195" i="37"/>
  <c r="B137" i="52"/>
  <c r="A169" i="52"/>
  <c r="A110" i="47"/>
  <c r="A121" i="47"/>
  <c r="A327" i="26"/>
  <c r="B47" i="52"/>
  <c r="D32" i="52"/>
  <c r="E8" i="52"/>
  <c r="D6" i="52"/>
  <c r="G35" i="47"/>
  <c r="D32" i="47"/>
  <c r="E8" i="47"/>
  <c r="D6" i="47"/>
  <c r="C137" i="52"/>
  <c r="E137" i="52"/>
  <c r="D137" i="52"/>
  <c r="B54" i="26"/>
  <c r="A386" i="26"/>
  <c r="D91" i="26"/>
  <c r="B95" i="44"/>
  <c r="C110" i="47"/>
  <c r="B110" i="47"/>
  <c r="A170" i="26"/>
  <c r="A180" i="52"/>
  <c r="C180" i="52"/>
  <c r="A87" i="52"/>
  <c r="G85" i="47"/>
  <c r="D180" i="52"/>
  <c r="C170" i="26"/>
  <c r="B386" i="26"/>
  <c r="E386" i="26"/>
  <c r="D110" i="47"/>
  <c r="E110" i="47"/>
  <c r="F137" i="52"/>
  <c r="D169" i="52"/>
  <c r="D386" i="26"/>
  <c r="F386" i="26"/>
  <c r="G386" i="26"/>
  <c r="A198" i="44"/>
  <c r="B198" i="44"/>
  <c r="A199" i="44"/>
  <c r="B199" i="44"/>
  <c r="A201" i="44"/>
  <c r="B201" i="44"/>
  <c r="A202" i="44"/>
  <c r="B202" i="44"/>
  <c r="B197" i="44"/>
  <c r="A197" i="44"/>
  <c r="G35" i="44"/>
  <c r="F32" i="44"/>
  <c r="D32" i="44"/>
  <c r="C32" i="44"/>
  <c r="A21" i="44"/>
  <c r="E8" i="44"/>
  <c r="D6" i="44"/>
  <c r="E8" i="37"/>
  <c r="D422" i="26"/>
  <c r="D423" i="26"/>
  <c r="D424" i="26"/>
  <c r="D421" i="26"/>
  <c r="C384" i="26"/>
  <c r="C382" i="26"/>
  <c r="C383" i="26"/>
  <c r="B384" i="26"/>
  <c r="E384" i="26"/>
  <c r="B456" i="26"/>
  <c r="B346" i="26"/>
  <c r="B155" i="26"/>
  <c r="C124" i="26"/>
  <c r="E124" i="26"/>
  <c r="A122" i="26"/>
  <c r="A135" i="26"/>
  <c r="A162" i="26"/>
  <c r="A123" i="26"/>
  <c r="A136" i="26"/>
  <c r="A163" i="26"/>
  <c r="A124" i="26"/>
  <c r="A137" i="26"/>
  <c r="A164" i="26"/>
  <c r="A121" i="26"/>
  <c r="A134" i="26"/>
  <c r="A161" i="26"/>
  <c r="B105" i="26"/>
  <c r="B383" i="26"/>
  <c r="D383" i="26"/>
  <c r="B107" i="26"/>
  <c r="C108" i="26"/>
  <c r="B106" i="26"/>
  <c r="C98" i="26"/>
  <c r="G10" i="50"/>
  <c r="E8" i="50"/>
  <c r="C101" i="50"/>
  <c r="D8" i="50"/>
  <c r="B8" i="50"/>
  <c r="D143" i="50"/>
  <c r="B168" i="50"/>
  <c r="B49" i="47"/>
  <c r="G10" i="39"/>
  <c r="B91" i="44"/>
  <c r="B87" i="44"/>
  <c r="E8" i="39"/>
  <c r="C101" i="39"/>
  <c r="D8" i="39"/>
  <c r="B8" i="39"/>
  <c r="D142" i="39"/>
  <c r="B157" i="39"/>
  <c r="D13" i="53"/>
  <c r="A321" i="26"/>
  <c r="A385" i="26"/>
  <c r="A424" i="26"/>
  <c r="A182" i="26"/>
  <c r="A320" i="26"/>
  <c r="A181" i="26"/>
  <c r="A319" i="26"/>
  <c r="A180" i="26"/>
  <c r="A318" i="26"/>
  <c r="A179" i="26"/>
  <c r="C105" i="26"/>
  <c r="D105" i="26"/>
  <c r="C106" i="26"/>
  <c r="D106" i="26"/>
  <c r="D108" i="26"/>
  <c r="E108" i="26"/>
  <c r="C107" i="26"/>
  <c r="D107" i="26"/>
  <c r="G107" i="26"/>
  <c r="D100" i="50"/>
  <c r="D38" i="44"/>
  <c r="D34" i="26"/>
  <c r="B114" i="52"/>
  <c r="G18" i="52"/>
  <c r="G18" i="47"/>
  <c r="A103" i="47"/>
  <c r="D7" i="52"/>
  <c r="D7" i="47"/>
  <c r="D7" i="44"/>
  <c r="C68" i="26"/>
  <c r="D38" i="47"/>
  <c r="G18" i="44"/>
  <c r="B147" i="44"/>
  <c r="A24" i="44"/>
  <c r="F62" i="44"/>
  <c r="B67" i="44"/>
  <c r="D384" i="26"/>
  <c r="F384" i="26"/>
  <c r="G384" i="26"/>
  <c r="D137" i="26"/>
  <c r="C164" i="26"/>
  <c r="E318" i="26"/>
  <c r="E319" i="26"/>
  <c r="F200" i="26"/>
  <c r="E320" i="26"/>
  <c r="E321" i="26"/>
  <c r="D135" i="26"/>
  <c r="C123" i="26"/>
  <c r="E123" i="26"/>
  <c r="B122" i="26"/>
  <c r="B123" i="26"/>
  <c r="B124" i="26"/>
  <c r="B121" i="26"/>
  <c r="D13" i="50"/>
  <c r="D144" i="50"/>
  <c r="B179" i="50"/>
  <c r="D99" i="50"/>
  <c r="B113" i="50"/>
  <c r="D142" i="50"/>
  <c r="B157" i="50"/>
  <c r="B143" i="44"/>
  <c r="D170" i="44"/>
  <c r="D13" i="39"/>
  <c r="E383" i="26"/>
  <c r="F383" i="26"/>
  <c r="G383" i="26"/>
  <c r="A21" i="37"/>
  <c r="F320" i="26"/>
  <c r="F259" i="26"/>
  <c r="F319" i="26"/>
  <c r="A437" i="26"/>
  <c r="A484" i="26"/>
  <c r="A343" i="26"/>
  <c r="A375" i="26"/>
  <c r="A344" i="26"/>
  <c r="A376" i="26"/>
  <c r="A341" i="26"/>
  <c r="A373" i="26"/>
  <c r="A342" i="26"/>
  <c r="A374" i="26"/>
  <c r="A383" i="26"/>
  <c r="A422" i="26"/>
  <c r="A384" i="26"/>
  <c r="A423" i="26"/>
  <c r="A436" i="26"/>
  <c r="A483" i="26"/>
  <c r="A382" i="26"/>
  <c r="A421" i="26"/>
  <c r="A434" i="26"/>
  <c r="A481" i="26"/>
  <c r="D344" i="26"/>
  <c r="B182" i="26"/>
  <c r="C182" i="26"/>
  <c r="A435" i="26"/>
  <c r="A482" i="26"/>
  <c r="E107" i="26"/>
  <c r="H107" i="26"/>
  <c r="C67" i="26"/>
  <c r="E106" i="26"/>
  <c r="H106" i="26"/>
  <c r="C66" i="26"/>
  <c r="E105" i="26"/>
  <c r="H105" i="26"/>
  <c r="C65" i="26"/>
  <c r="B90" i="37"/>
  <c r="B25" i="53"/>
  <c r="B7" i="53"/>
  <c r="C144" i="53"/>
  <c r="B124" i="50"/>
  <c r="D101" i="50"/>
  <c r="E101" i="50"/>
  <c r="B56" i="47"/>
  <c r="B53" i="52"/>
  <c r="C103" i="47"/>
  <c r="B103" i="47"/>
  <c r="E22" i="44"/>
  <c r="B152" i="44"/>
  <c r="B134" i="26"/>
  <c r="F321" i="26"/>
  <c r="C424" i="26"/>
  <c r="C484" i="26"/>
  <c r="B135" i="26"/>
  <c r="E22" i="52"/>
  <c r="E22" i="47"/>
  <c r="B25" i="39"/>
  <c r="B180" i="52"/>
  <c r="E180" i="52"/>
  <c r="E121" i="47"/>
  <c r="B169" i="52"/>
  <c r="E169" i="52"/>
  <c r="D121" i="47"/>
  <c r="B141" i="52"/>
  <c r="D141" i="52"/>
  <c r="A173" i="52"/>
  <c r="A114" i="47"/>
  <c r="A125" i="47"/>
  <c r="A331" i="26"/>
  <c r="A100" i="47"/>
  <c r="B121" i="47"/>
  <c r="C162" i="26"/>
  <c r="B29" i="50"/>
  <c r="B29" i="53"/>
  <c r="C72" i="53"/>
  <c r="B137" i="26"/>
  <c r="C137" i="26"/>
  <c r="B136" i="26"/>
  <c r="C136" i="26"/>
  <c r="D136" i="26"/>
  <c r="C163" i="26"/>
  <c r="B376" i="26"/>
  <c r="B97" i="37"/>
  <c r="B101" i="37"/>
  <c r="B206" i="37"/>
  <c r="B215" i="44"/>
  <c r="C423" i="26"/>
  <c r="C483" i="26"/>
  <c r="D343" i="26"/>
  <c r="C422" i="26"/>
  <c r="C482" i="26"/>
  <c r="D342" i="26"/>
  <c r="C135" i="26"/>
  <c r="C134" i="26"/>
  <c r="D103" i="47"/>
  <c r="E103" i="47"/>
  <c r="B125" i="47"/>
  <c r="B234" i="44"/>
  <c r="B245" i="44"/>
  <c r="E144" i="53"/>
  <c r="B174" i="53"/>
  <c r="B158" i="44"/>
  <c r="D173" i="44"/>
  <c r="B162" i="44"/>
  <c r="B164" i="44"/>
  <c r="D174" i="44"/>
  <c r="B29" i="39"/>
  <c r="C72" i="39"/>
  <c r="C72" i="50"/>
  <c r="D191" i="44"/>
  <c r="A174" i="26"/>
  <c r="A390" i="26"/>
  <c r="B114" i="47"/>
  <c r="B173" i="52"/>
  <c r="C114" i="47"/>
  <c r="B100" i="47"/>
  <c r="C100" i="47"/>
  <c r="B58" i="26"/>
  <c r="F121" i="47"/>
  <c r="B170" i="26"/>
  <c r="D170" i="26"/>
  <c r="C121" i="47"/>
  <c r="G121" i="47"/>
  <c r="B327" i="26"/>
  <c r="A184" i="52"/>
  <c r="D9" i="44"/>
  <c r="B156" i="44"/>
  <c r="A101" i="47"/>
  <c r="A170" i="52"/>
  <c r="B138" i="52"/>
  <c r="D138" i="52"/>
  <c r="A111" i="47"/>
  <c r="A122" i="47"/>
  <c r="A328" i="26"/>
  <c r="A102" i="47"/>
  <c r="C141" i="52"/>
  <c r="B374" i="26"/>
  <c r="B375" i="26"/>
  <c r="C327" i="26"/>
  <c r="B235" i="44"/>
  <c r="D100" i="47"/>
  <c r="E100" i="47"/>
  <c r="B122" i="47"/>
  <c r="D114" i="47"/>
  <c r="G437" i="26"/>
  <c r="E114" i="47"/>
  <c r="C125" i="47"/>
  <c r="B390" i="26"/>
  <c r="E390" i="26"/>
  <c r="E141" i="52"/>
  <c r="D184" i="52"/>
  <c r="A171" i="26"/>
  <c r="A387" i="26"/>
  <c r="C111" i="47"/>
  <c r="B111" i="47"/>
  <c r="C102" i="47"/>
  <c r="B102" i="47"/>
  <c r="C101" i="47"/>
  <c r="B101" i="47"/>
  <c r="C174" i="26"/>
  <c r="B55" i="26"/>
  <c r="B184" i="52"/>
  <c r="B170" i="52"/>
  <c r="C138" i="52"/>
  <c r="A113" i="47"/>
  <c r="A124" i="47"/>
  <c r="A330" i="26"/>
  <c r="B140" i="52"/>
  <c r="D140" i="52"/>
  <c r="A172" i="52"/>
  <c r="A112" i="47"/>
  <c r="A123" i="47"/>
  <c r="A329" i="26"/>
  <c r="A171" i="52"/>
  <c r="B139" i="52"/>
  <c r="D139" i="52"/>
  <c r="A181" i="52"/>
  <c r="D172" i="44"/>
  <c r="A128" i="44"/>
  <c r="E132" i="44"/>
  <c r="D171" i="44"/>
  <c r="D327" i="26"/>
  <c r="G327" i="26"/>
  <c r="D54" i="26"/>
  <c r="E341" i="26"/>
  <c r="D390" i="26"/>
  <c r="F390" i="26"/>
  <c r="G390" i="26"/>
  <c r="D101" i="47"/>
  <c r="E101" i="47"/>
  <c r="B123" i="47"/>
  <c r="E111" i="47"/>
  <c r="C122" i="47"/>
  <c r="D111" i="47"/>
  <c r="E102" i="47"/>
  <c r="B124" i="47"/>
  <c r="D102" i="47"/>
  <c r="B387" i="26"/>
  <c r="E387" i="26"/>
  <c r="E138" i="52"/>
  <c r="D181" i="52"/>
  <c r="A172" i="26"/>
  <c r="A388" i="26"/>
  <c r="A173" i="26"/>
  <c r="A389" i="26"/>
  <c r="B112" i="47"/>
  <c r="C112" i="47"/>
  <c r="B113" i="47"/>
  <c r="C113" i="47"/>
  <c r="F141" i="52"/>
  <c r="D173" i="52"/>
  <c r="C171" i="26"/>
  <c r="B56" i="26"/>
  <c r="B57" i="26"/>
  <c r="C139" i="52"/>
  <c r="B172" i="52"/>
  <c r="B181" i="52"/>
  <c r="B171" i="52"/>
  <c r="C140" i="52"/>
  <c r="A182" i="52"/>
  <c r="A183" i="52"/>
  <c r="B161" i="26"/>
  <c r="G434" i="26"/>
  <c r="E112" i="47"/>
  <c r="C123" i="47"/>
  <c r="D112" i="47"/>
  <c r="B389" i="26"/>
  <c r="D389" i="26"/>
  <c r="E140" i="52"/>
  <c r="F140" i="52"/>
  <c r="D172" i="52"/>
  <c r="B388" i="26"/>
  <c r="E388" i="26"/>
  <c r="E139" i="52"/>
  <c r="D182" i="52"/>
  <c r="E113" i="47"/>
  <c r="C124" i="47"/>
  <c r="D113" i="47"/>
  <c r="D387" i="26"/>
  <c r="F387" i="26"/>
  <c r="G387" i="26"/>
  <c r="D189" i="44"/>
  <c r="F138" i="52"/>
  <c r="D170" i="52"/>
  <c r="C173" i="26"/>
  <c r="C172" i="26"/>
  <c r="B182" i="52"/>
  <c r="B183" i="52"/>
  <c r="F318" i="26"/>
  <c r="E389" i="26"/>
  <c r="F389" i="26"/>
  <c r="G389" i="26"/>
  <c r="D388" i="26"/>
  <c r="F388" i="26"/>
  <c r="G388" i="26"/>
  <c r="C203" i="44"/>
  <c r="D183" i="52"/>
  <c r="F139" i="52"/>
  <c r="D171" i="52"/>
  <c r="D198" i="44"/>
  <c r="C199" i="44"/>
  <c r="D99" i="39"/>
  <c r="B113" i="39"/>
  <c r="D100" i="39"/>
  <c r="D143" i="39"/>
  <c r="B168" i="39"/>
  <c r="D144" i="39"/>
  <c r="B179" i="39"/>
  <c r="D203" i="44"/>
  <c r="E203" i="44"/>
  <c r="B124" i="39"/>
  <c r="D101" i="39"/>
  <c r="E101" i="39"/>
  <c r="D201" i="44"/>
  <c r="D202" i="44"/>
  <c r="D199" i="44"/>
  <c r="D197" i="44"/>
  <c r="C197" i="44"/>
  <c r="E199" i="44"/>
  <c r="C172" i="44"/>
  <c r="E172" i="44"/>
  <c r="C198" i="44"/>
  <c r="C200" i="44"/>
  <c r="C201" i="44"/>
  <c r="C202" i="44"/>
  <c r="C174" i="44"/>
  <c r="E174" i="44"/>
  <c r="C170" i="44"/>
  <c r="C171" i="44"/>
  <c r="E171" i="44"/>
  <c r="E202" i="44"/>
  <c r="C245" i="37"/>
  <c r="C244" i="37"/>
  <c r="C173" i="44"/>
  <c r="E173" i="44"/>
  <c r="C204" i="44"/>
  <c r="B248" i="44"/>
  <c r="E170" i="44"/>
  <c r="E201" i="44"/>
  <c r="E204" i="44"/>
  <c r="E197" i="44"/>
  <c r="B98" i="26"/>
  <c r="B7" i="39"/>
  <c r="C144" i="39"/>
  <c r="B25" i="50"/>
  <c r="B7" i="50"/>
  <c r="C144" i="50"/>
  <c r="D98" i="26"/>
  <c r="G98" i="26"/>
  <c r="H98" i="26"/>
  <c r="D50" i="26"/>
  <c r="B238" i="44"/>
  <c r="C257" i="44"/>
  <c r="B216" i="44"/>
  <c r="E175" i="44"/>
  <c r="C175" i="44"/>
  <c r="B183" i="44"/>
  <c r="C190" i="44"/>
  <c r="B223" i="44"/>
  <c r="E144" i="39"/>
  <c r="E144" i="50"/>
  <c r="B174" i="50"/>
  <c r="B179" i="44"/>
  <c r="D190" i="44"/>
  <c r="E190" i="44"/>
  <c r="B245" i="37"/>
  <c r="B174" i="39"/>
  <c r="E198" i="44"/>
  <c r="E200" i="44"/>
  <c r="B247" i="44"/>
  <c r="D49" i="26"/>
  <c r="B244" i="37"/>
  <c r="B237" i="44"/>
  <c r="B257" i="44"/>
  <c r="D48" i="26"/>
  <c r="B103" i="44"/>
  <c r="B111" i="44"/>
  <c r="B118" i="44"/>
  <c r="B217" i="44"/>
  <c r="B218" i="44"/>
  <c r="B123" i="44"/>
  <c r="E124" i="44"/>
  <c r="E128" i="44"/>
  <c r="C189" i="44"/>
  <c r="B77" i="52"/>
  <c r="E189" i="44"/>
  <c r="B222" i="44"/>
  <c r="B225" i="44"/>
  <c r="D69" i="44"/>
  <c r="B57" i="44"/>
  <c r="B62" i="44"/>
  <c r="C172" i="52"/>
  <c r="C183" i="52"/>
  <c r="C173" i="52"/>
  <c r="C184" i="52"/>
  <c r="C170" i="52"/>
  <c r="C181" i="52"/>
  <c r="C171" i="52"/>
  <c r="C182" i="52"/>
  <c r="B226" i="44"/>
  <c r="B227" i="44"/>
  <c r="B224" i="44"/>
  <c r="E181" i="52"/>
  <c r="E170" i="52"/>
  <c r="E171" i="52"/>
  <c r="E182" i="52"/>
  <c r="E90" i="37"/>
  <c r="E184" i="52"/>
  <c r="E173" i="52"/>
  <c r="E183" i="52"/>
  <c r="E172" i="52"/>
  <c r="D124" i="47"/>
  <c r="F124" i="47"/>
  <c r="B173" i="26"/>
  <c r="D173" i="26"/>
  <c r="D122" i="47"/>
  <c r="F122" i="47"/>
  <c r="B171" i="26"/>
  <c r="D171" i="26"/>
  <c r="D123" i="47"/>
  <c r="F123" i="47"/>
  <c r="B172" i="26"/>
  <c r="D172" i="26"/>
  <c r="E122" i="47"/>
  <c r="G122" i="47"/>
  <c r="B328" i="26"/>
  <c r="E124" i="47"/>
  <c r="G124" i="47"/>
  <c r="B330" i="26"/>
  <c r="E125" i="47"/>
  <c r="G125" i="47"/>
  <c r="E123" i="47"/>
  <c r="G123" i="47"/>
  <c r="B329" i="26"/>
  <c r="D125" i="47"/>
  <c r="F125" i="47"/>
  <c r="B174" i="26"/>
  <c r="D174" i="26"/>
  <c r="E191" i="44"/>
  <c r="B236" i="44"/>
  <c r="C191" i="44"/>
  <c r="B228" i="44"/>
  <c r="B229" i="44"/>
  <c r="D72" i="26"/>
  <c r="C329" i="26"/>
  <c r="C330" i="26"/>
  <c r="C328" i="26"/>
  <c r="B321" i="26"/>
  <c r="B331" i="26"/>
  <c r="B164" i="26"/>
  <c r="D164" i="26"/>
  <c r="A245" i="37"/>
  <c r="D244" i="37"/>
  <c r="B246" i="44"/>
  <c r="B239" i="44"/>
  <c r="B240" i="44"/>
  <c r="A257" i="44"/>
  <c r="D257" i="44"/>
  <c r="C72" i="26"/>
  <c r="D328" i="26"/>
  <c r="G328" i="26"/>
  <c r="D55" i="26"/>
  <c r="E342" i="26"/>
  <c r="F342" i="26"/>
  <c r="D330" i="26"/>
  <c r="G330" i="26"/>
  <c r="D57" i="26"/>
  <c r="E344" i="26"/>
  <c r="F344" i="26"/>
  <c r="D329" i="26"/>
  <c r="G329" i="26"/>
  <c r="D56" i="26"/>
  <c r="E343" i="26"/>
  <c r="F343" i="26"/>
  <c r="C331" i="26"/>
  <c r="D331" i="26"/>
  <c r="G331" i="26"/>
  <c r="C321" i="26"/>
  <c r="D321" i="26"/>
  <c r="G321" i="26"/>
  <c r="H321" i="26"/>
  <c r="B249" i="44"/>
  <c r="B250" i="44"/>
  <c r="E257" i="44"/>
  <c r="E240" i="44"/>
  <c r="D74" i="26"/>
  <c r="D58" i="26"/>
  <c r="D124" i="26"/>
  <c r="F124" i="26"/>
  <c r="D68" i="26"/>
  <c r="E137" i="26"/>
  <c r="F137" i="26"/>
  <c r="C74" i="26"/>
  <c r="C73" i="26"/>
  <c r="B251" i="44"/>
  <c r="E251" i="44"/>
  <c r="D73" i="26"/>
  <c r="F257" i="44"/>
  <c r="G257" i="44"/>
  <c r="A15" i="50"/>
  <c r="B437" i="26"/>
  <c r="B424" i="26"/>
  <c r="E424" i="26"/>
  <c r="D182" i="26"/>
  <c r="E244" i="37"/>
  <c r="F244" i="37"/>
  <c r="G17" i="50"/>
  <c r="B43" i="50"/>
  <c r="D245" i="37"/>
  <c r="E245" i="37"/>
  <c r="B37" i="50"/>
  <c r="C143" i="50"/>
  <c r="G17" i="39"/>
  <c r="E182" i="26"/>
  <c r="F182" i="26"/>
  <c r="C376" i="26"/>
  <c r="E376" i="26"/>
  <c r="C437" i="26"/>
  <c r="D437" i="26"/>
  <c r="E437" i="26"/>
  <c r="F437" i="26"/>
  <c r="H437" i="26"/>
  <c r="E484" i="26"/>
  <c r="G244" i="37"/>
  <c r="A15" i="39"/>
  <c r="B37" i="39"/>
  <c r="B34" i="50"/>
  <c r="F245" i="37"/>
  <c r="G17" i="53"/>
  <c r="B34" i="53"/>
  <c r="G245" i="37"/>
  <c r="A15" i="53"/>
  <c r="B34" i="39"/>
  <c r="E143" i="50"/>
  <c r="B163" i="50"/>
  <c r="B61" i="50"/>
  <c r="B55" i="50"/>
  <c r="B49" i="50"/>
  <c r="C142" i="50"/>
  <c r="F484" i="26"/>
  <c r="G484" i="26"/>
  <c r="H484" i="26"/>
  <c r="F68" i="26"/>
  <c r="C344" i="26"/>
  <c r="F376" i="26"/>
  <c r="B43" i="53"/>
  <c r="B61" i="53"/>
  <c r="C71" i="53"/>
  <c r="B86" i="53"/>
  <c r="E164" i="26"/>
  <c r="F164" i="26"/>
  <c r="G164" i="26"/>
  <c r="E68" i="26"/>
  <c r="E171" i="26"/>
  <c r="F171" i="26"/>
  <c r="G171" i="26"/>
  <c r="E172" i="26"/>
  <c r="F172" i="26"/>
  <c r="G172" i="26"/>
  <c r="E173" i="26"/>
  <c r="F173" i="26"/>
  <c r="G173" i="26"/>
  <c r="E174" i="26"/>
  <c r="F174" i="26"/>
  <c r="G174" i="26"/>
  <c r="E170" i="26"/>
  <c r="F170" i="26"/>
  <c r="G170" i="26"/>
  <c r="C143" i="39"/>
  <c r="E143" i="39"/>
  <c r="B43" i="39"/>
  <c r="B61" i="39"/>
  <c r="C70" i="39"/>
  <c r="B80" i="39"/>
  <c r="C143" i="53"/>
  <c r="B163" i="53"/>
  <c r="B37" i="53"/>
  <c r="B152" i="50"/>
  <c r="C145" i="50"/>
  <c r="E142" i="50"/>
  <c r="E145" i="50"/>
  <c r="C100" i="50"/>
  <c r="C99" i="50"/>
  <c r="C71" i="50"/>
  <c r="B86" i="50"/>
  <c r="C70" i="50"/>
  <c r="B49" i="53"/>
  <c r="C142" i="53"/>
  <c r="C145" i="53"/>
  <c r="B55" i="53"/>
  <c r="C99" i="53"/>
  <c r="B55" i="39"/>
  <c r="C100" i="39"/>
  <c r="B163" i="39"/>
  <c r="C71" i="39"/>
  <c r="B86" i="39"/>
  <c r="B49" i="39"/>
  <c r="C142" i="39"/>
  <c r="C70" i="53"/>
  <c r="B80" i="53"/>
  <c r="E143" i="53"/>
  <c r="C73" i="50"/>
  <c r="B80" i="50"/>
  <c r="E99" i="50"/>
  <c r="B108" i="50"/>
  <c r="E100" i="50"/>
  <c r="B119" i="50"/>
  <c r="B186" i="50"/>
  <c r="D203" i="39"/>
  <c r="E203" i="39"/>
  <c r="B193" i="50"/>
  <c r="E142" i="53"/>
  <c r="E145" i="53"/>
  <c r="C203" i="53"/>
  <c r="G436" i="26"/>
  <c r="B152" i="53"/>
  <c r="C99" i="39"/>
  <c r="B108" i="39"/>
  <c r="C100" i="53"/>
  <c r="B119" i="53"/>
  <c r="C73" i="39"/>
  <c r="B202" i="39"/>
  <c r="C73" i="53"/>
  <c r="B92" i="53"/>
  <c r="E102" i="50"/>
  <c r="E202" i="39"/>
  <c r="B108" i="53"/>
  <c r="E99" i="53"/>
  <c r="B92" i="50"/>
  <c r="D202" i="39"/>
  <c r="B152" i="39"/>
  <c r="C145" i="39"/>
  <c r="E100" i="39"/>
  <c r="B119" i="39"/>
  <c r="B203" i="53"/>
  <c r="B186" i="53"/>
  <c r="E142" i="39"/>
  <c r="E145" i="39"/>
  <c r="E100" i="53"/>
  <c r="E102" i="53"/>
  <c r="E99" i="39"/>
  <c r="E102" i="39"/>
  <c r="C202" i="39"/>
  <c r="F202" i="39"/>
  <c r="B162" i="26"/>
  <c r="B92" i="39"/>
  <c r="B202" i="53"/>
  <c r="B194" i="53"/>
  <c r="B133" i="50"/>
  <c r="C203" i="39"/>
  <c r="B194" i="39"/>
  <c r="B203" i="39"/>
  <c r="F203" i="39"/>
  <c r="B163" i="26"/>
  <c r="B186" i="39"/>
  <c r="D163" i="26"/>
  <c r="B262" i="26"/>
  <c r="D269" i="26"/>
  <c r="D162" i="26"/>
  <c r="B203" i="26"/>
  <c r="B133" i="39"/>
  <c r="G203" i="39"/>
  <c r="B320" i="26"/>
  <c r="C259" i="26"/>
  <c r="D268" i="26"/>
  <c r="C202" i="53"/>
  <c r="G435" i="26"/>
  <c r="B133" i="53"/>
  <c r="G202" i="39"/>
  <c r="B319" i="26"/>
  <c r="B263" i="26"/>
  <c r="C200" i="26"/>
  <c r="D209" i="26"/>
  <c r="D210" i="26"/>
  <c r="B204" i="26"/>
  <c r="C319" i="26"/>
  <c r="C320" i="26"/>
  <c r="D320" i="26"/>
  <c r="D259" i="26"/>
  <c r="D319" i="26"/>
  <c r="D200" i="26"/>
  <c r="G320" i="26"/>
  <c r="E259" i="26"/>
  <c r="G319" i="26"/>
  <c r="G200" i="26"/>
  <c r="E200" i="26"/>
  <c r="D299" i="26"/>
  <c r="D307" i="26"/>
  <c r="H320" i="26"/>
  <c r="G259" i="26"/>
  <c r="H319" i="26"/>
  <c r="H200" i="26"/>
  <c r="D240" i="26"/>
  <c r="D248" i="26"/>
  <c r="D249" i="26"/>
  <c r="D250" i="26"/>
  <c r="D253" i="26"/>
  <c r="D180" i="26"/>
  <c r="D122" i="26"/>
  <c r="F122" i="26"/>
  <c r="D66" i="26"/>
  <c r="E135" i="26"/>
  <c r="F135" i="26"/>
  <c r="B435" i="26"/>
  <c r="C435" i="26"/>
  <c r="D435" i="26"/>
  <c r="E435" i="26"/>
  <c r="F435" i="26"/>
  <c r="D300" i="26"/>
  <c r="D301" i="26"/>
  <c r="D303" i="26"/>
  <c r="H259" i="26"/>
  <c r="E136" i="26"/>
  <c r="F136" i="26"/>
  <c r="B436" i="26"/>
  <c r="D123" i="26"/>
  <c r="D308" i="26"/>
  <c r="D309" i="26"/>
  <c r="D312" i="26"/>
  <c r="D181" i="26"/>
  <c r="D241" i="26"/>
  <c r="D242" i="26"/>
  <c r="D244" i="26"/>
  <c r="E253" i="26"/>
  <c r="C343" i="26"/>
  <c r="D52" i="26"/>
  <c r="B422" i="26"/>
  <c r="E422" i="26"/>
  <c r="H435" i="26"/>
  <c r="E482" i="26"/>
  <c r="F482" i="26"/>
  <c r="G482" i="26"/>
  <c r="H482" i="26"/>
  <c r="F66" i="26"/>
  <c r="E180" i="26"/>
  <c r="F180" i="26"/>
  <c r="E162" i="26"/>
  <c r="F162" i="26"/>
  <c r="G162" i="26"/>
  <c r="E66" i="26"/>
  <c r="E181" i="26"/>
  <c r="D53" i="26"/>
  <c r="F123" i="26"/>
  <c r="D67" i="26"/>
  <c r="C436" i="26"/>
  <c r="D436" i="26"/>
  <c r="E436" i="26"/>
  <c r="F436" i="26"/>
  <c r="B423" i="26"/>
  <c r="E423" i="26"/>
  <c r="E312" i="26"/>
  <c r="D302" i="26"/>
  <c r="D304" i="26"/>
  <c r="D305" i="26"/>
  <c r="D306" i="26"/>
  <c r="F306" i="26"/>
  <c r="F253" i="26"/>
  <c r="B205" i="26"/>
  <c r="D243" i="26"/>
  <c r="D245" i="26"/>
  <c r="D246" i="26"/>
  <c r="D247" i="26"/>
  <c r="F247" i="26"/>
  <c r="C375" i="26"/>
  <c r="E375" i="26"/>
  <c r="F375" i="26"/>
  <c r="H436" i="26"/>
  <c r="E483" i="26"/>
  <c r="F483" i="26"/>
  <c r="G483" i="26"/>
  <c r="H483" i="26"/>
  <c r="F67" i="26"/>
  <c r="F181" i="26"/>
  <c r="E163" i="26"/>
  <c r="F163" i="26"/>
  <c r="G163" i="26"/>
  <c r="E67" i="26"/>
  <c r="F312" i="26"/>
  <c r="B264" i="26"/>
  <c r="D292" i="26"/>
  <c r="F292" i="26"/>
  <c r="D233" i="26"/>
  <c r="F233" i="26"/>
  <c r="D205" i="26"/>
  <c r="C342" i="26"/>
  <c r="C374" i="26"/>
  <c r="E374" i="26"/>
  <c r="F374" i="26"/>
  <c r="D264" i="26"/>
  <c r="C77" i="26"/>
  <c r="E121" i="26"/>
  <c r="C421" i="26"/>
  <c r="C481" i="26"/>
  <c r="D341" i="26"/>
  <c r="F341" i="26"/>
  <c r="B179" i="26"/>
  <c r="C179" i="26"/>
  <c r="D161" i="26"/>
  <c r="E134" i="26"/>
  <c r="F134" i="26"/>
  <c r="B434" i="26"/>
  <c r="B373" i="26"/>
  <c r="C434" i="26"/>
  <c r="D434" i="26"/>
  <c r="E434" i="26"/>
  <c r="F434" i="26"/>
  <c r="B421" i="26"/>
  <c r="E421" i="26"/>
  <c r="D179" i="26"/>
  <c r="D51" i="26"/>
  <c r="F121" i="26"/>
  <c r="D65" i="26"/>
  <c r="H434" i="26"/>
  <c r="E481" i="26"/>
  <c r="F481" i="26"/>
  <c r="G481" i="26"/>
  <c r="H481" i="26"/>
  <c r="F65" i="26"/>
  <c r="E179" i="26"/>
  <c r="F179" i="26"/>
  <c r="E161" i="26"/>
  <c r="F161" i="26"/>
  <c r="G161" i="26"/>
  <c r="E65" i="26"/>
  <c r="C373" i="26"/>
  <c r="E373" i="26"/>
  <c r="F373" i="26"/>
  <c r="C341" i="26"/>
</calcChain>
</file>

<file path=xl/sharedStrings.xml><?xml version="1.0" encoding="utf-8"?>
<sst xmlns="http://schemas.openxmlformats.org/spreadsheetml/2006/main" count="1529" uniqueCount="661">
  <si>
    <t>m</t>
  </si>
  <si>
    <t>grados</t>
  </si>
  <si>
    <t>ton</t>
  </si>
  <si>
    <t>ton-m</t>
  </si>
  <si>
    <t>CARGA</t>
  </si>
  <si>
    <t>TALON</t>
  </si>
  <si>
    <t>PIE</t>
  </si>
  <si>
    <t>cm</t>
  </si>
  <si>
    <t>CALCULO DE LAS FUERZAS QUE EJERCE EL SUELO Y SOBRECARGAS</t>
  </si>
  <si>
    <t>ZAPATA</t>
  </si>
  <si>
    <t>Seccion</t>
  </si>
  <si>
    <t>FUERZAS RESISTENTES</t>
  </si>
  <si>
    <t>As barra</t>
  </si>
  <si>
    <t>Elemento</t>
  </si>
  <si>
    <t>d (cm)</t>
  </si>
  <si>
    <t>Pie</t>
  </si>
  <si>
    <t>Talon</t>
  </si>
  <si>
    <t>Pb</t>
  </si>
  <si>
    <t>barra #</t>
  </si>
  <si>
    <t>radianes</t>
  </si>
  <si>
    <t>COEFICIENTES ESTATICOS</t>
  </si>
  <si>
    <t>Relleno</t>
  </si>
  <si>
    <t>d</t>
  </si>
  <si>
    <t>VASTAGO</t>
  </si>
  <si>
    <t>Kv</t>
  </si>
  <si>
    <t>ton/m</t>
  </si>
  <si>
    <t>Vastago</t>
  </si>
  <si>
    <t>n</t>
  </si>
  <si>
    <t>Cuantia</t>
  </si>
  <si>
    <t>pn</t>
  </si>
  <si>
    <t>k</t>
  </si>
  <si>
    <t>j</t>
  </si>
  <si>
    <t>z                  cm</t>
  </si>
  <si>
    <t>separacion cm</t>
  </si>
  <si>
    <t># Barras/m</t>
  </si>
  <si>
    <t># Barra</t>
  </si>
  <si>
    <t xml:space="preserve">Momentos tomados con respecto al Pie de la zapata </t>
  </si>
  <si>
    <t>Carga</t>
  </si>
  <si>
    <t>Numero</t>
  </si>
  <si>
    <t>Zapata</t>
  </si>
  <si>
    <t>Vu -ton</t>
  </si>
  <si>
    <t>fcr (ton/m2)</t>
  </si>
  <si>
    <t>C (m)</t>
  </si>
  <si>
    <t>M min (ton-m)</t>
  </si>
  <si>
    <t>Mcr (ton-m)</t>
  </si>
  <si>
    <r>
      <t>I (m</t>
    </r>
    <r>
      <rPr>
        <b/>
        <vertAlign val="superscript"/>
        <sz val="11"/>
        <rFont val="Arial"/>
        <family val="2"/>
      </rPr>
      <t>4</t>
    </r>
    <r>
      <rPr>
        <b/>
        <sz val="11"/>
        <rFont val="Arial"/>
        <family val="2"/>
      </rPr>
      <t>)</t>
    </r>
  </si>
  <si>
    <t>Mu ( ton-m)</t>
  </si>
  <si>
    <t>a ( cm)</t>
  </si>
  <si>
    <r>
      <t>As ( cm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</si>
  <si>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>Vu (ton)</t>
  </si>
  <si>
    <r>
      <t>vn (kg/cm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</si>
  <si>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vc (kg/cm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</si>
  <si>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kg/cm</t>
    </r>
    <r>
      <rPr>
        <vertAlign val="superscript"/>
        <sz val="11"/>
        <rFont val="Arial"/>
        <family val="2"/>
      </rPr>
      <t>2</t>
    </r>
  </si>
  <si>
    <t>% vn/vc</t>
  </si>
  <si>
    <t>Cuantia maxima</t>
  </si>
  <si>
    <t>f´c</t>
  </si>
  <si>
    <t>fy</t>
  </si>
  <si>
    <r>
      <t>ton/m</t>
    </r>
    <r>
      <rPr>
        <vertAlign val="superscript"/>
        <sz val="11"/>
        <rFont val="Arial"/>
        <family val="2"/>
      </rPr>
      <t>2</t>
    </r>
  </si>
  <si>
    <t>Pmax</t>
  </si>
  <si>
    <t>Recubrimientos</t>
  </si>
  <si>
    <t>Mu</t>
  </si>
  <si>
    <t>b</t>
  </si>
  <si>
    <t>Modulo de rotura del concreto</t>
  </si>
  <si>
    <t>Inercia de la seccion</t>
  </si>
  <si>
    <t>Distancia desde el eje neutro a la fibra extrema</t>
  </si>
  <si>
    <t>Momento de fisuracion del concreto</t>
  </si>
  <si>
    <t>Diametro db de la barra (cm)</t>
  </si>
  <si>
    <t>Espesor minimo del elemento que ancla (cm)</t>
  </si>
  <si>
    <t>Resistencia del concreto a corte</t>
  </si>
  <si>
    <t>Factor de reducion de resistencia a corte</t>
  </si>
  <si>
    <t>cuantia</t>
  </si>
  <si>
    <r>
      <t>Esfuerzo fb kg/cm</t>
    </r>
    <r>
      <rPr>
        <b/>
        <vertAlign val="superscript"/>
        <sz val="12"/>
        <rFont val="Arial"/>
        <family val="2"/>
      </rPr>
      <t>2</t>
    </r>
  </si>
  <si>
    <t>Esfuerzo de trabajo</t>
  </si>
  <si>
    <t>e (m)</t>
  </si>
  <si>
    <r>
      <t>G1 (ton/m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</si>
  <si>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G2 (ton/m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</si>
  <si>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tn/m</t>
    </r>
    <r>
      <rPr>
        <vertAlign val="superscript"/>
        <sz val="11"/>
        <rFont val="Arial"/>
        <family val="2"/>
      </rPr>
      <t>3</t>
    </r>
  </si>
  <si>
    <t>Pi (ton)</t>
  </si>
  <si>
    <t>Xi (m)</t>
  </si>
  <si>
    <t>Mi (ton-m)</t>
  </si>
  <si>
    <t>Yi (m)</t>
  </si>
  <si>
    <r>
      <t>Presion relleno Pr ( ton/m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)</t>
    </r>
  </si>
  <si>
    <t>Pi*Yi (ton-m)</t>
  </si>
  <si>
    <r>
      <t>K</t>
    </r>
    <r>
      <rPr>
        <b/>
        <vertAlign val="subscript"/>
        <sz val="11"/>
        <rFont val="Arial"/>
        <family val="2"/>
      </rPr>
      <t>AE</t>
    </r>
  </si>
  <si>
    <t>a</t>
  </si>
  <si>
    <t>c</t>
  </si>
  <si>
    <t>V1</t>
  </si>
  <si>
    <t>V2</t>
  </si>
  <si>
    <t>V3</t>
  </si>
  <si>
    <t>V4</t>
  </si>
  <si>
    <t>V5</t>
  </si>
  <si>
    <t>Sf</t>
  </si>
  <si>
    <t>Ga</t>
  </si>
  <si>
    <t>Gb</t>
  </si>
  <si>
    <t>Gc</t>
  </si>
  <si>
    <t>G1</t>
  </si>
  <si>
    <t>G2</t>
  </si>
  <si>
    <t>Pendinete de esfuerzos de contacto</t>
  </si>
  <si>
    <t>Peso del relleno sobre el talon</t>
  </si>
  <si>
    <t>Esfuerzo de contacto en el arranque del talon</t>
  </si>
  <si>
    <t>Esfuerzo de contacto en el arranque del pie</t>
  </si>
  <si>
    <t>Esfuerzo de contacto en a una distancia d del arranque del pie</t>
  </si>
  <si>
    <t>Wr</t>
  </si>
  <si>
    <t>P1</t>
  </si>
  <si>
    <t>P2</t>
  </si>
  <si>
    <t>Pi -ton</t>
  </si>
  <si>
    <t>Xi -m</t>
  </si>
  <si>
    <t>Mui ton-m</t>
  </si>
  <si>
    <t>Vup1</t>
  </si>
  <si>
    <t>Mup1</t>
  </si>
  <si>
    <t>Vut1</t>
  </si>
  <si>
    <t>Mut1</t>
  </si>
  <si>
    <t>Vi -ton</t>
  </si>
  <si>
    <t>V</t>
  </si>
  <si>
    <t>Ka</t>
  </si>
  <si>
    <t>kp</t>
  </si>
  <si>
    <t xml:space="preserve">Coeficiente activo de empuje de tierras Ka </t>
  </si>
  <si>
    <t xml:space="preserve">Coeficiente pasivo de empuje de tierras </t>
  </si>
  <si>
    <t>EMPUJE DE SUELOS</t>
  </si>
  <si>
    <t>Ei(ton)</t>
  </si>
  <si>
    <t>Peso P1</t>
  </si>
  <si>
    <t>Brazo X1</t>
  </si>
  <si>
    <t>PARA TODOS LOS CASOS</t>
  </si>
  <si>
    <t>Peso P2</t>
  </si>
  <si>
    <t>Brazo X2</t>
  </si>
  <si>
    <t>Peso P3</t>
  </si>
  <si>
    <t>Brazo X3</t>
  </si>
  <si>
    <t>Peso P4</t>
  </si>
  <si>
    <t>Brazo X4</t>
  </si>
  <si>
    <t>Peso P5</t>
  </si>
  <si>
    <t>Brazo X5</t>
  </si>
  <si>
    <t>Coeficiente de aceleracion vertical</t>
  </si>
  <si>
    <t>Coeficiente de aceleracion horizontal</t>
  </si>
  <si>
    <t>Kh</t>
  </si>
  <si>
    <r>
      <t xml:space="preserve">Angulo </t>
    </r>
    <r>
      <rPr>
        <sz val="11"/>
        <rFont val="Calibri"/>
        <family val="2"/>
      </rPr>
      <t>ϴ</t>
    </r>
  </si>
  <si>
    <t>ϴ</t>
  </si>
  <si>
    <r>
      <t xml:space="preserve">Coeficiente </t>
    </r>
    <r>
      <rPr>
        <b/>
        <sz val="14"/>
        <rFont val="Calibri"/>
        <family val="2"/>
      </rPr>
      <t>Ѱ</t>
    </r>
  </si>
  <si>
    <t>Ѱ</t>
  </si>
  <si>
    <t>Coeficiente Sismico de empuje de tierras</t>
  </si>
  <si>
    <r>
      <t>Presion sismo relleno Ps ( ton/m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)</t>
    </r>
  </si>
  <si>
    <t>EMPUJE POR EFECTOS SISMICOS</t>
  </si>
  <si>
    <r>
      <t xml:space="preserve">Angulo de friccion interna del terreno </t>
    </r>
    <r>
      <rPr>
        <b/>
        <sz val="11"/>
        <rFont val="Calibri"/>
        <family val="2"/>
      </rPr>
      <t>Φ</t>
    </r>
    <r>
      <rPr>
        <b/>
        <sz val="11"/>
        <rFont val="Arial"/>
        <family val="2"/>
      </rPr>
      <t>s</t>
    </r>
  </si>
  <si>
    <t>Er</t>
  </si>
  <si>
    <t>Yr</t>
  </si>
  <si>
    <t>Pr</t>
  </si>
  <si>
    <t>Ps</t>
  </si>
  <si>
    <t>Es</t>
  </si>
  <si>
    <t>Ys</t>
  </si>
  <si>
    <t>Empujes sismo sobre el relleno</t>
  </si>
  <si>
    <t>TABLA No 01</t>
  </si>
  <si>
    <t>TABLA No 02</t>
  </si>
  <si>
    <t>TABLA No 04</t>
  </si>
  <si>
    <t>Wm</t>
  </si>
  <si>
    <t>Yc</t>
  </si>
  <si>
    <t>Y1</t>
  </si>
  <si>
    <t>Y2</t>
  </si>
  <si>
    <t>Y3</t>
  </si>
  <si>
    <t>Altura de los centroides de los componentes del estribo</t>
  </si>
  <si>
    <t>Centroide vertical del estribo</t>
  </si>
  <si>
    <t>Calculo de los esfuerzos en puntos de la zapata</t>
  </si>
  <si>
    <t>Esfuerzo maximo en el pie</t>
  </si>
  <si>
    <t>Esfuerzo minimo en el talon</t>
  </si>
  <si>
    <t>Canto eficaz del refuerzo</t>
  </si>
  <si>
    <t>Carga triangular</t>
  </si>
  <si>
    <t xml:space="preserve">Triangular </t>
  </si>
  <si>
    <t>Rectangular</t>
  </si>
  <si>
    <t>Carga rectangular</t>
  </si>
  <si>
    <t>CALCULO DEL CORTANTE EN EL PIE</t>
  </si>
  <si>
    <t>CALCULO DEL MOMENTO EN EL PIE</t>
  </si>
  <si>
    <t>ESFUERZOS MAYORADOS EN EL PIE</t>
  </si>
  <si>
    <t>X1</t>
  </si>
  <si>
    <t>X2</t>
  </si>
  <si>
    <t>Cortante mayorado pie grupo 1</t>
  </si>
  <si>
    <t>Momento mayorado pie grupo 1</t>
  </si>
  <si>
    <t>ESFUERZOS MAYORADOS EN EL TALON</t>
  </si>
  <si>
    <t>Peso del Relleno</t>
  </si>
  <si>
    <t>CALCULO DEL CORTANTE Y MOMENTO EN EL TALON</t>
  </si>
  <si>
    <t>negativo</t>
  </si>
  <si>
    <t>X3</t>
  </si>
  <si>
    <t>X4</t>
  </si>
  <si>
    <t>Peso del relleno</t>
  </si>
  <si>
    <t>X5</t>
  </si>
  <si>
    <t>Cortante total mayorado en el talon grupo 1</t>
  </si>
  <si>
    <t>Momento total mayorado en el talon grupo 1</t>
  </si>
  <si>
    <t>Vup7</t>
  </si>
  <si>
    <t>Mup7</t>
  </si>
  <si>
    <t>Cortante total mayorado en el talon grupo 7</t>
  </si>
  <si>
    <t>Vut7</t>
  </si>
  <si>
    <t>Momento total mayorado en el talon grupo 7</t>
  </si>
  <si>
    <t>Mut7</t>
  </si>
  <si>
    <t>Area de la barra</t>
  </si>
  <si>
    <t>Hd</t>
  </si>
  <si>
    <t>Cortante al dentellon</t>
  </si>
  <si>
    <t>Vu</t>
  </si>
  <si>
    <t>simbolo</t>
  </si>
  <si>
    <t>unidad</t>
  </si>
  <si>
    <t>Dato</t>
  </si>
  <si>
    <t>He</t>
  </si>
  <si>
    <t>Valor</t>
  </si>
  <si>
    <t>Longitud de analisis</t>
  </si>
  <si>
    <t>B</t>
  </si>
  <si>
    <t>Hz</t>
  </si>
  <si>
    <t xml:space="preserve">Altura zapata </t>
  </si>
  <si>
    <t>tc</t>
  </si>
  <si>
    <t>Ancho base vastago</t>
  </si>
  <si>
    <t>tv</t>
  </si>
  <si>
    <t>Longitud talon zapata</t>
  </si>
  <si>
    <t>Lt</t>
  </si>
  <si>
    <t>Longitud pie zapata</t>
  </si>
  <si>
    <t>Lp</t>
  </si>
  <si>
    <t>GEOMETRIA BASICA ( ingresar datos)</t>
  </si>
  <si>
    <t>MATERIALES (Ingresar datos)</t>
  </si>
  <si>
    <t xml:space="preserve">Capacidad portante </t>
  </si>
  <si>
    <r>
      <rPr>
        <sz val="11"/>
        <rFont val="Calibri"/>
        <family val="2"/>
      </rPr>
      <t>ϕ</t>
    </r>
    <r>
      <rPr>
        <sz val="11"/>
        <rFont val="Arial"/>
        <family val="2"/>
      </rPr>
      <t>c</t>
    </r>
  </si>
  <si>
    <r>
      <rPr>
        <sz val="11"/>
        <rFont val="Calibri"/>
        <family val="2"/>
      </rPr>
      <t>ϕ</t>
    </r>
    <r>
      <rPr>
        <sz val="11"/>
        <rFont val="Arial"/>
        <family val="2"/>
      </rPr>
      <t>s</t>
    </r>
  </si>
  <si>
    <r>
      <rPr>
        <sz val="11"/>
        <rFont val="Calibri"/>
        <family val="2"/>
      </rPr>
      <t>Φ</t>
    </r>
    <r>
      <rPr>
        <sz val="11"/>
        <rFont val="Arial"/>
        <family val="2"/>
      </rPr>
      <t>s</t>
    </r>
  </si>
  <si>
    <t>Qa</t>
  </si>
  <si>
    <t>Compresion del concreto</t>
  </si>
  <si>
    <t xml:space="preserve">Fluencia del acero </t>
  </si>
  <si>
    <t>Peso volumetrico concreto</t>
  </si>
  <si>
    <t xml:space="preserve">Peso volumetrico suelo </t>
  </si>
  <si>
    <t>Friccion interna suelo</t>
  </si>
  <si>
    <t>Coeficiente sismico</t>
  </si>
  <si>
    <t>Hv</t>
  </si>
  <si>
    <t>Longitud zapata</t>
  </si>
  <si>
    <t>Lz</t>
  </si>
  <si>
    <t xml:space="preserve">Altura vastago </t>
  </si>
  <si>
    <t>Espesor minimo del dentellon</t>
  </si>
  <si>
    <t>vc</t>
  </si>
  <si>
    <r>
      <rPr>
        <sz val="11"/>
        <rFont val="Calibri"/>
        <family val="2"/>
      </rPr>
      <t>φ</t>
    </r>
    <r>
      <rPr>
        <sz val="11"/>
        <rFont val="Arial"/>
        <family val="2"/>
      </rPr>
      <t>v</t>
    </r>
  </si>
  <si>
    <t>Canto eficaz minimo</t>
  </si>
  <si>
    <t>r</t>
  </si>
  <si>
    <t>Espesor</t>
  </si>
  <si>
    <t>tes</t>
  </si>
  <si>
    <t>H1</t>
  </si>
  <si>
    <t>REFUERZO POR RETRACCION Y TEMPERATURA</t>
  </si>
  <si>
    <t>Espesor del elemento que ancla (cm)</t>
  </si>
  <si>
    <t>Chequeo</t>
  </si>
  <si>
    <r>
      <t>Lh</t>
    </r>
    <r>
      <rPr>
        <b/>
        <vertAlign val="subscript"/>
        <sz val="11"/>
        <rFont val="Arial"/>
        <family val="2"/>
      </rPr>
      <t xml:space="preserve">b     </t>
    </r>
    <r>
      <rPr>
        <b/>
        <sz val="11"/>
        <rFont val="Arial"/>
        <family val="2"/>
      </rPr>
      <t>(cm)</t>
    </r>
  </si>
  <si>
    <t>CHEQUEO DE LONGITUDES DE ANCLAJE A TRACCION CON GANCHO ESTANDAR</t>
  </si>
  <si>
    <t xml:space="preserve">Elemento que ancla </t>
  </si>
  <si>
    <t>Dentellon</t>
  </si>
  <si>
    <t>Ancho dentellon</t>
  </si>
  <si>
    <t>Td</t>
  </si>
  <si>
    <t>CALCULO DEL DENTELLON</t>
  </si>
  <si>
    <t>Momento minimo</t>
  </si>
  <si>
    <t>H - m</t>
  </si>
  <si>
    <t>CALCULO DE MOMENTO MINIMO</t>
  </si>
  <si>
    <t>H (m)</t>
  </si>
  <si>
    <t>CHEQUEO DE SEPARACION MAXIMA DEL REFUERZO A FLEXION</t>
  </si>
  <si>
    <t>Cuantia balanceda</t>
  </si>
  <si>
    <r>
      <t>B</t>
    </r>
    <r>
      <rPr>
        <vertAlign val="subscript"/>
        <sz val="11"/>
        <rFont val="Arial"/>
        <family val="2"/>
      </rPr>
      <t>1</t>
    </r>
  </si>
  <si>
    <r>
      <t>Ab (cm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</si>
  <si>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>TABLA No 05</t>
  </si>
  <si>
    <t>Esfuerzo actuante de corte en la seccion</t>
  </si>
  <si>
    <t>φc</t>
  </si>
  <si>
    <t>CHEQUEO A CORTE</t>
  </si>
  <si>
    <t>TABLA No 06</t>
  </si>
  <si>
    <t>Altura equivalente de compresion</t>
  </si>
  <si>
    <t>Area de refuerzo necesaria</t>
  </si>
  <si>
    <t>Separarcion de calculo entre barras</t>
  </si>
  <si>
    <t>Momento de diseño Mu</t>
  </si>
  <si>
    <t>φb</t>
  </si>
  <si>
    <t>CALCULO DEL REFUERZO A FLEXION</t>
  </si>
  <si>
    <r>
      <t>Asb (cm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</si>
  <si>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S calculo (cm)</t>
  </si>
  <si>
    <t>S ajustada (cm)</t>
  </si>
  <si>
    <t>Calculo de la relacion modular</t>
  </si>
  <si>
    <t>Modulo de elasticidad del acero</t>
  </si>
  <si>
    <t>Modulo de elasticidad del concreto</t>
  </si>
  <si>
    <t>Ec</t>
  </si>
  <si>
    <t>Relacion modular</t>
  </si>
  <si>
    <t>B (cm)</t>
  </si>
  <si>
    <t>Asi</t>
  </si>
  <si>
    <t>CALCULO DE AREA DE REFUERZO INSTALADA</t>
  </si>
  <si>
    <t>Momento       kg-cm</t>
  </si>
  <si>
    <t>Coeficiente j</t>
  </si>
  <si>
    <t>Coeficiente k</t>
  </si>
  <si>
    <t>Brazo interno de palanca</t>
  </si>
  <si>
    <t>Ajuste( cm)</t>
  </si>
  <si>
    <t>Anclaje</t>
  </si>
  <si>
    <t>separacion</t>
  </si>
  <si>
    <t>corte</t>
  </si>
  <si>
    <t>Alertas</t>
  </si>
  <si>
    <t xml:space="preserve"> CALCULOS (NO Ingresar datos)</t>
  </si>
  <si>
    <t xml:space="preserve">Ancho corona </t>
  </si>
  <si>
    <t>L1</t>
  </si>
  <si>
    <t>L2</t>
  </si>
  <si>
    <t>Altura bordillo</t>
  </si>
  <si>
    <t>Hb</t>
  </si>
  <si>
    <t>Altura relleno vastago</t>
  </si>
  <si>
    <t>Altura total relleno</t>
  </si>
  <si>
    <t xml:space="preserve">Ancho del cargue </t>
  </si>
  <si>
    <t>Ancho cargue relleno</t>
  </si>
  <si>
    <t>Ht</t>
  </si>
  <si>
    <t>CARGUE VASTAGO</t>
  </si>
  <si>
    <t>RELLENO 4</t>
  </si>
  <si>
    <t>RELLENO 5</t>
  </si>
  <si>
    <t>SOBRECARGA</t>
  </si>
  <si>
    <t>Presion de sobrecarga vehicular equivalente</t>
  </si>
  <si>
    <t>Empuje de sobrecarga vehicular equivalente</t>
  </si>
  <si>
    <t>Momento por sobrecarga vehicular equivalente</t>
  </si>
  <si>
    <t>Pv</t>
  </si>
  <si>
    <t>Ev</t>
  </si>
  <si>
    <t>Sobrecarga Pv (ton/m2)</t>
  </si>
  <si>
    <t>H1/2</t>
  </si>
  <si>
    <t>H</t>
  </si>
  <si>
    <t xml:space="preserve">Presion de suelo </t>
  </si>
  <si>
    <t>Empuje de suelo</t>
  </si>
  <si>
    <t>Momento por empuje suelo</t>
  </si>
  <si>
    <t>H/3</t>
  </si>
  <si>
    <t>H -m</t>
  </si>
  <si>
    <t>CALCULO DE CORTANTES ( ton )</t>
  </si>
  <si>
    <t>Suelo Er</t>
  </si>
  <si>
    <t>Viva Ev</t>
  </si>
  <si>
    <t>CALCULO DE MOMENTOS ( ton - m )</t>
  </si>
  <si>
    <t>Suelo Mr</t>
  </si>
  <si>
    <t>Viva Mv</t>
  </si>
  <si>
    <t>Envolvente</t>
  </si>
  <si>
    <t>Sismo Es</t>
  </si>
  <si>
    <t>Muro Eis</t>
  </si>
  <si>
    <t>Sismo Ms</t>
  </si>
  <si>
    <t>Muro Mis</t>
  </si>
  <si>
    <t>A1</t>
  </si>
  <si>
    <t>A2</t>
  </si>
  <si>
    <t>H/2</t>
  </si>
  <si>
    <t>H//3</t>
  </si>
  <si>
    <t>Pendiente del cargue</t>
  </si>
  <si>
    <t>S</t>
  </si>
  <si>
    <t>a (m)</t>
  </si>
  <si>
    <t>Calculo base inferior</t>
  </si>
  <si>
    <t>Cortante en area triangular A2</t>
  </si>
  <si>
    <t>Cortante en area rectangular A1</t>
  </si>
  <si>
    <t>V1 (ton)</t>
  </si>
  <si>
    <t>Eis (ton)</t>
  </si>
  <si>
    <t>Cortante inercial a cada seccion</t>
  </si>
  <si>
    <t>V2 (ton)</t>
  </si>
  <si>
    <t>CALCULO DE CORTANTE INERCIAL DEL MURO ton )</t>
  </si>
  <si>
    <t>Empuje inercial por sismo al muro</t>
  </si>
  <si>
    <t>Momento inercial a cada seccion</t>
  </si>
  <si>
    <t>Cortante inercial total</t>
  </si>
  <si>
    <t>Momentro inercial total</t>
  </si>
  <si>
    <t>Momento mayorado</t>
  </si>
  <si>
    <t>Vu1</t>
  </si>
  <si>
    <t>Mu1</t>
  </si>
  <si>
    <t>Vu7</t>
  </si>
  <si>
    <t>Mu7</t>
  </si>
  <si>
    <t>CALCULO DEL REFUERZO A FLEXION EN VASTAGO</t>
  </si>
  <si>
    <t>Separacion Maxima (cm)</t>
  </si>
  <si>
    <t>TABLA No 07</t>
  </si>
  <si>
    <t>TABLA No 08</t>
  </si>
  <si>
    <t>TABLA No 09</t>
  </si>
  <si>
    <t>TABLA No 11</t>
  </si>
  <si>
    <t>TABLA No 12</t>
  </si>
  <si>
    <t>TABLA No 13</t>
  </si>
  <si>
    <t>TABLA No 14</t>
  </si>
  <si>
    <t>TABLA No 15</t>
  </si>
  <si>
    <t>TABLA No 16</t>
  </si>
  <si>
    <t>TABLA No 18</t>
  </si>
  <si>
    <t>TABLA No 19</t>
  </si>
  <si>
    <t>TABLA No 20</t>
  </si>
  <si>
    <t>TABLA No 22</t>
  </si>
  <si>
    <t>TABLA No 23</t>
  </si>
  <si>
    <t>TABLA No 24</t>
  </si>
  <si>
    <t>TABLA No 26</t>
  </si>
  <si>
    <t>TABLA No 27</t>
  </si>
  <si>
    <t>TABLA No 28</t>
  </si>
  <si>
    <t>TABLA No 29</t>
  </si>
  <si>
    <t>TABLA No 30</t>
  </si>
  <si>
    <t>TABLA No 31</t>
  </si>
  <si>
    <t>TABLA No 32</t>
  </si>
  <si>
    <t>TABLA No 33</t>
  </si>
  <si>
    <t>Angulo del talud</t>
  </si>
  <si>
    <t>Pendiente del terreno</t>
  </si>
  <si>
    <t>i</t>
  </si>
  <si>
    <t>Friccion suelo -vastago</t>
  </si>
  <si>
    <t>δ</t>
  </si>
  <si>
    <t>Angulo del vastago</t>
  </si>
  <si>
    <t>β</t>
  </si>
  <si>
    <t>Angulo de friccion suelo - vastago</t>
  </si>
  <si>
    <t>Angulo del cargue del vastago</t>
  </si>
  <si>
    <t>Muro de corona S/N</t>
  </si>
  <si>
    <t># barra</t>
  </si>
  <si>
    <t>Temperatura zapata</t>
  </si>
  <si>
    <t>Pie zapata</t>
  </si>
  <si>
    <t>Talon Zapata</t>
  </si>
  <si>
    <t>RESULTADOS  Y VERIFICACIONES</t>
  </si>
  <si>
    <t>Altura dentellon</t>
  </si>
  <si>
    <t>VERIFICACION DE PARAMETROS (Ingresar ajuste por separarcion si es necesario)</t>
  </si>
  <si>
    <t>CHEQUEO A CORTE VASTAGO</t>
  </si>
  <si>
    <t>TABLA No 10</t>
  </si>
  <si>
    <t>Yr = He/2+ Hz</t>
  </si>
  <si>
    <t>Yr =He/3+Hz</t>
  </si>
  <si>
    <t>Altura zapata punta</t>
  </si>
  <si>
    <t>Hz1</t>
  </si>
  <si>
    <t>TABLA No 03</t>
  </si>
  <si>
    <t xml:space="preserve">9- CALCULO DEL ESFUERZO DE TRABAJO </t>
  </si>
  <si>
    <t>8- CALCULO DEL AREA INSTALADA A FLEXION</t>
  </si>
  <si>
    <t xml:space="preserve">7- CALCULO DEL MOMENTO MINIMO </t>
  </si>
  <si>
    <t>4- CHEQUEO DE CUANTIAS</t>
  </si>
  <si>
    <t xml:space="preserve">3- CALCULO DE SEPARARCION MAXIMA DEL REFUERZO A FLEXION </t>
  </si>
  <si>
    <t xml:space="preserve">2- LONGITUD DE ANCLAJE A TENSION CON GANCHO ESTANDAR </t>
  </si>
  <si>
    <t>TABLA No 34</t>
  </si>
  <si>
    <t>RESULTADOS DE SEPARACION DE REFUERZO A FLEXION (Ingresar # Barra)</t>
  </si>
  <si>
    <t>S/N</t>
  </si>
  <si>
    <t>Temperatura vastago H</t>
  </si>
  <si>
    <t>Temperatura vastago V</t>
  </si>
  <si>
    <t>Vastago H</t>
  </si>
  <si>
    <t>Vastago V</t>
  </si>
  <si>
    <t>ok</t>
  </si>
  <si>
    <t>Rp</t>
  </si>
  <si>
    <t>RESISTENCIA PASIVA DEL SUELOS</t>
  </si>
  <si>
    <t>Ep</t>
  </si>
  <si>
    <t>Pp</t>
  </si>
  <si>
    <t>Relleno en pie</t>
  </si>
  <si>
    <t>Rllp</t>
  </si>
  <si>
    <t>Relleno pie</t>
  </si>
  <si>
    <t>P3</t>
  </si>
  <si>
    <t>Altura mayor</t>
  </si>
  <si>
    <t>HM</t>
  </si>
  <si>
    <t>Altura menor</t>
  </si>
  <si>
    <t>Hm</t>
  </si>
  <si>
    <t>Altura total de diseño</t>
  </si>
  <si>
    <t>Friccion interna relleno</t>
  </si>
  <si>
    <t>θ</t>
  </si>
  <si>
    <t>Angulo suelo -espaldar</t>
  </si>
  <si>
    <t>Φf</t>
  </si>
  <si>
    <t>SOBRECARGA CARGA VIVA (LS)</t>
  </si>
  <si>
    <t>EMPUJE HORIZONTAL DEL SUELO (EH)</t>
  </si>
  <si>
    <t>DC</t>
  </si>
  <si>
    <t>Peso estructura</t>
  </si>
  <si>
    <t>EV</t>
  </si>
  <si>
    <t>Empuje vertical suelo</t>
  </si>
  <si>
    <t>CALCULO DE LA RESISTENCIA AL DESLIZAMIENTO</t>
  </si>
  <si>
    <t>Rt</t>
  </si>
  <si>
    <t>Resistencia nominal entre el cimiento y el suelo</t>
  </si>
  <si>
    <t>Rep</t>
  </si>
  <si>
    <t>Resistencia nominal pasiva del suelo</t>
  </si>
  <si>
    <r>
      <rPr>
        <sz val="14"/>
        <rFont val="Calibri"/>
        <family val="2"/>
      </rPr>
      <t>ϕ</t>
    </r>
    <r>
      <rPr>
        <sz val="14"/>
        <rFont val="Arial"/>
        <family val="2"/>
      </rPr>
      <t>t</t>
    </r>
  </si>
  <si>
    <t>Factor de resistencia entre el suelo y la cimentacion</t>
  </si>
  <si>
    <t>ϕep</t>
  </si>
  <si>
    <t>Factor de resistencia para la resistencia pasiva</t>
  </si>
  <si>
    <t>Rr</t>
  </si>
  <si>
    <t>Resistencia mayorada contra la falla por deslizamiento</t>
  </si>
  <si>
    <t>Altura desplante</t>
  </si>
  <si>
    <t>0.9*DC+1.0*EV</t>
  </si>
  <si>
    <r>
      <t>V*Tan(</t>
    </r>
    <r>
      <rPr>
        <sz val="11"/>
        <rFont val="Calibri"/>
        <family val="2"/>
      </rPr>
      <t>δ)</t>
    </r>
  </si>
  <si>
    <r>
      <t>Rep*</t>
    </r>
    <r>
      <rPr>
        <b/>
        <sz val="11"/>
        <rFont val="Calibri"/>
        <family val="2"/>
      </rPr>
      <t>ϕep+Rt*ϕ</t>
    </r>
    <r>
      <rPr>
        <b/>
        <sz val="9.35"/>
        <rFont val="Calibri"/>
        <family val="2"/>
      </rPr>
      <t>t</t>
    </r>
  </si>
  <si>
    <t>EMPUJE HORIZONTAL TOTAL</t>
  </si>
  <si>
    <t>Et</t>
  </si>
  <si>
    <t>Empuje relleno EH</t>
  </si>
  <si>
    <t>Sobrecarga viva LS</t>
  </si>
  <si>
    <t>1.5*EH+1.75*LS</t>
  </si>
  <si>
    <t>Base de la zapata</t>
  </si>
  <si>
    <t>D</t>
  </si>
  <si>
    <t>e</t>
  </si>
  <si>
    <t>Gv</t>
  </si>
  <si>
    <t>ton/m2</t>
  </si>
  <si>
    <t>ubicación resultante al pie</t>
  </si>
  <si>
    <t>Excentricidad</t>
  </si>
  <si>
    <t>Esfuerzo vertical</t>
  </si>
  <si>
    <t>E maxima</t>
  </si>
  <si>
    <t>Resistencia Deslizamiento</t>
  </si>
  <si>
    <t>M Resistente</t>
  </si>
  <si>
    <t>M Volteo</t>
  </si>
  <si>
    <t>CHEQUEOS</t>
  </si>
  <si>
    <t>V (ton)</t>
  </si>
  <si>
    <t>Mr (ton-m)</t>
  </si>
  <si>
    <t>Mv (ton-m)</t>
  </si>
  <si>
    <t>D (m)</t>
  </si>
  <si>
    <t xml:space="preserve">FUERZAS DESESTABILIZANTES </t>
  </si>
  <si>
    <t>Altura</t>
  </si>
  <si>
    <t>DENTELLON</t>
  </si>
  <si>
    <t>Resistencia I</t>
  </si>
  <si>
    <t>Factor de sitio</t>
  </si>
  <si>
    <t>Fpga</t>
  </si>
  <si>
    <t>PGA</t>
  </si>
  <si>
    <t>Empujes sismo sobre el relleno (incluye estatica del suelo)</t>
  </si>
  <si>
    <t>Fuerzas inerciales del sismo sobre muro</t>
  </si>
  <si>
    <t>W4</t>
  </si>
  <si>
    <t>Yc4</t>
  </si>
  <si>
    <t>Relleno sobre talon 4</t>
  </si>
  <si>
    <t>W5</t>
  </si>
  <si>
    <t>Yc5</t>
  </si>
  <si>
    <t>Empuje inercial sobre  muro</t>
  </si>
  <si>
    <t>PIR</t>
  </si>
  <si>
    <t>PAE</t>
  </si>
  <si>
    <t xml:space="preserve">FUERZAS ESTABILIZANTES </t>
  </si>
  <si>
    <r>
      <rPr>
        <sz val="11"/>
        <rFont val="Calibri"/>
        <family val="2"/>
      </rPr>
      <t>Φ</t>
    </r>
    <r>
      <rPr>
        <sz val="9.35"/>
        <rFont val="Arial"/>
        <family val="2"/>
      </rPr>
      <t>f</t>
    </r>
  </si>
  <si>
    <t>LS</t>
  </si>
  <si>
    <t xml:space="preserve">Sobrecarga vehicular </t>
  </si>
  <si>
    <t>Sobre carga vehicular</t>
  </si>
  <si>
    <t>0.90*DC+1.0*EV</t>
  </si>
  <si>
    <t>Ubicación resultante al pie</t>
  </si>
  <si>
    <t>REVISION DE LA EXCENTRICIDAD</t>
  </si>
  <si>
    <t>REVISION DE LA CAPACIDAD RESISTENTE DEL SUELO</t>
  </si>
  <si>
    <t>1.25*DC+1.35*EV+1.75 LS</t>
  </si>
  <si>
    <t>1.5*EH +1.75 LS</t>
  </si>
  <si>
    <t>Excentricidad maxima</t>
  </si>
  <si>
    <t>Capacidad resistente</t>
  </si>
  <si>
    <t>DISTRIBUCION DE ESFUERZOS EN LA ZAPATA PARA DISEÑO ESTRUCTURAL</t>
  </si>
  <si>
    <t>V/(B-2e)</t>
  </si>
  <si>
    <t>(Mr-Mv)/V</t>
  </si>
  <si>
    <t>B/2-D</t>
  </si>
  <si>
    <t>ANALISIS DE ESTABILIDAD EXTERNA EVENTO EXTREMO I</t>
  </si>
  <si>
    <t>PAE+0.5PIR</t>
  </si>
  <si>
    <t>0.5PAE+PIR</t>
  </si>
  <si>
    <t>0.5 PAE</t>
  </si>
  <si>
    <t>EH</t>
  </si>
  <si>
    <t>PAE+0.50*PIR+LS</t>
  </si>
  <si>
    <t>1.25*DC+1.35EV</t>
  </si>
  <si>
    <t>ESTADO LIMITE</t>
  </si>
  <si>
    <t>Resistencia</t>
  </si>
  <si>
    <t>Evento extremo</t>
  </si>
  <si>
    <t>FUERZAS DESESTABILIZANTES ULTIMAS</t>
  </si>
  <si>
    <t>ESTADOS LIMITE DE RESISTENCIA A DESLIZAMIENTO, EXCENTRICIDAD Y CAPACIDAD RESISTENTE</t>
  </si>
  <si>
    <t>1,0*DC+1.0*EV</t>
  </si>
  <si>
    <t>Permite desplazamiento</t>
  </si>
  <si>
    <t>Kh=As/2</t>
  </si>
  <si>
    <t>CALCULO DE CORTANTES Y MOMENTOS EN LA ZAPATA EVENTO EXTREMO 1</t>
  </si>
  <si>
    <t>CALCULO DE CORTANTES Y MOMENTOS EN LA ZAPATA ESTADOS DE RESISTENCIA</t>
  </si>
  <si>
    <t>CALCULO DE CORTANTES Y MOMENTOS EN LA ZAPATA ESTADO DE SERVICIO</t>
  </si>
  <si>
    <t>ESTADO LIMITE DE SERVICIO</t>
  </si>
  <si>
    <t>ESTADO LIMITE DE RESISTENCIA</t>
  </si>
  <si>
    <t>ESFUERZOS EN EL TALON</t>
  </si>
  <si>
    <t>ESFUERZOS EN EL PIE</t>
  </si>
  <si>
    <t>RESITENCIA</t>
  </si>
  <si>
    <t>EVENTO EXTREMO</t>
  </si>
  <si>
    <t>ENVOLVENTE</t>
  </si>
  <si>
    <t>SERVICIO</t>
  </si>
  <si>
    <t>CORTANTE Y MOMENTOS DE SERVICIO</t>
  </si>
  <si>
    <t>VuS</t>
  </si>
  <si>
    <t>MuS</t>
  </si>
  <si>
    <t>EtR</t>
  </si>
  <si>
    <t>EtS</t>
  </si>
  <si>
    <t>MtS</t>
  </si>
  <si>
    <t>MtR</t>
  </si>
  <si>
    <t>CALCULO DE MOMENTO Y CORTANTE EN EL VASTAGO EVENTO EXTREMO 1</t>
  </si>
  <si>
    <t>MtEE</t>
  </si>
  <si>
    <t>EtEE</t>
  </si>
  <si>
    <t xml:space="preserve">Cortante </t>
  </si>
  <si>
    <t>ENVOLVENTE RESISTENCIA Y EVENTO EXTREMO 1</t>
  </si>
  <si>
    <t>E</t>
  </si>
  <si>
    <t>M</t>
  </si>
  <si>
    <t>H*1/3</t>
  </si>
  <si>
    <t>CALCULO DE MOMENTO Y CORTANTE EN EL VASTAGO ESTADO LIMITE DE RESISTENCIA Y DE SERVICIO</t>
  </si>
  <si>
    <t>As -cm2/m</t>
  </si>
  <si>
    <t>Base -cm</t>
  </si>
  <si>
    <t>Altura-cm</t>
  </si>
  <si>
    <t>supuesto</t>
  </si>
  <si>
    <t>d -cm</t>
  </si>
  <si>
    <t>c -cm</t>
  </si>
  <si>
    <t>corregido</t>
  </si>
  <si>
    <t>φb corregido</t>
  </si>
  <si>
    <t>delta</t>
  </si>
  <si>
    <t>Tamaño del agregado</t>
  </si>
  <si>
    <t>Ag</t>
  </si>
  <si>
    <t>pulgadas</t>
  </si>
  <si>
    <t>Sx -Pulg.</t>
  </si>
  <si>
    <t>Sxe -Pulg.</t>
  </si>
  <si>
    <t>es</t>
  </si>
  <si>
    <t>Beta</t>
  </si>
  <si>
    <t>vc kg/cm2</t>
  </si>
  <si>
    <t>CALCULO DE LA CAPACIDAD DE CORTE DEL CONCRETO</t>
  </si>
  <si>
    <t>Calculo del factor de reducion de resistencia a flexion</t>
  </si>
  <si>
    <t>CALCULO DE LA DEFORMACION DEL ACERO</t>
  </si>
  <si>
    <t>d - cm</t>
  </si>
  <si>
    <t>ec</t>
  </si>
  <si>
    <t>Gobierno</t>
  </si>
  <si>
    <t>ey</t>
  </si>
  <si>
    <t>CONTROL DE AGRIETAMIENTO</t>
  </si>
  <si>
    <t>Bs</t>
  </si>
  <si>
    <r>
      <rPr>
        <b/>
        <sz val="11"/>
        <rFont val="Calibri"/>
        <family val="2"/>
      </rPr>
      <t>δ</t>
    </r>
    <r>
      <rPr>
        <b/>
        <sz val="9.35"/>
        <rFont val="Arial"/>
        <family val="2"/>
      </rPr>
      <t>e</t>
    </r>
  </si>
  <si>
    <t>dc - pulg</t>
  </si>
  <si>
    <t>fss ksi</t>
  </si>
  <si>
    <t>S max -pulg</t>
  </si>
  <si>
    <t>S max  -cm</t>
  </si>
  <si>
    <t>CALCULO DEL ESFUERZO PARA ESTADO LIMITE DE SERVICIO</t>
  </si>
  <si>
    <t>Agrietamiento</t>
  </si>
  <si>
    <t>CALCULO DE CUANTIAS DEL REFUERZO A FLEXION</t>
  </si>
  <si>
    <t>FUERZA</t>
  </si>
  <si>
    <t>Corte -ton</t>
  </si>
  <si>
    <t>Yc -m</t>
  </si>
  <si>
    <t>Mu -ton-m</t>
  </si>
  <si>
    <t>SUMA</t>
  </si>
  <si>
    <t>Vut</t>
  </si>
  <si>
    <t>Mup</t>
  </si>
  <si>
    <t>TABLA No 21</t>
  </si>
  <si>
    <t>TABLA No 25</t>
  </si>
  <si>
    <t>TABLA No 35</t>
  </si>
  <si>
    <t>TABLA No 36</t>
  </si>
  <si>
    <t>TABLA No 37</t>
  </si>
  <si>
    <t>CALCULO CENTROIDE VERTICAL DEL MURO</t>
  </si>
  <si>
    <t>Empuje inercial sobre  muro PIR</t>
  </si>
  <si>
    <t xml:space="preserve">ENVOLVENTE </t>
  </si>
  <si>
    <t>REVISION DEL ESFUERZO DE CORTE</t>
  </si>
  <si>
    <t>vn</t>
  </si>
  <si>
    <t>kg/cm2</t>
  </si>
  <si>
    <t>Momento</t>
  </si>
  <si>
    <t>kg-cm</t>
  </si>
  <si>
    <t>Cortante</t>
  </si>
  <si>
    <t>kg</t>
  </si>
  <si>
    <t>Numero de mallas intermedias</t>
  </si>
  <si>
    <t>Nm</t>
  </si>
  <si>
    <t>Separacion mallas</t>
  </si>
  <si>
    <t>dx</t>
  </si>
  <si>
    <t>Acero minimo mallas superiores</t>
  </si>
  <si>
    <t>Separacion transversal</t>
  </si>
  <si>
    <t>Smt</t>
  </si>
  <si>
    <t>#b</t>
  </si>
  <si>
    <t>Area barra</t>
  </si>
  <si>
    <t>As</t>
  </si>
  <si>
    <t>cm2</t>
  </si>
  <si>
    <t># ramas</t>
  </si>
  <si>
    <t>#r</t>
  </si>
  <si>
    <t>unidades</t>
  </si>
  <si>
    <t>Av</t>
  </si>
  <si>
    <t>Separacion maxima vertical</t>
  </si>
  <si>
    <t>S max</t>
  </si>
  <si>
    <t>Numero de mallas</t>
  </si>
  <si>
    <t>Area mallas superiores</t>
  </si>
  <si>
    <t>Acero minimo mallas</t>
  </si>
  <si>
    <t>Esfuerzo minimo en el acero</t>
  </si>
  <si>
    <t>Vs minimo</t>
  </si>
  <si>
    <t>Aporte mallas</t>
  </si>
  <si>
    <t>As mallas</t>
  </si>
  <si>
    <t>Asm</t>
  </si>
  <si>
    <t># mallas colaborando</t>
  </si>
  <si>
    <t># mallas</t>
  </si>
  <si>
    <t>Area maxima supuesta</t>
  </si>
  <si>
    <t>Area supuesta de mallas colaborando</t>
  </si>
  <si>
    <t>Area total</t>
  </si>
  <si>
    <t>Area de compresion</t>
  </si>
  <si>
    <t>Altura eje neutro</t>
  </si>
  <si>
    <t>tangente deformacion</t>
  </si>
  <si>
    <t>Ubicación 2 malla</t>
  </si>
  <si>
    <t>Defromacion unitaria 2 malla</t>
  </si>
  <si>
    <t>Esfuerzo 2 malla</t>
  </si>
  <si>
    <t>fs2</t>
  </si>
  <si>
    <t>Area equivalente 2</t>
  </si>
  <si>
    <t>Area total de trabajo</t>
  </si>
  <si>
    <t>Area total de mallas</t>
  </si>
  <si>
    <t>At</t>
  </si>
  <si>
    <t>Deformacion por cortante</t>
  </si>
  <si>
    <t>es1</t>
  </si>
  <si>
    <t>Cabezal</t>
  </si>
  <si>
    <t>* ESFUERZOS EN EL PIE DE LA ZAPATA</t>
  </si>
  <si>
    <t>a cm</t>
  </si>
  <si>
    <t>As cm2</t>
  </si>
  <si>
    <t>Barra #</t>
  </si>
  <si>
    <t>Altura m</t>
  </si>
  <si>
    <t>Mtu ton-m</t>
  </si>
  <si>
    <r>
      <t>Asb (cm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</si>
  <si>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>* ESFUERZOS EN EL TALON DE LA ZAPATA</t>
  </si>
  <si>
    <t>Separacion (cm)</t>
  </si>
  <si>
    <t>Acartelamiento</t>
  </si>
  <si>
    <t>t ac</t>
  </si>
  <si>
    <t>Tona</t>
  </si>
  <si>
    <t>Tipo C</t>
  </si>
  <si>
    <t>MUNICIPIO DE TONA</t>
  </si>
  <si>
    <t xml:space="preserve">MURO CONVENCIONAL H= 4.50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</si>
</sst>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(* #,##0.00_);_(* \(#,##0.00\);_(* &quot;-&quot;??_);_(@_)"/>
    <numFmt numFmtId="165" formatCode="_ * #,##0.00_ ;_ * \-#,##0.00_ ;_ * &quot;-&quot;??_ ;_ @_ "/>
    <numFmt numFmtId="166" formatCode="0.0"/>
    <numFmt numFmtId="167" formatCode="0.0000"/>
    <numFmt numFmtId="168" formatCode="#,##0.00_ ;\-#,##0.00\ "/>
    <numFmt numFmtId="169" formatCode="#,##0.000_);\(#,##0.000\)"/>
    <numFmt numFmtId="170" formatCode="#,##0.00000_);\(#,##0.00000\)"/>
    <numFmt numFmtId="171" formatCode="0.000000"/>
    <numFmt numFmtId="172" formatCode="0.000"/>
    <numFmt numFmtId="173" formatCode="#,##0.0_ ;\-#,##0.0\ 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</font>
    <font>
      <b/>
      <vertAlign val="subscript"/>
      <sz val="11"/>
      <name val="Arial"/>
      <family val="2"/>
    </font>
    <font>
      <b/>
      <vertAlign val="superscript"/>
      <sz val="12"/>
      <name val="Arial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vertAlign val="subscript"/>
      <sz val="11"/>
      <name val="Arial"/>
      <family val="2"/>
    </font>
    <font>
      <sz val="14"/>
      <name val="Arial"/>
      <family val="2"/>
    </font>
    <font>
      <sz val="14"/>
      <name val="Calibri"/>
      <family val="2"/>
    </font>
    <font>
      <b/>
      <sz val="9.35"/>
      <name val="Calibri"/>
      <family val="2"/>
    </font>
    <font>
      <sz val="9.35"/>
      <name val="Arial"/>
      <family val="2"/>
    </font>
    <font>
      <b/>
      <sz val="9.35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54">
    <xf numFmtId="0" fontId="0" fillId="0" borderId="0" xfId="0"/>
    <xf numFmtId="0" fontId="2" fillId="0" borderId="0" xfId="0" applyFont="1"/>
    <xf numFmtId="164" fontId="2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Protection="1"/>
    <xf numFmtId="164" fontId="4" fillId="0" borderId="0" xfId="2" applyFont="1" applyProtection="1">
      <protection locked="0"/>
    </xf>
    <xf numFmtId="165" fontId="2" fillId="0" borderId="0" xfId="3" applyNumberFormat="1" applyFont="1" applyBorder="1" applyProtection="1"/>
    <xf numFmtId="165" fontId="4" fillId="0" borderId="3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 applyBorder="1" applyAlignment="1" applyProtection="1">
      <alignment horizontal="left"/>
    </xf>
    <xf numFmtId="164" fontId="2" fillId="0" borderId="0" xfId="2" applyFont="1" applyBorder="1" applyAlignment="1" applyProtection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2" fontId="2" fillId="0" borderId="4" xfId="2" applyNumberFormat="1" applyFont="1" applyBorder="1" applyAlignment="1">
      <alignment horizontal="center"/>
    </xf>
    <xf numFmtId="2" fontId="2" fillId="0" borderId="6" xfId="2" applyNumberFormat="1" applyFont="1" applyBorder="1" applyAlignment="1">
      <alignment horizontal="center"/>
    </xf>
    <xf numFmtId="0" fontId="6" fillId="0" borderId="0" xfId="0" applyFont="1"/>
    <xf numFmtId="2" fontId="2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5" xfId="1" applyNumberFormat="1" applyFont="1" applyBorder="1" applyAlignment="1">
      <alignment horizontal="center"/>
    </xf>
    <xf numFmtId="2" fontId="2" fillId="0" borderId="5" xfId="3" applyNumberFormat="1" applyFont="1" applyBorder="1" applyAlignment="1" applyProtection="1">
      <alignment horizontal="center"/>
    </xf>
    <xf numFmtId="2" fontId="2" fillId="0" borderId="6" xfId="3" applyNumberFormat="1" applyFont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/>
    <xf numFmtId="167" fontId="2" fillId="0" borderId="5" xfId="1" applyNumberFormat="1" applyFont="1" applyBorder="1" applyAlignment="1">
      <alignment horizontal="center"/>
    </xf>
    <xf numFmtId="167" fontId="2" fillId="0" borderId="4" xfId="1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9" fontId="2" fillId="0" borderId="0" xfId="2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8" fillId="0" borderId="0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39" fontId="22" fillId="0" borderId="5" xfId="2" applyNumberFormat="1" applyFont="1" applyBorder="1" applyAlignment="1" applyProtection="1">
      <alignment horizontal="center"/>
      <protection locked="0"/>
    </xf>
    <xf numFmtId="39" fontId="22" fillId="0" borderId="6" xfId="2" applyNumberFormat="1" applyFont="1" applyBorder="1" applyAlignment="1" applyProtection="1">
      <alignment horizontal="center"/>
      <protection locked="0"/>
    </xf>
    <xf numFmtId="2" fontId="22" fillId="0" borderId="6" xfId="0" applyNumberFormat="1" applyFont="1" applyBorder="1" applyAlignment="1">
      <alignment horizontal="center"/>
    </xf>
    <xf numFmtId="2" fontId="22" fillId="0" borderId="5" xfId="1" applyNumberFormat="1" applyFont="1" applyBorder="1" applyAlignment="1">
      <alignment horizontal="center"/>
    </xf>
    <xf numFmtId="2" fontId="22" fillId="0" borderId="4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2" fontId="22" fillId="0" borderId="6" xfId="1" applyNumberFormat="1" applyFont="1" applyBorder="1" applyAlignment="1">
      <alignment horizontal="center"/>
    </xf>
    <xf numFmtId="170" fontId="2" fillId="0" borderId="0" xfId="2" applyNumberFormat="1" applyFont="1" applyAlignment="1" applyProtection="1">
      <alignment horizontal="center"/>
      <protection locked="0"/>
    </xf>
    <xf numFmtId="171" fontId="2" fillId="0" borderId="5" xfId="1" applyNumberFormat="1" applyFont="1" applyBorder="1" applyAlignment="1">
      <alignment horizontal="center"/>
    </xf>
    <xf numFmtId="171" fontId="2" fillId="0" borderId="4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5" xfId="4" applyNumberFormat="1" applyFont="1" applyBorder="1" applyAlignment="1">
      <alignment horizontal="center"/>
    </xf>
    <xf numFmtId="10" fontId="2" fillId="0" borderId="4" xfId="4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10" fontId="2" fillId="0" borderId="0" xfId="4" applyNumberFormat="1" applyFont="1" applyBorder="1" applyAlignment="1">
      <alignment horizontal="center"/>
    </xf>
    <xf numFmtId="2" fontId="22" fillId="0" borderId="0" xfId="1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2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4" xfId="2" applyNumberFormat="1" applyFont="1" applyBorder="1" applyAlignment="1">
      <alignment horizontal="center"/>
    </xf>
    <xf numFmtId="2" fontId="22" fillId="0" borderId="6" xfId="2" applyNumberFormat="1" applyFont="1" applyBorder="1" applyAlignment="1">
      <alignment horizontal="center"/>
    </xf>
    <xf numFmtId="166" fontId="2" fillId="0" borderId="5" xfId="1" applyNumberFormat="1" applyFont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9" fontId="4" fillId="0" borderId="3" xfId="2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39" fontId="22" fillId="0" borderId="4" xfId="2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2" fillId="0" borderId="6" xfId="4" applyNumberFormat="1" applyFont="1" applyBorder="1" applyAlignment="1">
      <alignment horizontal="center"/>
    </xf>
    <xf numFmtId="2" fontId="2" fillId="0" borderId="5" xfId="2" applyNumberFormat="1" applyFont="1" applyBorder="1" applyAlignment="1">
      <alignment horizontal="center"/>
    </xf>
    <xf numFmtId="2" fontId="22" fillId="0" borderId="5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2" fontId="22" fillId="0" borderId="5" xfId="3" applyNumberFormat="1" applyFont="1" applyBorder="1" applyAlignment="1" applyProtection="1">
      <alignment horizontal="center"/>
    </xf>
    <xf numFmtId="2" fontId="22" fillId="0" borderId="6" xfId="3" applyNumberFormat="1" applyFont="1" applyBorder="1" applyAlignment="1" applyProtection="1">
      <alignment horizontal="center"/>
    </xf>
    <xf numFmtId="1" fontId="22" fillId="0" borderId="4" xfId="0" applyNumberFormat="1" applyFont="1" applyBorder="1" applyAlignment="1">
      <alignment horizontal="center"/>
    </xf>
    <xf numFmtId="1" fontId="22" fillId="0" borderId="6" xfId="0" applyNumberFormat="1" applyFont="1" applyBorder="1" applyAlignment="1">
      <alignment horizontal="center"/>
    </xf>
    <xf numFmtId="1" fontId="22" fillId="0" borderId="14" xfId="0" applyNumberFormat="1" applyFont="1" applyBorder="1" applyAlignment="1">
      <alignment horizontal="center"/>
    </xf>
    <xf numFmtId="165" fontId="2" fillId="0" borderId="5" xfId="3" applyNumberFormat="1" applyFont="1" applyBorder="1" applyAlignment="1" applyProtection="1">
      <alignment horizontal="center"/>
    </xf>
    <xf numFmtId="165" fontId="2" fillId="0" borderId="6" xfId="3" applyNumberFormat="1" applyFont="1" applyBorder="1" applyAlignment="1" applyProtection="1">
      <alignment horizontal="center"/>
    </xf>
    <xf numFmtId="39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7" fontId="2" fillId="0" borderId="6" xfId="1" applyNumberFormat="1" applyFont="1" applyBorder="1" applyAlignment="1">
      <alignment horizontal="center"/>
    </xf>
    <xf numFmtId="171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2" fillId="0" borderId="4" xfId="3" applyNumberFormat="1" applyFont="1" applyBorder="1" applyAlignment="1" applyProtection="1">
      <alignment horizontal="center"/>
    </xf>
    <xf numFmtId="2" fontId="2" fillId="0" borderId="4" xfId="3" applyNumberFormat="1" applyFont="1" applyBorder="1" applyAlignment="1" applyProtection="1">
      <alignment horizontal="center"/>
    </xf>
    <xf numFmtId="2" fontId="22" fillId="0" borderId="4" xfId="3" applyNumberFormat="1" applyFont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left" vertical="center"/>
    </xf>
    <xf numFmtId="3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9" fontId="2" fillId="0" borderId="0" xfId="0" applyNumberFormat="1" applyFont="1" applyAlignment="1">
      <alignment vertical="center"/>
    </xf>
    <xf numFmtId="2" fontId="2" fillId="0" borderId="0" xfId="0" applyNumberFormat="1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4" fontId="4" fillId="0" borderId="0" xfId="2" applyFont="1" applyAlignment="1" applyProtection="1">
      <alignment vertical="center"/>
      <protection locked="0"/>
    </xf>
    <xf numFmtId="165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2" fillId="0" borderId="0" xfId="2" applyFont="1" applyAlignment="1">
      <alignment vertical="center"/>
    </xf>
    <xf numFmtId="164" fontId="2" fillId="0" borderId="0" xfId="2" applyFont="1" applyAlignment="1">
      <alignment horizontal="center" vertical="center"/>
    </xf>
    <xf numFmtId="39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2" fillId="0" borderId="0" xfId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2" fontId="2" fillId="0" borderId="1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7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2" fontId="4" fillId="0" borderId="0" xfId="2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4" xfId="2" applyNumberFormat="1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0" fontId="2" fillId="0" borderId="0" xfId="4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39" fontId="2" fillId="0" borderId="0" xfId="0" applyNumberFormat="1" applyFont="1" applyAlignment="1">
      <alignment horizontal="left" vertical="center"/>
    </xf>
    <xf numFmtId="168" fontId="2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9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center" vertical="center"/>
    </xf>
    <xf numFmtId="2" fontId="2" fillId="0" borderId="15" xfId="1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2" fontId="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7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0" fontId="2" fillId="0" borderId="4" xfId="0" applyFont="1" applyBorder="1"/>
    <xf numFmtId="2" fontId="22" fillId="0" borderId="14" xfId="0" applyNumberFormat="1" applyFont="1" applyBorder="1" applyAlignment="1">
      <alignment horizontal="center"/>
    </xf>
    <xf numFmtId="0" fontId="4" fillId="0" borderId="3" xfId="0" applyFont="1" applyBorder="1" applyAlignment="1"/>
    <xf numFmtId="0" fontId="2" fillId="0" borderId="0" xfId="0" applyFont="1" applyAlignment="1">
      <alignment horizontal="center" vertical="center"/>
    </xf>
    <xf numFmtId="39" fontId="2" fillId="0" borderId="0" xfId="0" applyNumberFormat="1" applyFont="1" applyAlignment="1">
      <alignment horizontal="center"/>
    </xf>
    <xf numFmtId="11" fontId="2" fillId="0" borderId="5" xfId="1" applyNumberFormat="1" applyFont="1" applyBorder="1" applyAlignment="1">
      <alignment horizontal="center"/>
    </xf>
    <xf numFmtId="11" fontId="2" fillId="0" borderId="4" xfId="1" applyNumberFormat="1" applyFont="1" applyBorder="1" applyAlignment="1">
      <alignment horizontal="center"/>
    </xf>
    <xf numFmtId="11" fontId="2" fillId="0" borderId="6" xfId="1" applyNumberFormat="1" applyFont="1" applyBorder="1" applyAlignment="1">
      <alignment horizontal="center"/>
    </xf>
    <xf numFmtId="171" fontId="2" fillId="0" borderId="6" xfId="1" applyNumberFormat="1" applyFont="1" applyBorder="1" applyAlignment="1">
      <alignment horizontal="center"/>
    </xf>
    <xf numFmtId="3" fontId="2" fillId="0" borderId="6" xfId="1" applyNumberFormat="1" applyFont="1" applyBorder="1" applyAlignment="1">
      <alignment horizontal="center"/>
    </xf>
    <xf numFmtId="39" fontId="11" fillId="0" borderId="3" xfId="2" applyNumberFormat="1" applyFont="1" applyBorder="1" applyAlignment="1" applyProtection="1">
      <alignment horizontal="center"/>
      <protection locked="0"/>
    </xf>
    <xf numFmtId="2" fontId="4" fillId="0" borderId="14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3" xfId="0" applyFont="1" applyBorder="1" applyAlignment="1"/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66" fontId="2" fillId="0" borderId="6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2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173" fontId="2" fillId="0" borderId="3" xfId="1" applyNumberFormat="1" applyFont="1" applyBorder="1" applyAlignment="1">
      <alignment horizontal="center"/>
    </xf>
    <xf numFmtId="168" fontId="2" fillId="0" borderId="3" xfId="1" applyNumberFormat="1" applyFont="1" applyBorder="1" applyAlignment="1">
      <alignment horizontal="center"/>
    </xf>
    <xf numFmtId="168" fontId="2" fillId="0" borderId="0" xfId="1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 applyFill="1"/>
    <xf numFmtId="2" fontId="2" fillId="0" borderId="0" xfId="5" applyNumberFormat="1" applyFont="1" applyFill="1" applyBorder="1" applyAlignment="1">
      <alignment horizontal="center"/>
    </xf>
    <xf numFmtId="10" fontId="2" fillId="0" borderId="0" xfId="4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39" fontId="2" fillId="0" borderId="0" xfId="2" applyNumberFormat="1" applyFont="1" applyFill="1" applyAlignment="1" applyProtection="1">
      <alignment horizontal="center"/>
      <protection locked="0"/>
    </xf>
    <xf numFmtId="1" fontId="2" fillId="0" borderId="0" xfId="0" applyNumberFormat="1" applyFont="1" applyFill="1" applyAlignment="1">
      <alignment horizontal="center"/>
    </xf>
    <xf numFmtId="2" fontId="22" fillId="0" borderId="0" xfId="0" applyNumberFormat="1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center"/>
    </xf>
    <xf numFmtId="39" fontId="2" fillId="0" borderId="0" xfId="2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10" fontId="2" fillId="0" borderId="0" xfId="4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2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6" fontId="22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1" fontId="2" fillId="0" borderId="0" xfId="5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2" fontId="2" fillId="0" borderId="3" xfId="5" applyNumberFormat="1" applyFont="1" applyFill="1" applyBorder="1" applyAlignment="1">
      <alignment horizontal="center"/>
    </xf>
    <xf numFmtId="11" fontId="2" fillId="0" borderId="3" xfId="5" applyNumberFormat="1" applyFont="1" applyFill="1" applyBorder="1" applyAlignment="1">
      <alignment horizontal="center"/>
    </xf>
    <xf numFmtId="168" fontId="2" fillId="0" borderId="3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73" fontId="2" fillId="0" borderId="3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168" fontId="30" fillId="0" borderId="3" xfId="1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2" fillId="0" borderId="0" xfId="2" applyNumberFormat="1" applyFont="1" applyAlignment="1" applyProtection="1">
      <alignment horizontal="center"/>
      <protection locked="0"/>
    </xf>
    <xf numFmtId="2" fontId="22" fillId="0" borderId="13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2" fontId="22" fillId="0" borderId="21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22" xfId="0" applyFont="1" applyBorder="1"/>
    <xf numFmtId="0" fontId="2" fillId="0" borderId="21" xfId="0" applyFont="1" applyBorder="1"/>
    <xf numFmtId="172" fontId="2" fillId="0" borderId="0" xfId="2" applyNumberFormat="1" applyFont="1" applyAlignment="1" applyProtection="1">
      <alignment horizontal="center"/>
      <protection locked="0"/>
    </xf>
    <xf numFmtId="2" fontId="31" fillId="0" borderId="0" xfId="0" applyNumberFormat="1" applyFont="1" applyAlignment="1">
      <alignment horizontal="center" vertical="center"/>
    </xf>
    <xf numFmtId="164" fontId="32" fillId="0" borderId="0" xfId="2" applyFont="1" applyAlignment="1" applyProtection="1">
      <alignment vertical="center"/>
      <protection locked="0"/>
    </xf>
    <xf numFmtId="2" fontId="4" fillId="0" borderId="0" xfId="2" applyNumberFormat="1" applyFont="1" applyAlignment="1" applyProtection="1">
      <alignment horizontal="center"/>
      <protection locked="0"/>
    </xf>
    <xf numFmtId="39" fontId="4" fillId="0" borderId="0" xfId="2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7">
    <cellStyle name="Millares" xfId="1" builtinId="3"/>
    <cellStyle name="Millares 2" xfId="5"/>
    <cellStyle name="Millares_muros de contencion" xfId="2"/>
    <cellStyle name="Millares_puente encino" xfId="3"/>
    <cellStyle name="Normal" xfId="0" builtinId="0"/>
    <cellStyle name="Normal 2" xfId="6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Envolvente Vu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601609944844482"/>
          <c:y val="0.165246498714218"/>
          <c:w val="0.870813106402836"/>
          <c:h val="0.7344572391715"/>
        </c:manualLayout>
      </c:layout>
      <c:scatterChart>
        <c:scatterStyle val="smoothMarker"/>
        <c:varyColors val="0"/>
        <c:ser>
          <c:idx val="0"/>
          <c:order val="0"/>
          <c:tx>
            <c:v>Envolvente Vu</c:v>
          </c:tx>
          <c:xVal>
            <c:numRef>
              <c:f>'VASTAGO RESISTENCIA'!$F$121:$F$125</c:f>
              <c:numCache>
                <c:formatCode>0.00</c:formatCode>
                <c:ptCount val="5"/>
                <c:pt idx="0">
                  <c:v>0.0</c:v>
                </c:pt>
                <c:pt idx="1">
                  <c:v>1.5128125</c:v>
                </c:pt>
                <c:pt idx="2">
                  <c:v>5.366250000000001</c:v>
                </c:pt>
                <c:pt idx="3">
                  <c:v>11.3953125</c:v>
                </c:pt>
                <c:pt idx="4">
                  <c:v>19.6</c:v>
                </c:pt>
              </c:numCache>
            </c:numRef>
          </c:xVal>
          <c:yVal>
            <c:numRef>
              <c:f>'VASTAGO RESISTENCIA'!$A$121:$A$125</c:f>
              <c:numCache>
                <c:formatCode>0.00</c:formatCode>
                <c:ptCount val="5"/>
                <c:pt idx="0">
                  <c:v>0.0</c:v>
                </c:pt>
                <c:pt idx="1">
                  <c:v>1.475</c:v>
                </c:pt>
                <c:pt idx="2">
                  <c:v>2.95</c:v>
                </c:pt>
                <c:pt idx="3">
                  <c:v>4.425000000000001</c:v>
                </c:pt>
                <c:pt idx="4">
                  <c:v>5.9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4262-4004-AAC3-DE162DBD4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91376"/>
        <c:axId val="1334953232"/>
      </c:scatterChart>
      <c:valAx>
        <c:axId val="1334991376"/>
        <c:scaling>
          <c:orientation val="minMax"/>
        </c:scaling>
        <c:delete val="0"/>
        <c:axPos val="t"/>
        <c:minorGridlines/>
        <c:numFmt formatCode="0.00" sourceLinked="1"/>
        <c:majorTickMark val="out"/>
        <c:minorTickMark val="none"/>
        <c:tickLblPos val="nextTo"/>
        <c:crossAx val="1334953232"/>
        <c:crosses val="autoZero"/>
        <c:crossBetween val="midCat"/>
      </c:valAx>
      <c:valAx>
        <c:axId val="1334953232"/>
        <c:scaling>
          <c:orientation val="maxMin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34991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362401574804"/>
          <c:y val="0.543731773111695"/>
          <c:w val="0.180674697439237"/>
          <c:h val="0.05880622239293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6" l="0.700000000000001" r="0.700000000000001" t="0.75000000000000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Envolvente Mu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930857392825897"/>
          <c:y val="0.205368644306713"/>
          <c:w val="0.833488456882286"/>
          <c:h val="0.743230912860371"/>
        </c:manualLayout>
      </c:layout>
      <c:scatterChart>
        <c:scatterStyle val="smoothMarker"/>
        <c:varyColors val="0"/>
        <c:ser>
          <c:idx val="0"/>
          <c:order val="0"/>
          <c:tx>
            <c:v>Envolvente Mu</c:v>
          </c:tx>
          <c:xVal>
            <c:numRef>
              <c:f>'VASTAGO RESISTENCIA'!$G$121:$G$125</c:f>
              <c:numCache>
                <c:formatCode>0.00</c:formatCode>
                <c:ptCount val="5"/>
                <c:pt idx="0">
                  <c:v>0.0</c:v>
                </c:pt>
                <c:pt idx="1">
                  <c:v>0.753591145833333</c:v>
                </c:pt>
                <c:pt idx="2">
                  <c:v>5.559479166666668</c:v>
                </c:pt>
                <c:pt idx="3">
                  <c:v>17.65371093750001</c:v>
                </c:pt>
                <c:pt idx="4">
                  <c:v>40.24533333333333</c:v>
                </c:pt>
              </c:numCache>
            </c:numRef>
          </c:xVal>
          <c:yVal>
            <c:numRef>
              <c:f>'VASTAGO RESISTENCIA'!$A$121:$A$125</c:f>
              <c:numCache>
                <c:formatCode>0.00</c:formatCode>
                <c:ptCount val="5"/>
                <c:pt idx="0">
                  <c:v>0.0</c:v>
                </c:pt>
                <c:pt idx="1">
                  <c:v>1.475</c:v>
                </c:pt>
                <c:pt idx="2">
                  <c:v>2.95</c:v>
                </c:pt>
                <c:pt idx="3">
                  <c:v>4.425000000000001</c:v>
                </c:pt>
                <c:pt idx="4">
                  <c:v>5.9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034-45F2-9FF6-C8B3980E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5941312"/>
        <c:axId val="1345949840"/>
      </c:scatterChart>
      <c:valAx>
        <c:axId val="1345941312"/>
        <c:scaling>
          <c:orientation val="minMax"/>
        </c:scaling>
        <c:delete val="0"/>
        <c:axPos val="t"/>
        <c:minorGridlines/>
        <c:numFmt formatCode="0.00" sourceLinked="1"/>
        <c:majorTickMark val="out"/>
        <c:minorTickMark val="none"/>
        <c:tickLblPos val="nextTo"/>
        <c:crossAx val="1345949840"/>
        <c:crosses val="autoZero"/>
        <c:crossBetween val="midCat"/>
      </c:valAx>
      <c:valAx>
        <c:axId val="1345949840"/>
        <c:scaling>
          <c:orientation val="maxMin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459413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6401793525816"/>
          <c:y val="0.557620662000597"/>
          <c:w val="0.267487095363084"/>
          <c:h val="0.0837171916010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6" l="0.700000000000001" r="0.700000000000001" t="0.75000000000000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1" Type="http://schemas.openxmlformats.org/officeDocument/2006/relationships/image" Target="../media/image36.png"/><Relationship Id="rId12" Type="http://schemas.openxmlformats.org/officeDocument/2006/relationships/image" Target="../media/image37.png"/><Relationship Id="rId13" Type="http://schemas.openxmlformats.org/officeDocument/2006/relationships/image" Target="../media/image38.png"/><Relationship Id="rId14" Type="http://schemas.openxmlformats.org/officeDocument/2006/relationships/image" Target="../media/image39.png"/><Relationship Id="rId15" Type="http://schemas.openxmlformats.org/officeDocument/2006/relationships/image" Target="../media/image40.png"/><Relationship Id="rId16" Type="http://schemas.openxmlformats.org/officeDocument/2006/relationships/image" Target="../media/image41.png"/><Relationship Id="rId1" Type="http://schemas.openxmlformats.org/officeDocument/2006/relationships/image" Target="../media/image26.png"/><Relationship Id="rId2" Type="http://schemas.openxmlformats.org/officeDocument/2006/relationships/image" Target="../media/image27.png"/><Relationship Id="rId3" Type="http://schemas.openxmlformats.org/officeDocument/2006/relationships/image" Target="../media/image28.png"/><Relationship Id="rId4" Type="http://schemas.openxmlformats.org/officeDocument/2006/relationships/image" Target="../media/image29.png"/><Relationship Id="rId5" Type="http://schemas.openxmlformats.org/officeDocument/2006/relationships/image" Target="../media/image30.png"/><Relationship Id="rId6" Type="http://schemas.openxmlformats.org/officeDocument/2006/relationships/image" Target="../media/image31.png"/><Relationship Id="rId7" Type="http://schemas.openxmlformats.org/officeDocument/2006/relationships/image" Target="../media/image32.png"/><Relationship Id="rId8" Type="http://schemas.openxmlformats.org/officeDocument/2006/relationships/image" Target="../media/image33.png"/><Relationship Id="rId9" Type="http://schemas.openxmlformats.org/officeDocument/2006/relationships/image" Target="../media/image34.png"/><Relationship Id="rId10" Type="http://schemas.openxmlformats.org/officeDocument/2006/relationships/image" Target="../media/image35.png"/></Relationships>
</file>

<file path=xl/drawings/_rels/drawing3.xml.rels><?xml version="1.0" encoding="UTF-8" standalone="yes"?>
<Relationships xmlns="http://schemas.openxmlformats.org/package/2006/relationships"><Relationship Id="rId11" Type="http://schemas.openxmlformats.org/officeDocument/2006/relationships/image" Target="../media/image49.png"/><Relationship Id="rId12" Type="http://schemas.openxmlformats.org/officeDocument/2006/relationships/image" Target="../media/image50.png"/><Relationship Id="rId1" Type="http://schemas.openxmlformats.org/officeDocument/2006/relationships/image" Target="../media/image26.png"/><Relationship Id="rId2" Type="http://schemas.openxmlformats.org/officeDocument/2006/relationships/image" Target="../media/image27.png"/><Relationship Id="rId3" Type="http://schemas.openxmlformats.org/officeDocument/2006/relationships/image" Target="../media/image28.png"/><Relationship Id="rId4" Type="http://schemas.openxmlformats.org/officeDocument/2006/relationships/image" Target="../media/image42.png"/><Relationship Id="rId5" Type="http://schemas.openxmlformats.org/officeDocument/2006/relationships/image" Target="../media/image43.png"/><Relationship Id="rId6" Type="http://schemas.openxmlformats.org/officeDocument/2006/relationships/image" Target="../media/image44.png"/><Relationship Id="rId7" Type="http://schemas.openxmlformats.org/officeDocument/2006/relationships/image" Target="../media/image45.png"/><Relationship Id="rId8" Type="http://schemas.openxmlformats.org/officeDocument/2006/relationships/image" Target="../media/image46.png"/><Relationship Id="rId9" Type="http://schemas.openxmlformats.org/officeDocument/2006/relationships/image" Target="../media/image47.png"/><Relationship Id="rId10" Type="http://schemas.openxmlformats.org/officeDocument/2006/relationships/image" Target="../media/image4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4" Type="http://schemas.openxmlformats.org/officeDocument/2006/relationships/image" Target="../media/image53.png"/><Relationship Id="rId5" Type="http://schemas.openxmlformats.org/officeDocument/2006/relationships/image" Target="../media/image54.png"/><Relationship Id="rId6" Type="http://schemas.openxmlformats.org/officeDocument/2006/relationships/image" Target="../media/image55.png"/><Relationship Id="rId7" Type="http://schemas.openxmlformats.org/officeDocument/2006/relationships/image" Target="../media/image56.png"/><Relationship Id="rId8" Type="http://schemas.openxmlformats.org/officeDocument/2006/relationships/image" Target="../media/image57.png"/><Relationship Id="rId9" Type="http://schemas.openxmlformats.org/officeDocument/2006/relationships/chart" Target="../charts/chart1.xml"/><Relationship Id="rId10" Type="http://schemas.openxmlformats.org/officeDocument/2006/relationships/chart" Target="../charts/chart2.xml"/><Relationship Id="rId1" Type="http://schemas.openxmlformats.org/officeDocument/2006/relationships/image" Target="../media/image51.png"/><Relationship Id="rId2" Type="http://schemas.openxmlformats.org/officeDocument/2006/relationships/image" Target="../media/image52.png"/></Relationships>
</file>

<file path=xl/drawings/_rels/drawing5.xml.rels><?xml version="1.0" encoding="UTF-8" standalone="yes"?>
<Relationships xmlns="http://schemas.openxmlformats.org/package/2006/relationships"><Relationship Id="rId11" Type="http://schemas.openxmlformats.org/officeDocument/2006/relationships/image" Target="../media/image66.png"/><Relationship Id="rId12" Type="http://schemas.openxmlformats.org/officeDocument/2006/relationships/image" Target="../media/image67.png"/><Relationship Id="rId13" Type="http://schemas.openxmlformats.org/officeDocument/2006/relationships/image" Target="../media/image55.png"/><Relationship Id="rId14" Type="http://schemas.openxmlformats.org/officeDocument/2006/relationships/image" Target="../media/image56.png"/><Relationship Id="rId15" Type="http://schemas.openxmlformats.org/officeDocument/2006/relationships/image" Target="../media/image57.png"/><Relationship Id="rId16" Type="http://schemas.openxmlformats.org/officeDocument/2006/relationships/image" Target="../media/image68.png"/><Relationship Id="rId17" Type="http://schemas.openxmlformats.org/officeDocument/2006/relationships/image" Target="../media/image69.png"/><Relationship Id="rId1" Type="http://schemas.openxmlformats.org/officeDocument/2006/relationships/image" Target="../media/image51.png"/><Relationship Id="rId2" Type="http://schemas.openxmlformats.org/officeDocument/2006/relationships/image" Target="../media/image52.png"/><Relationship Id="rId3" Type="http://schemas.openxmlformats.org/officeDocument/2006/relationships/image" Target="../media/image58.png"/><Relationship Id="rId4" Type="http://schemas.openxmlformats.org/officeDocument/2006/relationships/image" Target="../media/image59.png"/><Relationship Id="rId5" Type="http://schemas.openxmlformats.org/officeDocument/2006/relationships/image" Target="../media/image60.png"/><Relationship Id="rId6" Type="http://schemas.openxmlformats.org/officeDocument/2006/relationships/image" Target="../media/image61.png"/><Relationship Id="rId7" Type="http://schemas.openxmlformats.org/officeDocument/2006/relationships/image" Target="../media/image62.png"/><Relationship Id="rId8" Type="http://schemas.openxmlformats.org/officeDocument/2006/relationships/image" Target="../media/image63.png"/><Relationship Id="rId9" Type="http://schemas.openxmlformats.org/officeDocument/2006/relationships/image" Target="../media/image64.png"/><Relationship Id="rId10" Type="http://schemas.openxmlformats.org/officeDocument/2006/relationships/image" Target="../media/image65.pn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78.png"/><Relationship Id="rId20" Type="http://schemas.openxmlformats.org/officeDocument/2006/relationships/image" Target="../media/image89.png"/><Relationship Id="rId10" Type="http://schemas.openxmlformats.org/officeDocument/2006/relationships/image" Target="../media/image79.png"/><Relationship Id="rId11" Type="http://schemas.openxmlformats.org/officeDocument/2006/relationships/image" Target="../media/image80.png"/><Relationship Id="rId12" Type="http://schemas.openxmlformats.org/officeDocument/2006/relationships/image" Target="../media/image81.png"/><Relationship Id="rId13" Type="http://schemas.openxmlformats.org/officeDocument/2006/relationships/image" Target="../media/image82.png"/><Relationship Id="rId14" Type="http://schemas.openxmlformats.org/officeDocument/2006/relationships/image" Target="../media/image83.png"/><Relationship Id="rId15" Type="http://schemas.openxmlformats.org/officeDocument/2006/relationships/image" Target="../media/image84.png"/><Relationship Id="rId16" Type="http://schemas.openxmlformats.org/officeDocument/2006/relationships/image" Target="../media/image85.png"/><Relationship Id="rId17" Type="http://schemas.openxmlformats.org/officeDocument/2006/relationships/image" Target="../media/image86.png"/><Relationship Id="rId18" Type="http://schemas.openxmlformats.org/officeDocument/2006/relationships/image" Target="../media/image87.png"/><Relationship Id="rId19" Type="http://schemas.openxmlformats.org/officeDocument/2006/relationships/image" Target="../media/image88.png"/><Relationship Id="rId1" Type="http://schemas.openxmlformats.org/officeDocument/2006/relationships/image" Target="../media/image70.png"/><Relationship Id="rId2" Type="http://schemas.openxmlformats.org/officeDocument/2006/relationships/image" Target="../media/image71.png"/><Relationship Id="rId3" Type="http://schemas.openxmlformats.org/officeDocument/2006/relationships/image" Target="../media/image72.png"/><Relationship Id="rId4" Type="http://schemas.openxmlformats.org/officeDocument/2006/relationships/image" Target="../media/image73.png"/><Relationship Id="rId5" Type="http://schemas.openxmlformats.org/officeDocument/2006/relationships/image" Target="../media/image74.png"/><Relationship Id="rId6" Type="http://schemas.openxmlformats.org/officeDocument/2006/relationships/image" Target="../media/image75.png"/><Relationship Id="rId7" Type="http://schemas.openxmlformats.org/officeDocument/2006/relationships/image" Target="../media/image76.png"/><Relationship Id="rId8" Type="http://schemas.openxmlformats.org/officeDocument/2006/relationships/image" Target="../media/image77.png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80.png"/><Relationship Id="rId20" Type="http://schemas.openxmlformats.org/officeDocument/2006/relationships/image" Target="../media/image96.png"/><Relationship Id="rId21" Type="http://schemas.openxmlformats.org/officeDocument/2006/relationships/image" Target="../media/image87.png"/><Relationship Id="rId10" Type="http://schemas.openxmlformats.org/officeDocument/2006/relationships/image" Target="../media/image81.png"/><Relationship Id="rId11" Type="http://schemas.openxmlformats.org/officeDocument/2006/relationships/image" Target="../media/image90.png"/><Relationship Id="rId12" Type="http://schemas.openxmlformats.org/officeDocument/2006/relationships/image" Target="../media/image82.png"/><Relationship Id="rId13" Type="http://schemas.openxmlformats.org/officeDocument/2006/relationships/image" Target="../media/image91.png"/><Relationship Id="rId14" Type="http://schemas.openxmlformats.org/officeDocument/2006/relationships/image" Target="../media/image83.png"/><Relationship Id="rId15" Type="http://schemas.openxmlformats.org/officeDocument/2006/relationships/image" Target="../media/image92.png"/><Relationship Id="rId16" Type="http://schemas.openxmlformats.org/officeDocument/2006/relationships/image" Target="../media/image84.png"/><Relationship Id="rId17" Type="http://schemas.openxmlformats.org/officeDocument/2006/relationships/image" Target="../media/image93.png"/><Relationship Id="rId18" Type="http://schemas.openxmlformats.org/officeDocument/2006/relationships/image" Target="../media/image94.png"/><Relationship Id="rId19" Type="http://schemas.openxmlformats.org/officeDocument/2006/relationships/image" Target="../media/image95.png"/><Relationship Id="rId1" Type="http://schemas.openxmlformats.org/officeDocument/2006/relationships/image" Target="../media/image70.png"/><Relationship Id="rId2" Type="http://schemas.openxmlformats.org/officeDocument/2006/relationships/image" Target="../media/image71.png"/><Relationship Id="rId3" Type="http://schemas.openxmlformats.org/officeDocument/2006/relationships/image" Target="../media/image72.png"/><Relationship Id="rId4" Type="http://schemas.openxmlformats.org/officeDocument/2006/relationships/image" Target="../media/image73.png"/><Relationship Id="rId5" Type="http://schemas.openxmlformats.org/officeDocument/2006/relationships/image" Target="../media/image74.png"/><Relationship Id="rId6" Type="http://schemas.openxmlformats.org/officeDocument/2006/relationships/image" Target="../media/image75.png"/><Relationship Id="rId7" Type="http://schemas.openxmlformats.org/officeDocument/2006/relationships/image" Target="../media/image77.png"/><Relationship Id="rId8" Type="http://schemas.openxmlformats.org/officeDocument/2006/relationships/image" Target="../media/image78.png"/></Relationships>
</file>

<file path=xl/drawings/_rels/drawing8.xml.rels><?xml version="1.0" encoding="UTF-8" standalone="yes"?>
<Relationships xmlns="http://schemas.openxmlformats.org/package/2006/relationships"><Relationship Id="rId9" Type="http://schemas.openxmlformats.org/officeDocument/2006/relationships/image" Target="../media/image78.png"/><Relationship Id="rId20" Type="http://schemas.openxmlformats.org/officeDocument/2006/relationships/image" Target="../media/image89.png"/><Relationship Id="rId10" Type="http://schemas.openxmlformats.org/officeDocument/2006/relationships/image" Target="../media/image79.png"/><Relationship Id="rId11" Type="http://schemas.openxmlformats.org/officeDocument/2006/relationships/image" Target="../media/image80.png"/><Relationship Id="rId12" Type="http://schemas.openxmlformats.org/officeDocument/2006/relationships/image" Target="../media/image81.png"/><Relationship Id="rId13" Type="http://schemas.openxmlformats.org/officeDocument/2006/relationships/image" Target="../media/image82.png"/><Relationship Id="rId14" Type="http://schemas.openxmlformats.org/officeDocument/2006/relationships/image" Target="../media/image83.png"/><Relationship Id="rId15" Type="http://schemas.openxmlformats.org/officeDocument/2006/relationships/image" Target="../media/image84.png"/><Relationship Id="rId16" Type="http://schemas.openxmlformats.org/officeDocument/2006/relationships/image" Target="../media/image85.png"/><Relationship Id="rId17" Type="http://schemas.openxmlformats.org/officeDocument/2006/relationships/image" Target="../media/image86.png"/><Relationship Id="rId18" Type="http://schemas.openxmlformats.org/officeDocument/2006/relationships/image" Target="../media/image87.png"/><Relationship Id="rId19" Type="http://schemas.openxmlformats.org/officeDocument/2006/relationships/image" Target="../media/image88.png"/><Relationship Id="rId1" Type="http://schemas.openxmlformats.org/officeDocument/2006/relationships/image" Target="../media/image70.png"/><Relationship Id="rId2" Type="http://schemas.openxmlformats.org/officeDocument/2006/relationships/image" Target="../media/image71.png"/><Relationship Id="rId3" Type="http://schemas.openxmlformats.org/officeDocument/2006/relationships/image" Target="../media/image72.png"/><Relationship Id="rId4" Type="http://schemas.openxmlformats.org/officeDocument/2006/relationships/image" Target="../media/image73.png"/><Relationship Id="rId5" Type="http://schemas.openxmlformats.org/officeDocument/2006/relationships/image" Target="../media/image74.png"/><Relationship Id="rId6" Type="http://schemas.openxmlformats.org/officeDocument/2006/relationships/image" Target="../media/image75.png"/><Relationship Id="rId7" Type="http://schemas.openxmlformats.org/officeDocument/2006/relationships/image" Target="../media/image76.png"/><Relationship Id="rId8" Type="http://schemas.openxmlformats.org/officeDocument/2006/relationships/image" Target="../media/image7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7.png"/><Relationship Id="rId2" Type="http://schemas.openxmlformats.org/officeDocument/2006/relationships/image" Target="../media/image98.png"/><Relationship Id="rId3" Type="http://schemas.openxmlformats.org/officeDocument/2006/relationships/image" Target="../media/image9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365760</xdr:colOff>
      <xdr:row>513</xdr:row>
      <xdr:rowOff>0</xdr:rowOff>
    </xdr:from>
    <xdr:to>
      <xdr:col>3</xdr:col>
      <xdr:colOff>441960</xdr:colOff>
      <xdr:row>514</xdr:row>
      <xdr:rowOff>45721</xdr:rowOff>
    </xdr:to>
    <xdr:sp macro="" textlink="">
      <xdr:nvSpPr>
        <xdr:cNvPr id="71862" name="Text Box 202">
          <a:extLst>
            <a:ext uri="{FF2B5EF4-FFF2-40B4-BE49-F238E27FC236}">
              <a16:creationId xmlns:a16="http://schemas.microsoft.com/office/drawing/2014/main" xmlns="" id="{00000000-0008-0000-0000-0000B6180100}"/>
            </a:ext>
          </a:extLst>
        </xdr:cNvPr>
        <xdr:cNvSpPr txBox="1">
          <a:spLocks noChangeArrowheads="1"/>
        </xdr:cNvSpPr>
      </xdr:nvSpPr>
      <xdr:spPr bwMode="auto">
        <a:xfrm>
          <a:off x="2895600" y="14013180"/>
          <a:ext cx="762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365760</xdr:colOff>
      <xdr:row>513</xdr:row>
      <xdr:rowOff>0</xdr:rowOff>
    </xdr:from>
    <xdr:to>
      <xdr:col>3</xdr:col>
      <xdr:colOff>441960</xdr:colOff>
      <xdr:row>514</xdr:row>
      <xdr:rowOff>45721</xdr:rowOff>
    </xdr:to>
    <xdr:sp macro="" textlink="">
      <xdr:nvSpPr>
        <xdr:cNvPr id="71864" name="Text Box 205">
          <a:extLst>
            <a:ext uri="{FF2B5EF4-FFF2-40B4-BE49-F238E27FC236}">
              <a16:creationId xmlns:a16="http://schemas.microsoft.com/office/drawing/2014/main" xmlns="" id="{00000000-0008-0000-0000-0000B8180100}"/>
            </a:ext>
          </a:extLst>
        </xdr:cNvPr>
        <xdr:cNvSpPr txBox="1">
          <a:spLocks noChangeArrowheads="1"/>
        </xdr:cNvSpPr>
      </xdr:nvSpPr>
      <xdr:spPr bwMode="auto">
        <a:xfrm>
          <a:off x="2895600" y="14013180"/>
          <a:ext cx="762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365760</xdr:colOff>
      <xdr:row>513</xdr:row>
      <xdr:rowOff>0</xdr:rowOff>
    </xdr:from>
    <xdr:to>
      <xdr:col>3</xdr:col>
      <xdr:colOff>441960</xdr:colOff>
      <xdr:row>514</xdr:row>
      <xdr:rowOff>15241</xdr:rowOff>
    </xdr:to>
    <xdr:sp macro="" textlink="">
      <xdr:nvSpPr>
        <xdr:cNvPr id="71877" name="Text Box 439">
          <a:extLst>
            <a:ext uri="{FF2B5EF4-FFF2-40B4-BE49-F238E27FC236}">
              <a16:creationId xmlns:a16="http://schemas.microsoft.com/office/drawing/2014/main" xmlns="" id="{00000000-0008-0000-0000-0000C5180100}"/>
            </a:ext>
          </a:extLst>
        </xdr:cNvPr>
        <xdr:cNvSpPr txBox="1">
          <a:spLocks noChangeArrowheads="1"/>
        </xdr:cNvSpPr>
      </xdr:nvSpPr>
      <xdr:spPr bwMode="auto">
        <a:xfrm>
          <a:off x="2895600" y="1401318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365760</xdr:colOff>
      <xdr:row>513</xdr:row>
      <xdr:rowOff>0</xdr:rowOff>
    </xdr:from>
    <xdr:to>
      <xdr:col>3</xdr:col>
      <xdr:colOff>441960</xdr:colOff>
      <xdr:row>514</xdr:row>
      <xdr:rowOff>15241</xdr:rowOff>
    </xdr:to>
    <xdr:sp macro="" textlink="">
      <xdr:nvSpPr>
        <xdr:cNvPr id="71878" name="Text Box 440">
          <a:extLst>
            <a:ext uri="{FF2B5EF4-FFF2-40B4-BE49-F238E27FC236}">
              <a16:creationId xmlns:a16="http://schemas.microsoft.com/office/drawing/2014/main" xmlns="" id="{00000000-0008-0000-0000-0000C6180100}"/>
            </a:ext>
          </a:extLst>
        </xdr:cNvPr>
        <xdr:cNvSpPr txBox="1">
          <a:spLocks noChangeArrowheads="1"/>
        </xdr:cNvSpPr>
      </xdr:nvSpPr>
      <xdr:spPr bwMode="auto">
        <a:xfrm>
          <a:off x="2895600" y="1401318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365760</xdr:colOff>
      <xdr:row>513</xdr:row>
      <xdr:rowOff>0</xdr:rowOff>
    </xdr:from>
    <xdr:to>
      <xdr:col>3</xdr:col>
      <xdr:colOff>441960</xdr:colOff>
      <xdr:row>514</xdr:row>
      <xdr:rowOff>15241</xdr:rowOff>
    </xdr:to>
    <xdr:sp macro="" textlink="">
      <xdr:nvSpPr>
        <xdr:cNvPr id="71879" name="Text Box 441">
          <a:extLst>
            <a:ext uri="{FF2B5EF4-FFF2-40B4-BE49-F238E27FC236}">
              <a16:creationId xmlns:a16="http://schemas.microsoft.com/office/drawing/2014/main" xmlns="" id="{00000000-0008-0000-0000-0000C7180100}"/>
            </a:ext>
          </a:extLst>
        </xdr:cNvPr>
        <xdr:cNvSpPr txBox="1">
          <a:spLocks noChangeArrowheads="1"/>
        </xdr:cNvSpPr>
      </xdr:nvSpPr>
      <xdr:spPr bwMode="auto">
        <a:xfrm>
          <a:off x="2895600" y="1401318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365760</xdr:colOff>
      <xdr:row>513</xdr:row>
      <xdr:rowOff>0</xdr:rowOff>
    </xdr:from>
    <xdr:to>
      <xdr:col>3</xdr:col>
      <xdr:colOff>441960</xdr:colOff>
      <xdr:row>514</xdr:row>
      <xdr:rowOff>15241</xdr:rowOff>
    </xdr:to>
    <xdr:sp macro="" textlink="">
      <xdr:nvSpPr>
        <xdr:cNvPr id="71880" name="Text Box 442">
          <a:extLst>
            <a:ext uri="{FF2B5EF4-FFF2-40B4-BE49-F238E27FC236}">
              <a16:creationId xmlns:a16="http://schemas.microsoft.com/office/drawing/2014/main" xmlns="" id="{00000000-0008-0000-0000-0000C8180100}"/>
            </a:ext>
          </a:extLst>
        </xdr:cNvPr>
        <xdr:cNvSpPr txBox="1">
          <a:spLocks noChangeArrowheads="1"/>
        </xdr:cNvSpPr>
      </xdr:nvSpPr>
      <xdr:spPr bwMode="auto">
        <a:xfrm>
          <a:off x="2895600" y="1401318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111</xdr:row>
      <xdr:rowOff>22860</xdr:rowOff>
    </xdr:from>
    <xdr:to>
      <xdr:col>1</xdr:col>
      <xdr:colOff>624840</xdr:colOff>
      <xdr:row>113</xdr:row>
      <xdr:rowOff>91440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9100" y="38320980"/>
          <a:ext cx="990600" cy="4191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160020</xdr:colOff>
      <xdr:row>564</xdr:row>
      <xdr:rowOff>7620</xdr:rowOff>
    </xdr:from>
    <xdr:to>
      <xdr:col>2</xdr:col>
      <xdr:colOff>411480</xdr:colOff>
      <xdr:row>566</xdr:row>
      <xdr:rowOff>68580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60020" y="42382440"/>
          <a:ext cx="1813560" cy="4114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502920</xdr:colOff>
      <xdr:row>561</xdr:row>
      <xdr:rowOff>53340</xdr:rowOff>
    </xdr:from>
    <xdr:to>
      <xdr:col>1</xdr:col>
      <xdr:colOff>609600</xdr:colOff>
      <xdr:row>562</xdr:row>
      <xdr:rowOff>38100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42511980"/>
          <a:ext cx="89154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449580</xdr:colOff>
      <xdr:row>114</xdr:row>
      <xdr:rowOff>0</xdr:rowOff>
    </xdr:from>
    <xdr:to>
      <xdr:col>1</xdr:col>
      <xdr:colOff>198120</xdr:colOff>
      <xdr:row>115</xdr:row>
      <xdr:rowOff>167640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9580" y="38823900"/>
          <a:ext cx="53340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449580</xdr:colOff>
      <xdr:row>394</xdr:row>
      <xdr:rowOff>167640</xdr:rowOff>
    </xdr:from>
    <xdr:to>
      <xdr:col>2</xdr:col>
      <xdr:colOff>38100</xdr:colOff>
      <xdr:row>396</xdr:row>
      <xdr:rowOff>45720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9580" y="42778680"/>
          <a:ext cx="1356360" cy="228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411480</xdr:colOff>
      <xdr:row>399</xdr:row>
      <xdr:rowOff>0</xdr:rowOff>
    </xdr:from>
    <xdr:to>
      <xdr:col>1</xdr:col>
      <xdr:colOff>38100</xdr:colOff>
      <xdr:row>401</xdr:row>
      <xdr:rowOff>7620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480" y="43487340"/>
          <a:ext cx="411480" cy="3581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441960</xdr:colOff>
      <xdr:row>404</xdr:row>
      <xdr:rowOff>15240</xdr:rowOff>
    </xdr:from>
    <xdr:to>
      <xdr:col>1</xdr:col>
      <xdr:colOff>38100</xdr:colOff>
      <xdr:row>406</xdr:row>
      <xdr:rowOff>0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1960" y="44378880"/>
          <a:ext cx="38100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312420</xdr:colOff>
      <xdr:row>409</xdr:row>
      <xdr:rowOff>30480</xdr:rowOff>
    </xdr:from>
    <xdr:to>
      <xdr:col>1</xdr:col>
      <xdr:colOff>358140</xdr:colOff>
      <xdr:row>411</xdr:row>
      <xdr:rowOff>22860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2420" y="45270420"/>
          <a:ext cx="83058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304800</xdr:colOff>
      <xdr:row>414</xdr:row>
      <xdr:rowOff>15240</xdr:rowOff>
    </xdr:from>
    <xdr:to>
      <xdr:col>1</xdr:col>
      <xdr:colOff>670560</xdr:colOff>
      <xdr:row>414</xdr:row>
      <xdr:rowOff>205740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78333600"/>
          <a:ext cx="11506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304800</xdr:colOff>
      <xdr:row>127</xdr:row>
      <xdr:rowOff>0</xdr:rowOff>
    </xdr:from>
    <xdr:to>
      <xdr:col>2</xdr:col>
      <xdr:colOff>198120</xdr:colOff>
      <xdr:row>128</xdr:row>
      <xdr:rowOff>15240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50680620"/>
          <a:ext cx="16611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373380</xdr:colOff>
      <xdr:row>142</xdr:row>
      <xdr:rowOff>121920</xdr:rowOff>
    </xdr:from>
    <xdr:to>
      <xdr:col>2</xdr:col>
      <xdr:colOff>685800</xdr:colOff>
      <xdr:row>144</xdr:row>
      <xdr:rowOff>144780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3380" y="51678840"/>
          <a:ext cx="2080260" cy="373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388620</xdr:colOff>
      <xdr:row>151</xdr:row>
      <xdr:rowOff>121920</xdr:rowOff>
    </xdr:from>
    <xdr:to>
      <xdr:col>1</xdr:col>
      <xdr:colOff>617220</xdr:colOff>
      <xdr:row>152</xdr:row>
      <xdr:rowOff>137160</xdr:rowOff>
    </xdr:to>
    <xdr:pic>
      <xdr:nvPicPr>
        <xdr:cNvPr id="74" name="Picture 4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8620" y="52555140"/>
          <a:ext cx="10134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413161</xdr:colOff>
      <xdr:row>192</xdr:row>
      <xdr:rowOff>123154</xdr:rowOff>
    </xdr:from>
    <xdr:to>
      <xdr:col>1</xdr:col>
      <xdr:colOff>616324</xdr:colOff>
      <xdr:row>194</xdr:row>
      <xdr:rowOff>89646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3161" y="38525713"/>
          <a:ext cx="965163" cy="347492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400050</xdr:colOff>
      <xdr:row>188</xdr:row>
      <xdr:rowOff>62865</xdr:rowOff>
    </xdr:from>
    <xdr:to>
      <xdr:col>1</xdr:col>
      <xdr:colOff>552450</xdr:colOff>
      <xdr:row>190</xdr:row>
      <xdr:rowOff>62865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00050" y="56946165"/>
          <a:ext cx="914400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449580</xdr:colOff>
      <xdr:row>360</xdr:row>
      <xdr:rowOff>137160</xdr:rowOff>
    </xdr:from>
    <xdr:to>
      <xdr:col>1</xdr:col>
      <xdr:colOff>304800</xdr:colOff>
      <xdr:row>362</xdr:row>
      <xdr:rowOff>144780</xdr:rowOff>
    </xdr:to>
    <xdr:pic>
      <xdr:nvPicPr>
        <xdr:cNvPr id="63" name="Picture 6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9580" y="64046100"/>
          <a:ext cx="640080" cy="3581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396240</xdr:colOff>
      <xdr:row>366</xdr:row>
      <xdr:rowOff>60960</xdr:rowOff>
    </xdr:from>
    <xdr:to>
      <xdr:col>1</xdr:col>
      <xdr:colOff>685800</xdr:colOff>
      <xdr:row>368</xdr:row>
      <xdr:rowOff>53340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96240" y="65021460"/>
          <a:ext cx="107442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381000</xdr:colOff>
      <xdr:row>334</xdr:row>
      <xdr:rowOff>30480</xdr:rowOff>
    </xdr:from>
    <xdr:to>
      <xdr:col>2</xdr:col>
      <xdr:colOff>434340</xdr:colOff>
      <xdr:row>335</xdr:row>
      <xdr:rowOff>45720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64236600"/>
          <a:ext cx="182118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350520</xdr:colOff>
      <xdr:row>349</xdr:row>
      <xdr:rowOff>45720</xdr:rowOff>
    </xdr:from>
    <xdr:to>
      <xdr:col>2</xdr:col>
      <xdr:colOff>609600</xdr:colOff>
      <xdr:row>352</xdr:row>
      <xdr:rowOff>38100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0520" y="65661540"/>
          <a:ext cx="2026920" cy="5181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342900</xdr:colOff>
      <xdr:row>355</xdr:row>
      <xdr:rowOff>38100</xdr:rowOff>
    </xdr:from>
    <xdr:to>
      <xdr:col>2</xdr:col>
      <xdr:colOff>76200</xdr:colOff>
      <xdr:row>357</xdr:row>
      <xdr:rowOff>60960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2900" y="66705480"/>
          <a:ext cx="1501140" cy="373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327660</xdr:colOff>
      <xdr:row>452</xdr:row>
      <xdr:rowOff>0</xdr:rowOff>
    </xdr:from>
    <xdr:to>
      <xdr:col>0</xdr:col>
      <xdr:colOff>746760</xdr:colOff>
      <xdr:row>453</xdr:row>
      <xdr:rowOff>114300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7660" y="75902820"/>
          <a:ext cx="41910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312420</xdr:colOff>
      <xdr:row>427</xdr:row>
      <xdr:rowOff>30480</xdr:rowOff>
    </xdr:from>
    <xdr:to>
      <xdr:col>1</xdr:col>
      <xdr:colOff>792480</xdr:colOff>
      <xdr:row>428</xdr:row>
      <xdr:rowOff>7620</xdr:rowOff>
    </xdr:to>
    <xdr:pic>
      <xdr:nvPicPr>
        <xdr:cNvPr id="3081" name="Picture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2420" y="81320640"/>
          <a:ext cx="1264920" cy="2209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175260</xdr:colOff>
      <xdr:row>459</xdr:row>
      <xdr:rowOff>0</xdr:rowOff>
    </xdr:from>
    <xdr:to>
      <xdr:col>1</xdr:col>
      <xdr:colOff>845820</xdr:colOff>
      <xdr:row>460</xdr:row>
      <xdr:rowOff>22860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5260" y="89154000"/>
          <a:ext cx="1455420" cy="3124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289560</xdr:colOff>
      <xdr:row>464</xdr:row>
      <xdr:rowOff>0</xdr:rowOff>
    </xdr:from>
    <xdr:to>
      <xdr:col>1</xdr:col>
      <xdr:colOff>60960</xdr:colOff>
      <xdr:row>465</xdr:row>
      <xdr:rowOff>182880</xdr:rowOff>
    </xdr:to>
    <xdr:pic>
      <xdr:nvPicPr>
        <xdr:cNvPr id="3083" name="Picture 11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9560" y="90236040"/>
          <a:ext cx="556260" cy="3886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274320</xdr:colOff>
      <xdr:row>469</xdr:row>
      <xdr:rowOff>7620</xdr:rowOff>
    </xdr:from>
    <xdr:to>
      <xdr:col>1</xdr:col>
      <xdr:colOff>7620</xdr:colOff>
      <xdr:row>470</xdr:row>
      <xdr:rowOff>22860</xdr:rowOff>
    </xdr:to>
    <xdr:pic>
      <xdr:nvPicPr>
        <xdr:cNvPr id="3084" name="Picture 12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74320" y="79872840"/>
          <a:ext cx="5181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243840</xdr:colOff>
      <xdr:row>472</xdr:row>
      <xdr:rowOff>137160</xdr:rowOff>
    </xdr:from>
    <xdr:to>
      <xdr:col>1</xdr:col>
      <xdr:colOff>198120</xdr:colOff>
      <xdr:row>474</xdr:row>
      <xdr:rowOff>121920</xdr:rowOff>
    </xdr:to>
    <xdr:pic>
      <xdr:nvPicPr>
        <xdr:cNvPr id="3085" name="Picture 13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43840" y="80528160"/>
          <a:ext cx="739140" cy="3352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56</xdr:row>
      <xdr:rowOff>68580</xdr:rowOff>
    </xdr:from>
    <xdr:to>
      <xdr:col>3</xdr:col>
      <xdr:colOff>129540</xdr:colOff>
      <xdr:row>69</xdr:row>
      <xdr:rowOff>89647</xdr:rowOff>
    </xdr:to>
    <xdr:cxnSp macro="">
      <xdr:nvCxnSpPr>
        <xdr:cNvPr id="28" name="27 Conector recto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CxnSpPr/>
      </xdr:nvCxnSpPr>
      <xdr:spPr bwMode="auto">
        <a:xfrm>
          <a:off x="2729305" y="11341698"/>
          <a:ext cx="0" cy="24079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137160</xdr:colOff>
      <xdr:row>56</xdr:row>
      <xdr:rowOff>91440</xdr:rowOff>
    </xdr:from>
    <xdr:to>
      <xdr:col>4</xdr:col>
      <xdr:colOff>134471</xdr:colOff>
      <xdr:row>69</xdr:row>
      <xdr:rowOff>89647</xdr:rowOff>
    </xdr:to>
    <xdr:cxnSp macro="">
      <xdr:nvCxnSpPr>
        <xdr:cNvPr id="30" name="29 Conector recto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CxnSpPr/>
      </xdr:nvCxnSpPr>
      <xdr:spPr bwMode="auto">
        <a:xfrm>
          <a:off x="2736925" y="11364558"/>
          <a:ext cx="1017046" cy="23850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145676</xdr:colOff>
      <xdr:row>69</xdr:row>
      <xdr:rowOff>91440</xdr:rowOff>
    </xdr:from>
    <xdr:to>
      <xdr:col>4</xdr:col>
      <xdr:colOff>137161</xdr:colOff>
      <xdr:row>69</xdr:row>
      <xdr:rowOff>91440</xdr:rowOff>
    </xdr:to>
    <xdr:cxnSp macro="">
      <xdr:nvCxnSpPr>
        <xdr:cNvPr id="32" name="31 Conector recto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CxnSpPr/>
      </xdr:nvCxnSpPr>
      <xdr:spPr bwMode="auto">
        <a:xfrm flipH="1">
          <a:off x="2745441" y="13751411"/>
          <a:ext cx="101122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427514</xdr:colOff>
      <xdr:row>6</xdr:row>
      <xdr:rowOff>23654</xdr:rowOff>
    </xdr:from>
    <xdr:to>
      <xdr:col>0</xdr:col>
      <xdr:colOff>441960</xdr:colOff>
      <xdr:row>19</xdr:row>
      <xdr:rowOff>0</xdr:rowOff>
    </xdr:to>
    <xdr:cxnSp macro="">
      <xdr:nvCxnSpPr>
        <xdr:cNvPr id="59" name="58 Conector recto de flecha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CxnSpPr/>
      </xdr:nvCxnSpPr>
      <xdr:spPr bwMode="auto">
        <a:xfrm rot="16200000" flipV="1">
          <a:off x="92234" y="1936274"/>
          <a:ext cx="2254726" cy="14446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800100</xdr:colOff>
      <xdr:row>31</xdr:row>
      <xdr:rowOff>167640</xdr:rowOff>
    </xdr:from>
    <xdr:to>
      <xdr:col>2</xdr:col>
      <xdr:colOff>1036320</xdr:colOff>
      <xdr:row>31</xdr:row>
      <xdr:rowOff>169228</xdr:rowOff>
    </xdr:to>
    <xdr:cxnSp macro="">
      <xdr:nvCxnSpPr>
        <xdr:cNvPr id="71" name="70 Conector recto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CxnSpPr/>
      </xdr:nvCxnSpPr>
      <xdr:spPr bwMode="auto">
        <a:xfrm>
          <a:off x="1584960" y="5341620"/>
          <a:ext cx="193548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898366</xdr:colOff>
      <xdr:row>6</xdr:row>
      <xdr:rowOff>15240</xdr:rowOff>
    </xdr:from>
    <xdr:to>
      <xdr:col>3</xdr:col>
      <xdr:colOff>533400</xdr:colOff>
      <xdr:row>31</xdr:row>
      <xdr:rowOff>168434</xdr:rowOff>
    </xdr:to>
    <xdr:cxnSp macro="">
      <xdr:nvCxnSpPr>
        <xdr:cNvPr id="75" name="74 Conector recto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CxnSpPr/>
      </xdr:nvCxnSpPr>
      <xdr:spPr bwMode="auto">
        <a:xfrm rot="5400000" flipH="1" flipV="1">
          <a:off x="673576" y="3158490"/>
          <a:ext cx="4534694" cy="53419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7620</xdr:colOff>
      <xdr:row>6</xdr:row>
      <xdr:rowOff>7620</xdr:rowOff>
    </xdr:from>
    <xdr:to>
      <xdr:col>4</xdr:col>
      <xdr:colOff>22860</xdr:colOff>
      <xdr:row>32</xdr:row>
      <xdr:rowOff>22860</xdr:rowOff>
    </xdr:to>
    <xdr:cxnSp macro="">
      <xdr:nvCxnSpPr>
        <xdr:cNvPr id="90" name="89 Conector recto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CxnSpPr/>
      </xdr:nvCxnSpPr>
      <xdr:spPr bwMode="auto">
        <a:xfrm rot="16200000" flipH="1">
          <a:off x="1455420" y="3429000"/>
          <a:ext cx="4572000" cy="1524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15240</xdr:colOff>
      <xdr:row>32</xdr:row>
      <xdr:rowOff>7620</xdr:rowOff>
    </xdr:from>
    <xdr:to>
      <xdr:col>5</xdr:col>
      <xdr:colOff>929640</xdr:colOff>
      <xdr:row>32</xdr:row>
      <xdr:rowOff>9208</xdr:rowOff>
    </xdr:to>
    <xdr:cxnSp macro="">
      <xdr:nvCxnSpPr>
        <xdr:cNvPr id="92" name="91 Conector recto">
          <a:extLst>
            <a:ext uri="{FF2B5EF4-FFF2-40B4-BE49-F238E27FC236}">
              <a16:creationId xmlns:a16="http://schemas.microsoft.com/office/drawing/2014/main" xmlns="" id="{00000000-0008-0000-0100-00005C000000}"/>
            </a:ext>
          </a:extLst>
        </xdr:cNvPr>
        <xdr:cNvCxnSpPr/>
      </xdr:nvCxnSpPr>
      <xdr:spPr bwMode="auto">
        <a:xfrm>
          <a:off x="4488180" y="5356860"/>
          <a:ext cx="181356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791686</xdr:colOff>
      <xdr:row>32</xdr:row>
      <xdr:rowOff>7620</xdr:rowOff>
    </xdr:from>
    <xdr:to>
      <xdr:col>0</xdr:col>
      <xdr:colOff>800100</xdr:colOff>
      <xdr:row>36</xdr:row>
      <xdr:rowOff>16034</xdr:rowOff>
    </xdr:to>
    <xdr:cxnSp macro="">
      <xdr:nvCxnSpPr>
        <xdr:cNvPr id="95" name="94 Conector recto">
          <a:extLst>
            <a:ext uri="{FF2B5EF4-FFF2-40B4-BE49-F238E27FC236}">
              <a16:creationId xmlns:a16="http://schemas.microsoft.com/office/drawing/2014/main" xmlns="" id="{00000000-0008-0000-0100-00005F000000}"/>
            </a:ext>
          </a:extLst>
        </xdr:cNvPr>
        <xdr:cNvCxnSpPr/>
      </xdr:nvCxnSpPr>
      <xdr:spPr bwMode="auto">
        <a:xfrm rot="5400000">
          <a:off x="1226026" y="5707380"/>
          <a:ext cx="709454" cy="841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807720</xdr:colOff>
      <xdr:row>36</xdr:row>
      <xdr:rowOff>30480</xdr:rowOff>
    </xdr:from>
    <xdr:to>
      <xdr:col>6</xdr:col>
      <xdr:colOff>22860</xdr:colOff>
      <xdr:row>36</xdr:row>
      <xdr:rowOff>32068</xdr:rowOff>
    </xdr:to>
    <xdr:cxnSp macro="">
      <xdr:nvCxnSpPr>
        <xdr:cNvPr id="97" name="96 Conector recto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CxnSpPr/>
      </xdr:nvCxnSpPr>
      <xdr:spPr bwMode="auto">
        <a:xfrm>
          <a:off x="1592580" y="6080760"/>
          <a:ext cx="473964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6</xdr:col>
      <xdr:colOff>14446</xdr:colOff>
      <xdr:row>32</xdr:row>
      <xdr:rowOff>8414</xdr:rowOff>
    </xdr:from>
    <xdr:to>
      <xdr:col>6</xdr:col>
      <xdr:colOff>16034</xdr:colOff>
      <xdr:row>36</xdr:row>
      <xdr:rowOff>38894</xdr:rowOff>
    </xdr:to>
    <xdr:cxnSp macro="">
      <xdr:nvCxnSpPr>
        <xdr:cNvPr id="99" name="98 Conector recto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CxnSpPr/>
      </xdr:nvCxnSpPr>
      <xdr:spPr bwMode="auto">
        <a:xfrm rot="5400000" flipH="1" flipV="1">
          <a:off x="5958840" y="5722620"/>
          <a:ext cx="731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838200</xdr:colOff>
      <xdr:row>37</xdr:row>
      <xdr:rowOff>91440</xdr:rowOff>
    </xdr:from>
    <xdr:to>
      <xdr:col>3</xdr:col>
      <xdr:colOff>0</xdr:colOff>
      <xdr:row>37</xdr:row>
      <xdr:rowOff>93028</xdr:rowOff>
    </xdr:to>
    <xdr:cxnSp macro="">
      <xdr:nvCxnSpPr>
        <xdr:cNvPr id="109" name="108 Conector recto de flecha">
          <a:extLst>
            <a:ext uri="{FF2B5EF4-FFF2-40B4-BE49-F238E27FC236}">
              <a16:creationId xmlns:a16="http://schemas.microsoft.com/office/drawing/2014/main" xmlns="" id="{00000000-0008-0000-0100-00006D000000}"/>
            </a:ext>
          </a:extLst>
        </xdr:cNvPr>
        <xdr:cNvCxnSpPr/>
      </xdr:nvCxnSpPr>
      <xdr:spPr bwMode="auto">
        <a:xfrm rot="10800000">
          <a:off x="1623060" y="6316980"/>
          <a:ext cx="19126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15240</xdr:colOff>
      <xdr:row>37</xdr:row>
      <xdr:rowOff>83820</xdr:rowOff>
    </xdr:from>
    <xdr:to>
      <xdr:col>5</xdr:col>
      <xdr:colOff>922020</xdr:colOff>
      <xdr:row>37</xdr:row>
      <xdr:rowOff>85408</xdr:rowOff>
    </xdr:to>
    <xdr:cxnSp macro="">
      <xdr:nvCxnSpPr>
        <xdr:cNvPr id="111" name="110 Conector recto de flecha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CxnSpPr/>
      </xdr:nvCxnSpPr>
      <xdr:spPr bwMode="auto">
        <a:xfrm>
          <a:off x="4488180" y="6309360"/>
          <a:ext cx="18059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395446</xdr:colOff>
      <xdr:row>31</xdr:row>
      <xdr:rowOff>168434</xdr:rowOff>
    </xdr:from>
    <xdr:to>
      <xdr:col>6</xdr:col>
      <xdr:colOff>397034</xdr:colOff>
      <xdr:row>33</xdr:row>
      <xdr:rowOff>160814</xdr:rowOff>
    </xdr:to>
    <xdr:cxnSp macro="">
      <xdr:nvCxnSpPr>
        <xdr:cNvPr id="113" name="112 Conector recto de flecha">
          <a:extLst>
            <a:ext uri="{FF2B5EF4-FFF2-40B4-BE49-F238E27FC236}">
              <a16:creationId xmlns:a16="http://schemas.microsoft.com/office/drawing/2014/main" xmlns="" id="{00000000-0008-0000-0100-000071000000}"/>
            </a:ext>
          </a:extLst>
        </xdr:cNvPr>
        <xdr:cNvCxnSpPr/>
      </xdr:nvCxnSpPr>
      <xdr:spPr bwMode="auto">
        <a:xfrm rot="5400000" flipH="1" flipV="1">
          <a:off x="6534150" y="5513070"/>
          <a:ext cx="3429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395446</xdr:colOff>
      <xdr:row>35</xdr:row>
      <xdr:rowOff>794</xdr:rowOff>
    </xdr:from>
    <xdr:to>
      <xdr:col>6</xdr:col>
      <xdr:colOff>397034</xdr:colOff>
      <xdr:row>36</xdr:row>
      <xdr:rowOff>794</xdr:rowOff>
    </xdr:to>
    <xdr:cxnSp macro="">
      <xdr:nvCxnSpPr>
        <xdr:cNvPr id="115" name="114 Conector recto de flecha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CxnSpPr/>
      </xdr:nvCxnSpPr>
      <xdr:spPr bwMode="auto">
        <a:xfrm rot="5400000">
          <a:off x="6617970" y="5962650"/>
          <a:ext cx="1752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365760</xdr:colOff>
      <xdr:row>31</xdr:row>
      <xdr:rowOff>77788</xdr:rowOff>
    </xdr:from>
    <xdr:to>
      <xdr:col>6</xdr:col>
      <xdr:colOff>0</xdr:colOff>
      <xdr:row>31</xdr:row>
      <xdr:rowOff>83820</xdr:rowOff>
    </xdr:to>
    <xdr:cxnSp macro="">
      <xdr:nvCxnSpPr>
        <xdr:cNvPr id="119" name="118 Conector recto de flecha">
          <a:extLst>
            <a:ext uri="{FF2B5EF4-FFF2-40B4-BE49-F238E27FC236}">
              <a16:creationId xmlns:a16="http://schemas.microsoft.com/office/drawing/2014/main" xmlns="" id="{00000000-0008-0000-0100-000077000000}"/>
            </a:ext>
          </a:extLst>
        </xdr:cNvPr>
        <xdr:cNvCxnSpPr/>
      </xdr:nvCxnSpPr>
      <xdr:spPr bwMode="auto">
        <a:xfrm flipV="1">
          <a:off x="5737860" y="5251768"/>
          <a:ext cx="571500" cy="603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845820</xdr:colOff>
      <xdr:row>31</xdr:row>
      <xdr:rowOff>83820</xdr:rowOff>
    </xdr:from>
    <xdr:to>
      <xdr:col>1</xdr:col>
      <xdr:colOff>731520</xdr:colOff>
      <xdr:row>31</xdr:row>
      <xdr:rowOff>85408</xdr:rowOff>
    </xdr:to>
    <xdr:cxnSp macro="">
      <xdr:nvCxnSpPr>
        <xdr:cNvPr id="125" name="124 Conector recto de flecha">
          <a:extLst>
            <a:ext uri="{FF2B5EF4-FFF2-40B4-BE49-F238E27FC236}">
              <a16:creationId xmlns:a16="http://schemas.microsoft.com/office/drawing/2014/main" xmlns="" id="{00000000-0008-0000-0100-00007D000000}"/>
            </a:ext>
          </a:extLst>
        </xdr:cNvPr>
        <xdr:cNvCxnSpPr/>
      </xdr:nvCxnSpPr>
      <xdr:spPr bwMode="auto">
        <a:xfrm rot="10800000">
          <a:off x="1630680" y="5257800"/>
          <a:ext cx="8077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396240</xdr:colOff>
      <xdr:row>31</xdr:row>
      <xdr:rowOff>99060</xdr:rowOff>
    </xdr:from>
    <xdr:to>
      <xdr:col>2</xdr:col>
      <xdr:colOff>998220</xdr:colOff>
      <xdr:row>31</xdr:row>
      <xdr:rowOff>100648</xdr:rowOff>
    </xdr:to>
    <xdr:cxnSp macro="">
      <xdr:nvCxnSpPr>
        <xdr:cNvPr id="127" name="126 Conector recto de flecha">
          <a:extLst>
            <a:ext uri="{FF2B5EF4-FFF2-40B4-BE49-F238E27FC236}">
              <a16:creationId xmlns:a16="http://schemas.microsoft.com/office/drawing/2014/main" xmlns="" id="{00000000-0008-0000-0100-00007F000000}"/>
            </a:ext>
          </a:extLst>
        </xdr:cNvPr>
        <xdr:cNvCxnSpPr/>
      </xdr:nvCxnSpPr>
      <xdr:spPr bwMode="auto">
        <a:xfrm>
          <a:off x="2880360" y="5273040"/>
          <a:ext cx="6019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0</xdr:colOff>
      <xdr:row>31</xdr:row>
      <xdr:rowOff>99060</xdr:rowOff>
    </xdr:from>
    <xdr:to>
      <xdr:col>3</xdr:col>
      <xdr:colOff>304800</xdr:colOff>
      <xdr:row>31</xdr:row>
      <xdr:rowOff>100648</xdr:rowOff>
    </xdr:to>
    <xdr:cxnSp macro="">
      <xdr:nvCxnSpPr>
        <xdr:cNvPr id="131" name="130 Conector recto de flecha">
          <a:extLst>
            <a:ext uri="{FF2B5EF4-FFF2-40B4-BE49-F238E27FC236}">
              <a16:creationId xmlns:a16="http://schemas.microsoft.com/office/drawing/2014/main" xmlns="" id="{00000000-0008-0000-0100-000083000000}"/>
            </a:ext>
          </a:extLst>
        </xdr:cNvPr>
        <xdr:cNvCxnSpPr/>
      </xdr:nvCxnSpPr>
      <xdr:spPr bwMode="auto">
        <a:xfrm rot="10800000">
          <a:off x="3535680" y="5273040"/>
          <a:ext cx="3048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640080</xdr:colOff>
      <xdr:row>31</xdr:row>
      <xdr:rowOff>106680</xdr:rowOff>
    </xdr:from>
    <xdr:to>
      <xdr:col>3</xdr:col>
      <xdr:colOff>929640</xdr:colOff>
      <xdr:row>31</xdr:row>
      <xdr:rowOff>108268</xdr:rowOff>
    </xdr:to>
    <xdr:cxnSp macro="">
      <xdr:nvCxnSpPr>
        <xdr:cNvPr id="133" name="132 Conector recto de flecha">
          <a:extLst>
            <a:ext uri="{FF2B5EF4-FFF2-40B4-BE49-F238E27FC236}">
              <a16:creationId xmlns:a16="http://schemas.microsoft.com/office/drawing/2014/main" xmlns="" id="{00000000-0008-0000-0100-000085000000}"/>
            </a:ext>
          </a:extLst>
        </xdr:cNvPr>
        <xdr:cNvCxnSpPr/>
      </xdr:nvCxnSpPr>
      <xdr:spPr bwMode="auto">
        <a:xfrm>
          <a:off x="4175760" y="5280660"/>
          <a:ext cx="2895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38100</xdr:colOff>
      <xdr:row>31</xdr:row>
      <xdr:rowOff>99060</xdr:rowOff>
    </xdr:from>
    <xdr:to>
      <xdr:col>4</xdr:col>
      <xdr:colOff>883920</xdr:colOff>
      <xdr:row>31</xdr:row>
      <xdr:rowOff>100648</xdr:rowOff>
    </xdr:to>
    <xdr:cxnSp macro="">
      <xdr:nvCxnSpPr>
        <xdr:cNvPr id="135" name="134 Conector recto de flecha">
          <a:extLst>
            <a:ext uri="{FF2B5EF4-FFF2-40B4-BE49-F238E27FC236}">
              <a16:creationId xmlns:a16="http://schemas.microsoft.com/office/drawing/2014/main" xmlns="" id="{00000000-0008-0000-0100-000087000000}"/>
            </a:ext>
          </a:extLst>
        </xdr:cNvPr>
        <xdr:cNvCxnSpPr/>
      </xdr:nvCxnSpPr>
      <xdr:spPr bwMode="auto">
        <a:xfrm rot="10800000">
          <a:off x="4511040" y="5273040"/>
          <a:ext cx="8458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372586</xdr:colOff>
      <xdr:row>6</xdr:row>
      <xdr:rowOff>23654</xdr:rowOff>
    </xdr:from>
    <xdr:to>
      <xdr:col>6</xdr:col>
      <xdr:colOff>374174</xdr:colOff>
      <xdr:row>16</xdr:row>
      <xdr:rowOff>794</xdr:rowOff>
    </xdr:to>
    <xdr:cxnSp macro="">
      <xdr:nvCxnSpPr>
        <xdr:cNvPr id="139" name="138 Conector recto de flecha">
          <a:extLst>
            <a:ext uri="{FF2B5EF4-FFF2-40B4-BE49-F238E27FC236}">
              <a16:creationId xmlns:a16="http://schemas.microsoft.com/office/drawing/2014/main" xmlns="" id="{00000000-0008-0000-0100-00008B000000}"/>
            </a:ext>
          </a:extLst>
        </xdr:cNvPr>
        <xdr:cNvCxnSpPr/>
      </xdr:nvCxnSpPr>
      <xdr:spPr bwMode="auto">
        <a:xfrm rot="5400000" flipH="1" flipV="1">
          <a:off x="5817870" y="1680210"/>
          <a:ext cx="17297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403066</xdr:colOff>
      <xdr:row>18</xdr:row>
      <xdr:rowOff>168434</xdr:rowOff>
    </xdr:from>
    <xdr:to>
      <xdr:col>6</xdr:col>
      <xdr:colOff>404654</xdr:colOff>
      <xdr:row>31</xdr:row>
      <xdr:rowOff>145574</xdr:rowOff>
    </xdr:to>
    <xdr:cxnSp macro="">
      <xdr:nvCxnSpPr>
        <xdr:cNvPr id="141" name="140 Conector recto de flecha">
          <a:extLst>
            <a:ext uri="{FF2B5EF4-FFF2-40B4-BE49-F238E27FC236}">
              <a16:creationId xmlns:a16="http://schemas.microsoft.com/office/drawing/2014/main" xmlns="" id="{00000000-0008-0000-0100-00008D000000}"/>
            </a:ext>
          </a:extLst>
        </xdr:cNvPr>
        <xdr:cNvCxnSpPr/>
      </xdr:nvCxnSpPr>
      <xdr:spPr bwMode="auto">
        <a:xfrm rot="5400000">
          <a:off x="5585460" y="4191000"/>
          <a:ext cx="22555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403066</xdr:colOff>
      <xdr:row>21</xdr:row>
      <xdr:rowOff>153194</xdr:rowOff>
    </xdr:from>
    <xdr:to>
      <xdr:col>0</xdr:col>
      <xdr:colOff>404654</xdr:colOff>
      <xdr:row>35</xdr:row>
      <xdr:rowOff>137954</xdr:rowOff>
    </xdr:to>
    <xdr:cxnSp macro="">
      <xdr:nvCxnSpPr>
        <xdr:cNvPr id="145" name="144 Conector recto de flecha">
          <a:extLst>
            <a:ext uri="{FF2B5EF4-FFF2-40B4-BE49-F238E27FC236}">
              <a16:creationId xmlns:a16="http://schemas.microsoft.com/office/drawing/2014/main" xmlns="" id="{00000000-0008-0000-0100-000091000000}"/>
            </a:ext>
          </a:extLst>
        </xdr:cNvPr>
        <xdr:cNvCxnSpPr/>
      </xdr:nvCxnSpPr>
      <xdr:spPr bwMode="auto">
        <a:xfrm rot="5400000">
          <a:off x="-815340" y="5143500"/>
          <a:ext cx="24384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22</xdr:row>
      <xdr:rowOff>122714</xdr:rowOff>
    </xdr:from>
    <xdr:to>
      <xdr:col>4</xdr:col>
      <xdr:colOff>488474</xdr:colOff>
      <xdr:row>31</xdr:row>
      <xdr:rowOff>145574</xdr:rowOff>
    </xdr:to>
    <xdr:cxnSp macro="">
      <xdr:nvCxnSpPr>
        <xdr:cNvPr id="164" name="163 Conector recto de flecha">
          <a:extLst>
            <a:ext uri="{FF2B5EF4-FFF2-40B4-BE49-F238E27FC236}">
              <a16:creationId xmlns:a16="http://schemas.microsoft.com/office/drawing/2014/main" xmlns="" id="{00000000-0008-0000-0100-0000A4000000}"/>
            </a:ext>
          </a:extLst>
        </xdr:cNvPr>
        <xdr:cNvCxnSpPr/>
      </xdr:nvCxnSpPr>
      <xdr:spPr bwMode="auto">
        <a:xfrm rot="5400000">
          <a:off x="4160520" y="4518660"/>
          <a:ext cx="16002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9</xdr:row>
      <xdr:rowOff>7620</xdr:rowOff>
    </xdr:from>
    <xdr:to>
      <xdr:col>4</xdr:col>
      <xdr:colOff>487680</xdr:colOff>
      <xdr:row>20</xdr:row>
      <xdr:rowOff>38894</xdr:rowOff>
    </xdr:to>
    <xdr:cxnSp macro="">
      <xdr:nvCxnSpPr>
        <xdr:cNvPr id="183" name="182 Conector recto de flecha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 bwMode="auto">
        <a:xfrm rot="5400000" flipH="1" flipV="1">
          <a:off x="3233896" y="2655570"/>
          <a:ext cx="1959134" cy="79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433546</xdr:colOff>
      <xdr:row>33</xdr:row>
      <xdr:rowOff>794</xdr:rowOff>
    </xdr:from>
    <xdr:to>
      <xdr:col>3</xdr:col>
      <xdr:colOff>435134</xdr:colOff>
      <xdr:row>35</xdr:row>
      <xdr:rowOff>115094</xdr:rowOff>
    </xdr:to>
    <xdr:cxnSp macro="">
      <xdr:nvCxnSpPr>
        <xdr:cNvPr id="185" name="184 Conector recto de flecha">
          <a:extLst>
            <a:ext uri="{FF2B5EF4-FFF2-40B4-BE49-F238E27FC236}">
              <a16:creationId xmlns:a16="http://schemas.microsoft.com/office/drawing/2014/main" xmlns="" id="{00000000-0008-0000-0100-0000B9000000}"/>
            </a:ext>
          </a:extLst>
        </xdr:cNvPr>
        <xdr:cNvCxnSpPr/>
      </xdr:nvCxnSpPr>
      <xdr:spPr bwMode="auto">
        <a:xfrm rot="5400000">
          <a:off x="3737610" y="6107430"/>
          <a:ext cx="4648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815340</xdr:colOff>
      <xdr:row>21</xdr:row>
      <xdr:rowOff>7620</xdr:rowOff>
    </xdr:from>
    <xdr:to>
      <xdr:col>3</xdr:col>
      <xdr:colOff>830580</xdr:colOff>
      <xdr:row>26</xdr:row>
      <xdr:rowOff>45720</xdr:rowOff>
    </xdr:to>
    <xdr:cxnSp macro="">
      <xdr:nvCxnSpPr>
        <xdr:cNvPr id="192" name="191 Conector recto de flecha">
          <a:extLst>
            <a:ext uri="{FF2B5EF4-FFF2-40B4-BE49-F238E27FC236}">
              <a16:creationId xmlns:a16="http://schemas.microsoft.com/office/drawing/2014/main" xmlns="" id="{00000000-0008-0000-0100-0000C0000000}"/>
            </a:ext>
          </a:extLst>
        </xdr:cNvPr>
        <xdr:cNvCxnSpPr/>
      </xdr:nvCxnSpPr>
      <xdr:spPr bwMode="auto">
        <a:xfrm rot="16200000" flipH="1">
          <a:off x="3040380" y="4229100"/>
          <a:ext cx="91440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151606</xdr:colOff>
      <xdr:row>11</xdr:row>
      <xdr:rowOff>16034</xdr:rowOff>
    </xdr:from>
    <xdr:to>
      <xdr:col>3</xdr:col>
      <xdr:colOff>153194</xdr:colOff>
      <xdr:row>16</xdr:row>
      <xdr:rowOff>84614</xdr:rowOff>
    </xdr:to>
    <xdr:cxnSp macro="">
      <xdr:nvCxnSpPr>
        <xdr:cNvPr id="212" name="211 Conector recto de flecha">
          <a:extLst>
            <a:ext uri="{FF2B5EF4-FFF2-40B4-BE49-F238E27FC236}">
              <a16:creationId xmlns:a16="http://schemas.microsoft.com/office/drawing/2014/main" xmlns="" id="{00000000-0008-0000-0100-0000D4000000}"/>
            </a:ext>
          </a:extLst>
        </xdr:cNvPr>
        <xdr:cNvCxnSpPr/>
      </xdr:nvCxnSpPr>
      <xdr:spPr bwMode="auto">
        <a:xfrm rot="5400000">
          <a:off x="2354580" y="2506980"/>
          <a:ext cx="9448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1021080</xdr:colOff>
      <xdr:row>31</xdr:row>
      <xdr:rowOff>152400</xdr:rowOff>
    </xdr:from>
    <xdr:to>
      <xdr:col>4</xdr:col>
      <xdr:colOff>30480</xdr:colOff>
      <xdr:row>31</xdr:row>
      <xdr:rowOff>153988</xdr:rowOff>
    </xdr:to>
    <xdr:cxnSp macro="">
      <xdr:nvCxnSpPr>
        <xdr:cNvPr id="221" name="220 Conector recto">
          <a:extLst>
            <a:ext uri="{FF2B5EF4-FFF2-40B4-BE49-F238E27FC236}">
              <a16:creationId xmlns:a16="http://schemas.microsoft.com/office/drawing/2014/main" xmlns="" id="{00000000-0008-0000-0100-0000DD000000}"/>
            </a:ext>
          </a:extLst>
        </xdr:cNvPr>
        <xdr:cNvCxnSpPr/>
      </xdr:nvCxnSpPr>
      <xdr:spPr bwMode="auto">
        <a:xfrm>
          <a:off x="3505200" y="5676900"/>
          <a:ext cx="9982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358140</xdr:colOff>
      <xdr:row>56</xdr:row>
      <xdr:rowOff>22860</xdr:rowOff>
    </xdr:from>
    <xdr:to>
      <xdr:col>1</xdr:col>
      <xdr:colOff>685800</xdr:colOff>
      <xdr:row>57</xdr:row>
      <xdr:rowOff>38100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11018520"/>
          <a:ext cx="11811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350520</xdr:colOff>
      <xdr:row>59</xdr:row>
      <xdr:rowOff>137160</xdr:rowOff>
    </xdr:from>
    <xdr:to>
      <xdr:col>1</xdr:col>
      <xdr:colOff>365760</xdr:colOff>
      <xdr:row>61</xdr:row>
      <xdr:rowOff>129540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0520" y="11689080"/>
          <a:ext cx="86868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342900</xdr:colOff>
      <xdr:row>68</xdr:row>
      <xdr:rowOff>137160</xdr:rowOff>
    </xdr:from>
    <xdr:to>
      <xdr:col>1</xdr:col>
      <xdr:colOff>365760</xdr:colOff>
      <xdr:row>69</xdr:row>
      <xdr:rowOff>152400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2900" y="13296900"/>
          <a:ext cx="8763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320040</xdr:colOff>
      <xdr:row>129</xdr:row>
      <xdr:rowOff>137160</xdr:rowOff>
    </xdr:from>
    <xdr:to>
      <xdr:col>1</xdr:col>
      <xdr:colOff>647700</xdr:colOff>
      <xdr:row>130</xdr:row>
      <xdr:rowOff>144780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0040" y="18310860"/>
          <a:ext cx="1181100" cy="1828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358140</xdr:colOff>
      <xdr:row>133</xdr:row>
      <xdr:rowOff>129540</xdr:rowOff>
    </xdr:from>
    <xdr:to>
      <xdr:col>1</xdr:col>
      <xdr:colOff>0</xdr:colOff>
      <xdr:row>135</xdr:row>
      <xdr:rowOff>114300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19004280"/>
          <a:ext cx="495300" cy="335280"/>
        </a:xfrm>
        <a:prstGeom prst="rect">
          <a:avLst/>
        </a:prstGeom>
        <a:noFill/>
      </xdr:spPr>
    </xdr:pic>
    <xdr:clientData/>
  </xdr:twoCellAnchor>
  <xdr:twoCellAnchor>
    <xdr:from>
      <xdr:col>1</xdr:col>
      <xdr:colOff>814546</xdr:colOff>
      <xdr:row>34</xdr:row>
      <xdr:rowOff>794</xdr:rowOff>
    </xdr:from>
    <xdr:to>
      <xdr:col>1</xdr:col>
      <xdr:colOff>816134</xdr:colOff>
      <xdr:row>38</xdr:row>
      <xdr:rowOff>122714</xdr:rowOff>
    </xdr:to>
    <xdr:cxnSp macro="">
      <xdr:nvCxnSpPr>
        <xdr:cNvPr id="235" name="234 Conector recto de flecha">
          <a:extLst>
            <a:ext uri="{FF2B5EF4-FFF2-40B4-BE49-F238E27FC236}">
              <a16:creationId xmlns:a16="http://schemas.microsoft.com/office/drawing/2014/main" xmlns="" id="{00000000-0008-0000-0100-0000EB000000}"/>
            </a:ext>
          </a:extLst>
        </xdr:cNvPr>
        <xdr:cNvCxnSpPr/>
      </xdr:nvCxnSpPr>
      <xdr:spPr bwMode="auto">
        <a:xfrm rot="5400000">
          <a:off x="1257300" y="6461760"/>
          <a:ext cx="8229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289560</xdr:colOff>
      <xdr:row>125</xdr:row>
      <xdr:rowOff>167640</xdr:rowOff>
    </xdr:from>
    <xdr:to>
      <xdr:col>1</xdr:col>
      <xdr:colOff>190500</xdr:colOff>
      <xdr:row>127</xdr:row>
      <xdr:rowOff>7620</xdr:rowOff>
    </xdr:to>
    <xdr:pic>
      <xdr:nvPicPr>
        <xdr:cNvPr id="8" name="Picture 1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9560" y="17754600"/>
          <a:ext cx="75438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335280</xdr:colOff>
      <xdr:row>139</xdr:row>
      <xdr:rowOff>167640</xdr:rowOff>
    </xdr:from>
    <xdr:to>
      <xdr:col>1</xdr:col>
      <xdr:colOff>594360</xdr:colOff>
      <xdr:row>141</xdr:row>
      <xdr:rowOff>7620</xdr:rowOff>
    </xdr:to>
    <xdr:pic>
      <xdr:nvPicPr>
        <xdr:cNvPr id="2060" name="Picture 12">
          <a:extLst>
            <a:ext uri="{FF2B5EF4-FFF2-40B4-BE49-F238E27FC236}">
              <a16:creationId xmlns:a16="http://schemas.microsoft.com/office/drawing/2014/main" xmlns="" id="{00000000-0008-0000-01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5280" y="20093940"/>
          <a:ext cx="11125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791686</xdr:colOff>
      <xdr:row>9</xdr:row>
      <xdr:rowOff>7620</xdr:rowOff>
    </xdr:from>
    <xdr:to>
      <xdr:col>0</xdr:col>
      <xdr:colOff>838200</xdr:colOff>
      <xdr:row>31</xdr:row>
      <xdr:rowOff>168434</xdr:rowOff>
    </xdr:to>
    <xdr:cxnSp macro="">
      <xdr:nvCxnSpPr>
        <xdr:cNvPr id="151" name="150 Conector recto">
          <a:extLst>
            <a:ext uri="{FF2B5EF4-FFF2-40B4-BE49-F238E27FC236}">
              <a16:creationId xmlns:a16="http://schemas.microsoft.com/office/drawing/2014/main" xmlns="" id="{00000000-0008-0000-0100-000097000000}"/>
            </a:ext>
          </a:extLst>
        </xdr:cNvPr>
        <xdr:cNvCxnSpPr/>
      </xdr:nvCxnSpPr>
      <xdr:spPr bwMode="auto">
        <a:xfrm rot="5400000" flipH="1" flipV="1">
          <a:off x="-1193324" y="3661410"/>
          <a:ext cx="4016534" cy="4651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845820</xdr:colOff>
      <xdr:row>9</xdr:row>
      <xdr:rowOff>0</xdr:rowOff>
    </xdr:from>
    <xdr:to>
      <xdr:col>3</xdr:col>
      <xdr:colOff>457200</xdr:colOff>
      <xdr:row>9</xdr:row>
      <xdr:rowOff>7620</xdr:rowOff>
    </xdr:to>
    <xdr:cxnSp macro="">
      <xdr:nvCxnSpPr>
        <xdr:cNvPr id="154" name="153 Conector recto">
          <a:extLst>
            <a:ext uri="{FF2B5EF4-FFF2-40B4-BE49-F238E27FC236}">
              <a16:creationId xmlns:a16="http://schemas.microsoft.com/office/drawing/2014/main" xmlns="" id="{00000000-0008-0000-0100-00009A000000}"/>
            </a:ext>
          </a:extLst>
        </xdr:cNvPr>
        <xdr:cNvCxnSpPr/>
      </xdr:nvCxnSpPr>
      <xdr:spPr bwMode="auto">
        <a:xfrm flipV="1">
          <a:off x="845820" y="1668780"/>
          <a:ext cx="228600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921226</xdr:colOff>
      <xdr:row>13</xdr:row>
      <xdr:rowOff>31274</xdr:rowOff>
    </xdr:from>
    <xdr:to>
      <xdr:col>2</xdr:col>
      <xdr:colOff>794</xdr:colOff>
      <xdr:row>22</xdr:row>
      <xdr:rowOff>107474</xdr:rowOff>
    </xdr:to>
    <xdr:cxnSp macro="">
      <xdr:nvCxnSpPr>
        <xdr:cNvPr id="157" name="156 Conector recto de flecha">
          <a:extLst>
            <a:ext uri="{FF2B5EF4-FFF2-40B4-BE49-F238E27FC236}">
              <a16:creationId xmlns:a16="http://schemas.microsoft.com/office/drawing/2014/main" xmlns="" id="{00000000-0008-0000-0100-00009D000000}"/>
            </a:ext>
          </a:extLst>
        </xdr:cNvPr>
        <xdr:cNvCxnSpPr/>
      </xdr:nvCxnSpPr>
      <xdr:spPr bwMode="auto">
        <a:xfrm rot="5400000">
          <a:off x="948690" y="3227070"/>
          <a:ext cx="16535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582706</xdr:colOff>
      <xdr:row>64</xdr:row>
      <xdr:rowOff>169228</xdr:rowOff>
    </xdr:from>
    <xdr:to>
      <xdr:col>4</xdr:col>
      <xdr:colOff>910591</xdr:colOff>
      <xdr:row>64</xdr:row>
      <xdr:rowOff>169228</xdr:rowOff>
    </xdr:to>
    <xdr:cxnSp macro="">
      <xdr:nvCxnSpPr>
        <xdr:cNvPr id="110" name="109 Conector recto de flecha">
          <a:extLst>
            <a:ext uri="{FF2B5EF4-FFF2-40B4-BE49-F238E27FC236}">
              <a16:creationId xmlns:a16="http://schemas.microsoft.com/office/drawing/2014/main" xmlns="" id="{00000000-0008-0000-0100-00006E000000}"/>
            </a:ext>
          </a:extLst>
        </xdr:cNvPr>
        <xdr:cNvCxnSpPr/>
      </xdr:nvCxnSpPr>
      <xdr:spPr bwMode="auto">
        <a:xfrm flipH="1">
          <a:off x="3182471" y="12921522"/>
          <a:ext cx="1347620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472440</xdr:colOff>
      <xdr:row>65</xdr:row>
      <xdr:rowOff>11206</xdr:rowOff>
    </xdr:from>
    <xdr:to>
      <xdr:col>4</xdr:col>
      <xdr:colOff>472440</xdr:colOff>
      <xdr:row>66</xdr:row>
      <xdr:rowOff>167640</xdr:rowOff>
    </xdr:to>
    <xdr:cxnSp macro="">
      <xdr:nvCxnSpPr>
        <xdr:cNvPr id="114" name="113 Conector recto de flecha">
          <a:extLst>
            <a:ext uri="{FF2B5EF4-FFF2-40B4-BE49-F238E27FC236}">
              <a16:creationId xmlns:a16="http://schemas.microsoft.com/office/drawing/2014/main" xmlns="" id="{00000000-0008-0000-0100-000072000000}"/>
            </a:ext>
          </a:extLst>
        </xdr:cNvPr>
        <xdr:cNvCxnSpPr/>
      </xdr:nvCxnSpPr>
      <xdr:spPr bwMode="auto">
        <a:xfrm flipV="1">
          <a:off x="4091940" y="12942794"/>
          <a:ext cx="0" cy="3357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454856</xdr:colOff>
      <xdr:row>67</xdr:row>
      <xdr:rowOff>183674</xdr:rowOff>
    </xdr:from>
    <xdr:to>
      <xdr:col>4</xdr:col>
      <xdr:colOff>454856</xdr:colOff>
      <xdr:row>69</xdr:row>
      <xdr:rowOff>89650</xdr:rowOff>
    </xdr:to>
    <xdr:cxnSp macro="">
      <xdr:nvCxnSpPr>
        <xdr:cNvPr id="117" name="116 Conector recto de flecha">
          <a:extLst>
            <a:ext uri="{FF2B5EF4-FFF2-40B4-BE49-F238E27FC236}">
              <a16:creationId xmlns:a16="http://schemas.microsoft.com/office/drawing/2014/main" xmlns="" id="{00000000-0008-0000-0100-000075000000}"/>
            </a:ext>
          </a:extLst>
        </xdr:cNvPr>
        <xdr:cNvCxnSpPr/>
      </xdr:nvCxnSpPr>
      <xdr:spPr bwMode="auto">
        <a:xfrm>
          <a:off x="4074356" y="13473850"/>
          <a:ext cx="0" cy="275771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456406</xdr:colOff>
      <xdr:row>56</xdr:row>
      <xdr:rowOff>78442</xdr:rowOff>
    </xdr:from>
    <xdr:to>
      <xdr:col>5</xdr:col>
      <xdr:colOff>456406</xdr:colOff>
      <xdr:row>63</xdr:row>
      <xdr:rowOff>0</xdr:rowOff>
    </xdr:to>
    <xdr:cxnSp macro="">
      <xdr:nvCxnSpPr>
        <xdr:cNvPr id="124" name="123 Conector recto de flecha">
          <a:extLst>
            <a:ext uri="{FF2B5EF4-FFF2-40B4-BE49-F238E27FC236}">
              <a16:creationId xmlns:a16="http://schemas.microsoft.com/office/drawing/2014/main" xmlns="" id="{00000000-0008-0000-0100-00007C000000}"/>
            </a:ext>
          </a:extLst>
        </xdr:cNvPr>
        <xdr:cNvCxnSpPr/>
      </xdr:nvCxnSpPr>
      <xdr:spPr bwMode="auto">
        <a:xfrm flipV="1">
          <a:off x="4994788" y="11351560"/>
          <a:ext cx="0" cy="12214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460440</xdr:colOff>
      <xdr:row>64</xdr:row>
      <xdr:rowOff>22412</xdr:rowOff>
    </xdr:from>
    <xdr:to>
      <xdr:col>5</xdr:col>
      <xdr:colOff>460440</xdr:colOff>
      <xdr:row>69</xdr:row>
      <xdr:rowOff>89647</xdr:rowOff>
    </xdr:to>
    <xdr:cxnSp macro="">
      <xdr:nvCxnSpPr>
        <xdr:cNvPr id="129" name="128 Conector recto de flecha">
          <a:extLst>
            <a:ext uri="{FF2B5EF4-FFF2-40B4-BE49-F238E27FC236}">
              <a16:creationId xmlns:a16="http://schemas.microsoft.com/office/drawing/2014/main" xmlns="" id="{00000000-0008-0000-0100-000081000000}"/>
            </a:ext>
          </a:extLst>
        </xdr:cNvPr>
        <xdr:cNvCxnSpPr/>
      </xdr:nvCxnSpPr>
      <xdr:spPr bwMode="auto">
        <a:xfrm>
          <a:off x="4998822" y="12774706"/>
          <a:ext cx="0" cy="97491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541020</xdr:colOff>
      <xdr:row>6</xdr:row>
      <xdr:rowOff>7620</xdr:rowOff>
    </xdr:from>
    <xdr:to>
      <xdr:col>4</xdr:col>
      <xdr:colOff>22860</xdr:colOff>
      <xdr:row>6</xdr:row>
      <xdr:rowOff>9208</xdr:rowOff>
    </xdr:to>
    <xdr:cxnSp macro="">
      <xdr:nvCxnSpPr>
        <xdr:cNvPr id="132" name="131 Conector recto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CxnSpPr/>
      </xdr:nvCxnSpPr>
      <xdr:spPr bwMode="auto">
        <a:xfrm>
          <a:off x="3215640" y="1150620"/>
          <a:ext cx="53340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860266</xdr:colOff>
      <xdr:row>9</xdr:row>
      <xdr:rowOff>16034</xdr:rowOff>
    </xdr:from>
    <xdr:to>
      <xdr:col>2</xdr:col>
      <xdr:colOff>861854</xdr:colOff>
      <xdr:row>32</xdr:row>
      <xdr:rowOff>8414</xdr:rowOff>
    </xdr:to>
    <xdr:cxnSp macro="">
      <xdr:nvCxnSpPr>
        <xdr:cNvPr id="146" name="145 Conector recto">
          <a:extLst>
            <a:ext uri="{FF2B5EF4-FFF2-40B4-BE49-F238E27FC236}">
              <a16:creationId xmlns:a16="http://schemas.microsoft.com/office/drawing/2014/main" xmlns="" id="{00000000-0008-0000-0100-000092000000}"/>
            </a:ext>
          </a:extLst>
        </xdr:cNvPr>
        <xdr:cNvCxnSpPr/>
      </xdr:nvCxnSpPr>
      <xdr:spPr bwMode="auto">
        <a:xfrm rot="5400000" flipH="1" flipV="1">
          <a:off x="624840" y="3695700"/>
          <a:ext cx="402336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532606</xdr:colOff>
      <xdr:row>6</xdr:row>
      <xdr:rowOff>16034</xdr:rowOff>
    </xdr:from>
    <xdr:to>
      <xdr:col>3</xdr:col>
      <xdr:colOff>534194</xdr:colOff>
      <xdr:row>31</xdr:row>
      <xdr:rowOff>137954</xdr:rowOff>
    </xdr:to>
    <xdr:cxnSp macro="">
      <xdr:nvCxnSpPr>
        <xdr:cNvPr id="150" name="149 Conector recto">
          <a:extLst>
            <a:ext uri="{FF2B5EF4-FFF2-40B4-BE49-F238E27FC236}">
              <a16:creationId xmlns:a16="http://schemas.microsoft.com/office/drawing/2014/main" xmlns="" id="{00000000-0008-0000-0100-000096000000}"/>
            </a:ext>
          </a:extLst>
        </xdr:cNvPr>
        <xdr:cNvCxnSpPr/>
      </xdr:nvCxnSpPr>
      <xdr:spPr bwMode="auto">
        <a:xfrm rot="5400000">
          <a:off x="956310" y="3409950"/>
          <a:ext cx="45034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358140</xdr:colOff>
      <xdr:row>25</xdr:row>
      <xdr:rowOff>7620</xdr:rowOff>
    </xdr:from>
    <xdr:to>
      <xdr:col>3</xdr:col>
      <xdr:colOff>365760</xdr:colOff>
      <xdr:row>30</xdr:row>
      <xdr:rowOff>106680</xdr:rowOff>
    </xdr:to>
    <xdr:cxnSp macro="">
      <xdr:nvCxnSpPr>
        <xdr:cNvPr id="155" name="154 Conector recto de flecha">
          <a:extLst>
            <a:ext uri="{FF2B5EF4-FFF2-40B4-BE49-F238E27FC236}">
              <a16:creationId xmlns:a16="http://schemas.microsoft.com/office/drawing/2014/main" xmlns="" id="{00000000-0008-0000-0100-00009B000000}"/>
            </a:ext>
          </a:extLst>
        </xdr:cNvPr>
        <xdr:cNvCxnSpPr/>
      </xdr:nvCxnSpPr>
      <xdr:spPr bwMode="auto">
        <a:xfrm rot="16200000" flipH="1">
          <a:off x="2548890" y="4964430"/>
          <a:ext cx="9753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289560</xdr:colOff>
      <xdr:row>8</xdr:row>
      <xdr:rowOff>129540</xdr:rowOff>
    </xdr:from>
    <xdr:to>
      <xdr:col>3</xdr:col>
      <xdr:colOff>449580</xdr:colOff>
      <xdr:row>8</xdr:row>
      <xdr:rowOff>131128</xdr:rowOff>
    </xdr:to>
    <xdr:cxnSp macro="">
      <xdr:nvCxnSpPr>
        <xdr:cNvPr id="162" name="161 Conector recto de flecha">
          <a:extLst>
            <a:ext uri="{FF2B5EF4-FFF2-40B4-BE49-F238E27FC236}">
              <a16:creationId xmlns:a16="http://schemas.microsoft.com/office/drawing/2014/main" xmlns="" id="{00000000-0008-0000-0100-0000A2000000}"/>
            </a:ext>
          </a:extLst>
        </xdr:cNvPr>
        <xdr:cNvCxnSpPr/>
      </xdr:nvCxnSpPr>
      <xdr:spPr bwMode="auto">
        <a:xfrm rot="10800000">
          <a:off x="2964180" y="1623060"/>
          <a:ext cx="1600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533400</xdr:colOff>
      <xdr:row>5</xdr:row>
      <xdr:rowOff>99060</xdr:rowOff>
    </xdr:from>
    <xdr:to>
      <xdr:col>3</xdr:col>
      <xdr:colOff>708660</xdr:colOff>
      <xdr:row>5</xdr:row>
      <xdr:rowOff>106680</xdr:rowOff>
    </xdr:to>
    <xdr:cxnSp macro="">
      <xdr:nvCxnSpPr>
        <xdr:cNvPr id="165" name="164 Conector recto de flecha">
          <a:extLst>
            <a:ext uri="{FF2B5EF4-FFF2-40B4-BE49-F238E27FC236}">
              <a16:creationId xmlns:a16="http://schemas.microsoft.com/office/drawing/2014/main" xmlns="" id="{00000000-0008-0000-0100-0000A5000000}"/>
            </a:ext>
          </a:extLst>
        </xdr:cNvPr>
        <xdr:cNvCxnSpPr/>
      </xdr:nvCxnSpPr>
      <xdr:spPr bwMode="auto">
        <a:xfrm rot="10800000" flipV="1">
          <a:off x="3208020" y="1066800"/>
          <a:ext cx="1752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15240</xdr:colOff>
      <xdr:row>5</xdr:row>
      <xdr:rowOff>121920</xdr:rowOff>
    </xdr:from>
    <xdr:to>
      <xdr:col>3</xdr:col>
      <xdr:colOff>533400</xdr:colOff>
      <xdr:row>5</xdr:row>
      <xdr:rowOff>123508</xdr:rowOff>
    </xdr:to>
    <xdr:cxnSp macro="">
      <xdr:nvCxnSpPr>
        <xdr:cNvPr id="168" name="167 Conector recto de flecha">
          <a:extLst>
            <a:ext uri="{FF2B5EF4-FFF2-40B4-BE49-F238E27FC236}">
              <a16:creationId xmlns:a16="http://schemas.microsoft.com/office/drawing/2014/main" xmlns="" id="{00000000-0008-0000-0100-0000A8000000}"/>
            </a:ext>
          </a:extLst>
        </xdr:cNvPr>
        <xdr:cNvCxnSpPr/>
      </xdr:nvCxnSpPr>
      <xdr:spPr bwMode="auto">
        <a:xfrm>
          <a:off x="2689860" y="1089660"/>
          <a:ext cx="518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arrow"/>
          <a:tailEnd type="arrow"/>
        </a:ln>
        <a:effectLst/>
      </xdr:spPr>
    </xdr:cxnSp>
    <xdr:clientData/>
  </xdr:twoCellAnchor>
  <xdr:twoCellAnchor>
    <xdr:from>
      <xdr:col>0</xdr:col>
      <xdr:colOff>669766</xdr:colOff>
      <xdr:row>9</xdr:row>
      <xdr:rowOff>38894</xdr:rowOff>
    </xdr:from>
    <xdr:to>
      <xdr:col>0</xdr:col>
      <xdr:colOff>671354</xdr:colOff>
      <xdr:row>22</xdr:row>
      <xdr:rowOff>76994</xdr:rowOff>
    </xdr:to>
    <xdr:cxnSp macro="">
      <xdr:nvCxnSpPr>
        <xdr:cNvPr id="88" name="87 Conector recto de flecha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CxnSpPr/>
      </xdr:nvCxnSpPr>
      <xdr:spPr bwMode="auto">
        <a:xfrm rot="5400000" flipH="1" flipV="1">
          <a:off x="-487680" y="2865120"/>
          <a:ext cx="23164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654526</xdr:colOff>
      <xdr:row>24</xdr:row>
      <xdr:rowOff>69374</xdr:rowOff>
    </xdr:from>
    <xdr:to>
      <xdr:col>0</xdr:col>
      <xdr:colOff>656114</xdr:colOff>
      <xdr:row>35</xdr:row>
      <xdr:rowOff>137954</xdr:rowOff>
    </xdr:to>
    <xdr:cxnSp macro="">
      <xdr:nvCxnSpPr>
        <xdr:cNvPr id="91" name="90 Conector recto de flecha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CxnSpPr/>
      </xdr:nvCxnSpPr>
      <xdr:spPr bwMode="auto">
        <a:xfrm rot="5400000">
          <a:off x="-342900" y="5364480"/>
          <a:ext cx="19964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251460</xdr:colOff>
      <xdr:row>149</xdr:row>
      <xdr:rowOff>152400</xdr:rowOff>
    </xdr:from>
    <xdr:to>
      <xdr:col>1</xdr:col>
      <xdr:colOff>502920</xdr:colOff>
      <xdr:row>151</xdr:row>
      <xdr:rowOff>137160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51460" y="20429220"/>
          <a:ext cx="110490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205740</xdr:colOff>
      <xdr:row>153</xdr:row>
      <xdr:rowOff>152400</xdr:rowOff>
    </xdr:from>
    <xdr:to>
      <xdr:col>1</xdr:col>
      <xdr:colOff>464820</xdr:colOff>
      <xdr:row>155</xdr:row>
      <xdr:rowOff>144780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5740" y="21130260"/>
          <a:ext cx="111252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236220</xdr:colOff>
      <xdr:row>161</xdr:row>
      <xdr:rowOff>0</xdr:rowOff>
    </xdr:from>
    <xdr:to>
      <xdr:col>1</xdr:col>
      <xdr:colOff>480060</xdr:colOff>
      <xdr:row>162</xdr:row>
      <xdr:rowOff>160020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36220" y="22379940"/>
          <a:ext cx="109728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160020</xdr:colOff>
      <xdr:row>166</xdr:row>
      <xdr:rowOff>0</xdr:rowOff>
    </xdr:from>
    <xdr:to>
      <xdr:col>1</xdr:col>
      <xdr:colOff>624840</xdr:colOff>
      <xdr:row>167</xdr:row>
      <xdr:rowOff>167640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xmlns="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60020" y="23256240"/>
          <a:ext cx="131826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198120</xdr:colOff>
      <xdr:row>172</xdr:row>
      <xdr:rowOff>152400</xdr:rowOff>
    </xdr:from>
    <xdr:to>
      <xdr:col>1</xdr:col>
      <xdr:colOff>457200</xdr:colOff>
      <xdr:row>173</xdr:row>
      <xdr:rowOff>167640</xdr:rowOff>
    </xdr:to>
    <xdr:pic>
      <xdr:nvPicPr>
        <xdr:cNvPr id="2055" name="Picture 7">
          <a:extLst>
            <a:ext uri="{FF2B5EF4-FFF2-40B4-BE49-F238E27FC236}">
              <a16:creationId xmlns:a16="http://schemas.microsoft.com/office/drawing/2014/main" xmlns="" id="{00000000-0008-0000-01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20" y="25336500"/>
          <a:ext cx="11125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251460</xdr:colOff>
      <xdr:row>176</xdr:row>
      <xdr:rowOff>137160</xdr:rowOff>
    </xdr:from>
    <xdr:to>
      <xdr:col>1</xdr:col>
      <xdr:colOff>190500</xdr:colOff>
      <xdr:row>178</xdr:row>
      <xdr:rowOff>121920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xmlns="" id="{00000000-0008-0000-01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51460" y="25146000"/>
          <a:ext cx="79248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236220</xdr:colOff>
      <xdr:row>144</xdr:row>
      <xdr:rowOff>0</xdr:rowOff>
    </xdr:from>
    <xdr:to>
      <xdr:col>1</xdr:col>
      <xdr:colOff>175260</xdr:colOff>
      <xdr:row>145</xdr:row>
      <xdr:rowOff>152400</xdr:rowOff>
    </xdr:to>
    <xdr:pic>
      <xdr:nvPicPr>
        <xdr:cNvPr id="2057" name="Picture 9">
          <a:extLst>
            <a:ext uri="{FF2B5EF4-FFF2-40B4-BE49-F238E27FC236}">
              <a16:creationId xmlns:a16="http://schemas.microsoft.com/office/drawing/2014/main" xmlns="" id="{00000000-0008-0000-01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36220" y="19400520"/>
          <a:ext cx="792480" cy="327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289560</xdr:colOff>
      <xdr:row>83</xdr:row>
      <xdr:rowOff>0</xdr:rowOff>
    </xdr:from>
    <xdr:to>
      <xdr:col>1</xdr:col>
      <xdr:colOff>259080</xdr:colOff>
      <xdr:row>84</xdr:row>
      <xdr:rowOff>15240</xdr:rowOff>
    </xdr:to>
    <xdr:pic>
      <xdr:nvPicPr>
        <xdr:cNvPr id="2059" name="Picture 11">
          <a:extLst>
            <a:ext uri="{FF2B5EF4-FFF2-40B4-BE49-F238E27FC236}">
              <a16:creationId xmlns:a16="http://schemas.microsoft.com/office/drawing/2014/main" xmlns="" id="{00000000-0008-0000-01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9560" y="15849600"/>
          <a:ext cx="8229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304800</xdr:colOff>
      <xdr:row>77</xdr:row>
      <xdr:rowOff>7620</xdr:rowOff>
    </xdr:from>
    <xdr:to>
      <xdr:col>1</xdr:col>
      <xdr:colOff>647700</xdr:colOff>
      <xdr:row>78</xdr:row>
      <xdr:rowOff>22860</xdr:rowOff>
    </xdr:to>
    <xdr:pic>
      <xdr:nvPicPr>
        <xdr:cNvPr id="2061" name="Picture 13">
          <a:extLst>
            <a:ext uri="{FF2B5EF4-FFF2-40B4-BE49-F238E27FC236}">
              <a16:creationId xmlns:a16="http://schemas.microsoft.com/office/drawing/2014/main" xmlns="" id="{00000000-0008-0000-01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14775180"/>
          <a:ext cx="1196340" cy="1905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</xdr:colOff>
      <xdr:row>75</xdr:row>
      <xdr:rowOff>168091</xdr:rowOff>
    </xdr:from>
    <xdr:to>
      <xdr:col>4</xdr:col>
      <xdr:colOff>15249</xdr:colOff>
      <xdr:row>88</xdr:row>
      <xdr:rowOff>123265</xdr:rowOff>
    </xdr:to>
    <xdr:cxnSp macro="">
      <xdr:nvCxnSpPr>
        <xdr:cNvPr id="108" name="107 Conector recto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CxnSpPr/>
      </xdr:nvCxnSpPr>
      <xdr:spPr bwMode="auto">
        <a:xfrm>
          <a:off x="3619503" y="14948650"/>
          <a:ext cx="15246" cy="2330821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1015365</xdr:colOff>
      <xdr:row>75</xdr:row>
      <xdr:rowOff>160020</xdr:rowOff>
    </xdr:from>
    <xdr:to>
      <xdr:col>5</xdr:col>
      <xdr:colOff>11206</xdr:colOff>
      <xdr:row>75</xdr:row>
      <xdr:rowOff>160020</xdr:rowOff>
    </xdr:to>
    <xdr:cxnSp macro="">
      <xdr:nvCxnSpPr>
        <xdr:cNvPr id="116" name="115 Conector recto">
          <a:extLst>
            <a:ext uri="{FF2B5EF4-FFF2-40B4-BE49-F238E27FC236}">
              <a16:creationId xmlns:a16="http://schemas.microsoft.com/office/drawing/2014/main" xmlns="" id="{00000000-0008-0000-0100-000074000000}"/>
            </a:ext>
          </a:extLst>
        </xdr:cNvPr>
        <xdr:cNvCxnSpPr/>
      </xdr:nvCxnSpPr>
      <xdr:spPr bwMode="auto">
        <a:xfrm>
          <a:off x="3615130" y="14940579"/>
          <a:ext cx="934458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</xdr:col>
      <xdr:colOff>14446</xdr:colOff>
      <xdr:row>75</xdr:row>
      <xdr:rowOff>168091</xdr:rowOff>
    </xdr:from>
    <xdr:to>
      <xdr:col>5</xdr:col>
      <xdr:colOff>14446</xdr:colOff>
      <xdr:row>88</xdr:row>
      <xdr:rowOff>122714</xdr:rowOff>
    </xdr:to>
    <xdr:cxnSp macro="">
      <xdr:nvCxnSpPr>
        <xdr:cNvPr id="120" name="119 Conector recto">
          <a:extLst>
            <a:ext uri="{FF2B5EF4-FFF2-40B4-BE49-F238E27FC236}">
              <a16:creationId xmlns:a16="http://schemas.microsoft.com/office/drawing/2014/main" xmlns="" id="{00000000-0008-0000-0100-000078000000}"/>
            </a:ext>
          </a:extLst>
        </xdr:cNvPr>
        <xdr:cNvCxnSpPr/>
      </xdr:nvCxnSpPr>
      <xdr:spPr bwMode="auto">
        <a:xfrm>
          <a:off x="4552828" y="14948650"/>
          <a:ext cx="0" cy="233027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22412</xdr:colOff>
      <xdr:row>88</xdr:row>
      <xdr:rowOff>123508</xdr:rowOff>
    </xdr:from>
    <xdr:to>
      <xdr:col>5</xdr:col>
      <xdr:colOff>11206</xdr:colOff>
      <xdr:row>88</xdr:row>
      <xdr:rowOff>123508</xdr:rowOff>
    </xdr:to>
    <xdr:cxnSp macro="">
      <xdr:nvCxnSpPr>
        <xdr:cNvPr id="122" name="121 Conector recto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CxnSpPr/>
      </xdr:nvCxnSpPr>
      <xdr:spPr bwMode="auto">
        <a:xfrm flipH="1">
          <a:off x="3641912" y="17279714"/>
          <a:ext cx="907676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549088</xdr:colOff>
      <xdr:row>82</xdr:row>
      <xdr:rowOff>1588</xdr:rowOff>
    </xdr:from>
    <xdr:to>
      <xdr:col>6</xdr:col>
      <xdr:colOff>2241</xdr:colOff>
      <xdr:row>82</xdr:row>
      <xdr:rowOff>1588</xdr:rowOff>
    </xdr:to>
    <xdr:cxnSp macro="">
      <xdr:nvCxnSpPr>
        <xdr:cNvPr id="126" name="125 Conector recto de flecha">
          <a:extLst>
            <a:ext uri="{FF2B5EF4-FFF2-40B4-BE49-F238E27FC236}">
              <a16:creationId xmlns:a16="http://schemas.microsoft.com/office/drawing/2014/main" xmlns="" id="{00000000-0008-0000-0100-00007E000000}"/>
            </a:ext>
          </a:extLst>
        </xdr:cNvPr>
        <xdr:cNvCxnSpPr/>
      </xdr:nvCxnSpPr>
      <xdr:spPr bwMode="auto">
        <a:xfrm flipH="1">
          <a:off x="4168588" y="16070823"/>
          <a:ext cx="1246094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486886</xdr:colOff>
      <xdr:row>82</xdr:row>
      <xdr:rowOff>11206</xdr:rowOff>
    </xdr:from>
    <xdr:to>
      <xdr:col>5</xdr:col>
      <xdr:colOff>486886</xdr:colOff>
      <xdr:row>83</xdr:row>
      <xdr:rowOff>145574</xdr:rowOff>
    </xdr:to>
    <xdr:cxnSp macro="">
      <xdr:nvCxnSpPr>
        <xdr:cNvPr id="130" name="129 Conector recto de flecha">
          <a:extLst>
            <a:ext uri="{FF2B5EF4-FFF2-40B4-BE49-F238E27FC236}">
              <a16:creationId xmlns:a16="http://schemas.microsoft.com/office/drawing/2014/main" xmlns="" id="{00000000-0008-0000-0100-000082000000}"/>
            </a:ext>
          </a:extLst>
        </xdr:cNvPr>
        <xdr:cNvCxnSpPr/>
      </xdr:nvCxnSpPr>
      <xdr:spPr bwMode="auto">
        <a:xfrm flipV="1">
          <a:off x="5025268" y="16080441"/>
          <a:ext cx="0" cy="31366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480854</xdr:colOff>
      <xdr:row>85</xdr:row>
      <xdr:rowOff>31274</xdr:rowOff>
    </xdr:from>
    <xdr:to>
      <xdr:col>5</xdr:col>
      <xdr:colOff>480854</xdr:colOff>
      <xdr:row>88</xdr:row>
      <xdr:rowOff>112059</xdr:rowOff>
    </xdr:to>
    <xdr:cxnSp macro="">
      <xdr:nvCxnSpPr>
        <xdr:cNvPr id="136" name="135 Conector recto de flecha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CxnSpPr/>
      </xdr:nvCxnSpPr>
      <xdr:spPr bwMode="auto">
        <a:xfrm>
          <a:off x="5019236" y="16638392"/>
          <a:ext cx="0" cy="629873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418306</xdr:colOff>
      <xdr:row>75</xdr:row>
      <xdr:rowOff>168088</xdr:rowOff>
    </xdr:from>
    <xdr:to>
      <xdr:col>6</xdr:col>
      <xdr:colOff>418306</xdr:colOff>
      <xdr:row>80</xdr:row>
      <xdr:rowOff>145574</xdr:rowOff>
    </xdr:to>
    <xdr:cxnSp macro="">
      <xdr:nvCxnSpPr>
        <xdr:cNvPr id="138" name="137 Conector recto de flecha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CxnSpPr/>
      </xdr:nvCxnSpPr>
      <xdr:spPr bwMode="auto">
        <a:xfrm flipV="1">
          <a:off x="5830747" y="14948647"/>
          <a:ext cx="0" cy="90757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401517</xdr:colOff>
      <xdr:row>82</xdr:row>
      <xdr:rowOff>38894</xdr:rowOff>
    </xdr:from>
    <xdr:to>
      <xdr:col>6</xdr:col>
      <xdr:colOff>401517</xdr:colOff>
      <xdr:row>88</xdr:row>
      <xdr:rowOff>123268</xdr:rowOff>
    </xdr:to>
    <xdr:cxnSp macro="">
      <xdr:nvCxnSpPr>
        <xdr:cNvPr id="142" name="141 Conector recto de flecha">
          <a:extLst>
            <a:ext uri="{FF2B5EF4-FFF2-40B4-BE49-F238E27FC236}">
              <a16:creationId xmlns:a16="http://schemas.microsoft.com/office/drawing/2014/main" xmlns="" id="{00000000-0008-0000-0100-00008E000000}"/>
            </a:ext>
          </a:extLst>
        </xdr:cNvPr>
        <xdr:cNvCxnSpPr/>
      </xdr:nvCxnSpPr>
      <xdr:spPr bwMode="auto">
        <a:xfrm>
          <a:off x="5813958" y="16108129"/>
          <a:ext cx="0" cy="117134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700246</xdr:colOff>
      <xdr:row>34</xdr:row>
      <xdr:rowOff>16034</xdr:rowOff>
    </xdr:from>
    <xdr:to>
      <xdr:col>2</xdr:col>
      <xdr:colOff>701834</xdr:colOff>
      <xdr:row>36</xdr:row>
      <xdr:rowOff>794</xdr:rowOff>
    </xdr:to>
    <xdr:cxnSp macro="">
      <xdr:nvCxnSpPr>
        <xdr:cNvPr id="96" name="95 Conector recto de flecha">
          <a:extLst>
            <a:ext uri="{FF2B5EF4-FFF2-40B4-BE49-F238E27FC236}">
              <a16:creationId xmlns:a16="http://schemas.microsoft.com/office/drawing/2014/main" xmlns="" id="{00000000-0008-0000-0100-000060000000}"/>
            </a:ext>
          </a:extLst>
        </xdr:cNvPr>
        <xdr:cNvCxnSpPr/>
      </xdr:nvCxnSpPr>
      <xdr:spPr bwMode="auto">
        <a:xfrm rot="5400000">
          <a:off x="2308860" y="6233160"/>
          <a:ext cx="3352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700246</xdr:colOff>
      <xdr:row>32</xdr:row>
      <xdr:rowOff>46514</xdr:rowOff>
    </xdr:from>
    <xdr:to>
      <xdr:col>2</xdr:col>
      <xdr:colOff>701834</xdr:colOff>
      <xdr:row>33</xdr:row>
      <xdr:rowOff>16034</xdr:rowOff>
    </xdr:to>
    <xdr:cxnSp macro="">
      <xdr:nvCxnSpPr>
        <xdr:cNvPr id="100" name="99 Conector recto de flecha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CxnSpPr/>
      </xdr:nvCxnSpPr>
      <xdr:spPr bwMode="auto">
        <a:xfrm rot="5400000" flipH="1" flipV="1">
          <a:off x="2404110" y="5817870"/>
          <a:ext cx="1447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129540</xdr:colOff>
      <xdr:row>94</xdr:row>
      <xdr:rowOff>68580</xdr:rowOff>
    </xdr:from>
    <xdr:to>
      <xdr:col>3</xdr:col>
      <xdr:colOff>129540</xdr:colOff>
      <xdr:row>107</xdr:row>
      <xdr:rowOff>89650</xdr:rowOff>
    </xdr:to>
    <xdr:cxnSp macro="">
      <xdr:nvCxnSpPr>
        <xdr:cNvPr id="89" name="88 Conector recto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CxnSpPr/>
      </xdr:nvCxnSpPr>
      <xdr:spPr bwMode="auto">
        <a:xfrm>
          <a:off x="2729305" y="18322962"/>
          <a:ext cx="0" cy="240792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145676</xdr:colOff>
      <xdr:row>94</xdr:row>
      <xdr:rowOff>67236</xdr:rowOff>
    </xdr:from>
    <xdr:to>
      <xdr:col>4</xdr:col>
      <xdr:colOff>145676</xdr:colOff>
      <xdr:row>107</xdr:row>
      <xdr:rowOff>89647</xdr:rowOff>
    </xdr:to>
    <xdr:cxnSp macro="">
      <xdr:nvCxnSpPr>
        <xdr:cNvPr id="93" name="92 Conector recto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CxnSpPr/>
      </xdr:nvCxnSpPr>
      <xdr:spPr bwMode="auto">
        <a:xfrm>
          <a:off x="2745441" y="18321618"/>
          <a:ext cx="1019735" cy="240926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145676</xdr:colOff>
      <xdr:row>107</xdr:row>
      <xdr:rowOff>91440</xdr:rowOff>
    </xdr:from>
    <xdr:to>
      <xdr:col>4</xdr:col>
      <xdr:colOff>137161</xdr:colOff>
      <xdr:row>107</xdr:row>
      <xdr:rowOff>91440</xdr:rowOff>
    </xdr:to>
    <xdr:cxnSp macro="">
      <xdr:nvCxnSpPr>
        <xdr:cNvPr id="94" name="93 Conector recto">
          <a:extLst>
            <a:ext uri="{FF2B5EF4-FFF2-40B4-BE49-F238E27FC236}">
              <a16:creationId xmlns:a16="http://schemas.microsoft.com/office/drawing/2014/main" xmlns="" id="{00000000-0008-0000-0100-00005E000000}"/>
            </a:ext>
          </a:extLst>
        </xdr:cNvPr>
        <xdr:cNvCxnSpPr/>
      </xdr:nvCxnSpPr>
      <xdr:spPr bwMode="auto">
        <a:xfrm flipH="1">
          <a:off x="2745441" y="20732675"/>
          <a:ext cx="101122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582706</xdr:colOff>
      <xdr:row>102</xdr:row>
      <xdr:rowOff>169228</xdr:rowOff>
    </xdr:from>
    <xdr:to>
      <xdr:col>4</xdr:col>
      <xdr:colOff>910591</xdr:colOff>
      <xdr:row>102</xdr:row>
      <xdr:rowOff>169228</xdr:rowOff>
    </xdr:to>
    <xdr:cxnSp macro="">
      <xdr:nvCxnSpPr>
        <xdr:cNvPr id="103" name="102 Conector recto de flecha">
          <a:extLst>
            <a:ext uri="{FF2B5EF4-FFF2-40B4-BE49-F238E27FC236}">
              <a16:creationId xmlns:a16="http://schemas.microsoft.com/office/drawing/2014/main" xmlns="" id="{00000000-0008-0000-0100-000067000000}"/>
            </a:ext>
          </a:extLst>
        </xdr:cNvPr>
        <xdr:cNvCxnSpPr/>
      </xdr:nvCxnSpPr>
      <xdr:spPr bwMode="auto">
        <a:xfrm flipH="1">
          <a:off x="3182471" y="19902787"/>
          <a:ext cx="1347620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472440</xdr:colOff>
      <xdr:row>103</xdr:row>
      <xdr:rowOff>0</xdr:rowOff>
    </xdr:from>
    <xdr:to>
      <xdr:col>4</xdr:col>
      <xdr:colOff>472440</xdr:colOff>
      <xdr:row>104</xdr:row>
      <xdr:rowOff>167640</xdr:rowOff>
    </xdr:to>
    <xdr:cxnSp macro="">
      <xdr:nvCxnSpPr>
        <xdr:cNvPr id="104" name="103 Conector recto de flecha">
          <a:extLst>
            <a:ext uri="{FF2B5EF4-FFF2-40B4-BE49-F238E27FC236}">
              <a16:creationId xmlns:a16="http://schemas.microsoft.com/office/drawing/2014/main" xmlns="" id="{00000000-0008-0000-0100-000068000000}"/>
            </a:ext>
          </a:extLst>
        </xdr:cNvPr>
        <xdr:cNvCxnSpPr/>
      </xdr:nvCxnSpPr>
      <xdr:spPr bwMode="auto">
        <a:xfrm flipV="1">
          <a:off x="4091940" y="19912853"/>
          <a:ext cx="0" cy="34693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466062</xdr:colOff>
      <xdr:row>105</xdr:row>
      <xdr:rowOff>183674</xdr:rowOff>
    </xdr:from>
    <xdr:to>
      <xdr:col>4</xdr:col>
      <xdr:colOff>466062</xdr:colOff>
      <xdr:row>107</xdr:row>
      <xdr:rowOff>89647</xdr:rowOff>
    </xdr:to>
    <xdr:cxnSp macro="">
      <xdr:nvCxnSpPr>
        <xdr:cNvPr id="105" name="104 Conector recto de flecha">
          <a:extLst>
            <a:ext uri="{FF2B5EF4-FFF2-40B4-BE49-F238E27FC236}">
              <a16:creationId xmlns:a16="http://schemas.microsoft.com/office/drawing/2014/main" xmlns="" id="{00000000-0008-0000-0100-000069000000}"/>
            </a:ext>
          </a:extLst>
        </xdr:cNvPr>
        <xdr:cNvCxnSpPr/>
      </xdr:nvCxnSpPr>
      <xdr:spPr bwMode="auto">
        <a:xfrm>
          <a:off x="4085562" y="20455115"/>
          <a:ext cx="0" cy="275767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457994</xdr:colOff>
      <xdr:row>94</xdr:row>
      <xdr:rowOff>99855</xdr:rowOff>
    </xdr:from>
    <xdr:to>
      <xdr:col>5</xdr:col>
      <xdr:colOff>457994</xdr:colOff>
      <xdr:row>100</xdr:row>
      <xdr:rowOff>179294</xdr:rowOff>
    </xdr:to>
    <xdr:cxnSp macro="">
      <xdr:nvCxnSpPr>
        <xdr:cNvPr id="106" name="105 Conector recto de flecha">
          <a:extLst>
            <a:ext uri="{FF2B5EF4-FFF2-40B4-BE49-F238E27FC236}">
              <a16:creationId xmlns:a16="http://schemas.microsoft.com/office/drawing/2014/main" xmlns="" id="{00000000-0008-0000-0100-00006A000000}"/>
            </a:ext>
          </a:extLst>
        </xdr:cNvPr>
        <xdr:cNvCxnSpPr/>
      </xdr:nvCxnSpPr>
      <xdr:spPr bwMode="auto">
        <a:xfrm flipV="1">
          <a:off x="4996376" y="18354237"/>
          <a:ext cx="0" cy="118882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471646</xdr:colOff>
      <xdr:row>102</xdr:row>
      <xdr:rowOff>22412</xdr:rowOff>
    </xdr:from>
    <xdr:to>
      <xdr:col>5</xdr:col>
      <xdr:colOff>471646</xdr:colOff>
      <xdr:row>107</xdr:row>
      <xdr:rowOff>76994</xdr:rowOff>
    </xdr:to>
    <xdr:cxnSp macro="">
      <xdr:nvCxnSpPr>
        <xdr:cNvPr id="107" name="106 Conector recto de flecha">
          <a:extLst>
            <a:ext uri="{FF2B5EF4-FFF2-40B4-BE49-F238E27FC236}">
              <a16:creationId xmlns:a16="http://schemas.microsoft.com/office/drawing/2014/main" xmlns="" id="{00000000-0008-0000-0100-00006B000000}"/>
            </a:ext>
          </a:extLst>
        </xdr:cNvPr>
        <xdr:cNvCxnSpPr/>
      </xdr:nvCxnSpPr>
      <xdr:spPr bwMode="auto">
        <a:xfrm>
          <a:off x="5010028" y="19755971"/>
          <a:ext cx="0" cy="96225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54</xdr:row>
      <xdr:rowOff>68580</xdr:rowOff>
    </xdr:from>
    <xdr:to>
      <xdr:col>3</xdr:col>
      <xdr:colOff>129540</xdr:colOff>
      <xdr:row>67</xdr:row>
      <xdr:rowOff>89647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 bwMode="auto">
        <a:xfrm>
          <a:off x="2729305" y="10120256"/>
          <a:ext cx="0" cy="238550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137160</xdr:colOff>
      <xdr:row>54</xdr:row>
      <xdr:rowOff>91440</xdr:rowOff>
    </xdr:from>
    <xdr:to>
      <xdr:col>4</xdr:col>
      <xdr:colOff>137160</xdr:colOff>
      <xdr:row>67</xdr:row>
      <xdr:rowOff>106680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 bwMode="auto">
        <a:xfrm rot="16200000" flipH="1">
          <a:off x="2190750" y="13285470"/>
          <a:ext cx="2293620" cy="10515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145676</xdr:colOff>
      <xdr:row>67</xdr:row>
      <xdr:rowOff>91440</xdr:rowOff>
    </xdr:from>
    <xdr:to>
      <xdr:col>4</xdr:col>
      <xdr:colOff>137161</xdr:colOff>
      <xdr:row>67</xdr:row>
      <xdr:rowOff>91440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 bwMode="auto">
        <a:xfrm flipH="1">
          <a:off x="2745441" y="12507558"/>
          <a:ext cx="101122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426720</xdr:colOff>
      <xdr:row>54</xdr:row>
      <xdr:rowOff>15240</xdr:rowOff>
    </xdr:from>
    <xdr:to>
      <xdr:col>1</xdr:col>
      <xdr:colOff>754380</xdr:colOff>
      <xdr:row>55</xdr:row>
      <xdr:rowOff>30480</xdr:rowOff>
    </xdr:to>
    <xdr:pic>
      <xdr:nvPicPr>
        <xdr:cNvPr id="62" name="Picture 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11010900"/>
          <a:ext cx="11811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381000</xdr:colOff>
      <xdr:row>58</xdr:row>
      <xdr:rowOff>45720</xdr:rowOff>
    </xdr:from>
    <xdr:to>
      <xdr:col>1</xdr:col>
      <xdr:colOff>396240</xdr:colOff>
      <xdr:row>60</xdr:row>
      <xdr:rowOff>38100</xdr:rowOff>
    </xdr:to>
    <xdr:pic>
      <xdr:nvPicPr>
        <xdr:cNvPr id="63" name="Pictur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13350240"/>
          <a:ext cx="86868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411480</xdr:colOff>
      <xdr:row>68</xdr:row>
      <xdr:rowOff>83820</xdr:rowOff>
    </xdr:from>
    <xdr:to>
      <xdr:col>1</xdr:col>
      <xdr:colOff>434340</xdr:colOff>
      <xdr:row>69</xdr:row>
      <xdr:rowOff>99060</xdr:rowOff>
    </xdr:to>
    <xdr:pic>
      <xdr:nvPicPr>
        <xdr:cNvPr id="65" name="Picture 6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480" y="15171420"/>
          <a:ext cx="8763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358140</xdr:colOff>
      <xdr:row>82</xdr:row>
      <xdr:rowOff>160020</xdr:rowOff>
    </xdr:from>
    <xdr:to>
      <xdr:col>1</xdr:col>
      <xdr:colOff>891540</xdr:colOff>
      <xdr:row>84</xdr:row>
      <xdr:rowOff>152400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xmlns="" id="{00000000-0008-0000-02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20215860"/>
          <a:ext cx="138684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365760</xdr:colOff>
      <xdr:row>90</xdr:row>
      <xdr:rowOff>30480</xdr:rowOff>
    </xdr:from>
    <xdr:to>
      <xdr:col>0</xdr:col>
      <xdr:colOff>510540</xdr:colOff>
      <xdr:row>91</xdr:row>
      <xdr:rowOff>15240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xmlns="" id="{00000000-0008-0000-02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65760" y="17785080"/>
          <a:ext cx="144780" cy="1905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551</xdr:colOff>
      <xdr:row>123</xdr:row>
      <xdr:rowOff>33617</xdr:rowOff>
    </xdr:from>
    <xdr:to>
      <xdr:col>1</xdr:col>
      <xdr:colOff>551</xdr:colOff>
      <xdr:row>134</xdr:row>
      <xdr:rowOff>23654</xdr:rowOff>
    </xdr:to>
    <xdr:cxnSp macro="">
      <xdr:nvCxnSpPr>
        <xdr:cNvPr id="116" name="115 Conector recto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CxnSpPr/>
      </xdr:nvCxnSpPr>
      <xdr:spPr bwMode="auto">
        <a:xfrm flipV="1">
          <a:off x="829786" y="23128941"/>
          <a:ext cx="0" cy="199588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11206</xdr:colOff>
      <xdr:row>123</xdr:row>
      <xdr:rowOff>22861</xdr:rowOff>
    </xdr:from>
    <xdr:to>
      <xdr:col>2</xdr:col>
      <xdr:colOff>15240</xdr:colOff>
      <xdr:row>123</xdr:row>
      <xdr:rowOff>22861</xdr:rowOff>
    </xdr:to>
    <xdr:cxnSp macro="">
      <xdr:nvCxnSpPr>
        <xdr:cNvPr id="120" name="119 Conector recto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CxnSpPr/>
      </xdr:nvCxnSpPr>
      <xdr:spPr bwMode="auto">
        <a:xfrm>
          <a:off x="840441" y="23118185"/>
          <a:ext cx="90050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830580</xdr:colOff>
      <xdr:row>123</xdr:row>
      <xdr:rowOff>15240</xdr:rowOff>
    </xdr:from>
    <xdr:to>
      <xdr:col>2</xdr:col>
      <xdr:colOff>22860</xdr:colOff>
      <xdr:row>134</xdr:row>
      <xdr:rowOff>38100</xdr:rowOff>
    </xdr:to>
    <xdr:cxnSp macro="">
      <xdr:nvCxnSpPr>
        <xdr:cNvPr id="122" name="121 Conector recto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CxnSpPr/>
      </xdr:nvCxnSpPr>
      <xdr:spPr bwMode="auto">
        <a:xfrm rot="5400000">
          <a:off x="339090" y="25957530"/>
          <a:ext cx="1950720" cy="96774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425823</xdr:colOff>
      <xdr:row>63</xdr:row>
      <xdr:rowOff>7620</xdr:rowOff>
    </xdr:from>
    <xdr:to>
      <xdr:col>4</xdr:col>
      <xdr:colOff>899161</xdr:colOff>
      <xdr:row>63</xdr:row>
      <xdr:rowOff>7620</xdr:rowOff>
    </xdr:to>
    <xdr:cxnSp macro="">
      <xdr:nvCxnSpPr>
        <xdr:cNvPr id="126" name="125 Conector recto de flecha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CxnSpPr/>
      </xdr:nvCxnSpPr>
      <xdr:spPr bwMode="auto">
        <a:xfrm flipH="1">
          <a:off x="3025588" y="11706561"/>
          <a:ext cx="1493073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471646</xdr:colOff>
      <xdr:row>63</xdr:row>
      <xdr:rowOff>33618</xdr:rowOff>
    </xdr:from>
    <xdr:to>
      <xdr:col>4</xdr:col>
      <xdr:colOff>471646</xdr:colOff>
      <xdr:row>64</xdr:row>
      <xdr:rowOff>160814</xdr:rowOff>
    </xdr:to>
    <xdr:cxnSp macro="">
      <xdr:nvCxnSpPr>
        <xdr:cNvPr id="129" name="128 Conector recto de flecha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CxnSpPr/>
      </xdr:nvCxnSpPr>
      <xdr:spPr bwMode="auto">
        <a:xfrm flipV="1">
          <a:off x="4091146" y="11732559"/>
          <a:ext cx="0" cy="30649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462028</xdr:colOff>
      <xdr:row>66</xdr:row>
      <xdr:rowOff>8414</xdr:rowOff>
    </xdr:from>
    <xdr:to>
      <xdr:col>4</xdr:col>
      <xdr:colOff>462028</xdr:colOff>
      <xdr:row>67</xdr:row>
      <xdr:rowOff>89647</xdr:rowOff>
    </xdr:to>
    <xdr:cxnSp macro="">
      <xdr:nvCxnSpPr>
        <xdr:cNvPr id="131" name="130 Conector recto de flecha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CxnSpPr/>
      </xdr:nvCxnSpPr>
      <xdr:spPr bwMode="auto">
        <a:xfrm>
          <a:off x="4081528" y="12245238"/>
          <a:ext cx="0" cy="260527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420893</xdr:colOff>
      <xdr:row>54</xdr:row>
      <xdr:rowOff>114301</xdr:rowOff>
    </xdr:from>
    <xdr:to>
      <xdr:col>5</xdr:col>
      <xdr:colOff>420893</xdr:colOff>
      <xdr:row>60</xdr:row>
      <xdr:rowOff>134470</xdr:rowOff>
    </xdr:to>
    <xdr:cxnSp macro="">
      <xdr:nvCxnSpPr>
        <xdr:cNvPr id="133" name="132 Conector recto de flecha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CxnSpPr/>
      </xdr:nvCxnSpPr>
      <xdr:spPr bwMode="auto">
        <a:xfrm flipV="1">
          <a:off x="4959275" y="10165977"/>
          <a:ext cx="0" cy="112955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427271</xdr:colOff>
      <xdr:row>62</xdr:row>
      <xdr:rowOff>22415</xdr:rowOff>
    </xdr:from>
    <xdr:to>
      <xdr:col>5</xdr:col>
      <xdr:colOff>427271</xdr:colOff>
      <xdr:row>67</xdr:row>
      <xdr:rowOff>69374</xdr:rowOff>
    </xdr:to>
    <xdr:cxnSp macro="">
      <xdr:nvCxnSpPr>
        <xdr:cNvPr id="138" name="137 Conector recto de flecha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CxnSpPr/>
      </xdr:nvCxnSpPr>
      <xdr:spPr bwMode="auto">
        <a:xfrm>
          <a:off x="4965653" y="11542062"/>
          <a:ext cx="0" cy="94343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167640</xdr:colOff>
      <xdr:row>124</xdr:row>
      <xdr:rowOff>152400</xdr:rowOff>
    </xdr:from>
    <xdr:to>
      <xdr:col>3</xdr:col>
      <xdr:colOff>960120</xdr:colOff>
      <xdr:row>126</xdr:row>
      <xdr:rowOff>137160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42260" y="23538180"/>
          <a:ext cx="792480" cy="3352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137160</xdr:colOff>
      <xdr:row>133</xdr:row>
      <xdr:rowOff>0</xdr:rowOff>
    </xdr:from>
    <xdr:to>
      <xdr:col>3</xdr:col>
      <xdr:colOff>944880</xdr:colOff>
      <xdr:row>134</xdr:row>
      <xdr:rowOff>15240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11780" y="24963120"/>
          <a:ext cx="8077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342900</xdr:colOff>
      <xdr:row>139</xdr:row>
      <xdr:rowOff>106680</xdr:rowOff>
    </xdr:from>
    <xdr:to>
      <xdr:col>1</xdr:col>
      <xdr:colOff>7620</xdr:colOff>
      <xdr:row>141</xdr:row>
      <xdr:rowOff>91440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2900" y="25801320"/>
          <a:ext cx="5181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373380</xdr:colOff>
      <xdr:row>143</xdr:row>
      <xdr:rowOff>106680</xdr:rowOff>
    </xdr:from>
    <xdr:to>
      <xdr:col>1</xdr:col>
      <xdr:colOff>381000</xdr:colOff>
      <xdr:row>145</xdr:row>
      <xdr:rowOff>91440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3380" y="26502360"/>
          <a:ext cx="861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800100</xdr:colOff>
      <xdr:row>31</xdr:row>
      <xdr:rowOff>167640</xdr:rowOff>
    </xdr:from>
    <xdr:to>
      <xdr:col>2</xdr:col>
      <xdr:colOff>1036320</xdr:colOff>
      <xdr:row>31</xdr:row>
      <xdr:rowOff>169228</xdr:rowOff>
    </xdr:to>
    <xdr:cxnSp macro="">
      <xdr:nvCxnSpPr>
        <xdr:cNvPr id="111" name="110 Conector recto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CxnSpPr/>
      </xdr:nvCxnSpPr>
      <xdr:spPr bwMode="auto">
        <a:xfrm>
          <a:off x="800100" y="5692140"/>
          <a:ext cx="1874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898366</xdr:colOff>
      <xdr:row>6</xdr:row>
      <xdr:rowOff>15240</xdr:rowOff>
    </xdr:from>
    <xdr:to>
      <xdr:col>3</xdr:col>
      <xdr:colOff>533400</xdr:colOff>
      <xdr:row>31</xdr:row>
      <xdr:rowOff>168434</xdr:rowOff>
    </xdr:to>
    <xdr:cxnSp macro="">
      <xdr:nvCxnSpPr>
        <xdr:cNvPr id="112" name="111 Conector recto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CxnSpPr/>
      </xdr:nvCxnSpPr>
      <xdr:spPr bwMode="auto">
        <a:xfrm rot="5400000" flipH="1" flipV="1">
          <a:off x="673576" y="3158490"/>
          <a:ext cx="4534694" cy="53419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7620</xdr:colOff>
      <xdr:row>6</xdr:row>
      <xdr:rowOff>7620</xdr:rowOff>
    </xdr:from>
    <xdr:to>
      <xdr:col>4</xdr:col>
      <xdr:colOff>22860</xdr:colOff>
      <xdr:row>32</xdr:row>
      <xdr:rowOff>22860</xdr:rowOff>
    </xdr:to>
    <xdr:cxnSp macro="">
      <xdr:nvCxnSpPr>
        <xdr:cNvPr id="113" name="112 Conector recto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CxnSpPr/>
      </xdr:nvCxnSpPr>
      <xdr:spPr bwMode="auto">
        <a:xfrm rot="16200000" flipH="1">
          <a:off x="1455420" y="3429000"/>
          <a:ext cx="4572000" cy="1524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15240</xdr:colOff>
      <xdr:row>32</xdr:row>
      <xdr:rowOff>7620</xdr:rowOff>
    </xdr:from>
    <xdr:to>
      <xdr:col>5</xdr:col>
      <xdr:colOff>929640</xdr:colOff>
      <xdr:row>32</xdr:row>
      <xdr:rowOff>9208</xdr:rowOff>
    </xdr:to>
    <xdr:cxnSp macro="">
      <xdr:nvCxnSpPr>
        <xdr:cNvPr id="114" name="113 Conector recto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CxnSpPr/>
      </xdr:nvCxnSpPr>
      <xdr:spPr bwMode="auto">
        <a:xfrm>
          <a:off x="3741420" y="5707380"/>
          <a:ext cx="182118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791686</xdr:colOff>
      <xdr:row>32</xdr:row>
      <xdr:rowOff>7620</xdr:rowOff>
    </xdr:from>
    <xdr:to>
      <xdr:col>0</xdr:col>
      <xdr:colOff>800100</xdr:colOff>
      <xdr:row>36</xdr:row>
      <xdr:rowOff>16034</xdr:rowOff>
    </xdr:to>
    <xdr:cxnSp macro="">
      <xdr:nvCxnSpPr>
        <xdr:cNvPr id="115" name="114 Conector recto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CxnSpPr/>
      </xdr:nvCxnSpPr>
      <xdr:spPr bwMode="auto">
        <a:xfrm rot="5400000">
          <a:off x="441166" y="6057900"/>
          <a:ext cx="709454" cy="841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807720</xdr:colOff>
      <xdr:row>36</xdr:row>
      <xdr:rowOff>30480</xdr:rowOff>
    </xdr:from>
    <xdr:to>
      <xdr:col>6</xdr:col>
      <xdr:colOff>22860</xdr:colOff>
      <xdr:row>36</xdr:row>
      <xdr:rowOff>32068</xdr:rowOff>
    </xdr:to>
    <xdr:cxnSp macro="">
      <xdr:nvCxnSpPr>
        <xdr:cNvPr id="117" name="116 Conector recto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CxnSpPr/>
      </xdr:nvCxnSpPr>
      <xdr:spPr bwMode="auto">
        <a:xfrm>
          <a:off x="807720" y="6431280"/>
          <a:ext cx="477774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6</xdr:col>
      <xdr:colOff>14446</xdr:colOff>
      <xdr:row>32</xdr:row>
      <xdr:rowOff>8414</xdr:rowOff>
    </xdr:from>
    <xdr:to>
      <xdr:col>6</xdr:col>
      <xdr:colOff>16034</xdr:colOff>
      <xdr:row>36</xdr:row>
      <xdr:rowOff>38894</xdr:rowOff>
    </xdr:to>
    <xdr:cxnSp macro="">
      <xdr:nvCxnSpPr>
        <xdr:cNvPr id="118" name="117 Conector recto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CxnSpPr/>
      </xdr:nvCxnSpPr>
      <xdr:spPr bwMode="auto">
        <a:xfrm rot="5400000" flipH="1" flipV="1">
          <a:off x="5212080" y="6073140"/>
          <a:ext cx="731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838200</xdr:colOff>
      <xdr:row>37</xdr:row>
      <xdr:rowOff>91440</xdr:rowOff>
    </xdr:from>
    <xdr:to>
      <xdr:col>3</xdr:col>
      <xdr:colOff>0</xdr:colOff>
      <xdr:row>37</xdr:row>
      <xdr:rowOff>93028</xdr:rowOff>
    </xdr:to>
    <xdr:cxnSp macro="">
      <xdr:nvCxnSpPr>
        <xdr:cNvPr id="119" name="118 Conector recto de flecha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CxnSpPr/>
      </xdr:nvCxnSpPr>
      <xdr:spPr bwMode="auto">
        <a:xfrm rot="10800000">
          <a:off x="838200" y="6667500"/>
          <a:ext cx="18364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15240</xdr:colOff>
      <xdr:row>37</xdr:row>
      <xdr:rowOff>83820</xdr:rowOff>
    </xdr:from>
    <xdr:to>
      <xdr:col>5</xdr:col>
      <xdr:colOff>922020</xdr:colOff>
      <xdr:row>37</xdr:row>
      <xdr:rowOff>85408</xdr:rowOff>
    </xdr:to>
    <xdr:cxnSp macro="">
      <xdr:nvCxnSpPr>
        <xdr:cNvPr id="121" name="120 Conector recto de flecha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CxnSpPr/>
      </xdr:nvCxnSpPr>
      <xdr:spPr bwMode="auto">
        <a:xfrm>
          <a:off x="3741420" y="6659880"/>
          <a:ext cx="18211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395446</xdr:colOff>
      <xdr:row>31</xdr:row>
      <xdr:rowOff>168434</xdr:rowOff>
    </xdr:from>
    <xdr:to>
      <xdr:col>6</xdr:col>
      <xdr:colOff>397034</xdr:colOff>
      <xdr:row>33</xdr:row>
      <xdr:rowOff>160814</xdr:rowOff>
    </xdr:to>
    <xdr:cxnSp macro="">
      <xdr:nvCxnSpPr>
        <xdr:cNvPr id="123" name="122 Conector recto de flecha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CxnSpPr/>
      </xdr:nvCxnSpPr>
      <xdr:spPr bwMode="auto">
        <a:xfrm rot="5400000" flipH="1" flipV="1">
          <a:off x="5787390" y="5863590"/>
          <a:ext cx="3429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395446</xdr:colOff>
      <xdr:row>35</xdr:row>
      <xdr:rowOff>794</xdr:rowOff>
    </xdr:from>
    <xdr:to>
      <xdr:col>6</xdr:col>
      <xdr:colOff>397034</xdr:colOff>
      <xdr:row>36</xdr:row>
      <xdr:rowOff>794</xdr:rowOff>
    </xdr:to>
    <xdr:cxnSp macro="">
      <xdr:nvCxnSpPr>
        <xdr:cNvPr id="124" name="123 Conector recto de flecha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CxnSpPr/>
      </xdr:nvCxnSpPr>
      <xdr:spPr bwMode="auto">
        <a:xfrm rot="5400000">
          <a:off x="5871210" y="6313170"/>
          <a:ext cx="1752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365760</xdr:colOff>
      <xdr:row>31</xdr:row>
      <xdr:rowOff>77788</xdr:rowOff>
    </xdr:from>
    <xdr:to>
      <xdr:col>6</xdr:col>
      <xdr:colOff>0</xdr:colOff>
      <xdr:row>31</xdr:row>
      <xdr:rowOff>83820</xdr:rowOff>
    </xdr:to>
    <xdr:cxnSp macro="">
      <xdr:nvCxnSpPr>
        <xdr:cNvPr id="125" name="124 Conector recto de flecha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CxnSpPr/>
      </xdr:nvCxnSpPr>
      <xdr:spPr bwMode="auto">
        <a:xfrm flipV="1">
          <a:off x="5029200" y="5602288"/>
          <a:ext cx="533400" cy="603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845820</xdr:colOff>
      <xdr:row>31</xdr:row>
      <xdr:rowOff>83820</xdr:rowOff>
    </xdr:from>
    <xdr:to>
      <xdr:col>1</xdr:col>
      <xdr:colOff>731520</xdr:colOff>
      <xdr:row>31</xdr:row>
      <xdr:rowOff>85408</xdr:rowOff>
    </xdr:to>
    <xdr:cxnSp macro="">
      <xdr:nvCxnSpPr>
        <xdr:cNvPr id="127" name="126 Conector recto de flecha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CxnSpPr/>
      </xdr:nvCxnSpPr>
      <xdr:spPr bwMode="auto">
        <a:xfrm rot="10800000">
          <a:off x="845820" y="5608320"/>
          <a:ext cx="7391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396240</xdr:colOff>
      <xdr:row>31</xdr:row>
      <xdr:rowOff>99060</xdr:rowOff>
    </xdr:from>
    <xdr:to>
      <xdr:col>2</xdr:col>
      <xdr:colOff>998220</xdr:colOff>
      <xdr:row>31</xdr:row>
      <xdr:rowOff>100648</xdr:rowOff>
    </xdr:to>
    <xdr:cxnSp macro="">
      <xdr:nvCxnSpPr>
        <xdr:cNvPr id="128" name="127 Conector recto de flecha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CxnSpPr/>
      </xdr:nvCxnSpPr>
      <xdr:spPr bwMode="auto">
        <a:xfrm>
          <a:off x="2171700" y="5623560"/>
          <a:ext cx="5029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0</xdr:colOff>
      <xdr:row>31</xdr:row>
      <xdr:rowOff>99060</xdr:rowOff>
    </xdr:from>
    <xdr:to>
      <xdr:col>3</xdr:col>
      <xdr:colOff>304800</xdr:colOff>
      <xdr:row>31</xdr:row>
      <xdr:rowOff>100648</xdr:rowOff>
    </xdr:to>
    <xdr:cxnSp macro="">
      <xdr:nvCxnSpPr>
        <xdr:cNvPr id="130" name="129 Conector recto de flecha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CxnSpPr/>
      </xdr:nvCxnSpPr>
      <xdr:spPr bwMode="auto">
        <a:xfrm rot="10800000">
          <a:off x="2674620" y="5623560"/>
          <a:ext cx="3048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640080</xdr:colOff>
      <xdr:row>31</xdr:row>
      <xdr:rowOff>106680</xdr:rowOff>
    </xdr:from>
    <xdr:to>
      <xdr:col>3</xdr:col>
      <xdr:colOff>929640</xdr:colOff>
      <xdr:row>31</xdr:row>
      <xdr:rowOff>108268</xdr:rowOff>
    </xdr:to>
    <xdr:cxnSp macro="">
      <xdr:nvCxnSpPr>
        <xdr:cNvPr id="132" name="131 Conector recto de flecha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CxnSpPr/>
      </xdr:nvCxnSpPr>
      <xdr:spPr bwMode="auto">
        <a:xfrm>
          <a:off x="3314700" y="5631180"/>
          <a:ext cx="2895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38100</xdr:colOff>
      <xdr:row>31</xdr:row>
      <xdr:rowOff>99060</xdr:rowOff>
    </xdr:from>
    <xdr:to>
      <xdr:col>4</xdr:col>
      <xdr:colOff>883920</xdr:colOff>
      <xdr:row>31</xdr:row>
      <xdr:rowOff>100648</xdr:rowOff>
    </xdr:to>
    <xdr:cxnSp macro="">
      <xdr:nvCxnSpPr>
        <xdr:cNvPr id="134" name="133 Conector recto de flecha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CxnSpPr/>
      </xdr:nvCxnSpPr>
      <xdr:spPr bwMode="auto">
        <a:xfrm rot="10800000">
          <a:off x="3764280" y="5623560"/>
          <a:ext cx="8458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372586</xdr:colOff>
      <xdr:row>6</xdr:row>
      <xdr:rowOff>23654</xdr:rowOff>
    </xdr:from>
    <xdr:to>
      <xdr:col>6</xdr:col>
      <xdr:colOff>374174</xdr:colOff>
      <xdr:row>16</xdr:row>
      <xdr:rowOff>794</xdr:rowOff>
    </xdr:to>
    <xdr:cxnSp macro="">
      <xdr:nvCxnSpPr>
        <xdr:cNvPr id="135" name="134 Conector recto de flecha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CxnSpPr/>
      </xdr:nvCxnSpPr>
      <xdr:spPr bwMode="auto">
        <a:xfrm rot="5400000" flipH="1" flipV="1">
          <a:off x="5071110" y="2030730"/>
          <a:ext cx="17297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403066</xdr:colOff>
      <xdr:row>18</xdr:row>
      <xdr:rowOff>168434</xdr:rowOff>
    </xdr:from>
    <xdr:to>
      <xdr:col>6</xdr:col>
      <xdr:colOff>404654</xdr:colOff>
      <xdr:row>31</xdr:row>
      <xdr:rowOff>145574</xdr:rowOff>
    </xdr:to>
    <xdr:cxnSp macro="">
      <xdr:nvCxnSpPr>
        <xdr:cNvPr id="136" name="135 Conector recto de flecha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CxnSpPr/>
      </xdr:nvCxnSpPr>
      <xdr:spPr bwMode="auto">
        <a:xfrm rot="5400000">
          <a:off x="4838700" y="4541520"/>
          <a:ext cx="22555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22</xdr:row>
      <xdr:rowOff>122714</xdr:rowOff>
    </xdr:from>
    <xdr:to>
      <xdr:col>4</xdr:col>
      <xdr:colOff>488474</xdr:colOff>
      <xdr:row>31</xdr:row>
      <xdr:rowOff>145574</xdr:rowOff>
    </xdr:to>
    <xdr:cxnSp macro="">
      <xdr:nvCxnSpPr>
        <xdr:cNvPr id="137" name="136 Conector recto de flecha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CxnSpPr/>
      </xdr:nvCxnSpPr>
      <xdr:spPr bwMode="auto">
        <a:xfrm rot="5400000">
          <a:off x="3413760" y="4869180"/>
          <a:ext cx="16002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9</xdr:row>
      <xdr:rowOff>7620</xdr:rowOff>
    </xdr:from>
    <xdr:to>
      <xdr:col>4</xdr:col>
      <xdr:colOff>487680</xdr:colOff>
      <xdr:row>20</xdr:row>
      <xdr:rowOff>38894</xdr:rowOff>
    </xdr:to>
    <xdr:cxnSp macro="">
      <xdr:nvCxnSpPr>
        <xdr:cNvPr id="139" name="138 Conector recto de flecha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CxnSpPr/>
      </xdr:nvCxnSpPr>
      <xdr:spPr bwMode="auto">
        <a:xfrm rot="5400000" flipH="1" flipV="1">
          <a:off x="3233896" y="2655570"/>
          <a:ext cx="1959134" cy="79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433546</xdr:colOff>
      <xdr:row>33</xdr:row>
      <xdr:rowOff>794</xdr:rowOff>
    </xdr:from>
    <xdr:to>
      <xdr:col>3</xdr:col>
      <xdr:colOff>435134</xdr:colOff>
      <xdr:row>35</xdr:row>
      <xdr:rowOff>115094</xdr:rowOff>
    </xdr:to>
    <xdr:cxnSp macro="">
      <xdr:nvCxnSpPr>
        <xdr:cNvPr id="140" name="139 Conector recto de flecha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CxnSpPr/>
      </xdr:nvCxnSpPr>
      <xdr:spPr bwMode="auto">
        <a:xfrm rot="5400000">
          <a:off x="2876550" y="6107430"/>
          <a:ext cx="4648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815340</xdr:colOff>
      <xdr:row>21</xdr:row>
      <xdr:rowOff>7620</xdr:rowOff>
    </xdr:from>
    <xdr:to>
      <xdr:col>3</xdr:col>
      <xdr:colOff>830580</xdr:colOff>
      <xdr:row>26</xdr:row>
      <xdr:rowOff>45720</xdr:rowOff>
    </xdr:to>
    <xdr:cxnSp macro="">
      <xdr:nvCxnSpPr>
        <xdr:cNvPr id="141" name="140 Conector recto de flecha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CxnSpPr/>
      </xdr:nvCxnSpPr>
      <xdr:spPr bwMode="auto">
        <a:xfrm rot="16200000" flipH="1">
          <a:off x="3040380" y="4229100"/>
          <a:ext cx="91440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151606</xdr:colOff>
      <xdr:row>11</xdr:row>
      <xdr:rowOff>16034</xdr:rowOff>
    </xdr:from>
    <xdr:to>
      <xdr:col>3</xdr:col>
      <xdr:colOff>153194</xdr:colOff>
      <xdr:row>16</xdr:row>
      <xdr:rowOff>84614</xdr:rowOff>
    </xdr:to>
    <xdr:cxnSp macro="">
      <xdr:nvCxnSpPr>
        <xdr:cNvPr id="142" name="141 Conector recto de flecha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CxnSpPr/>
      </xdr:nvCxnSpPr>
      <xdr:spPr bwMode="auto">
        <a:xfrm rot="5400000">
          <a:off x="2354580" y="2506980"/>
          <a:ext cx="9448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1021080</xdr:colOff>
      <xdr:row>31</xdr:row>
      <xdr:rowOff>152400</xdr:rowOff>
    </xdr:from>
    <xdr:to>
      <xdr:col>4</xdr:col>
      <xdr:colOff>30480</xdr:colOff>
      <xdr:row>31</xdr:row>
      <xdr:rowOff>153988</xdr:rowOff>
    </xdr:to>
    <xdr:cxnSp macro="">
      <xdr:nvCxnSpPr>
        <xdr:cNvPr id="143" name="142 Conector recto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CxnSpPr/>
      </xdr:nvCxnSpPr>
      <xdr:spPr bwMode="auto">
        <a:xfrm>
          <a:off x="2674620" y="5676900"/>
          <a:ext cx="108204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814546</xdr:colOff>
      <xdr:row>34</xdr:row>
      <xdr:rowOff>794</xdr:rowOff>
    </xdr:from>
    <xdr:to>
      <xdr:col>1</xdr:col>
      <xdr:colOff>816134</xdr:colOff>
      <xdr:row>38</xdr:row>
      <xdr:rowOff>122714</xdr:rowOff>
    </xdr:to>
    <xdr:cxnSp macro="">
      <xdr:nvCxnSpPr>
        <xdr:cNvPr id="144" name="143 Conector recto de flecha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CxnSpPr/>
      </xdr:nvCxnSpPr>
      <xdr:spPr bwMode="auto">
        <a:xfrm rot="5400000">
          <a:off x="1257300" y="6461760"/>
          <a:ext cx="8229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845820</xdr:colOff>
      <xdr:row>9</xdr:row>
      <xdr:rowOff>0</xdr:rowOff>
    </xdr:from>
    <xdr:to>
      <xdr:col>3</xdr:col>
      <xdr:colOff>457200</xdr:colOff>
      <xdr:row>9</xdr:row>
      <xdr:rowOff>7620</xdr:rowOff>
    </xdr:to>
    <xdr:cxnSp macro="">
      <xdr:nvCxnSpPr>
        <xdr:cNvPr id="145" name="144 Conector recto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CxnSpPr/>
      </xdr:nvCxnSpPr>
      <xdr:spPr bwMode="auto">
        <a:xfrm flipV="1">
          <a:off x="845820" y="1668780"/>
          <a:ext cx="228600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921226</xdr:colOff>
      <xdr:row>13</xdr:row>
      <xdr:rowOff>31274</xdr:rowOff>
    </xdr:from>
    <xdr:to>
      <xdr:col>2</xdr:col>
      <xdr:colOff>794</xdr:colOff>
      <xdr:row>22</xdr:row>
      <xdr:rowOff>107474</xdr:rowOff>
    </xdr:to>
    <xdr:cxnSp macro="">
      <xdr:nvCxnSpPr>
        <xdr:cNvPr id="146" name="145 Conector recto de flecha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CxnSpPr/>
      </xdr:nvCxnSpPr>
      <xdr:spPr bwMode="auto">
        <a:xfrm rot="5400000">
          <a:off x="948690" y="3227070"/>
          <a:ext cx="16535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541020</xdr:colOff>
      <xdr:row>6</xdr:row>
      <xdr:rowOff>7620</xdr:rowOff>
    </xdr:from>
    <xdr:to>
      <xdr:col>4</xdr:col>
      <xdr:colOff>22860</xdr:colOff>
      <xdr:row>6</xdr:row>
      <xdr:rowOff>9208</xdr:rowOff>
    </xdr:to>
    <xdr:cxnSp macro="">
      <xdr:nvCxnSpPr>
        <xdr:cNvPr id="147" name="146 Conector recto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CxnSpPr/>
      </xdr:nvCxnSpPr>
      <xdr:spPr bwMode="auto">
        <a:xfrm>
          <a:off x="3215640" y="1150620"/>
          <a:ext cx="53340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860266</xdr:colOff>
      <xdr:row>9</xdr:row>
      <xdr:rowOff>16034</xdr:rowOff>
    </xdr:from>
    <xdr:to>
      <xdr:col>2</xdr:col>
      <xdr:colOff>861854</xdr:colOff>
      <xdr:row>32</xdr:row>
      <xdr:rowOff>8414</xdr:rowOff>
    </xdr:to>
    <xdr:cxnSp macro="">
      <xdr:nvCxnSpPr>
        <xdr:cNvPr id="148" name="147 Conector recto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CxnSpPr/>
      </xdr:nvCxnSpPr>
      <xdr:spPr bwMode="auto">
        <a:xfrm rot="5400000" flipH="1" flipV="1">
          <a:off x="624840" y="3695700"/>
          <a:ext cx="402336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532606</xdr:colOff>
      <xdr:row>6</xdr:row>
      <xdr:rowOff>16034</xdr:rowOff>
    </xdr:from>
    <xdr:to>
      <xdr:col>3</xdr:col>
      <xdr:colOff>534194</xdr:colOff>
      <xdr:row>31</xdr:row>
      <xdr:rowOff>137954</xdr:rowOff>
    </xdr:to>
    <xdr:cxnSp macro="">
      <xdr:nvCxnSpPr>
        <xdr:cNvPr id="149" name="148 Conector recto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CxnSpPr/>
      </xdr:nvCxnSpPr>
      <xdr:spPr bwMode="auto">
        <a:xfrm rot="5400000">
          <a:off x="956310" y="3409950"/>
          <a:ext cx="45034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358140</xdr:colOff>
      <xdr:row>25</xdr:row>
      <xdr:rowOff>7620</xdr:rowOff>
    </xdr:from>
    <xdr:to>
      <xdr:col>3</xdr:col>
      <xdr:colOff>365760</xdr:colOff>
      <xdr:row>30</xdr:row>
      <xdr:rowOff>106680</xdr:rowOff>
    </xdr:to>
    <xdr:cxnSp macro="">
      <xdr:nvCxnSpPr>
        <xdr:cNvPr id="150" name="149 Conector recto de flecha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CxnSpPr/>
      </xdr:nvCxnSpPr>
      <xdr:spPr bwMode="auto">
        <a:xfrm rot="16200000" flipH="1">
          <a:off x="2548890" y="4964430"/>
          <a:ext cx="9753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289560</xdr:colOff>
      <xdr:row>8</xdr:row>
      <xdr:rowOff>129540</xdr:rowOff>
    </xdr:from>
    <xdr:to>
      <xdr:col>3</xdr:col>
      <xdr:colOff>449580</xdr:colOff>
      <xdr:row>8</xdr:row>
      <xdr:rowOff>131128</xdr:rowOff>
    </xdr:to>
    <xdr:cxnSp macro="">
      <xdr:nvCxnSpPr>
        <xdr:cNvPr id="152" name="151 Conector recto de flecha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CxnSpPr/>
      </xdr:nvCxnSpPr>
      <xdr:spPr bwMode="auto">
        <a:xfrm rot="10800000">
          <a:off x="2964180" y="1623060"/>
          <a:ext cx="1600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533400</xdr:colOff>
      <xdr:row>5</xdr:row>
      <xdr:rowOff>99060</xdr:rowOff>
    </xdr:from>
    <xdr:to>
      <xdr:col>3</xdr:col>
      <xdr:colOff>708660</xdr:colOff>
      <xdr:row>5</xdr:row>
      <xdr:rowOff>106680</xdr:rowOff>
    </xdr:to>
    <xdr:cxnSp macro="">
      <xdr:nvCxnSpPr>
        <xdr:cNvPr id="153" name="152 Conector recto de flecha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CxnSpPr/>
      </xdr:nvCxnSpPr>
      <xdr:spPr bwMode="auto">
        <a:xfrm rot="10800000" flipV="1">
          <a:off x="3208020" y="1066800"/>
          <a:ext cx="1752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15240</xdr:colOff>
      <xdr:row>5</xdr:row>
      <xdr:rowOff>121920</xdr:rowOff>
    </xdr:from>
    <xdr:to>
      <xdr:col>3</xdr:col>
      <xdr:colOff>533400</xdr:colOff>
      <xdr:row>5</xdr:row>
      <xdr:rowOff>123508</xdr:rowOff>
    </xdr:to>
    <xdr:cxnSp macro="">
      <xdr:nvCxnSpPr>
        <xdr:cNvPr id="154" name="153 Conector recto de flecha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CxnSpPr/>
      </xdr:nvCxnSpPr>
      <xdr:spPr bwMode="auto">
        <a:xfrm>
          <a:off x="2689860" y="1089660"/>
          <a:ext cx="518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arrow"/>
          <a:tailEnd type="arrow"/>
        </a:ln>
        <a:effectLst/>
      </xdr:spPr>
    </xdr:cxnSp>
    <xdr:clientData/>
  </xdr:twoCellAnchor>
  <xdr:twoCellAnchor>
    <xdr:from>
      <xdr:col>0</xdr:col>
      <xdr:colOff>830580</xdr:colOff>
      <xdr:row>9</xdr:row>
      <xdr:rowOff>15240</xdr:rowOff>
    </xdr:from>
    <xdr:to>
      <xdr:col>1</xdr:col>
      <xdr:colOff>23654</xdr:colOff>
      <xdr:row>32</xdr:row>
      <xdr:rowOff>794</xdr:rowOff>
    </xdr:to>
    <xdr:cxnSp macro="">
      <xdr:nvCxnSpPr>
        <xdr:cNvPr id="155" name="154 Conector recto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CxnSpPr/>
      </xdr:nvCxnSpPr>
      <xdr:spPr bwMode="auto">
        <a:xfrm rot="5400000" flipH="1" flipV="1">
          <a:off x="-1154430" y="3669030"/>
          <a:ext cx="4016534" cy="4651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669766</xdr:colOff>
      <xdr:row>9</xdr:row>
      <xdr:rowOff>15240</xdr:rowOff>
    </xdr:from>
    <xdr:to>
      <xdr:col>0</xdr:col>
      <xdr:colOff>670560</xdr:colOff>
      <xdr:row>22</xdr:row>
      <xdr:rowOff>130334</xdr:rowOff>
    </xdr:to>
    <xdr:cxnSp macro="">
      <xdr:nvCxnSpPr>
        <xdr:cNvPr id="157" name="156 Conector recto de flecha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CxnSpPr/>
      </xdr:nvCxnSpPr>
      <xdr:spPr bwMode="auto">
        <a:xfrm rot="5400000" flipH="1" flipV="1">
          <a:off x="-526574" y="2880360"/>
          <a:ext cx="2393474" cy="79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624840</xdr:colOff>
      <xdr:row>24</xdr:row>
      <xdr:rowOff>84614</xdr:rowOff>
    </xdr:from>
    <xdr:to>
      <xdr:col>0</xdr:col>
      <xdr:colOff>656114</xdr:colOff>
      <xdr:row>35</xdr:row>
      <xdr:rowOff>129540</xdr:rowOff>
    </xdr:to>
    <xdr:cxnSp macro="">
      <xdr:nvCxnSpPr>
        <xdr:cNvPr id="159" name="158 Conector recto de flecha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CxnSpPr/>
      </xdr:nvCxnSpPr>
      <xdr:spPr bwMode="auto">
        <a:xfrm rot="5400000">
          <a:off x="-345916" y="5353050"/>
          <a:ext cx="1972786" cy="3127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395446</xdr:colOff>
      <xdr:row>5</xdr:row>
      <xdr:rowOff>168434</xdr:rowOff>
    </xdr:from>
    <xdr:to>
      <xdr:col>0</xdr:col>
      <xdr:colOff>397034</xdr:colOff>
      <xdr:row>19</xdr:row>
      <xdr:rowOff>130334</xdr:rowOff>
    </xdr:to>
    <xdr:cxnSp macro="">
      <xdr:nvCxnSpPr>
        <xdr:cNvPr id="161" name="160 Conector recto de flecha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CxnSpPr/>
      </xdr:nvCxnSpPr>
      <xdr:spPr bwMode="auto">
        <a:xfrm rot="5400000" flipH="1" flipV="1">
          <a:off x="-811530" y="2343150"/>
          <a:ext cx="24155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395446</xdr:colOff>
      <xdr:row>21</xdr:row>
      <xdr:rowOff>69374</xdr:rowOff>
    </xdr:from>
    <xdr:to>
      <xdr:col>0</xdr:col>
      <xdr:colOff>397034</xdr:colOff>
      <xdr:row>35</xdr:row>
      <xdr:rowOff>160814</xdr:rowOff>
    </xdr:to>
    <xdr:cxnSp macro="">
      <xdr:nvCxnSpPr>
        <xdr:cNvPr id="163" name="162 Conector recto de flecha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CxnSpPr/>
      </xdr:nvCxnSpPr>
      <xdr:spPr bwMode="auto">
        <a:xfrm rot="5400000">
          <a:off x="-876300" y="5113020"/>
          <a:ext cx="25450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251460</xdr:colOff>
      <xdr:row>148</xdr:row>
      <xdr:rowOff>7620</xdr:rowOff>
    </xdr:from>
    <xdr:to>
      <xdr:col>1</xdr:col>
      <xdr:colOff>259080</xdr:colOff>
      <xdr:row>149</xdr:row>
      <xdr:rowOff>167640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xmlns="" id="{00000000-0008-0000-02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51460" y="25991820"/>
          <a:ext cx="861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327660</xdr:colOff>
      <xdr:row>114</xdr:row>
      <xdr:rowOff>38100</xdr:rowOff>
    </xdr:from>
    <xdr:to>
      <xdr:col>3</xdr:col>
      <xdr:colOff>251460</xdr:colOff>
      <xdr:row>115</xdr:row>
      <xdr:rowOff>190500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7660" y="22280880"/>
          <a:ext cx="2598420" cy="3886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373380</xdr:colOff>
      <xdr:row>106</xdr:row>
      <xdr:rowOff>45720</xdr:rowOff>
    </xdr:from>
    <xdr:to>
      <xdr:col>3</xdr:col>
      <xdr:colOff>510540</xdr:colOff>
      <xdr:row>109</xdr:row>
      <xdr:rowOff>15240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3380" y="20764500"/>
          <a:ext cx="2811780" cy="594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59</xdr:row>
      <xdr:rowOff>68580</xdr:rowOff>
    </xdr:from>
    <xdr:to>
      <xdr:col>3</xdr:col>
      <xdr:colOff>137160</xdr:colOff>
      <xdr:row>73</xdr:row>
      <xdr:rowOff>76200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 bwMode="auto">
        <a:xfrm rot="16200000" flipH="1">
          <a:off x="1649730" y="12264390"/>
          <a:ext cx="231648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137160</xdr:colOff>
      <xdr:row>59</xdr:row>
      <xdr:rowOff>91440</xdr:rowOff>
    </xdr:from>
    <xdr:to>
      <xdr:col>4</xdr:col>
      <xdr:colOff>137160</xdr:colOff>
      <xdr:row>73</xdr:row>
      <xdr:rowOff>106680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 bwMode="auto">
        <a:xfrm rot="16200000" flipH="1">
          <a:off x="2175510" y="11769090"/>
          <a:ext cx="2324100" cy="10515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129540</xdr:colOff>
      <xdr:row>73</xdr:row>
      <xdr:rowOff>91440</xdr:rowOff>
    </xdr:from>
    <xdr:to>
      <xdr:col>4</xdr:col>
      <xdr:colOff>137160</xdr:colOff>
      <xdr:row>73</xdr:row>
      <xdr:rowOff>99060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 bwMode="auto">
        <a:xfrm rot="10800000" flipV="1">
          <a:off x="2804160" y="13441680"/>
          <a:ext cx="105918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335280</xdr:colOff>
      <xdr:row>44</xdr:row>
      <xdr:rowOff>167640</xdr:rowOff>
    </xdr:from>
    <xdr:to>
      <xdr:col>2</xdr:col>
      <xdr:colOff>76200</xdr:colOff>
      <xdr:row>46</xdr:row>
      <xdr:rowOff>167640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5280" y="8458200"/>
          <a:ext cx="1516380" cy="3505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281940</xdr:colOff>
      <xdr:row>52</xdr:row>
      <xdr:rowOff>7620</xdr:rowOff>
    </xdr:from>
    <xdr:to>
      <xdr:col>1</xdr:col>
      <xdr:colOff>38100</xdr:colOff>
      <xdr:row>54</xdr:row>
      <xdr:rowOff>15240</xdr:rowOff>
    </xdr:to>
    <xdr:pic>
      <xdr:nvPicPr>
        <xdr:cNvPr id="60" name="Picture 2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1940" y="9738360"/>
          <a:ext cx="609600" cy="35814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434340</xdr:colOff>
      <xdr:row>69</xdr:row>
      <xdr:rowOff>0</xdr:rowOff>
    </xdr:from>
    <xdr:to>
      <xdr:col>4</xdr:col>
      <xdr:colOff>899160</xdr:colOff>
      <xdr:row>69</xdr:row>
      <xdr:rowOff>7620</xdr:rowOff>
    </xdr:to>
    <xdr:cxnSp macro="">
      <xdr:nvCxnSpPr>
        <xdr:cNvPr id="90" name="89 Conector recto de flecha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CxnSpPr/>
      </xdr:nvCxnSpPr>
      <xdr:spPr bwMode="auto">
        <a:xfrm rot="10800000">
          <a:off x="3108960" y="12649200"/>
          <a:ext cx="151638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471646</xdr:colOff>
      <xdr:row>69</xdr:row>
      <xdr:rowOff>31274</xdr:rowOff>
    </xdr:from>
    <xdr:to>
      <xdr:col>4</xdr:col>
      <xdr:colOff>473234</xdr:colOff>
      <xdr:row>70</xdr:row>
      <xdr:rowOff>160814</xdr:rowOff>
    </xdr:to>
    <xdr:cxnSp macro="">
      <xdr:nvCxnSpPr>
        <xdr:cNvPr id="91" name="90 Conector recto de flecha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CxnSpPr/>
      </xdr:nvCxnSpPr>
      <xdr:spPr bwMode="auto">
        <a:xfrm rot="5400000" flipH="1" flipV="1">
          <a:off x="4046220" y="12832080"/>
          <a:ext cx="3048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471646</xdr:colOff>
      <xdr:row>72</xdr:row>
      <xdr:rowOff>8414</xdr:rowOff>
    </xdr:from>
    <xdr:to>
      <xdr:col>4</xdr:col>
      <xdr:colOff>473234</xdr:colOff>
      <xdr:row>73</xdr:row>
      <xdr:rowOff>99854</xdr:rowOff>
    </xdr:to>
    <xdr:cxnSp macro="">
      <xdr:nvCxnSpPr>
        <xdr:cNvPr id="92" name="91 Conector recto de flecha">
          <a:extLst>
            <a:ext uri="{FF2B5EF4-FFF2-40B4-BE49-F238E27FC236}">
              <a16:creationId xmlns:a16="http://schemas.microsoft.com/office/drawing/2014/main" xmlns="" id="{00000000-0008-0000-0300-00005C000000}"/>
            </a:ext>
          </a:extLst>
        </xdr:cNvPr>
        <xdr:cNvCxnSpPr/>
      </xdr:nvCxnSpPr>
      <xdr:spPr bwMode="auto">
        <a:xfrm rot="5400000">
          <a:off x="4065270" y="13315950"/>
          <a:ext cx="2667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502920</xdr:colOff>
      <xdr:row>59</xdr:row>
      <xdr:rowOff>114300</xdr:rowOff>
    </xdr:from>
    <xdr:to>
      <xdr:col>5</xdr:col>
      <xdr:colOff>510540</xdr:colOff>
      <xdr:row>66</xdr:row>
      <xdr:rowOff>121920</xdr:rowOff>
    </xdr:to>
    <xdr:cxnSp macro="">
      <xdr:nvCxnSpPr>
        <xdr:cNvPr id="93" name="92 Conector recto de flecha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CxnSpPr/>
      </xdr:nvCxnSpPr>
      <xdr:spPr bwMode="auto">
        <a:xfrm rot="5400000" flipH="1" flipV="1">
          <a:off x="4625340" y="11696700"/>
          <a:ext cx="10896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494506</xdr:colOff>
      <xdr:row>68</xdr:row>
      <xdr:rowOff>46514</xdr:rowOff>
    </xdr:from>
    <xdr:to>
      <xdr:col>5</xdr:col>
      <xdr:colOff>496094</xdr:colOff>
      <xdr:row>73</xdr:row>
      <xdr:rowOff>69374</xdr:rowOff>
    </xdr:to>
    <xdr:cxnSp macro="">
      <xdr:nvCxnSpPr>
        <xdr:cNvPr id="94" name="93 Conector recto de flecha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CxnSpPr/>
      </xdr:nvCxnSpPr>
      <xdr:spPr bwMode="auto">
        <a:xfrm rot="5400000">
          <a:off x="4709160" y="12969240"/>
          <a:ext cx="899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800100</xdr:colOff>
      <xdr:row>31</xdr:row>
      <xdr:rowOff>167640</xdr:rowOff>
    </xdr:from>
    <xdr:to>
      <xdr:col>2</xdr:col>
      <xdr:colOff>1036320</xdr:colOff>
      <xdr:row>31</xdr:row>
      <xdr:rowOff>169228</xdr:rowOff>
    </xdr:to>
    <xdr:cxnSp macro="">
      <xdr:nvCxnSpPr>
        <xdr:cNvPr id="62" name="61 Conector recto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CxnSpPr/>
      </xdr:nvCxnSpPr>
      <xdr:spPr bwMode="auto">
        <a:xfrm>
          <a:off x="800100" y="5692140"/>
          <a:ext cx="1874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898366</xdr:colOff>
      <xdr:row>6</xdr:row>
      <xdr:rowOff>15240</xdr:rowOff>
    </xdr:from>
    <xdr:to>
      <xdr:col>3</xdr:col>
      <xdr:colOff>533400</xdr:colOff>
      <xdr:row>31</xdr:row>
      <xdr:rowOff>168434</xdr:rowOff>
    </xdr:to>
    <xdr:cxnSp macro="">
      <xdr:nvCxnSpPr>
        <xdr:cNvPr id="64" name="63 Conector recto">
          <a:extLst>
            <a:ext uri="{FF2B5EF4-FFF2-40B4-BE49-F238E27FC236}">
              <a16:creationId xmlns:a16="http://schemas.microsoft.com/office/drawing/2014/main" xmlns="" id="{00000000-0008-0000-0300-000040000000}"/>
            </a:ext>
          </a:extLst>
        </xdr:cNvPr>
        <xdr:cNvCxnSpPr/>
      </xdr:nvCxnSpPr>
      <xdr:spPr bwMode="auto">
        <a:xfrm rot="5400000" flipH="1" flipV="1">
          <a:off x="673576" y="3158490"/>
          <a:ext cx="4534694" cy="53419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7620</xdr:colOff>
      <xdr:row>6</xdr:row>
      <xdr:rowOff>7620</xdr:rowOff>
    </xdr:from>
    <xdr:to>
      <xdr:col>4</xdr:col>
      <xdr:colOff>22860</xdr:colOff>
      <xdr:row>32</xdr:row>
      <xdr:rowOff>22860</xdr:rowOff>
    </xdr:to>
    <xdr:cxnSp macro="">
      <xdr:nvCxnSpPr>
        <xdr:cNvPr id="65" name="64 Conector recto">
          <a:extLst>
            <a:ext uri="{FF2B5EF4-FFF2-40B4-BE49-F238E27FC236}">
              <a16:creationId xmlns:a16="http://schemas.microsoft.com/office/drawing/2014/main" xmlns="" id="{00000000-0008-0000-0300-000041000000}"/>
            </a:ext>
          </a:extLst>
        </xdr:cNvPr>
        <xdr:cNvCxnSpPr/>
      </xdr:nvCxnSpPr>
      <xdr:spPr bwMode="auto">
        <a:xfrm rot="16200000" flipH="1">
          <a:off x="1455420" y="3429000"/>
          <a:ext cx="4572000" cy="1524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15240</xdr:colOff>
      <xdr:row>32</xdr:row>
      <xdr:rowOff>7620</xdr:rowOff>
    </xdr:from>
    <xdr:to>
      <xdr:col>5</xdr:col>
      <xdr:colOff>929640</xdr:colOff>
      <xdr:row>32</xdr:row>
      <xdr:rowOff>9208</xdr:rowOff>
    </xdr:to>
    <xdr:cxnSp macro="">
      <xdr:nvCxnSpPr>
        <xdr:cNvPr id="66" name="65 Conector recto">
          <a:extLst>
            <a:ext uri="{FF2B5EF4-FFF2-40B4-BE49-F238E27FC236}">
              <a16:creationId xmlns:a16="http://schemas.microsoft.com/office/drawing/2014/main" xmlns="" id="{00000000-0008-0000-0300-000042000000}"/>
            </a:ext>
          </a:extLst>
        </xdr:cNvPr>
        <xdr:cNvCxnSpPr/>
      </xdr:nvCxnSpPr>
      <xdr:spPr bwMode="auto">
        <a:xfrm>
          <a:off x="3741420" y="5707380"/>
          <a:ext cx="182118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791686</xdr:colOff>
      <xdr:row>32</xdr:row>
      <xdr:rowOff>7620</xdr:rowOff>
    </xdr:from>
    <xdr:to>
      <xdr:col>0</xdr:col>
      <xdr:colOff>800100</xdr:colOff>
      <xdr:row>36</xdr:row>
      <xdr:rowOff>16034</xdr:rowOff>
    </xdr:to>
    <xdr:cxnSp macro="">
      <xdr:nvCxnSpPr>
        <xdr:cNvPr id="67" name="66 Conector recto">
          <a:extLst>
            <a:ext uri="{FF2B5EF4-FFF2-40B4-BE49-F238E27FC236}">
              <a16:creationId xmlns:a16="http://schemas.microsoft.com/office/drawing/2014/main" xmlns="" id="{00000000-0008-0000-0300-000043000000}"/>
            </a:ext>
          </a:extLst>
        </xdr:cNvPr>
        <xdr:cNvCxnSpPr/>
      </xdr:nvCxnSpPr>
      <xdr:spPr bwMode="auto">
        <a:xfrm rot="5400000">
          <a:off x="441166" y="6057900"/>
          <a:ext cx="709454" cy="841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807720</xdr:colOff>
      <xdr:row>36</xdr:row>
      <xdr:rowOff>30480</xdr:rowOff>
    </xdr:from>
    <xdr:to>
      <xdr:col>6</xdr:col>
      <xdr:colOff>22860</xdr:colOff>
      <xdr:row>36</xdr:row>
      <xdr:rowOff>32068</xdr:rowOff>
    </xdr:to>
    <xdr:cxnSp macro="">
      <xdr:nvCxnSpPr>
        <xdr:cNvPr id="68" name="67 Conector recto">
          <a:extLst>
            <a:ext uri="{FF2B5EF4-FFF2-40B4-BE49-F238E27FC236}">
              <a16:creationId xmlns:a16="http://schemas.microsoft.com/office/drawing/2014/main" xmlns="" id="{00000000-0008-0000-0300-000044000000}"/>
            </a:ext>
          </a:extLst>
        </xdr:cNvPr>
        <xdr:cNvCxnSpPr/>
      </xdr:nvCxnSpPr>
      <xdr:spPr bwMode="auto">
        <a:xfrm>
          <a:off x="807720" y="6431280"/>
          <a:ext cx="477774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6</xdr:col>
      <xdr:colOff>14446</xdr:colOff>
      <xdr:row>32</xdr:row>
      <xdr:rowOff>8414</xdr:rowOff>
    </xdr:from>
    <xdr:to>
      <xdr:col>6</xdr:col>
      <xdr:colOff>16034</xdr:colOff>
      <xdr:row>36</xdr:row>
      <xdr:rowOff>38894</xdr:rowOff>
    </xdr:to>
    <xdr:cxnSp macro="">
      <xdr:nvCxnSpPr>
        <xdr:cNvPr id="69" name="68 Conector recto">
          <a:extLst>
            <a:ext uri="{FF2B5EF4-FFF2-40B4-BE49-F238E27FC236}">
              <a16:creationId xmlns:a16="http://schemas.microsoft.com/office/drawing/2014/main" xmlns="" id="{00000000-0008-0000-0300-000045000000}"/>
            </a:ext>
          </a:extLst>
        </xdr:cNvPr>
        <xdr:cNvCxnSpPr/>
      </xdr:nvCxnSpPr>
      <xdr:spPr bwMode="auto">
        <a:xfrm rot="5400000" flipH="1" flipV="1">
          <a:off x="5212080" y="6073140"/>
          <a:ext cx="731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838200</xdr:colOff>
      <xdr:row>37</xdr:row>
      <xdr:rowOff>91440</xdr:rowOff>
    </xdr:from>
    <xdr:to>
      <xdr:col>3</xdr:col>
      <xdr:colOff>0</xdr:colOff>
      <xdr:row>37</xdr:row>
      <xdr:rowOff>93028</xdr:rowOff>
    </xdr:to>
    <xdr:cxnSp macro="">
      <xdr:nvCxnSpPr>
        <xdr:cNvPr id="74" name="73 Conector recto de flecha">
          <a:extLst>
            <a:ext uri="{FF2B5EF4-FFF2-40B4-BE49-F238E27FC236}">
              <a16:creationId xmlns:a16="http://schemas.microsoft.com/office/drawing/2014/main" xmlns="" id="{00000000-0008-0000-0300-00004A000000}"/>
            </a:ext>
          </a:extLst>
        </xdr:cNvPr>
        <xdr:cNvCxnSpPr/>
      </xdr:nvCxnSpPr>
      <xdr:spPr bwMode="auto">
        <a:xfrm rot="10800000">
          <a:off x="838200" y="6667500"/>
          <a:ext cx="18364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15240</xdr:colOff>
      <xdr:row>37</xdr:row>
      <xdr:rowOff>83820</xdr:rowOff>
    </xdr:from>
    <xdr:to>
      <xdr:col>5</xdr:col>
      <xdr:colOff>922020</xdr:colOff>
      <xdr:row>37</xdr:row>
      <xdr:rowOff>85408</xdr:rowOff>
    </xdr:to>
    <xdr:cxnSp macro="">
      <xdr:nvCxnSpPr>
        <xdr:cNvPr id="75" name="74 Conector recto de flecha">
          <a:extLst>
            <a:ext uri="{FF2B5EF4-FFF2-40B4-BE49-F238E27FC236}">
              <a16:creationId xmlns:a16="http://schemas.microsoft.com/office/drawing/2014/main" xmlns="" id="{00000000-0008-0000-0300-00004B000000}"/>
            </a:ext>
          </a:extLst>
        </xdr:cNvPr>
        <xdr:cNvCxnSpPr/>
      </xdr:nvCxnSpPr>
      <xdr:spPr bwMode="auto">
        <a:xfrm>
          <a:off x="3741420" y="6659880"/>
          <a:ext cx="18211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395446</xdr:colOff>
      <xdr:row>31</xdr:row>
      <xdr:rowOff>168434</xdr:rowOff>
    </xdr:from>
    <xdr:to>
      <xdr:col>6</xdr:col>
      <xdr:colOff>397034</xdr:colOff>
      <xdr:row>33</xdr:row>
      <xdr:rowOff>160814</xdr:rowOff>
    </xdr:to>
    <xdr:cxnSp macro="">
      <xdr:nvCxnSpPr>
        <xdr:cNvPr id="76" name="75 Conector recto de flecha">
          <a:extLst>
            <a:ext uri="{FF2B5EF4-FFF2-40B4-BE49-F238E27FC236}">
              <a16:creationId xmlns:a16="http://schemas.microsoft.com/office/drawing/2014/main" xmlns="" id="{00000000-0008-0000-0300-00004C000000}"/>
            </a:ext>
          </a:extLst>
        </xdr:cNvPr>
        <xdr:cNvCxnSpPr/>
      </xdr:nvCxnSpPr>
      <xdr:spPr bwMode="auto">
        <a:xfrm rot="5400000" flipH="1" flipV="1">
          <a:off x="5787390" y="5863590"/>
          <a:ext cx="3429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395446</xdr:colOff>
      <xdr:row>35</xdr:row>
      <xdr:rowOff>794</xdr:rowOff>
    </xdr:from>
    <xdr:to>
      <xdr:col>6</xdr:col>
      <xdr:colOff>397034</xdr:colOff>
      <xdr:row>36</xdr:row>
      <xdr:rowOff>794</xdr:rowOff>
    </xdr:to>
    <xdr:cxnSp macro="">
      <xdr:nvCxnSpPr>
        <xdr:cNvPr id="77" name="76 Conector recto de flecha">
          <a:extLst>
            <a:ext uri="{FF2B5EF4-FFF2-40B4-BE49-F238E27FC236}">
              <a16:creationId xmlns:a16="http://schemas.microsoft.com/office/drawing/2014/main" xmlns="" id="{00000000-0008-0000-0300-00004D000000}"/>
            </a:ext>
          </a:extLst>
        </xdr:cNvPr>
        <xdr:cNvCxnSpPr/>
      </xdr:nvCxnSpPr>
      <xdr:spPr bwMode="auto">
        <a:xfrm rot="5400000">
          <a:off x="5871210" y="6313170"/>
          <a:ext cx="1752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0</xdr:colOff>
      <xdr:row>31</xdr:row>
      <xdr:rowOff>99060</xdr:rowOff>
    </xdr:from>
    <xdr:to>
      <xdr:col>3</xdr:col>
      <xdr:colOff>304800</xdr:colOff>
      <xdr:row>31</xdr:row>
      <xdr:rowOff>100648</xdr:rowOff>
    </xdr:to>
    <xdr:cxnSp macro="">
      <xdr:nvCxnSpPr>
        <xdr:cNvPr id="81" name="80 Conector recto de flecha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CxnSpPr/>
      </xdr:nvCxnSpPr>
      <xdr:spPr bwMode="auto">
        <a:xfrm rot="10800000">
          <a:off x="2674620" y="5623560"/>
          <a:ext cx="3048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640080</xdr:colOff>
      <xdr:row>31</xdr:row>
      <xdr:rowOff>106680</xdr:rowOff>
    </xdr:from>
    <xdr:to>
      <xdr:col>3</xdr:col>
      <xdr:colOff>929640</xdr:colOff>
      <xdr:row>31</xdr:row>
      <xdr:rowOff>108268</xdr:rowOff>
    </xdr:to>
    <xdr:cxnSp macro="">
      <xdr:nvCxnSpPr>
        <xdr:cNvPr id="82" name="81 Conector recto de flecha">
          <a:extLst>
            <a:ext uri="{FF2B5EF4-FFF2-40B4-BE49-F238E27FC236}">
              <a16:creationId xmlns:a16="http://schemas.microsoft.com/office/drawing/2014/main" xmlns="" id="{00000000-0008-0000-0300-000052000000}"/>
            </a:ext>
          </a:extLst>
        </xdr:cNvPr>
        <xdr:cNvCxnSpPr/>
      </xdr:nvCxnSpPr>
      <xdr:spPr bwMode="auto">
        <a:xfrm>
          <a:off x="3314700" y="5631180"/>
          <a:ext cx="2895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372586</xdr:colOff>
      <xdr:row>6</xdr:row>
      <xdr:rowOff>23654</xdr:rowOff>
    </xdr:from>
    <xdr:to>
      <xdr:col>6</xdr:col>
      <xdr:colOff>374174</xdr:colOff>
      <xdr:row>16</xdr:row>
      <xdr:rowOff>794</xdr:rowOff>
    </xdr:to>
    <xdr:cxnSp macro="">
      <xdr:nvCxnSpPr>
        <xdr:cNvPr id="84" name="83 Conector recto de flecha">
          <a:extLst>
            <a:ext uri="{FF2B5EF4-FFF2-40B4-BE49-F238E27FC236}">
              <a16:creationId xmlns:a16="http://schemas.microsoft.com/office/drawing/2014/main" xmlns="" id="{00000000-0008-0000-0300-000054000000}"/>
            </a:ext>
          </a:extLst>
        </xdr:cNvPr>
        <xdr:cNvCxnSpPr/>
      </xdr:nvCxnSpPr>
      <xdr:spPr bwMode="auto">
        <a:xfrm rot="5400000" flipH="1" flipV="1">
          <a:off x="5071110" y="2030730"/>
          <a:ext cx="17297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403066</xdr:colOff>
      <xdr:row>18</xdr:row>
      <xdr:rowOff>168434</xdr:rowOff>
    </xdr:from>
    <xdr:to>
      <xdr:col>6</xdr:col>
      <xdr:colOff>404654</xdr:colOff>
      <xdr:row>31</xdr:row>
      <xdr:rowOff>145574</xdr:rowOff>
    </xdr:to>
    <xdr:cxnSp macro="">
      <xdr:nvCxnSpPr>
        <xdr:cNvPr id="85" name="84 Conector recto de flecha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CxnSpPr/>
      </xdr:nvCxnSpPr>
      <xdr:spPr bwMode="auto">
        <a:xfrm rot="5400000">
          <a:off x="4838700" y="4541520"/>
          <a:ext cx="22555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22</xdr:row>
      <xdr:rowOff>122714</xdr:rowOff>
    </xdr:from>
    <xdr:to>
      <xdr:col>4</xdr:col>
      <xdr:colOff>488474</xdr:colOff>
      <xdr:row>31</xdr:row>
      <xdr:rowOff>145574</xdr:rowOff>
    </xdr:to>
    <xdr:cxnSp macro="">
      <xdr:nvCxnSpPr>
        <xdr:cNvPr id="86" name="85 Conector recto de flecha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CxnSpPr/>
      </xdr:nvCxnSpPr>
      <xdr:spPr bwMode="auto">
        <a:xfrm rot="5400000">
          <a:off x="3413760" y="4869180"/>
          <a:ext cx="16002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9</xdr:row>
      <xdr:rowOff>7620</xdr:rowOff>
    </xdr:from>
    <xdr:to>
      <xdr:col>4</xdr:col>
      <xdr:colOff>487680</xdr:colOff>
      <xdr:row>20</xdr:row>
      <xdr:rowOff>38894</xdr:rowOff>
    </xdr:to>
    <xdr:cxnSp macro="">
      <xdr:nvCxnSpPr>
        <xdr:cNvPr id="87" name="86 Conector recto de flecha">
          <a:extLst>
            <a:ext uri="{FF2B5EF4-FFF2-40B4-BE49-F238E27FC236}">
              <a16:creationId xmlns:a16="http://schemas.microsoft.com/office/drawing/2014/main" xmlns="" id="{00000000-0008-0000-0300-000057000000}"/>
            </a:ext>
          </a:extLst>
        </xdr:cNvPr>
        <xdr:cNvCxnSpPr/>
      </xdr:nvCxnSpPr>
      <xdr:spPr bwMode="auto">
        <a:xfrm rot="5400000" flipH="1" flipV="1">
          <a:off x="3233896" y="2655570"/>
          <a:ext cx="1959134" cy="79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815340</xdr:colOff>
      <xdr:row>21</xdr:row>
      <xdr:rowOff>7620</xdr:rowOff>
    </xdr:from>
    <xdr:to>
      <xdr:col>3</xdr:col>
      <xdr:colOff>830580</xdr:colOff>
      <xdr:row>26</xdr:row>
      <xdr:rowOff>45720</xdr:rowOff>
    </xdr:to>
    <xdr:cxnSp macro="">
      <xdr:nvCxnSpPr>
        <xdr:cNvPr id="89" name="88 Conector recto de flecha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CxnSpPr/>
      </xdr:nvCxnSpPr>
      <xdr:spPr bwMode="auto">
        <a:xfrm rot="16200000" flipH="1">
          <a:off x="3040380" y="4229100"/>
          <a:ext cx="91440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1021080</xdr:colOff>
      <xdr:row>31</xdr:row>
      <xdr:rowOff>152400</xdr:rowOff>
    </xdr:from>
    <xdr:to>
      <xdr:col>4</xdr:col>
      <xdr:colOff>30480</xdr:colOff>
      <xdr:row>31</xdr:row>
      <xdr:rowOff>153988</xdr:rowOff>
    </xdr:to>
    <xdr:cxnSp macro="">
      <xdr:nvCxnSpPr>
        <xdr:cNvPr id="96" name="95 Conector recto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CxnSpPr/>
      </xdr:nvCxnSpPr>
      <xdr:spPr bwMode="auto">
        <a:xfrm>
          <a:off x="2674620" y="5676900"/>
          <a:ext cx="108204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845820</xdr:colOff>
      <xdr:row>9</xdr:row>
      <xdr:rowOff>0</xdr:rowOff>
    </xdr:from>
    <xdr:to>
      <xdr:col>3</xdr:col>
      <xdr:colOff>457200</xdr:colOff>
      <xdr:row>9</xdr:row>
      <xdr:rowOff>7620</xdr:rowOff>
    </xdr:to>
    <xdr:cxnSp macro="">
      <xdr:nvCxnSpPr>
        <xdr:cNvPr id="98" name="97 Conector recto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CxnSpPr/>
      </xdr:nvCxnSpPr>
      <xdr:spPr bwMode="auto">
        <a:xfrm flipV="1">
          <a:off x="845820" y="1668780"/>
          <a:ext cx="228600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541020</xdr:colOff>
      <xdr:row>6</xdr:row>
      <xdr:rowOff>7620</xdr:rowOff>
    </xdr:from>
    <xdr:to>
      <xdr:col>4</xdr:col>
      <xdr:colOff>22860</xdr:colOff>
      <xdr:row>6</xdr:row>
      <xdr:rowOff>9208</xdr:rowOff>
    </xdr:to>
    <xdr:cxnSp macro="">
      <xdr:nvCxnSpPr>
        <xdr:cNvPr id="100" name="99 Conector recto">
          <a:extLst>
            <a:ext uri="{FF2B5EF4-FFF2-40B4-BE49-F238E27FC236}">
              <a16:creationId xmlns:a16="http://schemas.microsoft.com/office/drawing/2014/main" xmlns="" id="{00000000-0008-0000-0300-000064000000}"/>
            </a:ext>
          </a:extLst>
        </xdr:cNvPr>
        <xdr:cNvCxnSpPr/>
      </xdr:nvCxnSpPr>
      <xdr:spPr bwMode="auto">
        <a:xfrm>
          <a:off x="3215640" y="1150620"/>
          <a:ext cx="53340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532606</xdr:colOff>
      <xdr:row>6</xdr:row>
      <xdr:rowOff>16034</xdr:rowOff>
    </xdr:from>
    <xdr:to>
      <xdr:col>3</xdr:col>
      <xdr:colOff>534194</xdr:colOff>
      <xdr:row>31</xdr:row>
      <xdr:rowOff>137954</xdr:rowOff>
    </xdr:to>
    <xdr:cxnSp macro="">
      <xdr:nvCxnSpPr>
        <xdr:cNvPr id="102" name="101 Conector recto">
          <a:extLst>
            <a:ext uri="{FF2B5EF4-FFF2-40B4-BE49-F238E27FC236}">
              <a16:creationId xmlns:a16="http://schemas.microsoft.com/office/drawing/2014/main" xmlns="" id="{00000000-0008-0000-0300-000066000000}"/>
            </a:ext>
          </a:extLst>
        </xdr:cNvPr>
        <xdr:cNvCxnSpPr/>
      </xdr:nvCxnSpPr>
      <xdr:spPr bwMode="auto">
        <a:xfrm rot="5400000">
          <a:off x="956310" y="3409950"/>
          <a:ext cx="45034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358140</xdr:colOff>
      <xdr:row>25</xdr:row>
      <xdr:rowOff>7620</xdr:rowOff>
    </xdr:from>
    <xdr:to>
      <xdr:col>3</xdr:col>
      <xdr:colOff>365760</xdr:colOff>
      <xdr:row>30</xdr:row>
      <xdr:rowOff>106680</xdr:rowOff>
    </xdr:to>
    <xdr:cxnSp macro="">
      <xdr:nvCxnSpPr>
        <xdr:cNvPr id="103" name="102 Conector recto de flecha">
          <a:extLst>
            <a:ext uri="{FF2B5EF4-FFF2-40B4-BE49-F238E27FC236}">
              <a16:creationId xmlns:a16="http://schemas.microsoft.com/office/drawing/2014/main" xmlns="" id="{00000000-0008-0000-0300-000067000000}"/>
            </a:ext>
          </a:extLst>
        </xdr:cNvPr>
        <xdr:cNvCxnSpPr/>
      </xdr:nvCxnSpPr>
      <xdr:spPr bwMode="auto">
        <a:xfrm rot="16200000" flipH="1">
          <a:off x="2548890" y="4964430"/>
          <a:ext cx="9753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533400</xdr:colOff>
      <xdr:row>5</xdr:row>
      <xdr:rowOff>99060</xdr:rowOff>
    </xdr:from>
    <xdr:to>
      <xdr:col>3</xdr:col>
      <xdr:colOff>708660</xdr:colOff>
      <xdr:row>5</xdr:row>
      <xdr:rowOff>106680</xdr:rowOff>
    </xdr:to>
    <xdr:cxnSp macro="">
      <xdr:nvCxnSpPr>
        <xdr:cNvPr id="105" name="104 Conector recto de flecha">
          <a:extLst>
            <a:ext uri="{FF2B5EF4-FFF2-40B4-BE49-F238E27FC236}">
              <a16:creationId xmlns:a16="http://schemas.microsoft.com/office/drawing/2014/main" xmlns="" id="{00000000-0008-0000-0300-000069000000}"/>
            </a:ext>
          </a:extLst>
        </xdr:cNvPr>
        <xdr:cNvCxnSpPr/>
      </xdr:nvCxnSpPr>
      <xdr:spPr bwMode="auto">
        <a:xfrm rot="10800000" flipV="1">
          <a:off x="3208020" y="1066800"/>
          <a:ext cx="1752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15240</xdr:colOff>
      <xdr:row>5</xdr:row>
      <xdr:rowOff>121920</xdr:rowOff>
    </xdr:from>
    <xdr:to>
      <xdr:col>3</xdr:col>
      <xdr:colOff>533400</xdr:colOff>
      <xdr:row>5</xdr:row>
      <xdr:rowOff>123508</xdr:rowOff>
    </xdr:to>
    <xdr:cxnSp macro="">
      <xdr:nvCxnSpPr>
        <xdr:cNvPr id="106" name="105 Conector recto de flecha">
          <a:extLst>
            <a:ext uri="{FF2B5EF4-FFF2-40B4-BE49-F238E27FC236}">
              <a16:creationId xmlns:a16="http://schemas.microsoft.com/office/drawing/2014/main" xmlns="" id="{00000000-0008-0000-0300-00006A000000}"/>
            </a:ext>
          </a:extLst>
        </xdr:cNvPr>
        <xdr:cNvCxnSpPr/>
      </xdr:nvCxnSpPr>
      <xdr:spPr bwMode="auto">
        <a:xfrm>
          <a:off x="2689860" y="1089660"/>
          <a:ext cx="518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arrow"/>
          <a:tailEnd type="arrow"/>
        </a:ln>
        <a:effectLst/>
      </xdr:spPr>
    </xdr:cxnSp>
    <xdr:clientData/>
  </xdr:twoCellAnchor>
  <xdr:twoCellAnchor>
    <xdr:from>
      <xdr:col>0</xdr:col>
      <xdr:colOff>304800</xdr:colOff>
      <xdr:row>81</xdr:row>
      <xdr:rowOff>7620</xdr:rowOff>
    </xdr:from>
    <xdr:to>
      <xdr:col>1</xdr:col>
      <xdr:colOff>647700</xdr:colOff>
      <xdr:row>82</xdr:row>
      <xdr:rowOff>22860</xdr:rowOff>
    </xdr:to>
    <xdr:pic>
      <xdr:nvPicPr>
        <xdr:cNvPr id="123" name="Picture 13">
          <a:extLst>
            <a:ext uri="{FF2B5EF4-FFF2-40B4-BE49-F238E27FC236}">
              <a16:creationId xmlns:a16="http://schemas.microsoft.com/office/drawing/2014/main" xmlns="" id="{00000000-0008-0000-03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14775180"/>
          <a:ext cx="1196340" cy="1905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78</xdr:row>
      <xdr:rowOff>167640</xdr:rowOff>
    </xdr:from>
    <xdr:to>
      <xdr:col>4</xdr:col>
      <xdr:colOff>15240</xdr:colOff>
      <xdr:row>91</xdr:row>
      <xdr:rowOff>121920</xdr:rowOff>
    </xdr:to>
    <xdr:cxnSp macro="">
      <xdr:nvCxnSpPr>
        <xdr:cNvPr id="124" name="123 Conector recto">
          <a:extLst>
            <a:ext uri="{FF2B5EF4-FFF2-40B4-BE49-F238E27FC236}">
              <a16:creationId xmlns:a16="http://schemas.microsoft.com/office/drawing/2014/main" xmlns="" id="{00000000-0008-0000-0300-00007C000000}"/>
            </a:ext>
          </a:extLst>
        </xdr:cNvPr>
        <xdr:cNvCxnSpPr/>
      </xdr:nvCxnSpPr>
      <xdr:spPr bwMode="auto">
        <a:xfrm rot="16200000" flipH="1">
          <a:off x="2594610" y="15716250"/>
          <a:ext cx="2278380" cy="1524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1043940</xdr:colOff>
      <xdr:row>78</xdr:row>
      <xdr:rowOff>160020</xdr:rowOff>
    </xdr:from>
    <xdr:to>
      <xdr:col>5</xdr:col>
      <xdr:colOff>7620</xdr:colOff>
      <xdr:row>78</xdr:row>
      <xdr:rowOff>161608</xdr:rowOff>
    </xdr:to>
    <xdr:cxnSp macro="">
      <xdr:nvCxnSpPr>
        <xdr:cNvPr id="125" name="124 Conector recto">
          <a:extLst>
            <a:ext uri="{FF2B5EF4-FFF2-40B4-BE49-F238E27FC236}">
              <a16:creationId xmlns:a16="http://schemas.microsoft.com/office/drawing/2014/main" xmlns="" id="{00000000-0008-0000-0300-00007D000000}"/>
            </a:ext>
          </a:extLst>
        </xdr:cNvPr>
        <xdr:cNvCxnSpPr/>
      </xdr:nvCxnSpPr>
      <xdr:spPr bwMode="auto">
        <a:xfrm>
          <a:off x="3718560" y="14577060"/>
          <a:ext cx="95250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</xdr:col>
      <xdr:colOff>14446</xdr:colOff>
      <xdr:row>78</xdr:row>
      <xdr:rowOff>160814</xdr:rowOff>
    </xdr:from>
    <xdr:to>
      <xdr:col>5</xdr:col>
      <xdr:colOff>16034</xdr:colOff>
      <xdr:row>91</xdr:row>
      <xdr:rowOff>122714</xdr:rowOff>
    </xdr:to>
    <xdr:cxnSp macro="">
      <xdr:nvCxnSpPr>
        <xdr:cNvPr id="126" name="125 Conector recto">
          <a:extLst>
            <a:ext uri="{FF2B5EF4-FFF2-40B4-BE49-F238E27FC236}">
              <a16:creationId xmlns:a16="http://schemas.microsoft.com/office/drawing/2014/main" xmlns="" id="{00000000-0008-0000-0300-00007E000000}"/>
            </a:ext>
          </a:extLst>
        </xdr:cNvPr>
        <xdr:cNvCxnSpPr/>
      </xdr:nvCxnSpPr>
      <xdr:spPr bwMode="auto">
        <a:xfrm rot="5400000">
          <a:off x="3535680" y="15720060"/>
          <a:ext cx="228600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38100</xdr:colOff>
      <xdr:row>91</xdr:row>
      <xdr:rowOff>121920</xdr:rowOff>
    </xdr:from>
    <xdr:to>
      <xdr:col>5</xdr:col>
      <xdr:colOff>38100</xdr:colOff>
      <xdr:row>91</xdr:row>
      <xdr:rowOff>123508</xdr:rowOff>
    </xdr:to>
    <xdr:cxnSp macro="">
      <xdr:nvCxnSpPr>
        <xdr:cNvPr id="127" name="126 Conector recto">
          <a:extLst>
            <a:ext uri="{FF2B5EF4-FFF2-40B4-BE49-F238E27FC236}">
              <a16:creationId xmlns:a16="http://schemas.microsoft.com/office/drawing/2014/main" xmlns="" id="{00000000-0008-0000-0300-00007F000000}"/>
            </a:ext>
          </a:extLst>
        </xdr:cNvPr>
        <xdr:cNvCxnSpPr/>
      </xdr:nvCxnSpPr>
      <xdr:spPr bwMode="auto">
        <a:xfrm rot="10800000">
          <a:off x="3764280" y="16863060"/>
          <a:ext cx="93726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533400</xdr:colOff>
      <xdr:row>85</xdr:row>
      <xdr:rowOff>0</xdr:rowOff>
    </xdr:from>
    <xdr:to>
      <xdr:col>5</xdr:col>
      <xdr:colOff>876300</xdr:colOff>
      <xdr:row>85</xdr:row>
      <xdr:rowOff>1588</xdr:rowOff>
    </xdr:to>
    <xdr:cxnSp macro="">
      <xdr:nvCxnSpPr>
        <xdr:cNvPr id="128" name="127 Conector recto de flecha">
          <a:extLst>
            <a:ext uri="{FF2B5EF4-FFF2-40B4-BE49-F238E27FC236}">
              <a16:creationId xmlns:a16="http://schemas.microsoft.com/office/drawing/2014/main" xmlns="" id="{00000000-0008-0000-0300-000080000000}"/>
            </a:ext>
          </a:extLst>
        </xdr:cNvPr>
        <xdr:cNvCxnSpPr/>
      </xdr:nvCxnSpPr>
      <xdr:spPr bwMode="auto">
        <a:xfrm rot="10800000">
          <a:off x="4259580" y="15674340"/>
          <a:ext cx="1280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486886</xdr:colOff>
      <xdr:row>85</xdr:row>
      <xdr:rowOff>46514</xdr:rowOff>
    </xdr:from>
    <xdr:to>
      <xdr:col>5</xdr:col>
      <xdr:colOff>488474</xdr:colOff>
      <xdr:row>86</xdr:row>
      <xdr:rowOff>145574</xdr:rowOff>
    </xdr:to>
    <xdr:cxnSp macro="">
      <xdr:nvCxnSpPr>
        <xdr:cNvPr id="129" name="128 Conector recto de flecha">
          <a:extLst>
            <a:ext uri="{FF2B5EF4-FFF2-40B4-BE49-F238E27FC236}">
              <a16:creationId xmlns:a16="http://schemas.microsoft.com/office/drawing/2014/main" xmlns="" id="{00000000-0008-0000-0300-000081000000}"/>
            </a:ext>
          </a:extLst>
        </xdr:cNvPr>
        <xdr:cNvCxnSpPr/>
      </xdr:nvCxnSpPr>
      <xdr:spPr bwMode="auto">
        <a:xfrm rot="5400000" flipH="1" flipV="1">
          <a:off x="5013960" y="15857220"/>
          <a:ext cx="2743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479266</xdr:colOff>
      <xdr:row>88</xdr:row>
      <xdr:rowOff>31274</xdr:rowOff>
    </xdr:from>
    <xdr:to>
      <xdr:col>5</xdr:col>
      <xdr:colOff>480854</xdr:colOff>
      <xdr:row>91</xdr:row>
      <xdr:rowOff>84614</xdr:rowOff>
    </xdr:to>
    <xdr:cxnSp macro="">
      <xdr:nvCxnSpPr>
        <xdr:cNvPr id="130" name="129 Conector recto de flecha">
          <a:extLst>
            <a:ext uri="{FF2B5EF4-FFF2-40B4-BE49-F238E27FC236}">
              <a16:creationId xmlns:a16="http://schemas.microsoft.com/office/drawing/2014/main" xmlns="" id="{00000000-0008-0000-0300-000082000000}"/>
            </a:ext>
          </a:extLst>
        </xdr:cNvPr>
        <xdr:cNvCxnSpPr/>
      </xdr:nvCxnSpPr>
      <xdr:spPr bwMode="auto">
        <a:xfrm rot="5400000">
          <a:off x="4846320" y="16527780"/>
          <a:ext cx="5943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418306</xdr:colOff>
      <xdr:row>79</xdr:row>
      <xdr:rowOff>23654</xdr:rowOff>
    </xdr:from>
    <xdr:to>
      <xdr:col>6</xdr:col>
      <xdr:colOff>419894</xdr:colOff>
      <xdr:row>83</xdr:row>
      <xdr:rowOff>145574</xdr:rowOff>
    </xdr:to>
    <xdr:cxnSp macro="">
      <xdr:nvCxnSpPr>
        <xdr:cNvPr id="131" name="130 Conector recto de flecha">
          <a:extLst>
            <a:ext uri="{FF2B5EF4-FFF2-40B4-BE49-F238E27FC236}">
              <a16:creationId xmlns:a16="http://schemas.microsoft.com/office/drawing/2014/main" xmlns="" id="{00000000-0008-0000-0300-000083000000}"/>
            </a:ext>
          </a:extLst>
        </xdr:cNvPr>
        <xdr:cNvCxnSpPr/>
      </xdr:nvCxnSpPr>
      <xdr:spPr bwMode="auto">
        <a:xfrm rot="5400000" flipH="1" flipV="1">
          <a:off x="5554980" y="15041880"/>
          <a:ext cx="8534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433546</xdr:colOff>
      <xdr:row>85</xdr:row>
      <xdr:rowOff>38894</xdr:rowOff>
    </xdr:from>
    <xdr:to>
      <xdr:col>6</xdr:col>
      <xdr:colOff>435134</xdr:colOff>
      <xdr:row>91</xdr:row>
      <xdr:rowOff>69374</xdr:rowOff>
    </xdr:to>
    <xdr:cxnSp macro="">
      <xdr:nvCxnSpPr>
        <xdr:cNvPr id="132" name="131 Conector recto de flecha">
          <a:extLst>
            <a:ext uri="{FF2B5EF4-FFF2-40B4-BE49-F238E27FC236}">
              <a16:creationId xmlns:a16="http://schemas.microsoft.com/office/drawing/2014/main" xmlns="" id="{00000000-0008-0000-0300-000084000000}"/>
            </a:ext>
          </a:extLst>
        </xdr:cNvPr>
        <xdr:cNvCxnSpPr/>
      </xdr:nvCxnSpPr>
      <xdr:spPr bwMode="auto">
        <a:xfrm rot="5400000">
          <a:off x="5448300" y="16261080"/>
          <a:ext cx="10972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358140</xdr:colOff>
      <xdr:row>85</xdr:row>
      <xdr:rowOff>7620</xdr:rowOff>
    </xdr:from>
    <xdr:to>
      <xdr:col>1</xdr:col>
      <xdr:colOff>327660</xdr:colOff>
      <xdr:row>86</xdr:row>
      <xdr:rowOff>22860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15659100"/>
          <a:ext cx="8229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381000</xdr:colOff>
      <xdr:row>88</xdr:row>
      <xdr:rowOff>137160</xdr:rowOff>
    </xdr:from>
    <xdr:to>
      <xdr:col>1</xdr:col>
      <xdr:colOff>381000</xdr:colOff>
      <xdr:row>90</xdr:row>
      <xdr:rowOff>106680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xmlns="" id="{00000000-0008-0000-03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16314420"/>
          <a:ext cx="85344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228600</xdr:colOff>
      <xdr:row>60</xdr:row>
      <xdr:rowOff>160020</xdr:rowOff>
    </xdr:from>
    <xdr:to>
      <xdr:col>1</xdr:col>
      <xdr:colOff>883920</xdr:colOff>
      <xdr:row>62</xdr:row>
      <xdr:rowOff>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28600" y="11399520"/>
          <a:ext cx="15087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243840</xdr:colOff>
      <xdr:row>65</xdr:row>
      <xdr:rowOff>30480</xdr:rowOff>
    </xdr:from>
    <xdr:to>
      <xdr:col>1</xdr:col>
      <xdr:colOff>586740</xdr:colOff>
      <xdr:row>67</xdr:row>
      <xdr:rowOff>22860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xmlns="" id="{00000000-0008-0000-03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43840" y="12146280"/>
          <a:ext cx="119634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182880</xdr:colOff>
      <xdr:row>70</xdr:row>
      <xdr:rowOff>30480</xdr:rowOff>
    </xdr:from>
    <xdr:to>
      <xdr:col>1</xdr:col>
      <xdr:colOff>556260</xdr:colOff>
      <xdr:row>72</xdr:row>
      <xdr:rowOff>22860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xmlns="" id="{00000000-0008-0000-03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2880" y="13022580"/>
          <a:ext cx="122682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123264</xdr:colOff>
      <xdr:row>125</xdr:row>
      <xdr:rowOff>140075</xdr:rowOff>
    </xdr:from>
    <xdr:to>
      <xdr:col>6</xdr:col>
      <xdr:colOff>882463</xdr:colOff>
      <xdr:row>146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47625</xdr:colOff>
      <xdr:row>147</xdr:row>
      <xdr:rowOff>76201</xdr:rowOff>
    </xdr:from>
    <xdr:to>
      <xdr:col>6</xdr:col>
      <xdr:colOff>866776</xdr:colOff>
      <xdr:row>168</xdr:row>
      <xdr:rowOff>0</xdr:rowOff>
    </xdr:to>
    <xdr:graphicFrame macro="">
      <xdr:nvGraphicFramePr>
        <xdr:cNvPr id="61" name="60 Gráfico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55</xdr:row>
      <xdr:rowOff>68580</xdr:rowOff>
    </xdr:from>
    <xdr:to>
      <xdr:col>3</xdr:col>
      <xdr:colOff>137160</xdr:colOff>
      <xdr:row>68</xdr:row>
      <xdr:rowOff>76200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 bwMode="auto">
        <a:xfrm rot="16200000" flipH="1">
          <a:off x="1649730" y="12218670"/>
          <a:ext cx="231648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137160</xdr:colOff>
      <xdr:row>55</xdr:row>
      <xdr:rowOff>91440</xdr:rowOff>
    </xdr:from>
    <xdr:to>
      <xdr:col>4</xdr:col>
      <xdr:colOff>137160</xdr:colOff>
      <xdr:row>68</xdr:row>
      <xdr:rowOff>106680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CxnSpPr/>
      </xdr:nvCxnSpPr>
      <xdr:spPr bwMode="auto">
        <a:xfrm rot="16200000" flipH="1">
          <a:off x="2175510" y="11723370"/>
          <a:ext cx="2324100" cy="10515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129540</xdr:colOff>
      <xdr:row>68</xdr:row>
      <xdr:rowOff>91440</xdr:rowOff>
    </xdr:from>
    <xdr:to>
      <xdr:col>4</xdr:col>
      <xdr:colOff>137160</xdr:colOff>
      <xdr:row>68</xdr:row>
      <xdr:rowOff>99060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 bwMode="auto">
        <a:xfrm rot="10800000" flipV="1">
          <a:off x="2804160" y="13395960"/>
          <a:ext cx="105918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335280</xdr:colOff>
      <xdr:row>43</xdr:row>
      <xdr:rowOff>89198</xdr:rowOff>
    </xdr:from>
    <xdr:to>
      <xdr:col>2</xdr:col>
      <xdr:colOff>76200</xdr:colOff>
      <xdr:row>45</xdr:row>
      <xdr:rowOff>89198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5280" y="7978139"/>
          <a:ext cx="1466626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315558</xdr:colOff>
      <xdr:row>49</xdr:row>
      <xdr:rowOff>74856</xdr:rowOff>
    </xdr:from>
    <xdr:to>
      <xdr:col>1</xdr:col>
      <xdr:colOff>71718</xdr:colOff>
      <xdr:row>51</xdr:row>
      <xdr:rowOff>82476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5558" y="9118003"/>
          <a:ext cx="585395" cy="3886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829786</xdr:colOff>
      <xdr:row>82</xdr:row>
      <xdr:rowOff>23654</xdr:rowOff>
    </xdr:from>
    <xdr:to>
      <xdr:col>0</xdr:col>
      <xdr:colOff>831374</xdr:colOff>
      <xdr:row>93</xdr:row>
      <xdr:rowOff>23654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CxnSpPr/>
      </xdr:nvCxnSpPr>
      <xdr:spPr bwMode="auto">
        <a:xfrm rot="5400000" flipH="1" flipV="1">
          <a:off x="-148590" y="22574250"/>
          <a:ext cx="195834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815340</xdr:colOff>
      <xdr:row>82</xdr:row>
      <xdr:rowOff>22860</xdr:rowOff>
    </xdr:from>
    <xdr:to>
      <xdr:col>2</xdr:col>
      <xdr:colOff>15240</xdr:colOff>
      <xdr:row>82</xdr:row>
      <xdr:rowOff>38100</xdr:rowOff>
    </xdr:to>
    <xdr:cxnSp macro="">
      <xdr:nvCxnSpPr>
        <xdr:cNvPr id="23" name="22 Conector recto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CxnSpPr/>
      </xdr:nvCxnSpPr>
      <xdr:spPr bwMode="auto">
        <a:xfrm flipV="1">
          <a:off x="815340" y="21595080"/>
          <a:ext cx="975360" cy="1524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830580</xdr:colOff>
      <xdr:row>82</xdr:row>
      <xdr:rowOff>15240</xdr:rowOff>
    </xdr:from>
    <xdr:to>
      <xdr:col>2</xdr:col>
      <xdr:colOff>22860</xdr:colOff>
      <xdr:row>93</xdr:row>
      <xdr:rowOff>38100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CxnSpPr/>
      </xdr:nvCxnSpPr>
      <xdr:spPr bwMode="auto">
        <a:xfrm rot="5400000">
          <a:off x="323850" y="22094190"/>
          <a:ext cx="1981200" cy="96774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434340</xdr:colOff>
      <xdr:row>64</xdr:row>
      <xdr:rowOff>0</xdr:rowOff>
    </xdr:from>
    <xdr:to>
      <xdr:col>4</xdr:col>
      <xdr:colOff>899160</xdr:colOff>
      <xdr:row>64</xdr:row>
      <xdr:rowOff>7620</xdr:rowOff>
    </xdr:to>
    <xdr:cxnSp macro="">
      <xdr:nvCxnSpPr>
        <xdr:cNvPr id="25" name="24 Conector recto de flecha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CxnSpPr/>
      </xdr:nvCxnSpPr>
      <xdr:spPr bwMode="auto">
        <a:xfrm rot="10800000">
          <a:off x="3108960" y="12603480"/>
          <a:ext cx="151638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471646</xdr:colOff>
      <xdr:row>64</xdr:row>
      <xdr:rowOff>31274</xdr:rowOff>
    </xdr:from>
    <xdr:to>
      <xdr:col>4</xdr:col>
      <xdr:colOff>473234</xdr:colOff>
      <xdr:row>65</xdr:row>
      <xdr:rowOff>160814</xdr:rowOff>
    </xdr:to>
    <xdr:cxnSp macro="">
      <xdr:nvCxnSpPr>
        <xdr:cNvPr id="26" name="25 Conector recto de flecha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CxnSpPr/>
      </xdr:nvCxnSpPr>
      <xdr:spPr bwMode="auto">
        <a:xfrm rot="5400000" flipH="1" flipV="1">
          <a:off x="4046220" y="12786360"/>
          <a:ext cx="3048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471646</xdr:colOff>
      <xdr:row>67</xdr:row>
      <xdr:rowOff>8414</xdr:rowOff>
    </xdr:from>
    <xdr:to>
      <xdr:col>4</xdr:col>
      <xdr:colOff>473234</xdr:colOff>
      <xdr:row>68</xdr:row>
      <xdr:rowOff>99854</xdr:rowOff>
    </xdr:to>
    <xdr:cxnSp macro="">
      <xdr:nvCxnSpPr>
        <xdr:cNvPr id="27" name="26 Conector recto de flecha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CxnSpPr/>
      </xdr:nvCxnSpPr>
      <xdr:spPr bwMode="auto">
        <a:xfrm rot="5400000">
          <a:off x="4065270" y="13270230"/>
          <a:ext cx="2667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502920</xdr:colOff>
      <xdr:row>55</xdr:row>
      <xdr:rowOff>114300</xdr:rowOff>
    </xdr:from>
    <xdr:to>
      <xdr:col>5</xdr:col>
      <xdr:colOff>510540</xdr:colOff>
      <xdr:row>61</xdr:row>
      <xdr:rowOff>121920</xdr:rowOff>
    </xdr:to>
    <xdr:cxnSp macro="">
      <xdr:nvCxnSpPr>
        <xdr:cNvPr id="28" name="27 Conector recto de flecha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CxnSpPr/>
      </xdr:nvCxnSpPr>
      <xdr:spPr bwMode="auto">
        <a:xfrm rot="5400000" flipH="1" flipV="1">
          <a:off x="4625340" y="11650980"/>
          <a:ext cx="10896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494506</xdr:colOff>
      <xdr:row>63</xdr:row>
      <xdr:rowOff>46514</xdr:rowOff>
    </xdr:from>
    <xdr:to>
      <xdr:col>5</xdr:col>
      <xdr:colOff>496094</xdr:colOff>
      <xdr:row>68</xdr:row>
      <xdr:rowOff>69374</xdr:rowOff>
    </xdr:to>
    <xdr:cxnSp macro="">
      <xdr:nvCxnSpPr>
        <xdr:cNvPr id="29" name="28 Conector recto de flecha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CxnSpPr/>
      </xdr:nvCxnSpPr>
      <xdr:spPr bwMode="auto">
        <a:xfrm rot="5400000">
          <a:off x="4709160" y="12923520"/>
          <a:ext cx="899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800100</xdr:colOff>
      <xdr:row>31</xdr:row>
      <xdr:rowOff>167640</xdr:rowOff>
    </xdr:from>
    <xdr:to>
      <xdr:col>2</xdr:col>
      <xdr:colOff>1036320</xdr:colOff>
      <xdr:row>31</xdr:row>
      <xdr:rowOff>169228</xdr:rowOff>
    </xdr:to>
    <xdr:cxnSp macro="">
      <xdr:nvCxnSpPr>
        <xdr:cNvPr id="41" name="40 Conector recto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CxnSpPr/>
      </xdr:nvCxnSpPr>
      <xdr:spPr bwMode="auto">
        <a:xfrm>
          <a:off x="800100" y="5692140"/>
          <a:ext cx="1874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898366</xdr:colOff>
      <xdr:row>6</xdr:row>
      <xdr:rowOff>15240</xdr:rowOff>
    </xdr:from>
    <xdr:to>
      <xdr:col>3</xdr:col>
      <xdr:colOff>533400</xdr:colOff>
      <xdr:row>31</xdr:row>
      <xdr:rowOff>168434</xdr:rowOff>
    </xdr:to>
    <xdr:cxnSp macro="">
      <xdr:nvCxnSpPr>
        <xdr:cNvPr id="42" name="41 Conector recto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CxnSpPr/>
      </xdr:nvCxnSpPr>
      <xdr:spPr bwMode="auto">
        <a:xfrm rot="5400000" flipH="1" flipV="1">
          <a:off x="673576" y="3158490"/>
          <a:ext cx="4534694" cy="53419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7620</xdr:colOff>
      <xdr:row>6</xdr:row>
      <xdr:rowOff>7620</xdr:rowOff>
    </xdr:from>
    <xdr:to>
      <xdr:col>4</xdr:col>
      <xdr:colOff>22860</xdr:colOff>
      <xdr:row>32</xdr:row>
      <xdr:rowOff>22860</xdr:rowOff>
    </xdr:to>
    <xdr:cxnSp macro="">
      <xdr:nvCxnSpPr>
        <xdr:cNvPr id="43" name="42 Conector recto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CxnSpPr/>
      </xdr:nvCxnSpPr>
      <xdr:spPr bwMode="auto">
        <a:xfrm rot="16200000" flipH="1">
          <a:off x="1455420" y="3429000"/>
          <a:ext cx="4572000" cy="1524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15240</xdr:colOff>
      <xdr:row>32</xdr:row>
      <xdr:rowOff>7620</xdr:rowOff>
    </xdr:from>
    <xdr:to>
      <xdr:col>5</xdr:col>
      <xdr:colOff>929640</xdr:colOff>
      <xdr:row>32</xdr:row>
      <xdr:rowOff>9208</xdr:rowOff>
    </xdr:to>
    <xdr:cxnSp macro="">
      <xdr:nvCxnSpPr>
        <xdr:cNvPr id="44" name="43 Conector recto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CxnSpPr/>
      </xdr:nvCxnSpPr>
      <xdr:spPr bwMode="auto">
        <a:xfrm>
          <a:off x="3741420" y="5707380"/>
          <a:ext cx="182118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791686</xdr:colOff>
      <xdr:row>32</xdr:row>
      <xdr:rowOff>7620</xdr:rowOff>
    </xdr:from>
    <xdr:to>
      <xdr:col>0</xdr:col>
      <xdr:colOff>800100</xdr:colOff>
      <xdr:row>36</xdr:row>
      <xdr:rowOff>16034</xdr:rowOff>
    </xdr:to>
    <xdr:cxnSp macro="">
      <xdr:nvCxnSpPr>
        <xdr:cNvPr id="45" name="44 Conector recto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CxnSpPr/>
      </xdr:nvCxnSpPr>
      <xdr:spPr bwMode="auto">
        <a:xfrm rot="5400000">
          <a:off x="441166" y="6057900"/>
          <a:ext cx="709454" cy="8414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807720</xdr:colOff>
      <xdr:row>36</xdr:row>
      <xdr:rowOff>30480</xdr:rowOff>
    </xdr:from>
    <xdr:to>
      <xdr:col>6</xdr:col>
      <xdr:colOff>22860</xdr:colOff>
      <xdr:row>36</xdr:row>
      <xdr:rowOff>32068</xdr:rowOff>
    </xdr:to>
    <xdr:cxnSp macro="">
      <xdr:nvCxnSpPr>
        <xdr:cNvPr id="46" name="45 Conector recto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CxnSpPr/>
      </xdr:nvCxnSpPr>
      <xdr:spPr bwMode="auto">
        <a:xfrm>
          <a:off x="807720" y="6431280"/>
          <a:ext cx="477774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6</xdr:col>
      <xdr:colOff>14446</xdr:colOff>
      <xdr:row>32</xdr:row>
      <xdr:rowOff>8414</xdr:rowOff>
    </xdr:from>
    <xdr:to>
      <xdr:col>6</xdr:col>
      <xdr:colOff>16034</xdr:colOff>
      <xdr:row>36</xdr:row>
      <xdr:rowOff>38894</xdr:rowOff>
    </xdr:to>
    <xdr:cxnSp macro="">
      <xdr:nvCxnSpPr>
        <xdr:cNvPr id="47" name="46 Conector recto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CxnSpPr/>
      </xdr:nvCxnSpPr>
      <xdr:spPr bwMode="auto">
        <a:xfrm rot="5400000" flipH="1" flipV="1">
          <a:off x="5212080" y="6073140"/>
          <a:ext cx="73152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0</xdr:colOff>
      <xdr:row>31</xdr:row>
      <xdr:rowOff>99060</xdr:rowOff>
    </xdr:from>
    <xdr:to>
      <xdr:col>3</xdr:col>
      <xdr:colOff>304800</xdr:colOff>
      <xdr:row>31</xdr:row>
      <xdr:rowOff>100648</xdr:rowOff>
    </xdr:to>
    <xdr:cxnSp macro="">
      <xdr:nvCxnSpPr>
        <xdr:cNvPr id="55" name="54 Conector recto de flecha">
          <a:extLst>
            <a:ext uri="{FF2B5EF4-FFF2-40B4-BE49-F238E27FC236}">
              <a16:creationId xmlns:a16="http://schemas.microsoft.com/office/drawing/2014/main" xmlns="" id="{00000000-0008-0000-0400-000037000000}"/>
            </a:ext>
          </a:extLst>
        </xdr:cNvPr>
        <xdr:cNvCxnSpPr/>
      </xdr:nvCxnSpPr>
      <xdr:spPr bwMode="auto">
        <a:xfrm rot="10800000">
          <a:off x="2674620" y="5623560"/>
          <a:ext cx="3048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640080</xdr:colOff>
      <xdr:row>31</xdr:row>
      <xdr:rowOff>106680</xdr:rowOff>
    </xdr:from>
    <xdr:to>
      <xdr:col>3</xdr:col>
      <xdr:colOff>929640</xdr:colOff>
      <xdr:row>31</xdr:row>
      <xdr:rowOff>108268</xdr:rowOff>
    </xdr:to>
    <xdr:cxnSp macro="">
      <xdr:nvCxnSpPr>
        <xdr:cNvPr id="56" name="55 Conector recto de flecha">
          <a:extLst>
            <a:ext uri="{FF2B5EF4-FFF2-40B4-BE49-F238E27FC236}">
              <a16:creationId xmlns:a16="http://schemas.microsoft.com/office/drawing/2014/main" xmlns="" id="{00000000-0008-0000-0400-000038000000}"/>
            </a:ext>
          </a:extLst>
        </xdr:cNvPr>
        <xdr:cNvCxnSpPr/>
      </xdr:nvCxnSpPr>
      <xdr:spPr bwMode="auto">
        <a:xfrm>
          <a:off x="3314700" y="5631180"/>
          <a:ext cx="2895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372586</xdr:colOff>
      <xdr:row>6</xdr:row>
      <xdr:rowOff>23654</xdr:rowOff>
    </xdr:from>
    <xdr:to>
      <xdr:col>6</xdr:col>
      <xdr:colOff>374174</xdr:colOff>
      <xdr:row>16</xdr:row>
      <xdr:rowOff>794</xdr:rowOff>
    </xdr:to>
    <xdr:cxnSp macro="">
      <xdr:nvCxnSpPr>
        <xdr:cNvPr id="58" name="57 Conector recto de flecha">
          <a:extLst>
            <a:ext uri="{FF2B5EF4-FFF2-40B4-BE49-F238E27FC236}">
              <a16:creationId xmlns:a16="http://schemas.microsoft.com/office/drawing/2014/main" xmlns="" id="{00000000-0008-0000-0400-00003A000000}"/>
            </a:ext>
          </a:extLst>
        </xdr:cNvPr>
        <xdr:cNvCxnSpPr/>
      </xdr:nvCxnSpPr>
      <xdr:spPr bwMode="auto">
        <a:xfrm rot="5400000" flipH="1" flipV="1">
          <a:off x="5071110" y="2030730"/>
          <a:ext cx="17297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6</xdr:col>
      <xdr:colOff>403066</xdr:colOff>
      <xdr:row>18</xdr:row>
      <xdr:rowOff>168434</xdr:rowOff>
    </xdr:from>
    <xdr:to>
      <xdr:col>6</xdr:col>
      <xdr:colOff>404654</xdr:colOff>
      <xdr:row>31</xdr:row>
      <xdr:rowOff>145574</xdr:rowOff>
    </xdr:to>
    <xdr:cxnSp macro="">
      <xdr:nvCxnSpPr>
        <xdr:cNvPr id="59" name="58 Conector recto de flecha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CxnSpPr/>
      </xdr:nvCxnSpPr>
      <xdr:spPr bwMode="auto">
        <a:xfrm rot="5400000">
          <a:off x="4838700" y="4541520"/>
          <a:ext cx="22555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22</xdr:row>
      <xdr:rowOff>122714</xdr:rowOff>
    </xdr:from>
    <xdr:to>
      <xdr:col>4</xdr:col>
      <xdr:colOff>488474</xdr:colOff>
      <xdr:row>31</xdr:row>
      <xdr:rowOff>145574</xdr:rowOff>
    </xdr:to>
    <xdr:cxnSp macro="">
      <xdr:nvCxnSpPr>
        <xdr:cNvPr id="60" name="59 Conector recto de flecha">
          <a:extLst>
            <a:ext uri="{FF2B5EF4-FFF2-40B4-BE49-F238E27FC236}">
              <a16:creationId xmlns:a16="http://schemas.microsoft.com/office/drawing/2014/main" xmlns="" id="{00000000-0008-0000-0400-00003C000000}"/>
            </a:ext>
          </a:extLst>
        </xdr:cNvPr>
        <xdr:cNvCxnSpPr/>
      </xdr:nvCxnSpPr>
      <xdr:spPr bwMode="auto">
        <a:xfrm rot="5400000">
          <a:off x="3413760" y="4869180"/>
          <a:ext cx="16002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486886</xdr:colOff>
      <xdr:row>9</xdr:row>
      <xdr:rowOff>7620</xdr:rowOff>
    </xdr:from>
    <xdr:to>
      <xdr:col>4</xdr:col>
      <xdr:colOff>487680</xdr:colOff>
      <xdr:row>20</xdr:row>
      <xdr:rowOff>38894</xdr:rowOff>
    </xdr:to>
    <xdr:cxnSp macro="">
      <xdr:nvCxnSpPr>
        <xdr:cNvPr id="61" name="60 Conector recto de flecha">
          <a:extLst>
            <a:ext uri="{FF2B5EF4-FFF2-40B4-BE49-F238E27FC236}">
              <a16:creationId xmlns:a16="http://schemas.microsoft.com/office/drawing/2014/main" xmlns="" id="{00000000-0008-0000-0400-00003D000000}"/>
            </a:ext>
          </a:extLst>
        </xdr:cNvPr>
        <xdr:cNvCxnSpPr/>
      </xdr:nvCxnSpPr>
      <xdr:spPr bwMode="auto">
        <a:xfrm rot="5400000" flipH="1" flipV="1">
          <a:off x="3233896" y="2655570"/>
          <a:ext cx="1959134" cy="79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815340</xdr:colOff>
      <xdr:row>21</xdr:row>
      <xdr:rowOff>7620</xdr:rowOff>
    </xdr:from>
    <xdr:to>
      <xdr:col>3</xdr:col>
      <xdr:colOff>830580</xdr:colOff>
      <xdr:row>26</xdr:row>
      <xdr:rowOff>45720</xdr:rowOff>
    </xdr:to>
    <xdr:cxnSp macro="">
      <xdr:nvCxnSpPr>
        <xdr:cNvPr id="63" name="62 Conector recto de flecha">
          <a:extLst>
            <a:ext uri="{FF2B5EF4-FFF2-40B4-BE49-F238E27FC236}">
              <a16:creationId xmlns:a16="http://schemas.microsoft.com/office/drawing/2014/main" xmlns="" id="{00000000-0008-0000-0400-00003F000000}"/>
            </a:ext>
          </a:extLst>
        </xdr:cNvPr>
        <xdr:cNvCxnSpPr/>
      </xdr:nvCxnSpPr>
      <xdr:spPr bwMode="auto">
        <a:xfrm rot="16200000" flipH="1">
          <a:off x="3040380" y="4229100"/>
          <a:ext cx="91440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1021080</xdr:colOff>
      <xdr:row>31</xdr:row>
      <xdr:rowOff>152400</xdr:rowOff>
    </xdr:from>
    <xdr:to>
      <xdr:col>4</xdr:col>
      <xdr:colOff>30480</xdr:colOff>
      <xdr:row>31</xdr:row>
      <xdr:rowOff>153988</xdr:rowOff>
    </xdr:to>
    <xdr:cxnSp macro="">
      <xdr:nvCxnSpPr>
        <xdr:cNvPr id="65" name="64 Conector recto">
          <a:extLst>
            <a:ext uri="{FF2B5EF4-FFF2-40B4-BE49-F238E27FC236}">
              <a16:creationId xmlns:a16="http://schemas.microsoft.com/office/drawing/2014/main" xmlns="" id="{00000000-0008-0000-0400-000041000000}"/>
            </a:ext>
          </a:extLst>
        </xdr:cNvPr>
        <xdr:cNvCxnSpPr/>
      </xdr:nvCxnSpPr>
      <xdr:spPr bwMode="auto">
        <a:xfrm>
          <a:off x="2674620" y="5676900"/>
          <a:ext cx="108204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541020</xdr:colOff>
      <xdr:row>6</xdr:row>
      <xdr:rowOff>7620</xdr:rowOff>
    </xdr:from>
    <xdr:to>
      <xdr:col>4</xdr:col>
      <xdr:colOff>22860</xdr:colOff>
      <xdr:row>6</xdr:row>
      <xdr:rowOff>9208</xdr:rowOff>
    </xdr:to>
    <xdr:cxnSp macro="">
      <xdr:nvCxnSpPr>
        <xdr:cNvPr id="69" name="68 Conector recto">
          <a:extLst>
            <a:ext uri="{FF2B5EF4-FFF2-40B4-BE49-F238E27FC236}">
              <a16:creationId xmlns:a16="http://schemas.microsoft.com/office/drawing/2014/main" xmlns="" id="{00000000-0008-0000-0400-000045000000}"/>
            </a:ext>
          </a:extLst>
        </xdr:cNvPr>
        <xdr:cNvCxnSpPr/>
      </xdr:nvCxnSpPr>
      <xdr:spPr bwMode="auto">
        <a:xfrm>
          <a:off x="3215640" y="1150620"/>
          <a:ext cx="533400" cy="1588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532606</xdr:colOff>
      <xdr:row>6</xdr:row>
      <xdr:rowOff>16034</xdr:rowOff>
    </xdr:from>
    <xdr:to>
      <xdr:col>3</xdr:col>
      <xdr:colOff>534194</xdr:colOff>
      <xdr:row>31</xdr:row>
      <xdr:rowOff>137954</xdr:rowOff>
    </xdr:to>
    <xdr:cxnSp macro="">
      <xdr:nvCxnSpPr>
        <xdr:cNvPr id="71" name="70 Conector recto">
          <a:extLst>
            <a:ext uri="{FF2B5EF4-FFF2-40B4-BE49-F238E27FC236}">
              <a16:creationId xmlns:a16="http://schemas.microsoft.com/office/drawing/2014/main" xmlns="" id="{00000000-0008-0000-0400-000047000000}"/>
            </a:ext>
          </a:extLst>
        </xdr:cNvPr>
        <xdr:cNvCxnSpPr/>
      </xdr:nvCxnSpPr>
      <xdr:spPr bwMode="auto">
        <a:xfrm rot="5400000">
          <a:off x="956310" y="3409950"/>
          <a:ext cx="45034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358140</xdr:colOff>
      <xdr:row>25</xdr:row>
      <xdr:rowOff>7620</xdr:rowOff>
    </xdr:from>
    <xdr:to>
      <xdr:col>3</xdr:col>
      <xdr:colOff>365760</xdr:colOff>
      <xdr:row>30</xdr:row>
      <xdr:rowOff>106680</xdr:rowOff>
    </xdr:to>
    <xdr:cxnSp macro="">
      <xdr:nvCxnSpPr>
        <xdr:cNvPr id="72" name="71 Conector recto de flecha">
          <a:extLst>
            <a:ext uri="{FF2B5EF4-FFF2-40B4-BE49-F238E27FC236}">
              <a16:creationId xmlns:a16="http://schemas.microsoft.com/office/drawing/2014/main" xmlns="" id="{00000000-0008-0000-0400-000048000000}"/>
            </a:ext>
          </a:extLst>
        </xdr:cNvPr>
        <xdr:cNvCxnSpPr/>
      </xdr:nvCxnSpPr>
      <xdr:spPr bwMode="auto">
        <a:xfrm rot="16200000" flipH="1">
          <a:off x="2548890" y="4964430"/>
          <a:ext cx="9753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533400</xdr:colOff>
      <xdr:row>5</xdr:row>
      <xdr:rowOff>99060</xdr:rowOff>
    </xdr:from>
    <xdr:to>
      <xdr:col>3</xdr:col>
      <xdr:colOff>708660</xdr:colOff>
      <xdr:row>5</xdr:row>
      <xdr:rowOff>106680</xdr:rowOff>
    </xdr:to>
    <xdr:cxnSp macro="">
      <xdr:nvCxnSpPr>
        <xdr:cNvPr id="74" name="73 Conector recto de flecha">
          <a:extLst>
            <a:ext uri="{FF2B5EF4-FFF2-40B4-BE49-F238E27FC236}">
              <a16:creationId xmlns:a16="http://schemas.microsoft.com/office/drawing/2014/main" xmlns="" id="{00000000-0008-0000-0400-00004A000000}"/>
            </a:ext>
          </a:extLst>
        </xdr:cNvPr>
        <xdr:cNvCxnSpPr/>
      </xdr:nvCxnSpPr>
      <xdr:spPr bwMode="auto">
        <a:xfrm rot="10800000" flipV="1">
          <a:off x="3208020" y="1066800"/>
          <a:ext cx="1752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15240</xdr:colOff>
      <xdr:row>5</xdr:row>
      <xdr:rowOff>121920</xdr:rowOff>
    </xdr:from>
    <xdr:to>
      <xdr:col>3</xdr:col>
      <xdr:colOff>533400</xdr:colOff>
      <xdr:row>5</xdr:row>
      <xdr:rowOff>123508</xdr:rowOff>
    </xdr:to>
    <xdr:cxnSp macro="">
      <xdr:nvCxnSpPr>
        <xdr:cNvPr id="75" name="74 Conector recto de flecha">
          <a:extLst>
            <a:ext uri="{FF2B5EF4-FFF2-40B4-BE49-F238E27FC236}">
              <a16:creationId xmlns:a16="http://schemas.microsoft.com/office/drawing/2014/main" xmlns="" id="{00000000-0008-0000-0400-00004B000000}"/>
            </a:ext>
          </a:extLst>
        </xdr:cNvPr>
        <xdr:cNvCxnSpPr/>
      </xdr:nvCxnSpPr>
      <xdr:spPr bwMode="auto">
        <a:xfrm>
          <a:off x="2689860" y="1089660"/>
          <a:ext cx="5181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arrow"/>
          <a:tailEnd type="arrow"/>
        </a:ln>
        <a:effectLst/>
      </xdr:spPr>
    </xdr:cxnSp>
    <xdr:clientData/>
  </xdr:twoCellAnchor>
  <xdr:twoCellAnchor>
    <xdr:from>
      <xdr:col>0</xdr:col>
      <xdr:colOff>815340</xdr:colOff>
      <xdr:row>9</xdr:row>
      <xdr:rowOff>7620</xdr:rowOff>
    </xdr:from>
    <xdr:to>
      <xdr:col>3</xdr:col>
      <xdr:colOff>426720</xdr:colOff>
      <xdr:row>9</xdr:row>
      <xdr:rowOff>15240</xdr:rowOff>
    </xdr:to>
    <xdr:cxnSp macro="">
      <xdr:nvCxnSpPr>
        <xdr:cNvPr id="82" name="81 Conector recto">
          <a:extLst>
            <a:ext uri="{FF2B5EF4-FFF2-40B4-BE49-F238E27FC236}">
              <a16:creationId xmlns:a16="http://schemas.microsoft.com/office/drawing/2014/main" xmlns="" id="{00000000-0008-0000-0400-000052000000}"/>
            </a:ext>
          </a:extLst>
        </xdr:cNvPr>
        <xdr:cNvCxnSpPr/>
      </xdr:nvCxnSpPr>
      <xdr:spPr bwMode="auto">
        <a:xfrm flipV="1">
          <a:off x="815340" y="1676400"/>
          <a:ext cx="228600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425926</xdr:colOff>
      <xdr:row>82</xdr:row>
      <xdr:rowOff>23654</xdr:rowOff>
    </xdr:from>
    <xdr:to>
      <xdr:col>0</xdr:col>
      <xdr:colOff>427514</xdr:colOff>
      <xdr:row>85</xdr:row>
      <xdr:rowOff>130334</xdr:rowOff>
    </xdr:to>
    <xdr:cxnSp macro="">
      <xdr:nvCxnSpPr>
        <xdr:cNvPr id="70" name="69 Conector recto de flecha">
          <a:extLst>
            <a:ext uri="{FF2B5EF4-FFF2-40B4-BE49-F238E27FC236}">
              <a16:creationId xmlns:a16="http://schemas.microsoft.com/office/drawing/2014/main" xmlns="" id="{00000000-0008-0000-0400-000046000000}"/>
            </a:ext>
          </a:extLst>
        </xdr:cNvPr>
        <xdr:cNvCxnSpPr/>
      </xdr:nvCxnSpPr>
      <xdr:spPr bwMode="auto">
        <a:xfrm rot="5400000" flipH="1" flipV="1">
          <a:off x="110490" y="21880830"/>
          <a:ext cx="63246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410686</xdr:colOff>
      <xdr:row>87</xdr:row>
      <xdr:rowOff>61754</xdr:rowOff>
    </xdr:from>
    <xdr:to>
      <xdr:col>0</xdr:col>
      <xdr:colOff>412274</xdr:colOff>
      <xdr:row>92</xdr:row>
      <xdr:rowOff>145574</xdr:rowOff>
    </xdr:to>
    <xdr:cxnSp macro="">
      <xdr:nvCxnSpPr>
        <xdr:cNvPr id="76" name="75 Conector recto de flecha">
          <a:extLst>
            <a:ext uri="{FF2B5EF4-FFF2-40B4-BE49-F238E27FC236}">
              <a16:creationId xmlns:a16="http://schemas.microsoft.com/office/drawing/2014/main" xmlns="" id="{00000000-0008-0000-0400-00004C000000}"/>
            </a:ext>
          </a:extLst>
        </xdr:cNvPr>
        <xdr:cNvCxnSpPr/>
      </xdr:nvCxnSpPr>
      <xdr:spPr bwMode="auto">
        <a:xfrm rot="5400000">
          <a:off x="-68580" y="22959060"/>
          <a:ext cx="9601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</xdr:col>
      <xdr:colOff>403860</xdr:colOff>
      <xdr:row>84</xdr:row>
      <xdr:rowOff>91440</xdr:rowOff>
    </xdr:from>
    <xdr:to>
      <xdr:col>3</xdr:col>
      <xdr:colOff>0</xdr:colOff>
      <xdr:row>84</xdr:row>
      <xdr:rowOff>93028</xdr:rowOff>
    </xdr:to>
    <xdr:cxnSp macro="">
      <xdr:nvCxnSpPr>
        <xdr:cNvPr id="78" name="77 Conector recto de flecha">
          <a:extLst>
            <a:ext uri="{FF2B5EF4-FFF2-40B4-BE49-F238E27FC236}">
              <a16:creationId xmlns:a16="http://schemas.microsoft.com/office/drawing/2014/main" xmlns="" id="{00000000-0008-0000-0400-00004E000000}"/>
            </a:ext>
          </a:extLst>
        </xdr:cNvPr>
        <xdr:cNvCxnSpPr/>
      </xdr:nvCxnSpPr>
      <xdr:spPr bwMode="auto">
        <a:xfrm rot="10800000">
          <a:off x="1257300" y="21983700"/>
          <a:ext cx="14173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472440</xdr:colOff>
      <xdr:row>84</xdr:row>
      <xdr:rowOff>160020</xdr:rowOff>
    </xdr:from>
    <xdr:to>
      <xdr:col>2</xdr:col>
      <xdr:colOff>480060</xdr:colOff>
      <xdr:row>87</xdr:row>
      <xdr:rowOff>137160</xdr:rowOff>
    </xdr:to>
    <xdr:cxnSp macro="">
      <xdr:nvCxnSpPr>
        <xdr:cNvPr id="80" name="79 Conector recto de flecha">
          <a:extLst>
            <a:ext uri="{FF2B5EF4-FFF2-40B4-BE49-F238E27FC236}">
              <a16:creationId xmlns:a16="http://schemas.microsoft.com/office/drawing/2014/main" xmlns="" id="{00000000-0008-0000-0400-000050000000}"/>
            </a:ext>
          </a:extLst>
        </xdr:cNvPr>
        <xdr:cNvCxnSpPr/>
      </xdr:nvCxnSpPr>
      <xdr:spPr bwMode="auto">
        <a:xfrm rot="5400000" flipH="1" flipV="1">
          <a:off x="2000250" y="22299930"/>
          <a:ext cx="50292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456406</xdr:colOff>
      <xdr:row>89</xdr:row>
      <xdr:rowOff>99854</xdr:rowOff>
    </xdr:from>
    <xdr:to>
      <xdr:col>2</xdr:col>
      <xdr:colOff>457994</xdr:colOff>
      <xdr:row>92</xdr:row>
      <xdr:rowOff>99854</xdr:rowOff>
    </xdr:to>
    <xdr:cxnSp macro="">
      <xdr:nvCxnSpPr>
        <xdr:cNvPr id="88" name="87 Conector recto de flecha">
          <a:extLst>
            <a:ext uri="{FF2B5EF4-FFF2-40B4-BE49-F238E27FC236}">
              <a16:creationId xmlns:a16="http://schemas.microsoft.com/office/drawing/2014/main" xmlns="" id="{00000000-0008-0000-0400-000058000000}"/>
            </a:ext>
          </a:extLst>
        </xdr:cNvPr>
        <xdr:cNvCxnSpPr/>
      </xdr:nvCxnSpPr>
      <xdr:spPr bwMode="auto">
        <a:xfrm rot="5400000">
          <a:off x="1969770" y="23130510"/>
          <a:ext cx="5257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</xdr:col>
      <xdr:colOff>914400</xdr:colOff>
      <xdr:row>97</xdr:row>
      <xdr:rowOff>167640</xdr:rowOff>
    </xdr:from>
    <xdr:to>
      <xdr:col>3</xdr:col>
      <xdr:colOff>7620</xdr:colOff>
      <xdr:row>98</xdr:row>
      <xdr:rowOff>0</xdr:rowOff>
    </xdr:to>
    <xdr:cxnSp macro="">
      <xdr:nvCxnSpPr>
        <xdr:cNvPr id="96" name="95 Conector recto">
          <a:extLst>
            <a:ext uri="{FF2B5EF4-FFF2-40B4-BE49-F238E27FC236}">
              <a16:creationId xmlns:a16="http://schemas.microsoft.com/office/drawing/2014/main" xmlns="" id="{00000000-0008-0000-0400-000060000000}"/>
            </a:ext>
          </a:extLst>
        </xdr:cNvPr>
        <xdr:cNvCxnSpPr/>
      </xdr:nvCxnSpPr>
      <xdr:spPr bwMode="auto">
        <a:xfrm flipV="1">
          <a:off x="1767840" y="24338280"/>
          <a:ext cx="91440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0</xdr:colOff>
      <xdr:row>97</xdr:row>
      <xdr:rowOff>167640</xdr:rowOff>
    </xdr:from>
    <xdr:to>
      <xdr:col>3</xdr:col>
      <xdr:colOff>22860</xdr:colOff>
      <xdr:row>106</xdr:row>
      <xdr:rowOff>167640</xdr:rowOff>
    </xdr:to>
    <xdr:cxnSp macro="">
      <xdr:nvCxnSpPr>
        <xdr:cNvPr id="98" name="97 Conector recto">
          <a:extLst>
            <a:ext uri="{FF2B5EF4-FFF2-40B4-BE49-F238E27FC236}">
              <a16:creationId xmlns:a16="http://schemas.microsoft.com/office/drawing/2014/main" xmlns="" id="{00000000-0008-0000-0400-000062000000}"/>
            </a:ext>
          </a:extLst>
        </xdr:cNvPr>
        <xdr:cNvCxnSpPr/>
      </xdr:nvCxnSpPr>
      <xdr:spPr bwMode="auto">
        <a:xfrm rot="16200000" flipH="1">
          <a:off x="1897380" y="25115520"/>
          <a:ext cx="1577340" cy="228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845820</xdr:colOff>
      <xdr:row>107</xdr:row>
      <xdr:rowOff>0</xdr:rowOff>
    </xdr:from>
    <xdr:to>
      <xdr:col>3</xdr:col>
      <xdr:colOff>7620</xdr:colOff>
      <xdr:row>107</xdr:row>
      <xdr:rowOff>15240</xdr:rowOff>
    </xdr:to>
    <xdr:cxnSp macro="">
      <xdr:nvCxnSpPr>
        <xdr:cNvPr id="100" name="99 Conector recto">
          <a:extLst>
            <a:ext uri="{FF2B5EF4-FFF2-40B4-BE49-F238E27FC236}">
              <a16:creationId xmlns:a16="http://schemas.microsoft.com/office/drawing/2014/main" xmlns="" id="{00000000-0008-0000-0400-000064000000}"/>
            </a:ext>
          </a:extLst>
        </xdr:cNvPr>
        <xdr:cNvCxnSpPr/>
      </xdr:nvCxnSpPr>
      <xdr:spPr bwMode="auto">
        <a:xfrm rot="10800000">
          <a:off x="845820" y="25923240"/>
          <a:ext cx="1836420" cy="1524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15240</xdr:colOff>
      <xdr:row>97</xdr:row>
      <xdr:rowOff>167640</xdr:rowOff>
    </xdr:from>
    <xdr:to>
      <xdr:col>2</xdr:col>
      <xdr:colOff>7620</xdr:colOff>
      <xdr:row>106</xdr:row>
      <xdr:rowOff>167640</xdr:rowOff>
    </xdr:to>
    <xdr:cxnSp macro="">
      <xdr:nvCxnSpPr>
        <xdr:cNvPr id="102" name="101 Conector recto">
          <a:extLst>
            <a:ext uri="{FF2B5EF4-FFF2-40B4-BE49-F238E27FC236}">
              <a16:creationId xmlns:a16="http://schemas.microsoft.com/office/drawing/2014/main" xmlns="" id="{00000000-0008-0000-0400-000066000000}"/>
            </a:ext>
          </a:extLst>
        </xdr:cNvPr>
        <xdr:cNvCxnSpPr/>
      </xdr:nvCxnSpPr>
      <xdr:spPr bwMode="auto">
        <a:xfrm rot="5400000">
          <a:off x="537210" y="24669750"/>
          <a:ext cx="1577340" cy="9144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510540</xdr:colOff>
      <xdr:row>98</xdr:row>
      <xdr:rowOff>38100</xdr:rowOff>
    </xdr:from>
    <xdr:to>
      <xdr:col>3</xdr:col>
      <xdr:colOff>525780</xdr:colOff>
      <xdr:row>101</xdr:row>
      <xdr:rowOff>60960</xdr:rowOff>
    </xdr:to>
    <xdr:cxnSp macro="">
      <xdr:nvCxnSpPr>
        <xdr:cNvPr id="104" name="103 Conector recto de flecha">
          <a:extLst>
            <a:ext uri="{FF2B5EF4-FFF2-40B4-BE49-F238E27FC236}">
              <a16:creationId xmlns:a16="http://schemas.microsoft.com/office/drawing/2014/main" xmlns="" id="{00000000-0008-0000-0400-000068000000}"/>
            </a:ext>
          </a:extLst>
        </xdr:cNvPr>
        <xdr:cNvCxnSpPr/>
      </xdr:nvCxnSpPr>
      <xdr:spPr bwMode="auto">
        <a:xfrm rot="16200000" flipV="1">
          <a:off x="2918460" y="24825960"/>
          <a:ext cx="54864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548640</xdr:colOff>
      <xdr:row>104</xdr:row>
      <xdr:rowOff>7620</xdr:rowOff>
    </xdr:from>
    <xdr:to>
      <xdr:col>3</xdr:col>
      <xdr:colOff>563880</xdr:colOff>
      <xdr:row>106</xdr:row>
      <xdr:rowOff>167640</xdr:rowOff>
    </xdr:to>
    <xdr:cxnSp macro="">
      <xdr:nvCxnSpPr>
        <xdr:cNvPr id="106" name="105 Conector recto de flecha">
          <a:extLst>
            <a:ext uri="{FF2B5EF4-FFF2-40B4-BE49-F238E27FC236}">
              <a16:creationId xmlns:a16="http://schemas.microsoft.com/office/drawing/2014/main" xmlns="" id="{00000000-0008-0000-0400-00006A000000}"/>
            </a:ext>
          </a:extLst>
        </xdr:cNvPr>
        <xdr:cNvCxnSpPr/>
      </xdr:nvCxnSpPr>
      <xdr:spPr bwMode="auto">
        <a:xfrm rot="16200000" flipH="1">
          <a:off x="2975610" y="25827990"/>
          <a:ext cx="51054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</xdr:col>
      <xdr:colOff>913606</xdr:colOff>
      <xdr:row>98</xdr:row>
      <xdr:rowOff>23654</xdr:rowOff>
    </xdr:from>
    <xdr:to>
      <xdr:col>1</xdr:col>
      <xdr:colOff>915194</xdr:colOff>
      <xdr:row>107</xdr:row>
      <xdr:rowOff>794</xdr:rowOff>
    </xdr:to>
    <xdr:cxnSp macro="">
      <xdr:nvCxnSpPr>
        <xdr:cNvPr id="108" name="107 Conector recto">
          <a:extLst>
            <a:ext uri="{FF2B5EF4-FFF2-40B4-BE49-F238E27FC236}">
              <a16:creationId xmlns:a16="http://schemas.microsoft.com/office/drawing/2014/main" xmlns="" id="{00000000-0008-0000-0400-00006C000000}"/>
            </a:ext>
          </a:extLst>
        </xdr:cNvPr>
        <xdr:cNvCxnSpPr/>
      </xdr:nvCxnSpPr>
      <xdr:spPr bwMode="auto">
        <a:xfrm rot="5400000" flipH="1" flipV="1">
          <a:off x="990600" y="25321260"/>
          <a:ext cx="155448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594360</xdr:colOff>
      <xdr:row>101</xdr:row>
      <xdr:rowOff>99060</xdr:rowOff>
    </xdr:from>
    <xdr:to>
      <xdr:col>4</xdr:col>
      <xdr:colOff>259080</xdr:colOff>
      <xdr:row>101</xdr:row>
      <xdr:rowOff>106680</xdr:rowOff>
    </xdr:to>
    <xdr:cxnSp macro="">
      <xdr:nvCxnSpPr>
        <xdr:cNvPr id="110" name="109 Conector recto de flecha">
          <a:extLst>
            <a:ext uri="{FF2B5EF4-FFF2-40B4-BE49-F238E27FC236}">
              <a16:creationId xmlns:a16="http://schemas.microsoft.com/office/drawing/2014/main" xmlns="" id="{00000000-0008-0000-0400-00006E000000}"/>
            </a:ext>
          </a:extLst>
        </xdr:cNvPr>
        <xdr:cNvCxnSpPr/>
      </xdr:nvCxnSpPr>
      <xdr:spPr bwMode="auto">
        <a:xfrm rot="10800000" flipV="1">
          <a:off x="2369820" y="25146000"/>
          <a:ext cx="161544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251460</xdr:colOff>
      <xdr:row>102</xdr:row>
      <xdr:rowOff>167640</xdr:rowOff>
    </xdr:from>
    <xdr:to>
      <xdr:col>1</xdr:col>
      <xdr:colOff>655320</xdr:colOff>
      <xdr:row>103</xdr:row>
      <xdr:rowOff>7620</xdr:rowOff>
    </xdr:to>
    <xdr:cxnSp macro="">
      <xdr:nvCxnSpPr>
        <xdr:cNvPr id="112" name="111 Conector recto de flecha">
          <a:extLst>
            <a:ext uri="{FF2B5EF4-FFF2-40B4-BE49-F238E27FC236}">
              <a16:creationId xmlns:a16="http://schemas.microsoft.com/office/drawing/2014/main" xmlns="" id="{00000000-0008-0000-0400-000070000000}"/>
            </a:ext>
          </a:extLst>
        </xdr:cNvPr>
        <xdr:cNvCxnSpPr/>
      </xdr:nvCxnSpPr>
      <xdr:spPr bwMode="auto">
        <a:xfrm rot="10800000">
          <a:off x="251460" y="25389840"/>
          <a:ext cx="1257300" cy="152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106680</xdr:colOff>
      <xdr:row>101</xdr:row>
      <xdr:rowOff>121920</xdr:rowOff>
    </xdr:from>
    <xdr:to>
      <xdr:col>4</xdr:col>
      <xdr:colOff>114300</xdr:colOff>
      <xdr:row>102</xdr:row>
      <xdr:rowOff>121920</xdr:rowOff>
    </xdr:to>
    <xdr:cxnSp macro="">
      <xdr:nvCxnSpPr>
        <xdr:cNvPr id="115" name="114 Conector recto de flecha">
          <a:extLst>
            <a:ext uri="{FF2B5EF4-FFF2-40B4-BE49-F238E27FC236}">
              <a16:creationId xmlns:a16="http://schemas.microsoft.com/office/drawing/2014/main" xmlns="" id="{00000000-0008-0000-0400-000073000000}"/>
            </a:ext>
          </a:extLst>
        </xdr:cNvPr>
        <xdr:cNvCxnSpPr/>
      </xdr:nvCxnSpPr>
      <xdr:spPr bwMode="auto">
        <a:xfrm rot="16200000" flipV="1">
          <a:off x="3749040" y="25252680"/>
          <a:ext cx="1752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121126</xdr:colOff>
      <xdr:row>104</xdr:row>
      <xdr:rowOff>31274</xdr:rowOff>
    </xdr:from>
    <xdr:to>
      <xdr:col>4</xdr:col>
      <xdr:colOff>122714</xdr:colOff>
      <xdr:row>106</xdr:row>
      <xdr:rowOff>137954</xdr:rowOff>
    </xdr:to>
    <xdr:cxnSp macro="">
      <xdr:nvCxnSpPr>
        <xdr:cNvPr id="117" name="116 Conector recto de flecha">
          <a:extLst>
            <a:ext uri="{FF2B5EF4-FFF2-40B4-BE49-F238E27FC236}">
              <a16:creationId xmlns:a16="http://schemas.microsoft.com/office/drawing/2014/main" xmlns="" id="{00000000-0008-0000-0400-000075000000}"/>
            </a:ext>
          </a:extLst>
        </xdr:cNvPr>
        <xdr:cNvCxnSpPr/>
      </xdr:nvCxnSpPr>
      <xdr:spPr bwMode="auto">
        <a:xfrm rot="5400000">
          <a:off x="3619500" y="25831800"/>
          <a:ext cx="45720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441166</xdr:colOff>
      <xdr:row>102</xdr:row>
      <xdr:rowOff>145574</xdr:rowOff>
    </xdr:from>
    <xdr:to>
      <xdr:col>0</xdr:col>
      <xdr:colOff>442754</xdr:colOff>
      <xdr:row>103</xdr:row>
      <xdr:rowOff>153194</xdr:rowOff>
    </xdr:to>
    <xdr:cxnSp macro="">
      <xdr:nvCxnSpPr>
        <xdr:cNvPr id="120" name="119 Conector recto de flecha">
          <a:extLst>
            <a:ext uri="{FF2B5EF4-FFF2-40B4-BE49-F238E27FC236}">
              <a16:creationId xmlns:a16="http://schemas.microsoft.com/office/drawing/2014/main" xmlns="" id="{00000000-0008-0000-0400-000078000000}"/>
            </a:ext>
          </a:extLst>
        </xdr:cNvPr>
        <xdr:cNvCxnSpPr/>
      </xdr:nvCxnSpPr>
      <xdr:spPr bwMode="auto">
        <a:xfrm rot="5400000" flipH="1" flipV="1">
          <a:off x="350520" y="25458420"/>
          <a:ext cx="1828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441166</xdr:colOff>
      <xdr:row>105</xdr:row>
      <xdr:rowOff>23654</xdr:rowOff>
    </xdr:from>
    <xdr:to>
      <xdr:col>0</xdr:col>
      <xdr:colOff>442754</xdr:colOff>
      <xdr:row>106</xdr:row>
      <xdr:rowOff>160814</xdr:rowOff>
    </xdr:to>
    <xdr:cxnSp macro="">
      <xdr:nvCxnSpPr>
        <xdr:cNvPr id="122" name="121 Conector recto de flecha">
          <a:extLst>
            <a:ext uri="{FF2B5EF4-FFF2-40B4-BE49-F238E27FC236}">
              <a16:creationId xmlns:a16="http://schemas.microsoft.com/office/drawing/2014/main" xmlns="" id="{00000000-0008-0000-0400-00007A000000}"/>
            </a:ext>
          </a:extLst>
        </xdr:cNvPr>
        <xdr:cNvCxnSpPr/>
      </xdr:nvCxnSpPr>
      <xdr:spPr bwMode="auto">
        <a:xfrm rot="5400000">
          <a:off x="285750" y="25927050"/>
          <a:ext cx="31242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381000</xdr:colOff>
      <xdr:row>110</xdr:row>
      <xdr:rowOff>30480</xdr:rowOff>
    </xdr:from>
    <xdr:to>
      <xdr:col>1</xdr:col>
      <xdr:colOff>213360</xdr:colOff>
      <xdr:row>112</xdr:row>
      <xdr:rowOff>7620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xmlns="" id="{00000000-0008-0000-04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26830020"/>
          <a:ext cx="685800" cy="327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335280</xdr:colOff>
      <xdr:row>116</xdr:row>
      <xdr:rowOff>167640</xdr:rowOff>
    </xdr:from>
    <xdr:to>
      <xdr:col>1</xdr:col>
      <xdr:colOff>350520</xdr:colOff>
      <xdr:row>118</xdr:row>
      <xdr:rowOff>7620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xmlns="" id="{00000000-0008-0000-04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5280" y="28018740"/>
          <a:ext cx="86868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297180</xdr:colOff>
      <xdr:row>120</xdr:row>
      <xdr:rowOff>152400</xdr:rowOff>
    </xdr:from>
    <xdr:to>
      <xdr:col>1</xdr:col>
      <xdr:colOff>716280</xdr:colOff>
      <xdr:row>121</xdr:row>
      <xdr:rowOff>167640</xdr:rowOff>
    </xdr:to>
    <xdr:pic>
      <xdr:nvPicPr>
        <xdr:cNvPr id="3081" name="Picture 9">
          <a:extLst>
            <a:ext uri="{FF2B5EF4-FFF2-40B4-BE49-F238E27FC236}">
              <a16:creationId xmlns:a16="http://schemas.microsoft.com/office/drawing/2014/main" xmlns="" id="{00000000-0008-0000-04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97180" y="28704540"/>
          <a:ext cx="127254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312420</xdr:colOff>
      <xdr:row>124</xdr:row>
      <xdr:rowOff>167640</xdr:rowOff>
    </xdr:from>
    <xdr:to>
      <xdr:col>2</xdr:col>
      <xdr:colOff>251460</xdr:colOff>
      <xdr:row>126</xdr:row>
      <xdr:rowOff>144780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xmlns="" id="{00000000-0008-0000-04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2420" y="29420820"/>
          <a:ext cx="1714500" cy="327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312420</xdr:colOff>
      <xdr:row>130</xdr:row>
      <xdr:rowOff>0</xdr:rowOff>
    </xdr:from>
    <xdr:to>
      <xdr:col>1</xdr:col>
      <xdr:colOff>335280</xdr:colOff>
      <xdr:row>131</xdr:row>
      <xdr:rowOff>0</xdr:rowOff>
    </xdr:to>
    <xdr:pic>
      <xdr:nvPicPr>
        <xdr:cNvPr id="3083" name="Picture 11">
          <a:extLst>
            <a:ext uri="{FF2B5EF4-FFF2-40B4-BE49-F238E27FC236}">
              <a16:creationId xmlns:a16="http://schemas.microsoft.com/office/drawing/2014/main" xmlns="" id="{00000000-0008-0000-04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2420" y="30304740"/>
          <a:ext cx="8763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365760</xdr:colOff>
      <xdr:row>148</xdr:row>
      <xdr:rowOff>137160</xdr:rowOff>
    </xdr:from>
    <xdr:to>
      <xdr:col>1</xdr:col>
      <xdr:colOff>754380</xdr:colOff>
      <xdr:row>149</xdr:row>
      <xdr:rowOff>152400</xdr:rowOff>
    </xdr:to>
    <xdr:pic>
      <xdr:nvPicPr>
        <xdr:cNvPr id="3087" name="Picture 15">
          <a:extLst>
            <a:ext uri="{FF2B5EF4-FFF2-40B4-BE49-F238E27FC236}">
              <a16:creationId xmlns:a16="http://schemas.microsoft.com/office/drawing/2014/main" xmlns="" id="{00000000-0008-0000-04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65760" y="33794700"/>
          <a:ext cx="12420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403860</xdr:colOff>
      <xdr:row>153</xdr:row>
      <xdr:rowOff>7620</xdr:rowOff>
    </xdr:from>
    <xdr:to>
      <xdr:col>1</xdr:col>
      <xdr:colOff>251460</xdr:colOff>
      <xdr:row>154</xdr:row>
      <xdr:rowOff>22860</xdr:rowOff>
    </xdr:to>
    <xdr:pic>
      <xdr:nvPicPr>
        <xdr:cNvPr id="3086" name="Picture 14">
          <a:extLst>
            <a:ext uri="{FF2B5EF4-FFF2-40B4-BE49-F238E27FC236}">
              <a16:creationId xmlns:a16="http://schemas.microsoft.com/office/drawing/2014/main" xmlns="" id="{00000000-0008-0000-04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03860" y="34541460"/>
          <a:ext cx="70104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304800</xdr:colOff>
      <xdr:row>144</xdr:row>
      <xdr:rowOff>15240</xdr:rowOff>
    </xdr:from>
    <xdr:to>
      <xdr:col>2</xdr:col>
      <xdr:colOff>45720</xdr:colOff>
      <xdr:row>146</xdr:row>
      <xdr:rowOff>7620</xdr:rowOff>
    </xdr:to>
    <xdr:pic>
      <xdr:nvPicPr>
        <xdr:cNvPr id="3088" name="Picture 16">
          <a:extLst>
            <a:ext uri="{FF2B5EF4-FFF2-40B4-BE49-F238E27FC236}">
              <a16:creationId xmlns:a16="http://schemas.microsoft.com/office/drawing/2014/main" xmlns="" id="{00000000-0008-0000-04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32971740"/>
          <a:ext cx="151638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312420</xdr:colOff>
      <xdr:row>156</xdr:row>
      <xdr:rowOff>160020</xdr:rowOff>
    </xdr:from>
    <xdr:to>
      <xdr:col>1</xdr:col>
      <xdr:colOff>830580</xdr:colOff>
      <xdr:row>158</xdr:row>
      <xdr:rowOff>0</xdr:rowOff>
    </xdr:to>
    <xdr:pic>
      <xdr:nvPicPr>
        <xdr:cNvPr id="3089" name="Picture 17">
          <a:extLst>
            <a:ext uri="{FF2B5EF4-FFF2-40B4-BE49-F238E27FC236}">
              <a16:creationId xmlns:a16="http://schemas.microsoft.com/office/drawing/2014/main" xmlns="" id="{00000000-0008-0000-04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2420" y="35219640"/>
          <a:ext cx="13716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358140</xdr:colOff>
      <xdr:row>161</xdr:row>
      <xdr:rowOff>0</xdr:rowOff>
    </xdr:from>
    <xdr:to>
      <xdr:col>1</xdr:col>
      <xdr:colOff>266700</xdr:colOff>
      <xdr:row>162</xdr:row>
      <xdr:rowOff>15240</xdr:rowOff>
    </xdr:to>
    <xdr:pic>
      <xdr:nvPicPr>
        <xdr:cNvPr id="3090" name="Picture 18">
          <a:extLst>
            <a:ext uri="{FF2B5EF4-FFF2-40B4-BE49-F238E27FC236}">
              <a16:creationId xmlns:a16="http://schemas.microsoft.com/office/drawing/2014/main" xmlns="" id="{00000000-0008-0000-04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35935920"/>
          <a:ext cx="7620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190500</xdr:colOff>
      <xdr:row>58</xdr:row>
      <xdr:rowOff>7620</xdr:rowOff>
    </xdr:from>
    <xdr:to>
      <xdr:col>1</xdr:col>
      <xdr:colOff>845820</xdr:colOff>
      <xdr:row>59</xdr:row>
      <xdr:rowOff>22860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500" y="11529060"/>
          <a:ext cx="15087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167640</xdr:colOff>
      <xdr:row>62</xdr:row>
      <xdr:rowOff>30480</xdr:rowOff>
    </xdr:from>
    <xdr:to>
      <xdr:col>1</xdr:col>
      <xdr:colOff>510540</xdr:colOff>
      <xdr:row>64</xdr:row>
      <xdr:rowOff>22860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xmlns="" id="{00000000-0008-0000-04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67640" y="12252960"/>
          <a:ext cx="119634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182880</xdr:colOff>
      <xdr:row>66</xdr:row>
      <xdr:rowOff>160020</xdr:rowOff>
    </xdr:from>
    <xdr:to>
      <xdr:col>1</xdr:col>
      <xdr:colOff>556260</xdr:colOff>
      <xdr:row>68</xdr:row>
      <xdr:rowOff>152400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2880" y="13083540"/>
          <a:ext cx="1226820" cy="3429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83</xdr:row>
      <xdr:rowOff>0</xdr:rowOff>
    </xdr:from>
    <xdr:to>
      <xdr:col>6</xdr:col>
      <xdr:colOff>175260</xdr:colOff>
      <xdr:row>84</xdr:row>
      <xdr:rowOff>15240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26180" y="21717000"/>
          <a:ext cx="2011680" cy="1905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87</xdr:row>
      <xdr:rowOff>0</xdr:rowOff>
    </xdr:from>
    <xdr:to>
      <xdr:col>5</xdr:col>
      <xdr:colOff>251460</xdr:colOff>
      <xdr:row>88</xdr:row>
      <xdr:rowOff>167640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26180" y="22418040"/>
          <a:ext cx="1188720" cy="342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4</xdr:row>
      <xdr:rowOff>0</xdr:rowOff>
    </xdr:from>
    <xdr:to>
      <xdr:col>3</xdr:col>
      <xdr:colOff>22860</xdr:colOff>
      <xdr:row>8</xdr:row>
      <xdr:rowOff>0</xdr:rowOff>
    </xdr:to>
    <xdr:sp macro="" textlink="">
      <xdr:nvSpPr>
        <xdr:cNvPr id="72742" name="Line 1">
          <a:extLst>
            <a:ext uri="{FF2B5EF4-FFF2-40B4-BE49-F238E27FC236}">
              <a16:creationId xmlns:a16="http://schemas.microsoft.com/office/drawing/2014/main" xmlns="" id="{00000000-0008-0000-0500-0000261C0100}"/>
            </a:ext>
          </a:extLst>
        </xdr:cNvPr>
        <xdr:cNvSpPr>
          <a:spLocks noChangeShapeType="1"/>
        </xdr:cNvSpPr>
      </xdr:nvSpPr>
      <xdr:spPr bwMode="auto">
        <a:xfrm>
          <a:off x="2598420" y="2484120"/>
          <a:ext cx="0" cy="7086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8</xdr:row>
      <xdr:rowOff>0</xdr:rowOff>
    </xdr:from>
    <xdr:to>
      <xdr:col>3</xdr:col>
      <xdr:colOff>22860</xdr:colOff>
      <xdr:row>8</xdr:row>
      <xdr:rowOff>0</xdr:rowOff>
    </xdr:to>
    <xdr:sp macro="" textlink="">
      <xdr:nvSpPr>
        <xdr:cNvPr id="72743" name="Line 2">
          <a:extLst>
            <a:ext uri="{FF2B5EF4-FFF2-40B4-BE49-F238E27FC236}">
              <a16:creationId xmlns:a16="http://schemas.microsoft.com/office/drawing/2014/main" xmlns="" id="{00000000-0008-0000-0500-0000271C0100}"/>
            </a:ext>
          </a:extLst>
        </xdr:cNvPr>
        <xdr:cNvSpPr>
          <a:spLocks noChangeShapeType="1"/>
        </xdr:cNvSpPr>
      </xdr:nvSpPr>
      <xdr:spPr bwMode="auto">
        <a:xfrm flipH="1">
          <a:off x="754380" y="3192780"/>
          <a:ext cx="184404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8</xdr:row>
      <xdr:rowOff>7620</xdr:rowOff>
    </xdr:from>
    <xdr:to>
      <xdr:col>0</xdr:col>
      <xdr:colOff>762000</xdr:colOff>
      <xdr:row>11</xdr:row>
      <xdr:rowOff>15240</xdr:rowOff>
    </xdr:to>
    <xdr:sp macro="" textlink="">
      <xdr:nvSpPr>
        <xdr:cNvPr id="72744" name="Line 3">
          <a:extLst>
            <a:ext uri="{FF2B5EF4-FFF2-40B4-BE49-F238E27FC236}">
              <a16:creationId xmlns:a16="http://schemas.microsoft.com/office/drawing/2014/main" xmlns="" id="{00000000-0008-0000-0500-0000281C0100}"/>
            </a:ext>
          </a:extLst>
        </xdr:cNvPr>
        <xdr:cNvSpPr>
          <a:spLocks noChangeShapeType="1"/>
        </xdr:cNvSpPr>
      </xdr:nvSpPr>
      <xdr:spPr bwMode="auto">
        <a:xfrm>
          <a:off x="762000" y="3200400"/>
          <a:ext cx="0" cy="4343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11</xdr:row>
      <xdr:rowOff>30480</xdr:rowOff>
    </xdr:from>
    <xdr:to>
      <xdr:col>5</xdr:col>
      <xdr:colOff>662940</xdr:colOff>
      <xdr:row>11</xdr:row>
      <xdr:rowOff>30480</xdr:rowOff>
    </xdr:to>
    <xdr:sp macro="" textlink="">
      <xdr:nvSpPr>
        <xdr:cNvPr id="72745" name="Line 4">
          <a:extLst>
            <a:ext uri="{FF2B5EF4-FFF2-40B4-BE49-F238E27FC236}">
              <a16:creationId xmlns:a16="http://schemas.microsoft.com/office/drawing/2014/main" xmlns="" id="{00000000-0008-0000-0500-0000291C0100}"/>
            </a:ext>
          </a:extLst>
        </xdr:cNvPr>
        <xdr:cNvSpPr>
          <a:spLocks noChangeShapeType="1"/>
        </xdr:cNvSpPr>
      </xdr:nvSpPr>
      <xdr:spPr bwMode="auto">
        <a:xfrm>
          <a:off x="762000" y="3649980"/>
          <a:ext cx="44653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678180</xdr:colOff>
      <xdr:row>8</xdr:row>
      <xdr:rowOff>0</xdr:rowOff>
    </xdr:from>
    <xdr:to>
      <xdr:col>5</xdr:col>
      <xdr:colOff>678180</xdr:colOff>
      <xdr:row>11</xdr:row>
      <xdr:rowOff>30480</xdr:rowOff>
    </xdr:to>
    <xdr:sp macro="" textlink="">
      <xdr:nvSpPr>
        <xdr:cNvPr id="72746" name="Line 5">
          <a:extLst>
            <a:ext uri="{FF2B5EF4-FFF2-40B4-BE49-F238E27FC236}">
              <a16:creationId xmlns:a16="http://schemas.microsoft.com/office/drawing/2014/main" xmlns="" id="{00000000-0008-0000-0500-00002A1C0100}"/>
            </a:ext>
          </a:extLst>
        </xdr:cNvPr>
        <xdr:cNvSpPr>
          <a:spLocks noChangeShapeType="1"/>
        </xdr:cNvSpPr>
      </xdr:nvSpPr>
      <xdr:spPr bwMode="auto">
        <a:xfrm flipV="1">
          <a:off x="5242560" y="3192780"/>
          <a:ext cx="0" cy="4572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22860</xdr:colOff>
      <xdr:row>8</xdr:row>
      <xdr:rowOff>0</xdr:rowOff>
    </xdr:from>
    <xdr:to>
      <xdr:col>5</xdr:col>
      <xdr:colOff>678180</xdr:colOff>
      <xdr:row>8</xdr:row>
      <xdr:rowOff>15240</xdr:rowOff>
    </xdr:to>
    <xdr:sp macro="" textlink="">
      <xdr:nvSpPr>
        <xdr:cNvPr id="72747" name="Line 6">
          <a:extLst>
            <a:ext uri="{FF2B5EF4-FFF2-40B4-BE49-F238E27FC236}">
              <a16:creationId xmlns:a16="http://schemas.microsoft.com/office/drawing/2014/main" xmlns="" id="{00000000-0008-0000-0500-00002B1C0100}"/>
            </a:ext>
          </a:extLst>
        </xdr:cNvPr>
        <xdr:cNvSpPr>
          <a:spLocks noChangeShapeType="1"/>
        </xdr:cNvSpPr>
      </xdr:nvSpPr>
      <xdr:spPr bwMode="auto">
        <a:xfrm flipH="1">
          <a:off x="3649980" y="3192780"/>
          <a:ext cx="1592580" cy="152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</xdr:colOff>
      <xdr:row>4</xdr:row>
      <xdr:rowOff>22860</xdr:rowOff>
    </xdr:from>
    <xdr:to>
      <xdr:col>4</xdr:col>
      <xdr:colOff>30480</xdr:colOff>
      <xdr:row>8</xdr:row>
      <xdr:rowOff>38100</xdr:rowOff>
    </xdr:to>
    <xdr:sp macro="" textlink="">
      <xdr:nvSpPr>
        <xdr:cNvPr id="72748" name="Line 7">
          <a:extLst>
            <a:ext uri="{FF2B5EF4-FFF2-40B4-BE49-F238E27FC236}">
              <a16:creationId xmlns:a16="http://schemas.microsoft.com/office/drawing/2014/main" xmlns="" id="{00000000-0008-0000-0500-00002C1C0100}"/>
            </a:ext>
          </a:extLst>
        </xdr:cNvPr>
        <xdr:cNvSpPr>
          <a:spLocks noChangeShapeType="1"/>
        </xdr:cNvSpPr>
      </xdr:nvSpPr>
      <xdr:spPr bwMode="auto">
        <a:xfrm flipV="1">
          <a:off x="3657600" y="2506980"/>
          <a:ext cx="0" cy="7239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</xdr:colOff>
      <xdr:row>14</xdr:row>
      <xdr:rowOff>7620</xdr:rowOff>
    </xdr:from>
    <xdr:to>
      <xdr:col>5</xdr:col>
      <xdr:colOff>731520</xdr:colOff>
      <xdr:row>14</xdr:row>
      <xdr:rowOff>7620</xdr:rowOff>
    </xdr:to>
    <xdr:sp macro="" textlink="">
      <xdr:nvSpPr>
        <xdr:cNvPr id="72749" name="Line 8">
          <a:extLst>
            <a:ext uri="{FF2B5EF4-FFF2-40B4-BE49-F238E27FC236}">
              <a16:creationId xmlns:a16="http://schemas.microsoft.com/office/drawing/2014/main" xmlns="" id="{00000000-0008-0000-0500-00002D1C0100}"/>
            </a:ext>
          </a:extLst>
        </xdr:cNvPr>
        <xdr:cNvSpPr>
          <a:spLocks noChangeShapeType="1"/>
        </xdr:cNvSpPr>
      </xdr:nvSpPr>
      <xdr:spPr bwMode="auto">
        <a:xfrm>
          <a:off x="1135380" y="4099560"/>
          <a:ext cx="4160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15</xdr:row>
      <xdr:rowOff>7620</xdr:rowOff>
    </xdr:from>
    <xdr:to>
      <xdr:col>5</xdr:col>
      <xdr:colOff>769620</xdr:colOff>
      <xdr:row>18</xdr:row>
      <xdr:rowOff>0</xdr:rowOff>
    </xdr:to>
    <xdr:sp macro="" textlink="">
      <xdr:nvSpPr>
        <xdr:cNvPr id="72750" name="Line 9">
          <a:extLst>
            <a:ext uri="{FF2B5EF4-FFF2-40B4-BE49-F238E27FC236}">
              <a16:creationId xmlns:a16="http://schemas.microsoft.com/office/drawing/2014/main" xmlns="" id="{00000000-0008-0000-0500-00002E1C0100}"/>
            </a:ext>
          </a:extLst>
        </xdr:cNvPr>
        <xdr:cNvSpPr>
          <a:spLocks noChangeShapeType="1"/>
        </xdr:cNvSpPr>
      </xdr:nvSpPr>
      <xdr:spPr bwMode="auto">
        <a:xfrm>
          <a:off x="1112520" y="4274820"/>
          <a:ext cx="422148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731520</xdr:colOff>
      <xdr:row>13</xdr:row>
      <xdr:rowOff>160020</xdr:rowOff>
    </xdr:from>
    <xdr:to>
      <xdr:col>5</xdr:col>
      <xdr:colOff>769620</xdr:colOff>
      <xdr:row>18</xdr:row>
      <xdr:rowOff>0</xdr:rowOff>
    </xdr:to>
    <xdr:sp macro="" textlink="">
      <xdr:nvSpPr>
        <xdr:cNvPr id="72751" name="Line 10">
          <a:extLst>
            <a:ext uri="{FF2B5EF4-FFF2-40B4-BE49-F238E27FC236}">
              <a16:creationId xmlns:a16="http://schemas.microsoft.com/office/drawing/2014/main" xmlns="" id="{00000000-0008-0000-0500-00002F1C0100}"/>
            </a:ext>
          </a:extLst>
        </xdr:cNvPr>
        <xdr:cNvSpPr>
          <a:spLocks noChangeShapeType="1"/>
        </xdr:cNvSpPr>
      </xdr:nvSpPr>
      <xdr:spPr bwMode="auto">
        <a:xfrm flipH="1" flipV="1">
          <a:off x="5295900" y="4076700"/>
          <a:ext cx="38100" cy="716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5</xdr:row>
      <xdr:rowOff>160020</xdr:rowOff>
    </xdr:from>
    <xdr:to>
      <xdr:col>2</xdr:col>
      <xdr:colOff>678180</xdr:colOff>
      <xdr:row>6</xdr:row>
      <xdr:rowOff>0</xdr:rowOff>
    </xdr:to>
    <xdr:sp macro="" textlink="">
      <xdr:nvSpPr>
        <xdr:cNvPr id="72752" name="Line 11">
          <a:extLst>
            <a:ext uri="{FF2B5EF4-FFF2-40B4-BE49-F238E27FC236}">
              <a16:creationId xmlns:a16="http://schemas.microsoft.com/office/drawing/2014/main" xmlns="" id="{00000000-0008-0000-0500-0000301C0100}"/>
            </a:ext>
          </a:extLst>
        </xdr:cNvPr>
        <xdr:cNvSpPr>
          <a:spLocks noChangeShapeType="1"/>
        </xdr:cNvSpPr>
      </xdr:nvSpPr>
      <xdr:spPr bwMode="auto">
        <a:xfrm flipV="1">
          <a:off x="762000" y="2842260"/>
          <a:ext cx="1714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678180</xdr:colOff>
      <xdr:row>6</xdr:row>
      <xdr:rowOff>0</xdr:rowOff>
    </xdr:from>
    <xdr:to>
      <xdr:col>2</xdr:col>
      <xdr:colOff>678180</xdr:colOff>
      <xdr:row>7</xdr:row>
      <xdr:rowOff>0</xdr:rowOff>
    </xdr:to>
    <xdr:sp macro="" textlink="">
      <xdr:nvSpPr>
        <xdr:cNvPr id="72753" name="Line 12">
          <a:extLst>
            <a:ext uri="{FF2B5EF4-FFF2-40B4-BE49-F238E27FC236}">
              <a16:creationId xmlns:a16="http://schemas.microsoft.com/office/drawing/2014/main" xmlns="" id="{00000000-0008-0000-0500-0000311C0100}"/>
            </a:ext>
          </a:extLst>
        </xdr:cNvPr>
        <xdr:cNvSpPr>
          <a:spLocks noChangeShapeType="1"/>
        </xdr:cNvSpPr>
      </xdr:nvSpPr>
      <xdr:spPr bwMode="auto">
        <a:xfrm>
          <a:off x="2476500" y="284226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7</xdr:row>
      <xdr:rowOff>7620</xdr:rowOff>
    </xdr:from>
    <xdr:to>
      <xdr:col>2</xdr:col>
      <xdr:colOff>678180</xdr:colOff>
      <xdr:row>7</xdr:row>
      <xdr:rowOff>15240</xdr:rowOff>
    </xdr:to>
    <xdr:sp macro="" textlink="">
      <xdr:nvSpPr>
        <xdr:cNvPr id="72754" name="Line 13">
          <a:extLst>
            <a:ext uri="{FF2B5EF4-FFF2-40B4-BE49-F238E27FC236}">
              <a16:creationId xmlns:a16="http://schemas.microsoft.com/office/drawing/2014/main" xmlns="" id="{00000000-0008-0000-0500-0000321C0100}"/>
            </a:ext>
          </a:extLst>
        </xdr:cNvPr>
        <xdr:cNvSpPr>
          <a:spLocks noChangeShapeType="1"/>
        </xdr:cNvSpPr>
      </xdr:nvSpPr>
      <xdr:spPr bwMode="auto">
        <a:xfrm flipH="1" flipV="1">
          <a:off x="762000" y="3025140"/>
          <a:ext cx="171450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6</xdr:row>
      <xdr:rowOff>0</xdr:rowOff>
    </xdr:from>
    <xdr:to>
      <xdr:col>0</xdr:col>
      <xdr:colOff>762000</xdr:colOff>
      <xdr:row>7</xdr:row>
      <xdr:rowOff>7620</xdr:rowOff>
    </xdr:to>
    <xdr:sp macro="" textlink="">
      <xdr:nvSpPr>
        <xdr:cNvPr id="72755" name="Line 14">
          <a:extLst>
            <a:ext uri="{FF2B5EF4-FFF2-40B4-BE49-F238E27FC236}">
              <a16:creationId xmlns:a16="http://schemas.microsoft.com/office/drawing/2014/main" xmlns="" id="{00000000-0008-0000-0500-0000331C0100}"/>
            </a:ext>
          </a:extLst>
        </xdr:cNvPr>
        <xdr:cNvSpPr>
          <a:spLocks noChangeShapeType="1"/>
        </xdr:cNvSpPr>
      </xdr:nvSpPr>
      <xdr:spPr bwMode="auto">
        <a:xfrm flipV="1">
          <a:off x="762000" y="284226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396240</xdr:colOff>
      <xdr:row>14</xdr:row>
      <xdr:rowOff>30480</xdr:rowOff>
    </xdr:from>
    <xdr:to>
      <xdr:col>4</xdr:col>
      <xdr:colOff>396240</xdr:colOff>
      <xdr:row>17</xdr:row>
      <xdr:rowOff>0</xdr:rowOff>
    </xdr:to>
    <xdr:sp macro="" textlink="">
      <xdr:nvSpPr>
        <xdr:cNvPr id="72757" name="Line 16">
          <a:extLst>
            <a:ext uri="{FF2B5EF4-FFF2-40B4-BE49-F238E27FC236}">
              <a16:creationId xmlns:a16="http://schemas.microsoft.com/office/drawing/2014/main" xmlns="" id="{00000000-0008-0000-0500-0000351C0100}"/>
            </a:ext>
          </a:extLst>
        </xdr:cNvPr>
        <xdr:cNvSpPr>
          <a:spLocks noChangeShapeType="1"/>
        </xdr:cNvSpPr>
      </xdr:nvSpPr>
      <xdr:spPr bwMode="auto">
        <a:xfrm>
          <a:off x="4023360" y="4122420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160020</xdr:rowOff>
    </xdr:from>
    <xdr:to>
      <xdr:col>3</xdr:col>
      <xdr:colOff>7620</xdr:colOff>
      <xdr:row>16</xdr:row>
      <xdr:rowOff>30480</xdr:rowOff>
    </xdr:to>
    <xdr:sp macro="" textlink="">
      <xdr:nvSpPr>
        <xdr:cNvPr id="72758" name="Line 17">
          <a:extLst>
            <a:ext uri="{FF2B5EF4-FFF2-40B4-BE49-F238E27FC236}">
              <a16:creationId xmlns:a16="http://schemas.microsoft.com/office/drawing/2014/main" xmlns="" id="{00000000-0008-0000-0500-0000361C0100}"/>
            </a:ext>
          </a:extLst>
        </xdr:cNvPr>
        <xdr:cNvSpPr>
          <a:spLocks noChangeShapeType="1"/>
        </xdr:cNvSpPr>
      </xdr:nvSpPr>
      <xdr:spPr bwMode="auto">
        <a:xfrm>
          <a:off x="2575560" y="4076700"/>
          <a:ext cx="762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</xdr:row>
      <xdr:rowOff>99060</xdr:rowOff>
    </xdr:from>
    <xdr:to>
      <xdr:col>3</xdr:col>
      <xdr:colOff>281940</xdr:colOff>
      <xdr:row>12</xdr:row>
      <xdr:rowOff>99060</xdr:rowOff>
    </xdr:to>
    <xdr:sp macro="" textlink="">
      <xdr:nvSpPr>
        <xdr:cNvPr id="72759" name="Line 19">
          <a:extLst>
            <a:ext uri="{FF2B5EF4-FFF2-40B4-BE49-F238E27FC236}">
              <a16:creationId xmlns:a16="http://schemas.microsoft.com/office/drawing/2014/main" xmlns="" id="{00000000-0008-0000-0500-0000371C0100}"/>
            </a:ext>
          </a:extLst>
        </xdr:cNvPr>
        <xdr:cNvSpPr>
          <a:spLocks noChangeShapeType="1"/>
        </xdr:cNvSpPr>
      </xdr:nvSpPr>
      <xdr:spPr bwMode="auto">
        <a:xfrm flipH="1">
          <a:off x="1112520" y="3840480"/>
          <a:ext cx="174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</xdr:colOff>
      <xdr:row>12</xdr:row>
      <xdr:rowOff>114300</xdr:rowOff>
    </xdr:from>
    <xdr:to>
      <xdr:col>5</xdr:col>
      <xdr:colOff>701040</xdr:colOff>
      <xdr:row>12</xdr:row>
      <xdr:rowOff>114300</xdr:rowOff>
    </xdr:to>
    <xdr:sp macro="" textlink="">
      <xdr:nvSpPr>
        <xdr:cNvPr id="72760" name="Line 20">
          <a:extLst>
            <a:ext uri="{FF2B5EF4-FFF2-40B4-BE49-F238E27FC236}">
              <a16:creationId xmlns:a16="http://schemas.microsoft.com/office/drawing/2014/main" xmlns="" id="{00000000-0008-0000-0500-0000381C0100}"/>
            </a:ext>
          </a:extLst>
        </xdr:cNvPr>
        <xdr:cNvSpPr>
          <a:spLocks noChangeShapeType="1"/>
        </xdr:cNvSpPr>
      </xdr:nvSpPr>
      <xdr:spPr bwMode="auto">
        <a:xfrm>
          <a:off x="3672840" y="3855720"/>
          <a:ext cx="15925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15</xdr:row>
      <xdr:rowOff>7620</xdr:rowOff>
    </xdr:to>
    <xdr:sp macro="" textlink="">
      <xdr:nvSpPr>
        <xdr:cNvPr id="72761" name="Line 21">
          <a:extLst>
            <a:ext uri="{FF2B5EF4-FFF2-40B4-BE49-F238E27FC236}">
              <a16:creationId xmlns:a16="http://schemas.microsoft.com/office/drawing/2014/main" xmlns="" id="{00000000-0008-0000-0500-0000391C0100}"/>
            </a:ext>
          </a:extLst>
        </xdr:cNvPr>
        <xdr:cNvSpPr>
          <a:spLocks noChangeShapeType="1"/>
        </xdr:cNvSpPr>
      </xdr:nvSpPr>
      <xdr:spPr bwMode="auto">
        <a:xfrm flipV="1">
          <a:off x="1104900" y="409194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794</xdr:colOff>
      <xdr:row>15</xdr:row>
      <xdr:rowOff>6826</xdr:rowOff>
    </xdr:from>
    <xdr:to>
      <xdr:col>3</xdr:col>
      <xdr:colOff>8414</xdr:colOff>
      <xdr:row>15</xdr:row>
      <xdr:rowOff>8414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CxnSpPr>
          <a:stCxn id="72761" idx="0"/>
        </xdr:cNvCxnSpPr>
      </xdr:nvCxnSpPr>
      <xdr:spPr bwMode="auto">
        <a:xfrm rot="5400000" flipH="1" flipV="1">
          <a:off x="1844040" y="2194560"/>
          <a:ext cx="1588" cy="147828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1050766</xdr:colOff>
      <xdr:row>14</xdr:row>
      <xdr:rowOff>23654</xdr:rowOff>
    </xdr:from>
    <xdr:to>
      <xdr:col>4</xdr:col>
      <xdr:colOff>794</xdr:colOff>
      <xdr:row>16</xdr:row>
      <xdr:rowOff>137954</xdr:rowOff>
    </xdr:to>
    <xdr:cxnSp macro="">
      <xdr:nvCxnSpPr>
        <xdr:cNvPr id="26" name="25 Conector recto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CxnSpPr/>
      </xdr:nvCxnSpPr>
      <xdr:spPr bwMode="auto">
        <a:xfrm rot="5400000" flipH="1" flipV="1">
          <a:off x="3394710" y="3006090"/>
          <a:ext cx="4648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396240</xdr:colOff>
      <xdr:row>16</xdr:row>
      <xdr:rowOff>169228</xdr:rowOff>
    </xdr:from>
    <xdr:to>
      <xdr:col>5</xdr:col>
      <xdr:colOff>746760</xdr:colOff>
      <xdr:row>17</xdr:row>
      <xdr:rowOff>15240</xdr:rowOff>
    </xdr:to>
    <xdr:cxnSp macro="">
      <xdr:nvCxnSpPr>
        <xdr:cNvPr id="27" name="26 Conector recto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CxnSpPr/>
      </xdr:nvCxnSpPr>
      <xdr:spPr bwMode="auto">
        <a:xfrm>
          <a:off x="4023360" y="3270568"/>
          <a:ext cx="1287780" cy="2127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7620</xdr:colOff>
      <xdr:row>14</xdr:row>
      <xdr:rowOff>30480</xdr:rowOff>
    </xdr:from>
    <xdr:to>
      <xdr:col>2</xdr:col>
      <xdr:colOff>15240</xdr:colOff>
      <xdr:row>16</xdr:row>
      <xdr:rowOff>160020</xdr:rowOff>
    </xdr:to>
    <xdr:cxnSp macro="">
      <xdr:nvCxnSpPr>
        <xdr:cNvPr id="30" name="29 Conector recto de flecha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CxnSpPr/>
      </xdr:nvCxnSpPr>
      <xdr:spPr bwMode="auto">
        <a:xfrm rot="5400000" flipH="1" flipV="1">
          <a:off x="1569720" y="3017520"/>
          <a:ext cx="4800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517366</xdr:colOff>
      <xdr:row>15</xdr:row>
      <xdr:rowOff>16034</xdr:rowOff>
    </xdr:from>
    <xdr:to>
      <xdr:col>2</xdr:col>
      <xdr:colOff>518954</xdr:colOff>
      <xdr:row>17</xdr:row>
      <xdr:rowOff>794</xdr:rowOff>
    </xdr:to>
    <xdr:cxnSp macro="">
      <xdr:nvCxnSpPr>
        <xdr:cNvPr id="32" name="31 Conector recto de flecha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CxnSpPr/>
      </xdr:nvCxnSpPr>
      <xdr:spPr bwMode="auto">
        <a:xfrm rot="5400000" flipH="1" flipV="1">
          <a:off x="2148840" y="3108960"/>
          <a:ext cx="3352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486886</xdr:colOff>
      <xdr:row>17</xdr:row>
      <xdr:rowOff>23654</xdr:rowOff>
    </xdr:from>
    <xdr:to>
      <xdr:col>5</xdr:col>
      <xdr:colOff>488474</xdr:colOff>
      <xdr:row>18</xdr:row>
      <xdr:rowOff>92234</xdr:rowOff>
    </xdr:to>
    <xdr:cxnSp macro="">
      <xdr:nvCxnSpPr>
        <xdr:cNvPr id="34" name="33 Conector recto de flecha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CxnSpPr/>
      </xdr:nvCxnSpPr>
      <xdr:spPr bwMode="auto">
        <a:xfrm rot="5400000" flipH="1" flipV="1">
          <a:off x="4930140" y="3421380"/>
          <a:ext cx="2438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137954</xdr:colOff>
      <xdr:row>14</xdr:row>
      <xdr:rowOff>61754</xdr:rowOff>
    </xdr:from>
    <xdr:to>
      <xdr:col>5</xdr:col>
      <xdr:colOff>144780</xdr:colOff>
      <xdr:row>18</xdr:row>
      <xdr:rowOff>167640</xdr:rowOff>
    </xdr:to>
    <xdr:cxnSp macro="">
      <xdr:nvCxnSpPr>
        <xdr:cNvPr id="36" name="35 Conector recto de flecha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CxnSpPr/>
      </xdr:nvCxnSpPr>
      <xdr:spPr bwMode="auto">
        <a:xfrm rot="16200000" flipV="1">
          <a:off x="4302284" y="3212624"/>
          <a:ext cx="806926" cy="6826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502920</xdr:colOff>
      <xdr:row>39</xdr:row>
      <xdr:rowOff>91440</xdr:rowOff>
    </xdr:from>
    <xdr:to>
      <xdr:col>1</xdr:col>
      <xdr:colOff>228600</xdr:colOff>
      <xdr:row>41</xdr:row>
      <xdr:rowOff>76200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4069080"/>
          <a:ext cx="83058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46</xdr:row>
      <xdr:rowOff>0</xdr:rowOff>
    </xdr:from>
    <xdr:to>
      <xdr:col>1</xdr:col>
      <xdr:colOff>449580</xdr:colOff>
      <xdr:row>46</xdr:row>
      <xdr:rowOff>190500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xmlns="" id="{00000000-0008-0000-05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5204460"/>
          <a:ext cx="109728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441960</xdr:colOff>
      <xdr:row>52</xdr:row>
      <xdr:rowOff>22860</xdr:rowOff>
    </xdr:from>
    <xdr:to>
      <xdr:col>2</xdr:col>
      <xdr:colOff>160020</xdr:colOff>
      <xdr:row>53</xdr:row>
      <xdr:rowOff>22860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xmlns="" id="{00000000-0008-0000-05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1960" y="6309360"/>
          <a:ext cx="1516380" cy="1752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411480</xdr:colOff>
      <xdr:row>58</xdr:row>
      <xdr:rowOff>15240</xdr:rowOff>
    </xdr:from>
    <xdr:to>
      <xdr:col>2</xdr:col>
      <xdr:colOff>373380</xdr:colOff>
      <xdr:row>59</xdr:row>
      <xdr:rowOff>15240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xmlns="" id="{00000000-0008-0000-05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480" y="7383780"/>
          <a:ext cx="1760220" cy="1752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487680</xdr:colOff>
      <xdr:row>76</xdr:row>
      <xdr:rowOff>7620</xdr:rowOff>
    </xdr:from>
    <xdr:to>
      <xdr:col>2</xdr:col>
      <xdr:colOff>601980</xdr:colOff>
      <xdr:row>78</xdr:row>
      <xdr:rowOff>0</xdr:rowOff>
    </xdr:to>
    <xdr:pic>
      <xdr:nvPicPr>
        <xdr:cNvPr id="56" name="Picture 17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12085320"/>
          <a:ext cx="191262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472440</xdr:colOff>
      <xdr:row>82</xdr:row>
      <xdr:rowOff>167640</xdr:rowOff>
    </xdr:from>
    <xdr:to>
      <xdr:col>2</xdr:col>
      <xdr:colOff>144780</xdr:colOff>
      <xdr:row>84</xdr:row>
      <xdr:rowOff>7620</xdr:rowOff>
    </xdr:to>
    <xdr:pic>
      <xdr:nvPicPr>
        <xdr:cNvPr id="57" name="Picture 18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2440" y="13296900"/>
          <a:ext cx="14706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89</xdr:row>
      <xdr:rowOff>0</xdr:rowOff>
    </xdr:from>
    <xdr:to>
      <xdr:col>1</xdr:col>
      <xdr:colOff>350520</xdr:colOff>
      <xdr:row>90</xdr:row>
      <xdr:rowOff>15240</xdr:rowOff>
    </xdr:to>
    <xdr:pic>
      <xdr:nvPicPr>
        <xdr:cNvPr id="58" name="Picture 19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14356080"/>
          <a:ext cx="9982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495300</xdr:colOff>
      <xdr:row>103</xdr:row>
      <xdr:rowOff>160020</xdr:rowOff>
    </xdr:from>
    <xdr:to>
      <xdr:col>2</xdr:col>
      <xdr:colOff>243840</xdr:colOff>
      <xdr:row>105</xdr:row>
      <xdr:rowOff>152400</xdr:rowOff>
    </xdr:to>
    <xdr:pic>
      <xdr:nvPicPr>
        <xdr:cNvPr id="59" name="Picture 10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5300" y="17731740"/>
          <a:ext cx="154686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487680</xdr:colOff>
      <xdr:row>108</xdr:row>
      <xdr:rowOff>167640</xdr:rowOff>
    </xdr:from>
    <xdr:to>
      <xdr:col>1</xdr:col>
      <xdr:colOff>91440</xdr:colOff>
      <xdr:row>110</xdr:row>
      <xdr:rowOff>160020</xdr:rowOff>
    </xdr:to>
    <xdr:pic>
      <xdr:nvPicPr>
        <xdr:cNvPr id="60" name="Picture 12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18615660"/>
          <a:ext cx="70866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533400</xdr:colOff>
      <xdr:row>128</xdr:row>
      <xdr:rowOff>30480</xdr:rowOff>
    </xdr:from>
    <xdr:to>
      <xdr:col>1</xdr:col>
      <xdr:colOff>579120</xdr:colOff>
      <xdr:row>131</xdr:row>
      <xdr:rowOff>0</xdr:rowOff>
    </xdr:to>
    <xdr:pic>
      <xdr:nvPicPr>
        <xdr:cNvPr id="61" name="Picture 16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33400" y="20055840"/>
          <a:ext cx="1150620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464820</xdr:colOff>
      <xdr:row>116</xdr:row>
      <xdr:rowOff>7620</xdr:rowOff>
    </xdr:from>
    <xdr:to>
      <xdr:col>1</xdr:col>
      <xdr:colOff>464820</xdr:colOff>
      <xdr:row>117</xdr:row>
      <xdr:rowOff>22860</xdr:rowOff>
    </xdr:to>
    <xdr:pic>
      <xdr:nvPicPr>
        <xdr:cNvPr id="62" name="Picture 11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4820" y="19857720"/>
          <a:ext cx="11049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480060</xdr:colOff>
      <xdr:row>120</xdr:row>
      <xdr:rowOff>0</xdr:rowOff>
    </xdr:from>
    <xdr:to>
      <xdr:col>0</xdr:col>
      <xdr:colOff>982980</xdr:colOff>
      <xdr:row>121</xdr:row>
      <xdr:rowOff>160020</xdr:rowOff>
    </xdr:to>
    <xdr:pic>
      <xdr:nvPicPr>
        <xdr:cNvPr id="63" name="Picture 1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0060" y="20551140"/>
          <a:ext cx="502920" cy="3352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205740</xdr:colOff>
      <xdr:row>147</xdr:row>
      <xdr:rowOff>38100</xdr:rowOff>
    </xdr:from>
    <xdr:to>
      <xdr:col>3</xdr:col>
      <xdr:colOff>213360</xdr:colOff>
      <xdr:row>150</xdr:row>
      <xdr:rowOff>137160</xdr:rowOff>
    </xdr:to>
    <xdr:cxnSp macro="">
      <xdr:nvCxnSpPr>
        <xdr:cNvPr id="66" name="65 Conector recto de flecha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CxnSpPr/>
      </xdr:nvCxnSpPr>
      <xdr:spPr bwMode="auto">
        <a:xfrm rot="16200000" flipH="1">
          <a:off x="2472690" y="25454610"/>
          <a:ext cx="62484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487680</xdr:colOff>
      <xdr:row>152</xdr:row>
      <xdr:rowOff>167640</xdr:rowOff>
    </xdr:from>
    <xdr:to>
      <xdr:col>0</xdr:col>
      <xdr:colOff>967740</xdr:colOff>
      <xdr:row>154</xdr:row>
      <xdr:rowOff>152400</xdr:rowOff>
    </xdr:to>
    <xdr:pic>
      <xdr:nvPicPr>
        <xdr:cNvPr id="67" name="Picture 25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26151840"/>
          <a:ext cx="480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502920</xdr:colOff>
      <xdr:row>164</xdr:row>
      <xdr:rowOff>30480</xdr:rowOff>
    </xdr:from>
    <xdr:to>
      <xdr:col>0</xdr:col>
      <xdr:colOff>982980</xdr:colOff>
      <xdr:row>166</xdr:row>
      <xdr:rowOff>15240</xdr:rowOff>
    </xdr:to>
    <xdr:pic>
      <xdr:nvPicPr>
        <xdr:cNvPr id="69" name="Picture 26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28117800"/>
          <a:ext cx="480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426720</xdr:colOff>
      <xdr:row>174</xdr:row>
      <xdr:rowOff>160020</xdr:rowOff>
    </xdr:from>
    <xdr:to>
      <xdr:col>0</xdr:col>
      <xdr:colOff>906780</xdr:colOff>
      <xdr:row>176</xdr:row>
      <xdr:rowOff>144780</xdr:rowOff>
    </xdr:to>
    <xdr:pic>
      <xdr:nvPicPr>
        <xdr:cNvPr id="71" name="Picture 27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29999940"/>
          <a:ext cx="480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472440</xdr:colOff>
      <xdr:row>183</xdr:row>
      <xdr:rowOff>7620</xdr:rowOff>
    </xdr:from>
    <xdr:to>
      <xdr:col>2</xdr:col>
      <xdr:colOff>312420</xdr:colOff>
      <xdr:row>184</xdr:row>
      <xdr:rowOff>22860</xdr:rowOff>
    </xdr:to>
    <xdr:pic>
      <xdr:nvPicPr>
        <xdr:cNvPr id="74" name="Picture 24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2440" y="33002220"/>
          <a:ext cx="16383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426720</xdr:colOff>
      <xdr:row>188</xdr:row>
      <xdr:rowOff>114300</xdr:rowOff>
    </xdr:from>
    <xdr:to>
      <xdr:col>1</xdr:col>
      <xdr:colOff>449580</xdr:colOff>
      <xdr:row>191</xdr:row>
      <xdr:rowOff>83820</xdr:rowOff>
    </xdr:to>
    <xdr:pic>
      <xdr:nvPicPr>
        <xdr:cNvPr id="75" name="Picture 30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33985200"/>
          <a:ext cx="1127760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579120</xdr:colOff>
      <xdr:row>22</xdr:row>
      <xdr:rowOff>22860</xdr:rowOff>
    </xdr:from>
    <xdr:to>
      <xdr:col>1</xdr:col>
      <xdr:colOff>358140</xdr:colOff>
      <xdr:row>23</xdr:row>
      <xdr:rowOff>38100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xmlns="" id="{00000000-0008-0000-05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79120" y="4130040"/>
          <a:ext cx="8839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358140</xdr:colOff>
      <xdr:row>148</xdr:row>
      <xdr:rowOff>0</xdr:rowOff>
    </xdr:from>
    <xdr:to>
      <xdr:col>2</xdr:col>
      <xdr:colOff>99060</xdr:colOff>
      <xdr:row>150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25176480"/>
          <a:ext cx="1539240" cy="3505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171</xdr:row>
      <xdr:rowOff>0</xdr:rowOff>
    </xdr:from>
    <xdr:to>
      <xdr:col>1</xdr:col>
      <xdr:colOff>480060</xdr:colOff>
      <xdr:row>172</xdr:row>
      <xdr:rowOff>15240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5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29207460"/>
          <a:ext cx="11277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327660</xdr:colOff>
      <xdr:row>159</xdr:row>
      <xdr:rowOff>152400</xdr:rowOff>
    </xdr:from>
    <xdr:to>
      <xdr:col>2</xdr:col>
      <xdr:colOff>68580</xdr:colOff>
      <xdr:row>161</xdr:row>
      <xdr:rowOff>152400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7660" y="27256740"/>
          <a:ext cx="1539240" cy="3505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4</xdr:row>
      <xdr:rowOff>0</xdr:rowOff>
    </xdr:from>
    <xdr:to>
      <xdr:col>3</xdr:col>
      <xdr:colOff>22860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2598420" y="1097280"/>
          <a:ext cx="0" cy="7086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8</xdr:row>
      <xdr:rowOff>0</xdr:rowOff>
    </xdr:from>
    <xdr:to>
      <xdr:col>3</xdr:col>
      <xdr:colOff>22860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754380" y="1805940"/>
          <a:ext cx="184404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8</xdr:row>
      <xdr:rowOff>7620</xdr:rowOff>
    </xdr:from>
    <xdr:to>
      <xdr:col>0</xdr:col>
      <xdr:colOff>762000</xdr:colOff>
      <xdr:row>11</xdr:row>
      <xdr:rowOff>15240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762000" y="1813560"/>
          <a:ext cx="0" cy="4343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11</xdr:row>
      <xdr:rowOff>30480</xdr:rowOff>
    </xdr:from>
    <xdr:to>
      <xdr:col>5</xdr:col>
      <xdr:colOff>662940</xdr:colOff>
      <xdr:row>11</xdr:row>
      <xdr:rowOff>30480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>
          <a:spLocks noChangeShapeType="1"/>
        </xdr:cNvSpPr>
      </xdr:nvSpPr>
      <xdr:spPr bwMode="auto">
        <a:xfrm>
          <a:off x="762000" y="2263140"/>
          <a:ext cx="44653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678180</xdr:colOff>
      <xdr:row>8</xdr:row>
      <xdr:rowOff>0</xdr:rowOff>
    </xdr:from>
    <xdr:to>
      <xdr:col>5</xdr:col>
      <xdr:colOff>678180</xdr:colOff>
      <xdr:row>11</xdr:row>
      <xdr:rowOff>30480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>
          <a:spLocks noChangeShapeType="1"/>
        </xdr:cNvSpPr>
      </xdr:nvSpPr>
      <xdr:spPr bwMode="auto">
        <a:xfrm flipV="1">
          <a:off x="5242560" y="1805940"/>
          <a:ext cx="0" cy="4572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22860</xdr:colOff>
      <xdr:row>8</xdr:row>
      <xdr:rowOff>0</xdr:rowOff>
    </xdr:from>
    <xdr:to>
      <xdr:col>5</xdr:col>
      <xdr:colOff>678180</xdr:colOff>
      <xdr:row>8</xdr:row>
      <xdr:rowOff>15240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>
          <a:spLocks noChangeShapeType="1"/>
        </xdr:cNvSpPr>
      </xdr:nvSpPr>
      <xdr:spPr bwMode="auto">
        <a:xfrm flipH="1">
          <a:off x="3649980" y="1805940"/>
          <a:ext cx="1592580" cy="152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</xdr:colOff>
      <xdr:row>4</xdr:row>
      <xdr:rowOff>22860</xdr:rowOff>
    </xdr:from>
    <xdr:to>
      <xdr:col>4</xdr:col>
      <xdr:colOff>30480</xdr:colOff>
      <xdr:row>8</xdr:row>
      <xdr:rowOff>38100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>
          <a:spLocks noChangeShapeType="1"/>
        </xdr:cNvSpPr>
      </xdr:nvSpPr>
      <xdr:spPr bwMode="auto">
        <a:xfrm flipV="1">
          <a:off x="3657600" y="1120140"/>
          <a:ext cx="0" cy="7239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</xdr:colOff>
      <xdr:row>14</xdr:row>
      <xdr:rowOff>7620</xdr:rowOff>
    </xdr:from>
    <xdr:to>
      <xdr:col>5</xdr:col>
      <xdr:colOff>731520</xdr:colOff>
      <xdr:row>14</xdr:row>
      <xdr:rowOff>7620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>
          <a:spLocks noChangeShapeType="1"/>
        </xdr:cNvSpPr>
      </xdr:nvSpPr>
      <xdr:spPr bwMode="auto">
        <a:xfrm>
          <a:off x="1135380" y="2712720"/>
          <a:ext cx="4160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15</xdr:row>
      <xdr:rowOff>7620</xdr:rowOff>
    </xdr:from>
    <xdr:to>
      <xdr:col>5</xdr:col>
      <xdr:colOff>769620</xdr:colOff>
      <xdr:row>18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>
          <a:spLocks noChangeShapeType="1"/>
        </xdr:cNvSpPr>
      </xdr:nvSpPr>
      <xdr:spPr bwMode="auto">
        <a:xfrm>
          <a:off x="1112520" y="2887980"/>
          <a:ext cx="422148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731520</xdr:colOff>
      <xdr:row>13</xdr:row>
      <xdr:rowOff>160020</xdr:rowOff>
    </xdr:from>
    <xdr:to>
      <xdr:col>5</xdr:col>
      <xdr:colOff>769620</xdr:colOff>
      <xdr:row>18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5295900" y="2689860"/>
          <a:ext cx="38100" cy="716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5</xdr:row>
      <xdr:rowOff>160020</xdr:rowOff>
    </xdr:from>
    <xdr:to>
      <xdr:col>2</xdr:col>
      <xdr:colOff>678180</xdr:colOff>
      <xdr:row>6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>
          <a:spLocks noChangeShapeType="1"/>
        </xdr:cNvSpPr>
      </xdr:nvSpPr>
      <xdr:spPr bwMode="auto">
        <a:xfrm flipV="1">
          <a:off x="762000" y="1455420"/>
          <a:ext cx="1714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678180</xdr:colOff>
      <xdr:row>6</xdr:row>
      <xdr:rowOff>0</xdr:rowOff>
    </xdr:from>
    <xdr:to>
      <xdr:col>2</xdr:col>
      <xdr:colOff>678180</xdr:colOff>
      <xdr:row>7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>
          <a:spLocks noChangeShapeType="1"/>
        </xdr:cNvSpPr>
      </xdr:nvSpPr>
      <xdr:spPr bwMode="auto">
        <a:xfrm>
          <a:off x="2476500" y="14554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7</xdr:row>
      <xdr:rowOff>7620</xdr:rowOff>
    </xdr:from>
    <xdr:to>
      <xdr:col>2</xdr:col>
      <xdr:colOff>678180</xdr:colOff>
      <xdr:row>7</xdr:row>
      <xdr:rowOff>15240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762000" y="1638300"/>
          <a:ext cx="171450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6</xdr:row>
      <xdr:rowOff>0</xdr:rowOff>
    </xdr:from>
    <xdr:to>
      <xdr:col>0</xdr:col>
      <xdr:colOff>762000</xdr:colOff>
      <xdr:row>7</xdr:row>
      <xdr:rowOff>7620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>
          <a:spLocks noChangeShapeType="1"/>
        </xdr:cNvSpPr>
      </xdr:nvSpPr>
      <xdr:spPr bwMode="auto">
        <a:xfrm flipV="1">
          <a:off x="762000" y="145542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396240</xdr:colOff>
      <xdr:row>14</xdr:row>
      <xdr:rowOff>30480</xdr:rowOff>
    </xdr:from>
    <xdr:to>
      <xdr:col>4</xdr:col>
      <xdr:colOff>396240</xdr:colOff>
      <xdr:row>17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>
          <a:spLocks noChangeShapeType="1"/>
        </xdr:cNvSpPr>
      </xdr:nvSpPr>
      <xdr:spPr bwMode="auto">
        <a:xfrm>
          <a:off x="4023360" y="2735580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160020</xdr:rowOff>
    </xdr:from>
    <xdr:to>
      <xdr:col>3</xdr:col>
      <xdr:colOff>7620</xdr:colOff>
      <xdr:row>16</xdr:row>
      <xdr:rowOff>30480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>
          <a:spLocks noChangeShapeType="1"/>
        </xdr:cNvSpPr>
      </xdr:nvSpPr>
      <xdr:spPr bwMode="auto">
        <a:xfrm>
          <a:off x="2575560" y="2689860"/>
          <a:ext cx="762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</xdr:row>
      <xdr:rowOff>99060</xdr:rowOff>
    </xdr:from>
    <xdr:to>
      <xdr:col>3</xdr:col>
      <xdr:colOff>281940</xdr:colOff>
      <xdr:row>12</xdr:row>
      <xdr:rowOff>99060</xdr:rowOff>
    </xdr:to>
    <xdr:sp macro="" textlink="">
      <xdr:nvSpPr>
        <xdr:cNvPr id="18" name="Line 19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>
          <a:spLocks noChangeShapeType="1"/>
        </xdr:cNvSpPr>
      </xdr:nvSpPr>
      <xdr:spPr bwMode="auto">
        <a:xfrm flipH="1">
          <a:off x="1112520" y="2453640"/>
          <a:ext cx="174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</xdr:colOff>
      <xdr:row>12</xdr:row>
      <xdr:rowOff>114300</xdr:rowOff>
    </xdr:from>
    <xdr:to>
      <xdr:col>5</xdr:col>
      <xdr:colOff>701040</xdr:colOff>
      <xdr:row>12</xdr:row>
      <xdr:rowOff>114300</xdr:rowOff>
    </xdr:to>
    <xdr:sp macro="" textlink="">
      <xdr:nvSpPr>
        <xdr:cNvPr id="19" name="Line 20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>
          <a:spLocks noChangeShapeType="1"/>
        </xdr:cNvSpPr>
      </xdr:nvSpPr>
      <xdr:spPr bwMode="auto">
        <a:xfrm>
          <a:off x="3672840" y="2468880"/>
          <a:ext cx="15925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15</xdr:row>
      <xdr:rowOff>7620</xdr:rowOff>
    </xdr:to>
    <xdr:sp macro="" textlink="">
      <xdr:nvSpPr>
        <xdr:cNvPr id="20" name="Line 21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>
          <a:spLocks noChangeShapeType="1"/>
        </xdr:cNvSpPr>
      </xdr:nvSpPr>
      <xdr:spPr bwMode="auto">
        <a:xfrm flipV="1">
          <a:off x="1104900" y="270510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794</xdr:colOff>
      <xdr:row>15</xdr:row>
      <xdr:rowOff>6826</xdr:rowOff>
    </xdr:from>
    <xdr:to>
      <xdr:col>3</xdr:col>
      <xdr:colOff>8414</xdr:colOff>
      <xdr:row>15</xdr:row>
      <xdr:rowOff>8414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CxnSpPr>
          <a:stCxn id="20" idx="0"/>
        </xdr:cNvCxnSpPr>
      </xdr:nvCxnSpPr>
      <xdr:spPr bwMode="auto">
        <a:xfrm rot="5400000" flipH="1" flipV="1">
          <a:off x="1844040" y="2148840"/>
          <a:ext cx="1588" cy="147828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1050766</xdr:colOff>
      <xdr:row>14</xdr:row>
      <xdr:rowOff>23654</xdr:rowOff>
    </xdr:from>
    <xdr:to>
      <xdr:col>4</xdr:col>
      <xdr:colOff>794</xdr:colOff>
      <xdr:row>16</xdr:row>
      <xdr:rowOff>137954</xdr:rowOff>
    </xdr:to>
    <xdr:cxnSp macro="">
      <xdr:nvCxnSpPr>
        <xdr:cNvPr id="23" name="22 Conector recto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CxnSpPr/>
      </xdr:nvCxnSpPr>
      <xdr:spPr bwMode="auto">
        <a:xfrm rot="5400000" flipH="1" flipV="1">
          <a:off x="3394710" y="2960370"/>
          <a:ext cx="464820" cy="158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396240</xdr:colOff>
      <xdr:row>16</xdr:row>
      <xdr:rowOff>169228</xdr:rowOff>
    </xdr:from>
    <xdr:to>
      <xdr:col>5</xdr:col>
      <xdr:colOff>746760</xdr:colOff>
      <xdr:row>17</xdr:row>
      <xdr:rowOff>15240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CxnSpPr/>
      </xdr:nvCxnSpPr>
      <xdr:spPr bwMode="auto">
        <a:xfrm>
          <a:off x="4023360" y="3224848"/>
          <a:ext cx="1287780" cy="2127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7620</xdr:colOff>
      <xdr:row>14</xdr:row>
      <xdr:rowOff>30480</xdr:rowOff>
    </xdr:from>
    <xdr:to>
      <xdr:col>2</xdr:col>
      <xdr:colOff>15240</xdr:colOff>
      <xdr:row>16</xdr:row>
      <xdr:rowOff>160020</xdr:rowOff>
    </xdr:to>
    <xdr:cxnSp macro="">
      <xdr:nvCxnSpPr>
        <xdr:cNvPr id="25" name="24 Conector recto de flecha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CxnSpPr/>
      </xdr:nvCxnSpPr>
      <xdr:spPr bwMode="auto">
        <a:xfrm rot="5400000" flipH="1" flipV="1">
          <a:off x="1569720" y="2971800"/>
          <a:ext cx="48006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517366</xdr:colOff>
      <xdr:row>15</xdr:row>
      <xdr:rowOff>16034</xdr:rowOff>
    </xdr:from>
    <xdr:to>
      <xdr:col>2</xdr:col>
      <xdr:colOff>518954</xdr:colOff>
      <xdr:row>17</xdr:row>
      <xdr:rowOff>794</xdr:rowOff>
    </xdr:to>
    <xdr:cxnSp macro="">
      <xdr:nvCxnSpPr>
        <xdr:cNvPr id="26" name="25 Conector recto de flecha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CxnSpPr/>
      </xdr:nvCxnSpPr>
      <xdr:spPr bwMode="auto">
        <a:xfrm rot="5400000" flipH="1" flipV="1">
          <a:off x="2148840" y="3063240"/>
          <a:ext cx="33528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486886</xdr:colOff>
      <xdr:row>17</xdr:row>
      <xdr:rowOff>23654</xdr:rowOff>
    </xdr:from>
    <xdr:to>
      <xdr:col>5</xdr:col>
      <xdr:colOff>488474</xdr:colOff>
      <xdr:row>18</xdr:row>
      <xdr:rowOff>92234</xdr:rowOff>
    </xdr:to>
    <xdr:cxnSp macro="">
      <xdr:nvCxnSpPr>
        <xdr:cNvPr id="27" name="26 Conector recto de flecha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CxnSpPr/>
      </xdr:nvCxnSpPr>
      <xdr:spPr bwMode="auto">
        <a:xfrm rot="5400000" flipH="1" flipV="1">
          <a:off x="4930140" y="3375660"/>
          <a:ext cx="24384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137954</xdr:colOff>
      <xdr:row>14</xdr:row>
      <xdr:rowOff>61754</xdr:rowOff>
    </xdr:from>
    <xdr:to>
      <xdr:col>5</xdr:col>
      <xdr:colOff>144780</xdr:colOff>
      <xdr:row>18</xdr:row>
      <xdr:rowOff>167640</xdr:rowOff>
    </xdr:to>
    <xdr:cxnSp macro="">
      <xdr:nvCxnSpPr>
        <xdr:cNvPr id="28" name="27 Conector recto de flecha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CxnSpPr/>
      </xdr:nvCxnSpPr>
      <xdr:spPr bwMode="auto">
        <a:xfrm rot="16200000" flipV="1">
          <a:off x="4302284" y="3166904"/>
          <a:ext cx="806926" cy="6826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502920</xdr:colOff>
      <xdr:row>39</xdr:row>
      <xdr:rowOff>91440</xdr:rowOff>
    </xdr:from>
    <xdr:to>
      <xdr:col>1</xdr:col>
      <xdr:colOff>228600</xdr:colOff>
      <xdr:row>41</xdr:row>
      <xdr:rowOff>76200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7299960"/>
          <a:ext cx="83058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46</xdr:row>
      <xdr:rowOff>0</xdr:rowOff>
    </xdr:from>
    <xdr:to>
      <xdr:col>1</xdr:col>
      <xdr:colOff>449580</xdr:colOff>
      <xdr:row>46</xdr:row>
      <xdr:rowOff>190500</xdr:rowOff>
    </xdr:to>
    <xdr:pic>
      <xdr:nvPicPr>
        <xdr:cNvPr id="31" name="Picture 4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8435340"/>
          <a:ext cx="1097280" cy="1752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441960</xdr:colOff>
      <xdr:row>52</xdr:row>
      <xdr:rowOff>22860</xdr:rowOff>
    </xdr:from>
    <xdr:to>
      <xdr:col>2</xdr:col>
      <xdr:colOff>160020</xdr:colOff>
      <xdr:row>53</xdr:row>
      <xdr:rowOff>22860</xdr:rowOff>
    </xdr:to>
    <xdr:pic>
      <xdr:nvPicPr>
        <xdr:cNvPr id="32" name="Picture 5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1960" y="9540240"/>
          <a:ext cx="1516380" cy="1752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411480</xdr:colOff>
      <xdr:row>58</xdr:row>
      <xdr:rowOff>15240</xdr:rowOff>
    </xdr:from>
    <xdr:to>
      <xdr:col>2</xdr:col>
      <xdr:colOff>373380</xdr:colOff>
      <xdr:row>59</xdr:row>
      <xdr:rowOff>15240</xdr:rowOff>
    </xdr:to>
    <xdr:pic>
      <xdr:nvPicPr>
        <xdr:cNvPr id="33" name="Picture 6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480" y="10614660"/>
          <a:ext cx="1760220" cy="1752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487680</xdr:colOff>
      <xdr:row>76</xdr:row>
      <xdr:rowOff>7620</xdr:rowOff>
    </xdr:from>
    <xdr:to>
      <xdr:col>2</xdr:col>
      <xdr:colOff>601980</xdr:colOff>
      <xdr:row>78</xdr:row>
      <xdr:rowOff>0</xdr:rowOff>
    </xdr:to>
    <xdr:pic>
      <xdr:nvPicPr>
        <xdr:cNvPr id="38" name="Picture 17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13296900"/>
          <a:ext cx="191262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472440</xdr:colOff>
      <xdr:row>82</xdr:row>
      <xdr:rowOff>167640</xdr:rowOff>
    </xdr:from>
    <xdr:to>
      <xdr:col>2</xdr:col>
      <xdr:colOff>144780</xdr:colOff>
      <xdr:row>84</xdr:row>
      <xdr:rowOff>7620</xdr:rowOff>
    </xdr:to>
    <xdr:pic>
      <xdr:nvPicPr>
        <xdr:cNvPr id="39" name="Picture 18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2440" y="14508480"/>
          <a:ext cx="147066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495300</xdr:colOff>
      <xdr:row>103</xdr:row>
      <xdr:rowOff>160020</xdr:rowOff>
    </xdr:from>
    <xdr:to>
      <xdr:col>2</xdr:col>
      <xdr:colOff>243840</xdr:colOff>
      <xdr:row>105</xdr:row>
      <xdr:rowOff>152400</xdr:rowOff>
    </xdr:to>
    <xdr:pic>
      <xdr:nvPicPr>
        <xdr:cNvPr id="41" name="Picture 10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5300" y="17686020"/>
          <a:ext cx="154686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487680</xdr:colOff>
      <xdr:row>108</xdr:row>
      <xdr:rowOff>167640</xdr:rowOff>
    </xdr:from>
    <xdr:to>
      <xdr:col>1</xdr:col>
      <xdr:colOff>91440</xdr:colOff>
      <xdr:row>110</xdr:row>
      <xdr:rowOff>160020</xdr:rowOff>
    </xdr:to>
    <xdr:pic>
      <xdr:nvPicPr>
        <xdr:cNvPr id="42" name="Picture 12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18569940"/>
          <a:ext cx="708660" cy="34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464820</xdr:colOff>
      <xdr:row>116</xdr:row>
      <xdr:rowOff>7620</xdr:rowOff>
    </xdr:from>
    <xdr:to>
      <xdr:col>1</xdr:col>
      <xdr:colOff>464820</xdr:colOff>
      <xdr:row>117</xdr:row>
      <xdr:rowOff>22860</xdr:rowOff>
    </xdr:to>
    <xdr:pic>
      <xdr:nvPicPr>
        <xdr:cNvPr id="44" name="Picture 11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4820" y="19812000"/>
          <a:ext cx="11049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480060</xdr:colOff>
      <xdr:row>120</xdr:row>
      <xdr:rowOff>0</xdr:rowOff>
    </xdr:from>
    <xdr:to>
      <xdr:col>0</xdr:col>
      <xdr:colOff>982980</xdr:colOff>
      <xdr:row>121</xdr:row>
      <xdr:rowOff>160020</xdr:rowOff>
    </xdr:to>
    <xdr:pic>
      <xdr:nvPicPr>
        <xdr:cNvPr id="45" name="Picture 1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0060" y="20505420"/>
          <a:ext cx="50292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502920</xdr:colOff>
      <xdr:row>147</xdr:row>
      <xdr:rowOff>144780</xdr:rowOff>
    </xdr:from>
    <xdr:to>
      <xdr:col>1</xdr:col>
      <xdr:colOff>624840</xdr:colOff>
      <xdr:row>149</xdr:row>
      <xdr:rowOff>137160</xdr:rowOff>
    </xdr:to>
    <xdr:pic>
      <xdr:nvPicPr>
        <xdr:cNvPr id="46" name="Picture 20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25206960"/>
          <a:ext cx="1226820" cy="3429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205740</xdr:colOff>
      <xdr:row>147</xdr:row>
      <xdr:rowOff>38100</xdr:rowOff>
    </xdr:from>
    <xdr:to>
      <xdr:col>3</xdr:col>
      <xdr:colOff>213360</xdr:colOff>
      <xdr:row>150</xdr:row>
      <xdr:rowOff>137160</xdr:rowOff>
    </xdr:to>
    <xdr:cxnSp macro="">
      <xdr:nvCxnSpPr>
        <xdr:cNvPr id="47" name="46 Conector recto de flecha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CxnSpPr/>
      </xdr:nvCxnSpPr>
      <xdr:spPr bwMode="auto">
        <a:xfrm rot="16200000" flipH="1">
          <a:off x="2472690" y="25408890"/>
          <a:ext cx="62484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487680</xdr:colOff>
      <xdr:row>152</xdr:row>
      <xdr:rowOff>167640</xdr:rowOff>
    </xdr:from>
    <xdr:to>
      <xdr:col>0</xdr:col>
      <xdr:colOff>967740</xdr:colOff>
      <xdr:row>154</xdr:row>
      <xdr:rowOff>152400</xdr:rowOff>
    </xdr:to>
    <xdr:pic>
      <xdr:nvPicPr>
        <xdr:cNvPr id="48" name="Picture 25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26106120"/>
          <a:ext cx="480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464820</xdr:colOff>
      <xdr:row>160</xdr:row>
      <xdr:rowOff>15240</xdr:rowOff>
    </xdr:from>
    <xdr:to>
      <xdr:col>1</xdr:col>
      <xdr:colOff>236220</xdr:colOff>
      <xdr:row>161</xdr:row>
      <xdr:rowOff>30480</xdr:rowOff>
    </xdr:to>
    <xdr:pic>
      <xdr:nvPicPr>
        <xdr:cNvPr id="49" name="Picture 21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4820" y="27355800"/>
          <a:ext cx="8763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502920</xdr:colOff>
      <xdr:row>164</xdr:row>
      <xdr:rowOff>30480</xdr:rowOff>
    </xdr:from>
    <xdr:to>
      <xdr:col>0</xdr:col>
      <xdr:colOff>982980</xdr:colOff>
      <xdr:row>166</xdr:row>
      <xdr:rowOff>15240</xdr:rowOff>
    </xdr:to>
    <xdr:pic>
      <xdr:nvPicPr>
        <xdr:cNvPr id="50" name="Picture 26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28072080"/>
          <a:ext cx="480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441960</xdr:colOff>
      <xdr:row>171</xdr:row>
      <xdr:rowOff>30480</xdr:rowOff>
    </xdr:from>
    <xdr:to>
      <xdr:col>1</xdr:col>
      <xdr:colOff>144780</xdr:colOff>
      <xdr:row>172</xdr:row>
      <xdr:rowOff>45720</xdr:rowOff>
    </xdr:to>
    <xdr:pic>
      <xdr:nvPicPr>
        <xdr:cNvPr id="51" name="Picture 22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1960" y="29298900"/>
          <a:ext cx="8077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426720</xdr:colOff>
      <xdr:row>174</xdr:row>
      <xdr:rowOff>160020</xdr:rowOff>
    </xdr:from>
    <xdr:to>
      <xdr:col>0</xdr:col>
      <xdr:colOff>906780</xdr:colOff>
      <xdr:row>176</xdr:row>
      <xdr:rowOff>144780</xdr:rowOff>
    </xdr:to>
    <xdr:pic>
      <xdr:nvPicPr>
        <xdr:cNvPr id="52" name="Picture 27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29954220"/>
          <a:ext cx="480060" cy="3352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434340</xdr:colOff>
      <xdr:row>89</xdr:row>
      <xdr:rowOff>0</xdr:rowOff>
    </xdr:from>
    <xdr:to>
      <xdr:col>1</xdr:col>
      <xdr:colOff>327660</xdr:colOff>
      <xdr:row>90</xdr:row>
      <xdr:rowOff>15240</xdr:rowOff>
    </xdr:to>
    <xdr:pic>
      <xdr:nvPicPr>
        <xdr:cNvPr id="57" name="Picture 4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4340" y="15506700"/>
          <a:ext cx="99822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365760</xdr:colOff>
      <xdr:row>128</xdr:row>
      <xdr:rowOff>53340</xdr:rowOff>
    </xdr:from>
    <xdr:to>
      <xdr:col>1</xdr:col>
      <xdr:colOff>411480</xdr:colOff>
      <xdr:row>131</xdr:row>
      <xdr:rowOff>22860</xdr:rowOff>
    </xdr:to>
    <xdr:pic>
      <xdr:nvPicPr>
        <xdr:cNvPr id="58" name="Picture 2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65760" y="21899880"/>
          <a:ext cx="1150620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441960</xdr:colOff>
      <xdr:row>183</xdr:row>
      <xdr:rowOff>0</xdr:rowOff>
    </xdr:from>
    <xdr:to>
      <xdr:col>2</xdr:col>
      <xdr:colOff>281940</xdr:colOff>
      <xdr:row>184</xdr:row>
      <xdr:rowOff>15240</xdr:rowOff>
    </xdr:to>
    <xdr:pic>
      <xdr:nvPicPr>
        <xdr:cNvPr id="60" name="Picture 3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1960" y="32537400"/>
          <a:ext cx="1638300" cy="190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373380</xdr:colOff>
      <xdr:row>188</xdr:row>
      <xdr:rowOff>167640</xdr:rowOff>
    </xdr:from>
    <xdr:to>
      <xdr:col>1</xdr:col>
      <xdr:colOff>396240</xdr:colOff>
      <xdr:row>191</xdr:row>
      <xdr:rowOff>137160</xdr:rowOff>
    </xdr:to>
    <xdr:pic>
      <xdr:nvPicPr>
        <xdr:cNvPr id="61" name="Picture 5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3380" y="33581340"/>
          <a:ext cx="1127760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381000</xdr:colOff>
      <xdr:row>22</xdr:row>
      <xdr:rowOff>15240</xdr:rowOff>
    </xdr:from>
    <xdr:to>
      <xdr:col>1</xdr:col>
      <xdr:colOff>160020</xdr:colOff>
      <xdr:row>23</xdr:row>
      <xdr:rowOff>30480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xmlns="" id="{00000000-0008-0000-06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4122420"/>
          <a:ext cx="883920" cy="1905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4</xdr:row>
      <xdr:rowOff>0</xdr:rowOff>
    </xdr:from>
    <xdr:to>
      <xdr:col>3</xdr:col>
      <xdr:colOff>22860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2527935" y="1114425"/>
          <a:ext cx="0" cy="7239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8</xdr:row>
      <xdr:rowOff>0</xdr:rowOff>
    </xdr:from>
    <xdr:to>
      <xdr:col>3</xdr:col>
      <xdr:colOff>22860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>
          <a:spLocks noChangeShapeType="1"/>
        </xdr:cNvSpPr>
      </xdr:nvSpPr>
      <xdr:spPr bwMode="auto">
        <a:xfrm flipH="1">
          <a:off x="754380" y="1838325"/>
          <a:ext cx="177355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8</xdr:row>
      <xdr:rowOff>7620</xdr:rowOff>
    </xdr:from>
    <xdr:to>
      <xdr:col>0</xdr:col>
      <xdr:colOff>762000</xdr:colOff>
      <xdr:row>11</xdr:row>
      <xdr:rowOff>15240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762000" y="1845945"/>
          <a:ext cx="0" cy="45529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11</xdr:row>
      <xdr:rowOff>30480</xdr:rowOff>
    </xdr:from>
    <xdr:to>
      <xdr:col>5</xdr:col>
      <xdr:colOff>662940</xdr:colOff>
      <xdr:row>11</xdr:row>
      <xdr:rowOff>30480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762000" y="2316480"/>
          <a:ext cx="433959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678180</xdr:colOff>
      <xdr:row>8</xdr:row>
      <xdr:rowOff>0</xdr:rowOff>
    </xdr:from>
    <xdr:to>
      <xdr:col>5</xdr:col>
      <xdr:colOff>678180</xdr:colOff>
      <xdr:row>11</xdr:row>
      <xdr:rowOff>30480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ShapeType="1"/>
        </xdr:cNvSpPr>
      </xdr:nvSpPr>
      <xdr:spPr bwMode="auto">
        <a:xfrm flipV="1">
          <a:off x="5116830" y="1838325"/>
          <a:ext cx="0" cy="4781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22860</xdr:colOff>
      <xdr:row>8</xdr:row>
      <xdr:rowOff>0</xdr:rowOff>
    </xdr:from>
    <xdr:to>
      <xdr:col>5</xdr:col>
      <xdr:colOff>678180</xdr:colOff>
      <xdr:row>8</xdr:row>
      <xdr:rowOff>15240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ShapeType="1"/>
        </xdr:cNvSpPr>
      </xdr:nvSpPr>
      <xdr:spPr bwMode="auto">
        <a:xfrm flipH="1">
          <a:off x="3547110" y="1838325"/>
          <a:ext cx="1569720" cy="152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</xdr:colOff>
      <xdr:row>4</xdr:row>
      <xdr:rowOff>22860</xdr:rowOff>
    </xdr:from>
    <xdr:to>
      <xdr:col>4</xdr:col>
      <xdr:colOff>30480</xdr:colOff>
      <xdr:row>8</xdr:row>
      <xdr:rowOff>38100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>
          <a:spLocks noChangeShapeType="1"/>
        </xdr:cNvSpPr>
      </xdr:nvSpPr>
      <xdr:spPr bwMode="auto">
        <a:xfrm flipV="1">
          <a:off x="3554730" y="1137285"/>
          <a:ext cx="0" cy="7391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</xdr:colOff>
      <xdr:row>14</xdr:row>
      <xdr:rowOff>7620</xdr:rowOff>
    </xdr:from>
    <xdr:to>
      <xdr:col>5</xdr:col>
      <xdr:colOff>731520</xdr:colOff>
      <xdr:row>14</xdr:row>
      <xdr:rowOff>7620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106805" y="2779395"/>
          <a:ext cx="40633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15</xdr:row>
      <xdr:rowOff>7620</xdr:rowOff>
    </xdr:from>
    <xdr:to>
      <xdr:col>5</xdr:col>
      <xdr:colOff>769620</xdr:colOff>
      <xdr:row>18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>
          <a:spLocks noChangeShapeType="1"/>
        </xdr:cNvSpPr>
      </xdr:nvSpPr>
      <xdr:spPr bwMode="auto">
        <a:xfrm>
          <a:off x="1083945" y="2960370"/>
          <a:ext cx="4124325" cy="5353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731520</xdr:colOff>
      <xdr:row>13</xdr:row>
      <xdr:rowOff>160020</xdr:rowOff>
    </xdr:from>
    <xdr:to>
      <xdr:col>5</xdr:col>
      <xdr:colOff>769620</xdr:colOff>
      <xdr:row>18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5170170" y="2750820"/>
          <a:ext cx="38100" cy="7448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5</xdr:row>
      <xdr:rowOff>160020</xdr:rowOff>
    </xdr:from>
    <xdr:to>
      <xdr:col>2</xdr:col>
      <xdr:colOff>678180</xdr:colOff>
      <xdr:row>6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ShapeType="1"/>
        </xdr:cNvSpPr>
      </xdr:nvSpPr>
      <xdr:spPr bwMode="auto">
        <a:xfrm flipV="1">
          <a:off x="762000" y="1474470"/>
          <a:ext cx="1668780" cy="19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678180</xdr:colOff>
      <xdr:row>6</xdr:row>
      <xdr:rowOff>0</xdr:rowOff>
    </xdr:from>
    <xdr:to>
      <xdr:col>2</xdr:col>
      <xdr:colOff>678180</xdr:colOff>
      <xdr:row>7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ShapeType="1"/>
        </xdr:cNvSpPr>
      </xdr:nvSpPr>
      <xdr:spPr bwMode="auto">
        <a:xfrm>
          <a:off x="2430780" y="1476375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7</xdr:row>
      <xdr:rowOff>7620</xdr:rowOff>
    </xdr:from>
    <xdr:to>
      <xdr:col>2</xdr:col>
      <xdr:colOff>678180</xdr:colOff>
      <xdr:row>7</xdr:row>
      <xdr:rowOff>15240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762000" y="1664970"/>
          <a:ext cx="166878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6</xdr:row>
      <xdr:rowOff>0</xdr:rowOff>
    </xdr:from>
    <xdr:to>
      <xdr:col>0</xdr:col>
      <xdr:colOff>762000</xdr:colOff>
      <xdr:row>7</xdr:row>
      <xdr:rowOff>7620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>
          <a:spLocks noChangeShapeType="1"/>
        </xdr:cNvSpPr>
      </xdr:nvSpPr>
      <xdr:spPr bwMode="auto">
        <a:xfrm flipV="1">
          <a:off x="762000" y="1476375"/>
          <a:ext cx="0" cy="1885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396240</xdr:colOff>
      <xdr:row>14</xdr:row>
      <xdr:rowOff>30480</xdr:rowOff>
    </xdr:from>
    <xdr:to>
      <xdr:col>4</xdr:col>
      <xdr:colOff>396240</xdr:colOff>
      <xdr:row>17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ShapeType="1"/>
        </xdr:cNvSpPr>
      </xdr:nvSpPr>
      <xdr:spPr bwMode="auto">
        <a:xfrm>
          <a:off x="3920490" y="2802255"/>
          <a:ext cx="0" cy="51244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160020</xdr:rowOff>
    </xdr:from>
    <xdr:to>
      <xdr:col>3</xdr:col>
      <xdr:colOff>7620</xdr:colOff>
      <xdr:row>16</xdr:row>
      <xdr:rowOff>30480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2505075" y="2750820"/>
          <a:ext cx="7620" cy="41338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</xdr:row>
      <xdr:rowOff>99060</xdr:rowOff>
    </xdr:from>
    <xdr:to>
      <xdr:col>3</xdr:col>
      <xdr:colOff>281940</xdr:colOff>
      <xdr:row>12</xdr:row>
      <xdr:rowOff>99060</xdr:rowOff>
    </xdr:to>
    <xdr:sp macro="" textlink="">
      <xdr:nvSpPr>
        <xdr:cNvPr id="18" name="Line 19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>
          <a:spLocks noChangeShapeType="1"/>
        </xdr:cNvSpPr>
      </xdr:nvSpPr>
      <xdr:spPr bwMode="auto">
        <a:xfrm flipH="1">
          <a:off x="1083945" y="2508885"/>
          <a:ext cx="170307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</xdr:colOff>
      <xdr:row>12</xdr:row>
      <xdr:rowOff>114300</xdr:rowOff>
    </xdr:from>
    <xdr:to>
      <xdr:col>5</xdr:col>
      <xdr:colOff>701040</xdr:colOff>
      <xdr:row>12</xdr:row>
      <xdr:rowOff>114300</xdr:rowOff>
    </xdr:to>
    <xdr:sp macro="" textlink="">
      <xdr:nvSpPr>
        <xdr:cNvPr id="19" name="Line 20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>
          <a:spLocks noChangeShapeType="1"/>
        </xdr:cNvSpPr>
      </xdr:nvSpPr>
      <xdr:spPr bwMode="auto">
        <a:xfrm>
          <a:off x="3569970" y="2524125"/>
          <a:ext cx="1569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15</xdr:row>
      <xdr:rowOff>7620</xdr:rowOff>
    </xdr:to>
    <xdr:sp macro="" textlink="">
      <xdr:nvSpPr>
        <xdr:cNvPr id="20" name="Line 21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ShapeType="1"/>
        </xdr:cNvSpPr>
      </xdr:nvSpPr>
      <xdr:spPr bwMode="auto">
        <a:xfrm flipV="1">
          <a:off x="1076325" y="2771775"/>
          <a:ext cx="0" cy="1885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794</xdr:colOff>
      <xdr:row>15</xdr:row>
      <xdr:rowOff>6826</xdr:rowOff>
    </xdr:from>
    <xdr:to>
      <xdr:col>3</xdr:col>
      <xdr:colOff>8414</xdr:colOff>
      <xdr:row>15</xdr:row>
      <xdr:rowOff>8414</xdr:rowOff>
    </xdr:to>
    <xdr:cxnSp macro="">
      <xdr:nvCxnSpPr>
        <xdr:cNvPr id="21" name="20 Conector recto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CxnSpPr>
          <a:stCxn id="20" idx="0"/>
        </xdr:cNvCxnSpPr>
      </xdr:nvCxnSpPr>
      <xdr:spPr bwMode="auto">
        <a:xfrm rot="5400000" flipH="1" flipV="1">
          <a:off x="1794510" y="2242185"/>
          <a:ext cx="1588" cy="143637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1050766</xdr:colOff>
      <xdr:row>14</xdr:row>
      <xdr:rowOff>23654</xdr:rowOff>
    </xdr:from>
    <xdr:to>
      <xdr:col>4</xdr:col>
      <xdr:colOff>794</xdr:colOff>
      <xdr:row>16</xdr:row>
      <xdr:rowOff>137954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CxnSpPr/>
      </xdr:nvCxnSpPr>
      <xdr:spPr bwMode="auto">
        <a:xfrm rot="5400000" flipH="1" flipV="1">
          <a:off x="3288030" y="3034665"/>
          <a:ext cx="4762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</xdr:col>
      <xdr:colOff>396240</xdr:colOff>
      <xdr:row>16</xdr:row>
      <xdr:rowOff>169228</xdr:rowOff>
    </xdr:from>
    <xdr:to>
      <xdr:col>5</xdr:col>
      <xdr:colOff>746760</xdr:colOff>
      <xdr:row>17</xdr:row>
      <xdr:rowOff>15240</xdr:rowOff>
    </xdr:to>
    <xdr:cxnSp macro="">
      <xdr:nvCxnSpPr>
        <xdr:cNvPr id="23" name="22 Conector recto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CxnSpPr/>
      </xdr:nvCxnSpPr>
      <xdr:spPr bwMode="auto">
        <a:xfrm>
          <a:off x="3920490" y="3302953"/>
          <a:ext cx="1264920" cy="2698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7620</xdr:colOff>
      <xdr:row>14</xdr:row>
      <xdr:rowOff>30480</xdr:rowOff>
    </xdr:from>
    <xdr:to>
      <xdr:col>2</xdr:col>
      <xdr:colOff>15240</xdr:colOff>
      <xdr:row>16</xdr:row>
      <xdr:rowOff>160020</xdr:rowOff>
    </xdr:to>
    <xdr:cxnSp macro="">
      <xdr:nvCxnSpPr>
        <xdr:cNvPr id="24" name="23 Conector recto de flecha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CxnSpPr/>
      </xdr:nvCxnSpPr>
      <xdr:spPr bwMode="auto">
        <a:xfrm rot="5400000" flipH="1" flipV="1">
          <a:off x="1518285" y="3044190"/>
          <a:ext cx="491490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517366</xdr:colOff>
      <xdr:row>15</xdr:row>
      <xdr:rowOff>16034</xdr:rowOff>
    </xdr:from>
    <xdr:to>
      <xdr:col>2</xdr:col>
      <xdr:colOff>518954</xdr:colOff>
      <xdr:row>17</xdr:row>
      <xdr:rowOff>794</xdr:rowOff>
    </xdr:to>
    <xdr:cxnSp macro="">
      <xdr:nvCxnSpPr>
        <xdr:cNvPr id="25" name="24 Conector recto de flecha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CxnSpPr/>
      </xdr:nvCxnSpPr>
      <xdr:spPr bwMode="auto">
        <a:xfrm rot="5400000" flipH="1" flipV="1">
          <a:off x="2097405" y="3141345"/>
          <a:ext cx="346710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486886</xdr:colOff>
      <xdr:row>17</xdr:row>
      <xdr:rowOff>23654</xdr:rowOff>
    </xdr:from>
    <xdr:to>
      <xdr:col>5</xdr:col>
      <xdr:colOff>488474</xdr:colOff>
      <xdr:row>18</xdr:row>
      <xdr:rowOff>92234</xdr:rowOff>
    </xdr:to>
    <xdr:cxnSp macro="">
      <xdr:nvCxnSpPr>
        <xdr:cNvPr id="26" name="25 Conector recto de flecha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CxnSpPr/>
      </xdr:nvCxnSpPr>
      <xdr:spPr bwMode="auto">
        <a:xfrm rot="5400000" flipH="1" flipV="1">
          <a:off x="4801552" y="3462338"/>
          <a:ext cx="249555" cy="158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5</xdr:col>
      <xdr:colOff>137954</xdr:colOff>
      <xdr:row>14</xdr:row>
      <xdr:rowOff>61754</xdr:rowOff>
    </xdr:from>
    <xdr:to>
      <xdr:col>5</xdr:col>
      <xdr:colOff>144780</xdr:colOff>
      <xdr:row>18</xdr:row>
      <xdr:rowOff>167640</xdr:rowOff>
    </xdr:to>
    <xdr:cxnSp macro="">
      <xdr:nvCxnSpPr>
        <xdr:cNvPr id="27" name="26 Conector recto de flecha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CxnSpPr/>
      </xdr:nvCxnSpPr>
      <xdr:spPr bwMode="auto">
        <a:xfrm rot="16200000" flipV="1">
          <a:off x="4165124" y="3245009"/>
          <a:ext cx="829786" cy="6826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502920</xdr:colOff>
      <xdr:row>39</xdr:row>
      <xdr:rowOff>91440</xdr:rowOff>
    </xdr:from>
    <xdr:to>
      <xdr:col>1</xdr:col>
      <xdr:colOff>228600</xdr:colOff>
      <xdr:row>41</xdr:row>
      <xdr:rowOff>76200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xmlns="" id="{00000000-0008-0000-07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7482840"/>
          <a:ext cx="802005" cy="3467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46</xdr:row>
      <xdr:rowOff>0</xdr:rowOff>
    </xdr:from>
    <xdr:to>
      <xdr:col>1</xdr:col>
      <xdr:colOff>449580</xdr:colOff>
      <xdr:row>46</xdr:row>
      <xdr:rowOff>190500</xdr:rowOff>
    </xdr:to>
    <xdr:pic>
      <xdr:nvPicPr>
        <xdr:cNvPr id="29" name="Picture 4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8658225"/>
          <a:ext cx="1068705" cy="180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441960</xdr:colOff>
      <xdr:row>52</xdr:row>
      <xdr:rowOff>22860</xdr:rowOff>
    </xdr:from>
    <xdr:to>
      <xdr:col>2</xdr:col>
      <xdr:colOff>160020</xdr:colOff>
      <xdr:row>53</xdr:row>
      <xdr:rowOff>22860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1960" y="9795510"/>
          <a:ext cx="1470660" cy="180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411480</xdr:colOff>
      <xdr:row>58</xdr:row>
      <xdr:rowOff>15240</xdr:rowOff>
    </xdr:from>
    <xdr:to>
      <xdr:col>2</xdr:col>
      <xdr:colOff>373380</xdr:colOff>
      <xdr:row>59</xdr:row>
      <xdr:rowOff>15240</xdr:rowOff>
    </xdr:to>
    <xdr:pic>
      <xdr:nvPicPr>
        <xdr:cNvPr id="31" name="Picture 6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480" y="10902315"/>
          <a:ext cx="1714500" cy="180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487680</xdr:colOff>
      <xdr:row>76</xdr:row>
      <xdr:rowOff>7620</xdr:rowOff>
    </xdr:from>
    <xdr:to>
      <xdr:col>2</xdr:col>
      <xdr:colOff>601980</xdr:colOff>
      <xdr:row>78</xdr:row>
      <xdr:rowOff>0</xdr:rowOff>
    </xdr:to>
    <xdr:pic>
      <xdr:nvPicPr>
        <xdr:cNvPr id="36" name="Picture 17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14295120"/>
          <a:ext cx="1866900" cy="35433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472440</xdr:colOff>
      <xdr:row>82</xdr:row>
      <xdr:rowOff>167640</xdr:rowOff>
    </xdr:from>
    <xdr:to>
      <xdr:col>2</xdr:col>
      <xdr:colOff>144780</xdr:colOff>
      <xdr:row>84</xdr:row>
      <xdr:rowOff>7620</xdr:rowOff>
    </xdr:to>
    <xdr:pic>
      <xdr:nvPicPr>
        <xdr:cNvPr id="37" name="Picture 18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2440" y="15540990"/>
          <a:ext cx="1424940" cy="20193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89</xdr:row>
      <xdr:rowOff>0</xdr:rowOff>
    </xdr:from>
    <xdr:to>
      <xdr:col>1</xdr:col>
      <xdr:colOff>350520</xdr:colOff>
      <xdr:row>90</xdr:row>
      <xdr:rowOff>15240</xdr:rowOff>
    </xdr:to>
    <xdr:pic>
      <xdr:nvPicPr>
        <xdr:cNvPr id="38" name="Picture 19">
          <a:extLst>
            <a:ext uri="{FF2B5EF4-FFF2-40B4-BE49-F238E27FC236}">
              <a16:creationId xmlns:a16="http://schemas.microsoft.com/office/drawing/2014/main" xmlns="" id="{00000000-0008-0000-07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16659225"/>
          <a:ext cx="969645" cy="2057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495300</xdr:colOff>
      <xdr:row>103</xdr:row>
      <xdr:rowOff>160020</xdr:rowOff>
    </xdr:from>
    <xdr:to>
      <xdr:col>2</xdr:col>
      <xdr:colOff>243840</xdr:colOff>
      <xdr:row>105</xdr:row>
      <xdr:rowOff>152400</xdr:rowOff>
    </xdr:to>
    <xdr:pic>
      <xdr:nvPicPr>
        <xdr:cNvPr id="39" name="Picture 10">
          <a:extLst>
            <a:ext uri="{FF2B5EF4-FFF2-40B4-BE49-F238E27FC236}">
              <a16:creationId xmlns:a16="http://schemas.microsoft.com/office/drawing/2014/main" xmlns="" id="{00000000-0008-0000-07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5300" y="19495770"/>
          <a:ext cx="1501140" cy="373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487680</xdr:colOff>
      <xdr:row>108</xdr:row>
      <xdr:rowOff>167640</xdr:rowOff>
    </xdr:from>
    <xdr:to>
      <xdr:col>1</xdr:col>
      <xdr:colOff>91440</xdr:colOff>
      <xdr:row>110</xdr:row>
      <xdr:rowOff>160020</xdr:rowOff>
    </xdr:to>
    <xdr:pic>
      <xdr:nvPicPr>
        <xdr:cNvPr id="40" name="Picture 12">
          <a:extLst>
            <a:ext uri="{FF2B5EF4-FFF2-40B4-BE49-F238E27FC236}">
              <a16:creationId xmlns:a16="http://schemas.microsoft.com/office/drawing/2014/main" xmlns="" id="{00000000-0008-0000-07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20446365"/>
          <a:ext cx="680085" cy="373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533400</xdr:colOff>
      <xdr:row>128</xdr:row>
      <xdr:rowOff>30480</xdr:rowOff>
    </xdr:from>
    <xdr:to>
      <xdr:col>1</xdr:col>
      <xdr:colOff>579120</xdr:colOff>
      <xdr:row>131</xdr:row>
      <xdr:rowOff>0</xdr:rowOff>
    </xdr:to>
    <xdr:pic>
      <xdr:nvPicPr>
        <xdr:cNvPr id="41" name="Picture 16">
          <a:extLst>
            <a:ext uri="{FF2B5EF4-FFF2-40B4-BE49-F238E27FC236}">
              <a16:creationId xmlns:a16="http://schemas.microsoft.com/office/drawing/2014/main" xmlns="" id="{00000000-0008-0000-07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33400" y="24043005"/>
          <a:ext cx="1122045" cy="5410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464820</xdr:colOff>
      <xdr:row>116</xdr:row>
      <xdr:rowOff>7620</xdr:rowOff>
    </xdr:from>
    <xdr:to>
      <xdr:col>1</xdr:col>
      <xdr:colOff>464820</xdr:colOff>
      <xdr:row>117</xdr:row>
      <xdr:rowOff>22860</xdr:rowOff>
    </xdr:to>
    <xdr:pic>
      <xdr:nvPicPr>
        <xdr:cNvPr id="42" name="Picture 11">
          <a:extLst>
            <a:ext uri="{FF2B5EF4-FFF2-40B4-BE49-F238E27FC236}">
              <a16:creationId xmlns:a16="http://schemas.microsoft.com/office/drawing/2014/main" xmlns="" id="{00000000-0008-0000-07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4820" y="21791295"/>
          <a:ext cx="1076325" cy="2057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480060</xdr:colOff>
      <xdr:row>120</xdr:row>
      <xdr:rowOff>0</xdr:rowOff>
    </xdr:from>
    <xdr:to>
      <xdr:col>0</xdr:col>
      <xdr:colOff>982980</xdr:colOff>
      <xdr:row>121</xdr:row>
      <xdr:rowOff>160020</xdr:rowOff>
    </xdr:to>
    <xdr:pic>
      <xdr:nvPicPr>
        <xdr:cNvPr id="43" name="Picture 13">
          <a:extLst>
            <a:ext uri="{FF2B5EF4-FFF2-40B4-BE49-F238E27FC236}">
              <a16:creationId xmlns:a16="http://schemas.microsoft.com/office/drawing/2014/main" xmlns="" id="{00000000-0008-0000-07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0060" y="22526625"/>
          <a:ext cx="502920" cy="34099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205740</xdr:colOff>
      <xdr:row>147</xdr:row>
      <xdr:rowOff>38100</xdr:rowOff>
    </xdr:from>
    <xdr:to>
      <xdr:col>3</xdr:col>
      <xdr:colOff>213360</xdr:colOff>
      <xdr:row>150</xdr:row>
      <xdr:rowOff>137160</xdr:rowOff>
    </xdr:to>
    <xdr:cxnSp macro="">
      <xdr:nvCxnSpPr>
        <xdr:cNvPr id="44" name="43 Conector recto de flecha">
          <a:extLst>
            <a:ext uri="{FF2B5EF4-FFF2-40B4-BE49-F238E27FC236}">
              <a16:creationId xmlns:a16="http://schemas.microsoft.com/office/drawing/2014/main" xmlns="" id="{00000000-0008-0000-0700-00002C000000}"/>
            </a:ext>
          </a:extLst>
        </xdr:cNvPr>
        <xdr:cNvCxnSpPr/>
      </xdr:nvCxnSpPr>
      <xdr:spPr bwMode="auto">
        <a:xfrm rot="16200000" flipH="1">
          <a:off x="2393632" y="27987308"/>
          <a:ext cx="641985" cy="762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487680</xdr:colOff>
      <xdr:row>152</xdr:row>
      <xdr:rowOff>167640</xdr:rowOff>
    </xdr:from>
    <xdr:to>
      <xdr:col>0</xdr:col>
      <xdr:colOff>967740</xdr:colOff>
      <xdr:row>154</xdr:row>
      <xdr:rowOff>152400</xdr:rowOff>
    </xdr:to>
    <xdr:pic>
      <xdr:nvPicPr>
        <xdr:cNvPr id="45" name="Picture 25">
          <a:extLst>
            <a:ext uri="{FF2B5EF4-FFF2-40B4-BE49-F238E27FC236}">
              <a16:creationId xmlns:a16="http://schemas.microsoft.com/office/drawing/2014/main" xmlns="" id="{00000000-0008-0000-07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" y="28704540"/>
          <a:ext cx="480060" cy="3467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502920</xdr:colOff>
      <xdr:row>164</xdr:row>
      <xdr:rowOff>30480</xdr:rowOff>
    </xdr:from>
    <xdr:to>
      <xdr:col>0</xdr:col>
      <xdr:colOff>982980</xdr:colOff>
      <xdr:row>166</xdr:row>
      <xdr:rowOff>15240</xdr:rowOff>
    </xdr:to>
    <xdr:pic>
      <xdr:nvPicPr>
        <xdr:cNvPr id="46" name="Picture 26">
          <a:extLst>
            <a:ext uri="{FF2B5EF4-FFF2-40B4-BE49-F238E27FC236}">
              <a16:creationId xmlns:a16="http://schemas.microsoft.com/office/drawing/2014/main" xmlns="" id="{00000000-0008-0000-07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2920" y="30739080"/>
          <a:ext cx="480060" cy="3467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426720</xdr:colOff>
      <xdr:row>174</xdr:row>
      <xdr:rowOff>160020</xdr:rowOff>
    </xdr:from>
    <xdr:to>
      <xdr:col>0</xdr:col>
      <xdr:colOff>906780</xdr:colOff>
      <xdr:row>176</xdr:row>
      <xdr:rowOff>144780</xdr:rowOff>
    </xdr:to>
    <xdr:pic>
      <xdr:nvPicPr>
        <xdr:cNvPr id="47" name="Picture 27">
          <a:extLst>
            <a:ext uri="{FF2B5EF4-FFF2-40B4-BE49-F238E27FC236}">
              <a16:creationId xmlns:a16="http://schemas.microsoft.com/office/drawing/2014/main" xmlns="" id="{00000000-0008-0000-07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32678370"/>
          <a:ext cx="480060" cy="3467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472440</xdr:colOff>
      <xdr:row>183</xdr:row>
      <xdr:rowOff>7620</xdr:rowOff>
    </xdr:from>
    <xdr:to>
      <xdr:col>2</xdr:col>
      <xdr:colOff>312420</xdr:colOff>
      <xdr:row>184</xdr:row>
      <xdr:rowOff>22860</xdr:rowOff>
    </xdr:to>
    <xdr:pic>
      <xdr:nvPicPr>
        <xdr:cNvPr id="48" name="Picture 24">
          <a:extLst>
            <a:ext uri="{FF2B5EF4-FFF2-40B4-BE49-F238E27FC236}">
              <a16:creationId xmlns:a16="http://schemas.microsoft.com/office/drawing/2014/main" xmlns="" id="{00000000-0008-0000-07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2440" y="34154745"/>
          <a:ext cx="1592580" cy="1962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426720</xdr:colOff>
      <xdr:row>188</xdr:row>
      <xdr:rowOff>114300</xdr:rowOff>
    </xdr:from>
    <xdr:to>
      <xdr:col>1</xdr:col>
      <xdr:colOff>449580</xdr:colOff>
      <xdr:row>191</xdr:row>
      <xdr:rowOff>83820</xdr:rowOff>
    </xdr:to>
    <xdr:pic>
      <xdr:nvPicPr>
        <xdr:cNvPr id="49" name="Picture 30">
          <a:extLst>
            <a:ext uri="{FF2B5EF4-FFF2-40B4-BE49-F238E27FC236}">
              <a16:creationId xmlns:a16="http://schemas.microsoft.com/office/drawing/2014/main" xmlns="" id="{00000000-0008-0000-07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35166300"/>
          <a:ext cx="1099185" cy="51244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579120</xdr:colOff>
      <xdr:row>22</xdr:row>
      <xdr:rowOff>22860</xdr:rowOff>
    </xdr:from>
    <xdr:to>
      <xdr:col>1</xdr:col>
      <xdr:colOff>358140</xdr:colOff>
      <xdr:row>23</xdr:row>
      <xdr:rowOff>38100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xmlns="" id="{00000000-0008-0000-07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79120" y="4251960"/>
          <a:ext cx="855345" cy="1962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358140</xdr:colOff>
      <xdr:row>148</xdr:row>
      <xdr:rowOff>0</xdr:rowOff>
    </xdr:from>
    <xdr:to>
      <xdr:col>2</xdr:col>
      <xdr:colOff>99060</xdr:colOff>
      <xdr:row>150</xdr:row>
      <xdr:rowOff>0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xmlns="" id="{00000000-0008-0000-07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8140" y="27813000"/>
          <a:ext cx="1493520" cy="3619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171</xdr:row>
      <xdr:rowOff>0</xdr:rowOff>
    </xdr:from>
    <xdr:to>
      <xdr:col>1</xdr:col>
      <xdr:colOff>480060</xdr:colOff>
      <xdr:row>172</xdr:row>
      <xdr:rowOff>15240</xdr:rowOff>
    </xdr:to>
    <xdr:pic>
      <xdr:nvPicPr>
        <xdr:cNvPr id="54" name="Picture 2">
          <a:extLst>
            <a:ext uri="{FF2B5EF4-FFF2-40B4-BE49-F238E27FC236}">
              <a16:creationId xmlns:a16="http://schemas.microsoft.com/office/drawing/2014/main" xmlns="" id="{00000000-0008-0000-07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7200" y="31975425"/>
          <a:ext cx="1099185" cy="19621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327660</xdr:colOff>
      <xdr:row>159</xdr:row>
      <xdr:rowOff>152400</xdr:rowOff>
    </xdr:from>
    <xdr:to>
      <xdr:col>2</xdr:col>
      <xdr:colOff>68580</xdr:colOff>
      <xdr:row>161</xdr:row>
      <xdr:rowOff>152400</xdr:rowOff>
    </xdr:to>
    <xdr:pic>
      <xdr:nvPicPr>
        <xdr:cNvPr id="55" name="Picture 3"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7660" y="29956125"/>
          <a:ext cx="1493520" cy="36195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23</xdr:row>
      <xdr:rowOff>7620</xdr:rowOff>
    </xdr:from>
    <xdr:to>
      <xdr:col>1</xdr:col>
      <xdr:colOff>472440</xdr:colOff>
      <xdr:row>24</xdr:row>
      <xdr:rowOff>60960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xmlns="" id="{00000000-0008-0000-08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9100" y="17350740"/>
          <a:ext cx="1005840" cy="228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449580</xdr:colOff>
      <xdr:row>30</xdr:row>
      <xdr:rowOff>167640</xdr:rowOff>
    </xdr:from>
    <xdr:to>
      <xdr:col>1</xdr:col>
      <xdr:colOff>563880</xdr:colOff>
      <xdr:row>32</xdr:row>
      <xdr:rowOff>167640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xmlns="" id="{00000000-0008-0000-08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9580" y="19126200"/>
          <a:ext cx="1066800" cy="3505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403860</xdr:colOff>
      <xdr:row>37</xdr:row>
      <xdr:rowOff>167640</xdr:rowOff>
    </xdr:from>
    <xdr:to>
      <xdr:col>1</xdr:col>
      <xdr:colOff>640080</xdr:colOff>
      <xdr:row>39</xdr:row>
      <xdr:rowOff>7620</xdr:rowOff>
    </xdr:to>
    <xdr:pic>
      <xdr:nvPicPr>
        <xdr:cNvPr id="5125" name="Picture 5">
          <a:extLst>
            <a:ext uri="{FF2B5EF4-FFF2-40B4-BE49-F238E27FC236}">
              <a16:creationId xmlns:a16="http://schemas.microsoft.com/office/drawing/2014/main" xmlns="" id="{00000000-0008-0000-08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03860" y="20353020"/>
          <a:ext cx="1188720" cy="1905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11206</xdr:colOff>
      <xdr:row>5</xdr:row>
      <xdr:rowOff>22412</xdr:rowOff>
    </xdr:from>
    <xdr:to>
      <xdr:col>3</xdr:col>
      <xdr:colOff>1030941</xdr:colOff>
      <xdr:row>10</xdr:row>
      <xdr:rowOff>11206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CxnSpPr/>
      </xdr:nvCxnSpPr>
      <xdr:spPr bwMode="auto">
        <a:xfrm>
          <a:off x="2700618" y="1030941"/>
          <a:ext cx="1019735" cy="885265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0</xdr:colOff>
      <xdr:row>10</xdr:row>
      <xdr:rowOff>0</xdr:rowOff>
    </xdr:from>
    <xdr:to>
      <xdr:col>3</xdr:col>
      <xdr:colOff>1030941</xdr:colOff>
      <xdr:row>10</xdr:row>
      <xdr:rowOff>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CxnSpPr/>
      </xdr:nvCxnSpPr>
      <xdr:spPr bwMode="auto">
        <a:xfrm flipH="1">
          <a:off x="1669676" y="1905000"/>
          <a:ext cx="2050677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739733</xdr:colOff>
      <xdr:row>5</xdr:row>
      <xdr:rowOff>33618</xdr:rowOff>
    </xdr:from>
    <xdr:to>
      <xdr:col>1</xdr:col>
      <xdr:colOff>739733</xdr:colOff>
      <xdr:row>10</xdr:row>
      <xdr:rowOff>0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CxnSpPr/>
      </xdr:nvCxnSpPr>
      <xdr:spPr bwMode="auto">
        <a:xfrm flipV="1">
          <a:off x="1658615" y="1042147"/>
          <a:ext cx="0" cy="86285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0</xdr:colOff>
      <xdr:row>5</xdr:row>
      <xdr:rowOff>11206</xdr:rowOff>
    </xdr:from>
    <xdr:to>
      <xdr:col>3</xdr:col>
      <xdr:colOff>11206</xdr:colOff>
      <xdr:row>5</xdr:row>
      <xdr:rowOff>11206</xdr:rowOff>
    </xdr:to>
    <xdr:cxnSp macro="">
      <xdr:nvCxnSpPr>
        <xdr:cNvPr id="11" name="10 Conector recto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CxnSpPr/>
      </xdr:nvCxnSpPr>
      <xdr:spPr bwMode="auto">
        <a:xfrm>
          <a:off x="1669676" y="1019735"/>
          <a:ext cx="1030942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11206</xdr:colOff>
      <xdr:row>5</xdr:row>
      <xdr:rowOff>22412</xdr:rowOff>
    </xdr:from>
    <xdr:to>
      <xdr:col>3</xdr:col>
      <xdr:colOff>11206</xdr:colOff>
      <xdr:row>10</xdr:row>
      <xdr:rowOff>0</xdr:rowOff>
    </xdr:to>
    <xdr:cxnSp macro="">
      <xdr:nvCxnSpPr>
        <xdr:cNvPr id="14" name="13 Conector recto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CxnSpPr/>
      </xdr:nvCxnSpPr>
      <xdr:spPr bwMode="auto">
        <a:xfrm>
          <a:off x="2700618" y="1030941"/>
          <a:ext cx="0" cy="87405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268943</xdr:colOff>
      <xdr:row>8</xdr:row>
      <xdr:rowOff>44823</xdr:rowOff>
    </xdr:from>
    <xdr:to>
      <xdr:col>4</xdr:col>
      <xdr:colOff>156882</xdr:colOff>
      <xdr:row>8</xdr:row>
      <xdr:rowOff>44823</xdr:rowOff>
    </xdr:to>
    <xdr:cxnSp macro="">
      <xdr:nvCxnSpPr>
        <xdr:cNvPr id="16" name="15 Conector recto de flecha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CxnSpPr/>
      </xdr:nvCxnSpPr>
      <xdr:spPr bwMode="auto">
        <a:xfrm flipH="1">
          <a:off x="2958355" y="1591235"/>
          <a:ext cx="930086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</xdr:col>
      <xdr:colOff>112060</xdr:colOff>
      <xdr:row>7</xdr:row>
      <xdr:rowOff>89648</xdr:rowOff>
    </xdr:from>
    <xdr:to>
      <xdr:col>2</xdr:col>
      <xdr:colOff>123265</xdr:colOff>
      <xdr:row>7</xdr:row>
      <xdr:rowOff>89649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CxnSpPr/>
      </xdr:nvCxnSpPr>
      <xdr:spPr bwMode="auto">
        <a:xfrm flipH="1">
          <a:off x="1030942" y="1456766"/>
          <a:ext cx="761999" cy="1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459441</xdr:colOff>
      <xdr:row>4</xdr:row>
      <xdr:rowOff>168089</xdr:rowOff>
    </xdr:from>
    <xdr:to>
      <xdr:col>4</xdr:col>
      <xdr:colOff>459441</xdr:colOff>
      <xdr:row>6</xdr:row>
      <xdr:rowOff>100854</xdr:rowOff>
    </xdr:to>
    <xdr:cxnSp macro="">
      <xdr:nvCxnSpPr>
        <xdr:cNvPr id="20" name="19 Conector recto de flecha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CxnSpPr/>
      </xdr:nvCxnSpPr>
      <xdr:spPr bwMode="auto">
        <a:xfrm flipV="1">
          <a:off x="4191000" y="997324"/>
          <a:ext cx="0" cy="29135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448235</xdr:colOff>
      <xdr:row>8</xdr:row>
      <xdr:rowOff>22412</xdr:rowOff>
    </xdr:from>
    <xdr:to>
      <xdr:col>4</xdr:col>
      <xdr:colOff>448235</xdr:colOff>
      <xdr:row>10</xdr:row>
      <xdr:rowOff>11206</xdr:rowOff>
    </xdr:to>
    <xdr:cxnSp macro="">
      <xdr:nvCxnSpPr>
        <xdr:cNvPr id="22" name="21 Conector recto de flecha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CxnSpPr/>
      </xdr:nvCxnSpPr>
      <xdr:spPr bwMode="auto">
        <a:xfrm>
          <a:off x="4179794" y="1568824"/>
          <a:ext cx="0" cy="34738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3"/>
  <sheetViews>
    <sheetView view="pageBreakPreview" topLeftCell="A36" zoomScale="173" zoomScaleNormal="75" zoomScaleSheetLayoutView="85" zoomScalePageLayoutView="75" workbookViewId="0">
      <selection activeCell="F14" sqref="F14"/>
    </sheetView>
  </sheetViews>
  <sheetFormatPr baseColWidth="10" defaultColWidth="11.5" defaultRowHeight="14" x14ac:dyDescent="0.15"/>
  <cols>
    <col min="1" max="1" width="13.5" style="1" customWidth="1"/>
    <col min="2" max="2" width="17.83203125" style="1" customWidth="1"/>
    <col min="3" max="3" width="14.1640625" style="1" customWidth="1"/>
    <col min="4" max="4" width="16.33203125" style="1" customWidth="1"/>
    <col min="5" max="5" width="13.6640625" style="1" customWidth="1"/>
    <col min="6" max="6" width="13.5" style="1" customWidth="1"/>
    <col min="7" max="7" width="13.6640625" style="1" bestFit="1" customWidth="1"/>
    <col min="8" max="8" width="17.33203125" style="1" customWidth="1"/>
    <col min="9" max="16384" width="11.5" style="1"/>
  </cols>
  <sheetData>
    <row r="1" spans="1:8" ht="19.5" customHeight="1" x14ac:dyDescent="0.15">
      <c r="A1" s="334" t="s">
        <v>660</v>
      </c>
      <c r="B1" s="334"/>
      <c r="C1" s="334"/>
      <c r="D1" s="334"/>
      <c r="E1" s="334"/>
      <c r="F1" s="334"/>
      <c r="G1" s="334"/>
      <c r="H1" s="334"/>
    </row>
    <row r="2" spans="1:8" ht="19" x14ac:dyDescent="0.15">
      <c r="A2" s="335" t="s">
        <v>659</v>
      </c>
      <c r="B2" s="335"/>
      <c r="C2" s="335"/>
      <c r="D2" s="335"/>
      <c r="E2" s="335"/>
      <c r="F2" s="335"/>
      <c r="G2" s="335"/>
      <c r="H2" s="335"/>
    </row>
    <row r="3" spans="1:8" ht="18" x14ac:dyDescent="0.15">
      <c r="A3" s="334"/>
      <c r="B3" s="334"/>
      <c r="C3" s="334"/>
      <c r="D3" s="334"/>
      <c r="E3" s="334"/>
      <c r="F3" s="334"/>
      <c r="G3" s="334"/>
      <c r="H3" s="334"/>
    </row>
    <row r="4" spans="1:8" ht="16" x14ac:dyDescent="0.2">
      <c r="A4" s="5" t="s">
        <v>210</v>
      </c>
      <c r="B4" s="4"/>
      <c r="C4" s="4"/>
      <c r="D4" s="4"/>
      <c r="E4" s="4"/>
      <c r="F4" s="4"/>
      <c r="G4" s="4"/>
      <c r="H4" s="4"/>
    </row>
    <row r="5" spans="1:8" ht="16" x14ac:dyDescent="0.2">
      <c r="A5" s="5"/>
      <c r="B5" s="44"/>
      <c r="C5" s="44"/>
      <c r="D5" s="44"/>
      <c r="E5" s="44"/>
      <c r="F5" s="44"/>
      <c r="G5" s="44"/>
      <c r="H5" s="44"/>
    </row>
    <row r="6" spans="1:8" ht="16" x14ac:dyDescent="0.2">
      <c r="A6" s="337" t="s">
        <v>196</v>
      </c>
      <c r="B6" s="337"/>
      <c r="C6" s="42" t="s">
        <v>194</v>
      </c>
      <c r="D6" s="42" t="s">
        <v>198</v>
      </c>
      <c r="E6" s="42" t="s">
        <v>195</v>
      </c>
      <c r="F6" s="44"/>
      <c r="G6" s="44"/>
      <c r="H6" s="44"/>
    </row>
    <row r="7" spans="1:8" ht="16" x14ac:dyDescent="0.2">
      <c r="A7" s="1" t="s">
        <v>199</v>
      </c>
      <c r="B7" s="44"/>
      <c r="C7" s="43" t="s">
        <v>200</v>
      </c>
      <c r="D7" s="320">
        <v>1</v>
      </c>
      <c r="E7" s="43" t="s">
        <v>0</v>
      </c>
      <c r="F7" s="44"/>
      <c r="G7" s="44"/>
      <c r="H7" s="44"/>
    </row>
    <row r="8" spans="1:8" ht="16" x14ac:dyDescent="0.2">
      <c r="A8" s="1" t="s">
        <v>418</v>
      </c>
      <c r="B8" s="133"/>
      <c r="C8" s="139" t="s">
        <v>419</v>
      </c>
      <c r="D8" s="332">
        <v>6.5</v>
      </c>
      <c r="E8" s="139" t="s">
        <v>0</v>
      </c>
      <c r="F8" s="133"/>
      <c r="G8" s="133"/>
      <c r="H8" s="133"/>
    </row>
    <row r="9" spans="1:8" ht="16" x14ac:dyDescent="0.2">
      <c r="A9" s="1" t="s">
        <v>420</v>
      </c>
      <c r="B9" s="133"/>
      <c r="C9" s="139" t="s">
        <v>421</v>
      </c>
      <c r="D9" s="332">
        <v>6.5</v>
      </c>
      <c r="E9" s="139" t="s">
        <v>0</v>
      </c>
      <c r="F9" s="133"/>
      <c r="G9" s="133"/>
      <c r="H9" s="133"/>
    </row>
    <row r="10" spans="1:8" ht="16" x14ac:dyDescent="0.2">
      <c r="A10" s="1" t="s">
        <v>422</v>
      </c>
      <c r="B10" s="44"/>
      <c r="C10" s="87" t="s">
        <v>294</v>
      </c>
      <c r="D10" s="320">
        <f>+(D8-D9)*0.666666666666667+D9</f>
        <v>6.5</v>
      </c>
      <c r="E10" s="43" t="s">
        <v>0</v>
      </c>
      <c r="F10" s="44"/>
      <c r="G10" s="44"/>
      <c r="H10" s="44"/>
    </row>
    <row r="11" spans="1:8" ht="16" x14ac:dyDescent="0.2">
      <c r="A11" s="1" t="s">
        <v>288</v>
      </c>
      <c r="C11" s="67" t="s">
        <v>289</v>
      </c>
      <c r="D11" s="332">
        <v>0.3</v>
      </c>
      <c r="E11" s="43" t="s">
        <v>0</v>
      </c>
      <c r="F11" s="49"/>
      <c r="G11" s="49"/>
      <c r="H11" s="49"/>
    </row>
    <row r="12" spans="1:8" ht="16" x14ac:dyDescent="0.2">
      <c r="A12" s="1" t="s">
        <v>202</v>
      </c>
      <c r="C12" s="128" t="s">
        <v>394</v>
      </c>
      <c r="D12" s="332">
        <v>0.6</v>
      </c>
      <c r="E12" s="43" t="s">
        <v>0</v>
      </c>
      <c r="F12" s="44"/>
      <c r="G12" s="44"/>
      <c r="H12" s="44"/>
    </row>
    <row r="13" spans="1:8" ht="16" x14ac:dyDescent="0.2">
      <c r="A13" s="1" t="s">
        <v>393</v>
      </c>
      <c r="C13" s="128" t="s">
        <v>201</v>
      </c>
      <c r="D13" s="320">
        <f>+D12</f>
        <v>0.6</v>
      </c>
      <c r="E13" s="128" t="s">
        <v>0</v>
      </c>
      <c r="F13" s="129"/>
      <c r="G13" s="129"/>
      <c r="H13" s="129"/>
    </row>
    <row r="14" spans="1:8" ht="16" x14ac:dyDescent="0.2">
      <c r="A14" s="1" t="s">
        <v>285</v>
      </c>
      <c r="C14" s="43" t="s">
        <v>203</v>
      </c>
      <c r="D14" s="332">
        <v>0.35</v>
      </c>
      <c r="E14" s="43" t="s">
        <v>0</v>
      </c>
      <c r="F14" s="44"/>
      <c r="G14" s="44"/>
      <c r="H14" s="44"/>
    </row>
    <row r="15" spans="1:8" ht="16" x14ac:dyDescent="0.2">
      <c r="A15" s="1" t="s">
        <v>204</v>
      </c>
      <c r="C15" s="43" t="s">
        <v>205</v>
      </c>
      <c r="D15" s="332">
        <v>0.5</v>
      </c>
      <c r="E15" s="43" t="s">
        <v>0</v>
      </c>
      <c r="F15" s="44"/>
      <c r="G15" s="44"/>
      <c r="H15" s="44"/>
    </row>
    <row r="16" spans="1:8" ht="16" x14ac:dyDescent="0.2">
      <c r="A16" s="1" t="s">
        <v>655</v>
      </c>
      <c r="C16" s="139" t="s">
        <v>656</v>
      </c>
      <c r="D16" s="320">
        <v>0</v>
      </c>
      <c r="E16" s="139" t="s">
        <v>0</v>
      </c>
      <c r="F16" s="133"/>
      <c r="G16" s="133"/>
      <c r="H16" s="133"/>
    </row>
    <row r="17" spans="1:8" ht="16" x14ac:dyDescent="0.2">
      <c r="A17" s="1" t="s">
        <v>206</v>
      </c>
      <c r="C17" s="43" t="s">
        <v>207</v>
      </c>
      <c r="D17" s="332">
        <v>2.5</v>
      </c>
      <c r="E17" s="43" t="s">
        <v>0</v>
      </c>
      <c r="F17" s="44"/>
      <c r="G17" s="44"/>
      <c r="H17" s="44"/>
    </row>
    <row r="18" spans="1:8" ht="16" x14ac:dyDescent="0.2">
      <c r="A18" s="1" t="s">
        <v>208</v>
      </c>
      <c r="C18" s="43" t="s">
        <v>209</v>
      </c>
      <c r="D18" s="332">
        <v>1.2</v>
      </c>
      <c r="E18" s="43" t="s">
        <v>0</v>
      </c>
      <c r="F18" s="44"/>
      <c r="G18" s="44"/>
      <c r="H18" s="44"/>
    </row>
    <row r="19" spans="1:8" ht="16" x14ac:dyDescent="0.2">
      <c r="A19" s="1" t="s">
        <v>59</v>
      </c>
      <c r="C19" s="48" t="s">
        <v>231</v>
      </c>
      <c r="D19" s="329">
        <v>7.4999999999999997E-2</v>
      </c>
      <c r="E19" s="48" t="s">
        <v>0</v>
      </c>
      <c r="F19" s="49"/>
      <c r="G19" s="49"/>
      <c r="H19" s="49"/>
    </row>
    <row r="20" spans="1:8" ht="16" x14ac:dyDescent="0.2">
      <c r="B20" s="44"/>
      <c r="C20" s="43"/>
      <c r="D20" s="7"/>
      <c r="E20" s="43"/>
      <c r="F20" s="44"/>
      <c r="G20" s="44"/>
      <c r="H20" s="44"/>
    </row>
    <row r="21" spans="1:8" ht="16" x14ac:dyDescent="0.2">
      <c r="A21" s="5" t="s">
        <v>211</v>
      </c>
      <c r="B21" s="44"/>
      <c r="C21" s="43"/>
      <c r="D21" s="7"/>
      <c r="E21" s="43"/>
      <c r="G21" s="44"/>
      <c r="H21" s="44"/>
    </row>
    <row r="22" spans="1:8" ht="16" x14ac:dyDescent="0.2">
      <c r="A22" s="5"/>
      <c r="B22" s="44"/>
      <c r="C22" s="43"/>
      <c r="D22" s="7"/>
      <c r="E22" s="43"/>
      <c r="G22" s="44"/>
      <c r="H22" s="44"/>
    </row>
    <row r="23" spans="1:8" ht="16" x14ac:dyDescent="0.2">
      <c r="A23" s="337" t="s">
        <v>196</v>
      </c>
      <c r="B23" s="337"/>
      <c r="C23" s="42" t="s">
        <v>194</v>
      </c>
      <c r="D23" s="42" t="s">
        <v>198</v>
      </c>
      <c r="E23" s="42" t="s">
        <v>195</v>
      </c>
      <c r="G23" s="44"/>
      <c r="H23" s="44"/>
    </row>
    <row r="24" spans="1:8" ht="16" x14ac:dyDescent="0.2">
      <c r="A24" s="1" t="s">
        <v>217</v>
      </c>
      <c r="C24" s="43" t="s">
        <v>55</v>
      </c>
      <c r="D24" s="45">
        <v>280</v>
      </c>
      <c r="E24" s="43" t="s">
        <v>52</v>
      </c>
      <c r="G24" s="44"/>
      <c r="H24" s="44"/>
    </row>
    <row r="25" spans="1:8" ht="16" x14ac:dyDescent="0.2">
      <c r="A25" s="1" t="s">
        <v>555</v>
      </c>
      <c r="C25" s="139" t="s">
        <v>556</v>
      </c>
      <c r="D25" s="45">
        <v>0.75</v>
      </c>
      <c r="E25" s="139" t="s">
        <v>557</v>
      </c>
      <c r="G25" s="133"/>
      <c r="H25" s="133"/>
    </row>
    <row r="26" spans="1:8" ht="16" x14ac:dyDescent="0.2">
      <c r="A26" s="1" t="s">
        <v>218</v>
      </c>
      <c r="C26" s="43" t="s">
        <v>56</v>
      </c>
      <c r="D26" s="45">
        <v>4200</v>
      </c>
      <c r="E26" s="43" t="s">
        <v>52</v>
      </c>
      <c r="G26" s="44"/>
      <c r="H26" s="44"/>
    </row>
    <row r="27" spans="1:8" ht="16" x14ac:dyDescent="0.2">
      <c r="A27" s="1" t="s">
        <v>219</v>
      </c>
      <c r="C27" s="43" t="s">
        <v>213</v>
      </c>
      <c r="D27" s="45">
        <v>2.4</v>
      </c>
      <c r="E27" s="43" t="s">
        <v>76</v>
      </c>
      <c r="G27" s="44"/>
      <c r="H27" s="44"/>
    </row>
    <row r="28" spans="1:8" ht="16" x14ac:dyDescent="0.2">
      <c r="A28" s="1" t="s">
        <v>220</v>
      </c>
      <c r="C28" s="43" t="s">
        <v>214</v>
      </c>
      <c r="D28" s="45">
        <v>2</v>
      </c>
      <c r="E28" s="43" t="s">
        <v>76</v>
      </c>
      <c r="G28" s="44"/>
      <c r="H28" s="44"/>
    </row>
    <row r="29" spans="1:8" ht="16" x14ac:dyDescent="0.2">
      <c r="A29" s="1" t="s">
        <v>423</v>
      </c>
      <c r="C29" s="35" t="s">
        <v>426</v>
      </c>
      <c r="D29" s="45">
        <v>30</v>
      </c>
      <c r="E29" s="43" t="s">
        <v>1</v>
      </c>
      <c r="G29" s="44"/>
      <c r="H29" s="44"/>
    </row>
    <row r="30" spans="1:8" ht="16" x14ac:dyDescent="0.2">
      <c r="A30" s="1" t="s">
        <v>221</v>
      </c>
      <c r="C30" s="139" t="s">
        <v>215</v>
      </c>
      <c r="D30" s="45">
        <v>30</v>
      </c>
      <c r="E30" s="139" t="s">
        <v>1</v>
      </c>
      <c r="G30" s="133"/>
      <c r="H30" s="133"/>
    </row>
    <row r="31" spans="1:8" ht="16" x14ac:dyDescent="0.2">
      <c r="A31" s="1" t="s">
        <v>212</v>
      </c>
      <c r="C31" s="43" t="s">
        <v>216</v>
      </c>
      <c r="D31" s="45">
        <v>48.4</v>
      </c>
      <c r="E31" s="130" t="s">
        <v>57</v>
      </c>
      <c r="F31" s="217"/>
      <c r="G31" s="44"/>
      <c r="H31" s="44"/>
    </row>
    <row r="32" spans="1:8" ht="16" x14ac:dyDescent="0.2">
      <c r="A32" s="1" t="s">
        <v>373</v>
      </c>
      <c r="C32" s="35" t="s">
        <v>378</v>
      </c>
      <c r="D32" s="45">
        <v>0</v>
      </c>
      <c r="E32" s="96" t="s">
        <v>1</v>
      </c>
      <c r="F32" s="95"/>
      <c r="G32" s="97"/>
      <c r="H32" s="97"/>
    </row>
    <row r="33" spans="1:8" ht="16" x14ac:dyDescent="0.2">
      <c r="A33" s="1" t="s">
        <v>375</v>
      </c>
      <c r="C33" s="35" t="s">
        <v>376</v>
      </c>
      <c r="D33" s="45">
        <v>22</v>
      </c>
      <c r="E33" s="96" t="s">
        <v>1</v>
      </c>
      <c r="F33" s="95"/>
      <c r="G33" s="97"/>
      <c r="H33" s="97"/>
    </row>
    <row r="34" spans="1:8" ht="16" x14ac:dyDescent="0.2">
      <c r="A34" s="1" t="s">
        <v>425</v>
      </c>
      <c r="C34" s="35" t="s">
        <v>424</v>
      </c>
      <c r="D34" s="45">
        <f>90-ATAN(RESISTENCIA!D7/RESISTENCIA!G18)*180/PI()</f>
        <v>88.543641365660307</v>
      </c>
      <c r="E34" s="139" t="s">
        <v>1</v>
      </c>
      <c r="F34" s="219"/>
      <c r="G34" s="133"/>
      <c r="H34" s="133"/>
    </row>
    <row r="35" spans="1:8" ht="16" x14ac:dyDescent="0.2">
      <c r="A35" s="1" t="s">
        <v>222</v>
      </c>
      <c r="C35" s="139" t="s">
        <v>476</v>
      </c>
      <c r="D35" s="45">
        <v>0.25</v>
      </c>
      <c r="E35" s="139" t="s">
        <v>657</v>
      </c>
      <c r="F35" s="42"/>
      <c r="G35" s="44"/>
      <c r="H35" s="44"/>
    </row>
    <row r="36" spans="1:8" ht="16" x14ac:dyDescent="0.2">
      <c r="A36" s="1" t="s">
        <v>474</v>
      </c>
      <c r="C36" s="139" t="s">
        <v>475</v>
      </c>
      <c r="D36" s="45">
        <v>1.1499999999999999</v>
      </c>
      <c r="E36" s="139" t="s">
        <v>658</v>
      </c>
      <c r="F36" s="223"/>
      <c r="G36" s="133"/>
      <c r="H36" s="133"/>
    </row>
    <row r="37" spans="1:8" ht="16" x14ac:dyDescent="0.2">
      <c r="A37" s="1" t="s">
        <v>381</v>
      </c>
      <c r="C37" s="131" t="s">
        <v>404</v>
      </c>
      <c r="D37" s="333" t="s">
        <v>328</v>
      </c>
      <c r="E37" s="99"/>
      <c r="F37" s="98"/>
      <c r="G37" s="100"/>
      <c r="H37" s="100"/>
    </row>
    <row r="38" spans="1:8" ht="16" x14ac:dyDescent="0.2">
      <c r="A38" s="1" t="s">
        <v>444</v>
      </c>
      <c r="C38" s="139" t="s">
        <v>410</v>
      </c>
      <c r="D38" s="45">
        <v>0.5</v>
      </c>
      <c r="E38" s="45" t="s">
        <v>0</v>
      </c>
      <c r="F38" s="139"/>
      <c r="G38" s="132"/>
      <c r="H38" s="132"/>
    </row>
    <row r="39" spans="1:8" ht="16" x14ac:dyDescent="0.2">
      <c r="A39" s="1" t="s">
        <v>387</v>
      </c>
      <c r="C39" s="139" t="s">
        <v>191</v>
      </c>
      <c r="D39" s="333">
        <v>1</v>
      </c>
      <c r="E39" s="45" t="s">
        <v>0</v>
      </c>
      <c r="F39" s="121"/>
      <c r="G39" s="133"/>
      <c r="H39" s="133"/>
    </row>
    <row r="40" spans="1:8" ht="16" x14ac:dyDescent="0.2">
      <c r="A40" s="1" t="s">
        <v>414</v>
      </c>
      <c r="C40" s="139" t="s">
        <v>415</v>
      </c>
      <c r="D40" s="45">
        <f>+D38-D12</f>
        <v>-9.9999999999999978E-2</v>
      </c>
      <c r="E40" s="45" t="s">
        <v>0</v>
      </c>
      <c r="F40" s="139"/>
      <c r="G40" s="133"/>
      <c r="H40" s="133"/>
    </row>
    <row r="41" spans="1:8" ht="16" x14ac:dyDescent="0.2">
      <c r="C41" s="139"/>
      <c r="D41" s="45"/>
      <c r="E41" s="139"/>
      <c r="F41" s="42"/>
      <c r="G41" s="44"/>
      <c r="H41" s="44"/>
    </row>
    <row r="42" spans="1:8" ht="16" x14ac:dyDescent="0.15">
      <c r="A42" s="336" t="s">
        <v>386</v>
      </c>
      <c r="B42" s="336"/>
      <c r="C42" s="336"/>
      <c r="D42" s="336"/>
      <c r="E42" s="336"/>
      <c r="F42" s="336"/>
      <c r="G42" s="336"/>
      <c r="H42" s="336"/>
    </row>
    <row r="43" spans="1:8" ht="16" x14ac:dyDescent="0.15">
      <c r="A43" s="106"/>
      <c r="B43" s="106"/>
      <c r="C43" s="106"/>
      <c r="D43" s="106"/>
      <c r="E43" s="106"/>
      <c r="F43" s="106"/>
      <c r="G43" s="106"/>
      <c r="H43" s="106"/>
    </row>
    <row r="44" spans="1:8" ht="16" x14ac:dyDescent="0.15">
      <c r="A44" s="336" t="s">
        <v>149</v>
      </c>
      <c r="B44" s="336"/>
      <c r="C44" s="336"/>
      <c r="D44" s="336"/>
      <c r="E44" s="336"/>
      <c r="F44" s="336"/>
      <c r="G44" s="336"/>
      <c r="H44" s="336"/>
    </row>
    <row r="45" spans="1:8" ht="16" x14ac:dyDescent="0.15">
      <c r="A45" s="336" t="s">
        <v>403</v>
      </c>
      <c r="B45" s="336"/>
      <c r="C45" s="336"/>
      <c r="D45" s="336"/>
      <c r="E45" s="336"/>
      <c r="F45" s="336"/>
      <c r="G45" s="336"/>
      <c r="H45" s="336"/>
    </row>
    <row r="46" spans="1:8" ht="17" thickBot="1" x14ac:dyDescent="0.2">
      <c r="A46" s="102"/>
      <c r="B46" s="102"/>
      <c r="C46" s="102"/>
      <c r="D46" s="102"/>
      <c r="E46" s="102"/>
      <c r="F46" s="102"/>
      <c r="G46" s="102"/>
      <c r="H46" s="102"/>
    </row>
    <row r="47" spans="1:8" ht="17" thickBot="1" x14ac:dyDescent="0.25">
      <c r="A47" s="318" t="s">
        <v>13</v>
      </c>
      <c r="B47" s="319"/>
      <c r="C47" s="51" t="s">
        <v>382</v>
      </c>
      <c r="D47" s="51" t="s">
        <v>654</v>
      </c>
      <c r="G47" s="49"/>
      <c r="H47" s="49"/>
    </row>
    <row r="48" spans="1:8" ht="16" x14ac:dyDescent="0.2">
      <c r="A48" s="327" t="s">
        <v>383</v>
      </c>
      <c r="B48" s="328"/>
      <c r="C48" s="112">
        <v>3</v>
      </c>
      <c r="D48" s="117">
        <f>+H96</f>
        <v>21</v>
      </c>
      <c r="G48" s="105"/>
      <c r="H48" s="105"/>
    </row>
    <row r="49" spans="1:8" ht="16" x14ac:dyDescent="0.2">
      <c r="A49" s="108" t="s">
        <v>405</v>
      </c>
      <c r="B49" s="109"/>
      <c r="C49" s="84">
        <v>3</v>
      </c>
      <c r="D49" s="115">
        <f>+H97</f>
        <v>27</v>
      </c>
      <c r="G49" s="49"/>
      <c r="H49" s="49"/>
    </row>
    <row r="50" spans="1:8" ht="16" x14ac:dyDescent="0.2">
      <c r="A50" s="108" t="s">
        <v>406</v>
      </c>
      <c r="B50" s="109"/>
      <c r="C50" s="84">
        <v>4</v>
      </c>
      <c r="D50" s="115">
        <f>+H98</f>
        <v>30</v>
      </c>
      <c r="G50" s="133"/>
      <c r="H50" s="133"/>
    </row>
    <row r="51" spans="1:8" ht="16" x14ac:dyDescent="0.2">
      <c r="A51" s="108" t="s">
        <v>241</v>
      </c>
      <c r="B51" s="109"/>
      <c r="C51" s="84">
        <v>5</v>
      </c>
      <c r="D51" s="115">
        <f>+D121</f>
        <v>16</v>
      </c>
      <c r="G51" s="49"/>
      <c r="H51" s="49"/>
    </row>
    <row r="52" spans="1:8" ht="16" x14ac:dyDescent="0.2">
      <c r="A52" s="108" t="s">
        <v>384</v>
      </c>
      <c r="B52" s="109"/>
      <c r="C52" s="84">
        <v>5</v>
      </c>
      <c r="D52" s="115">
        <f>+D122</f>
        <v>16</v>
      </c>
      <c r="G52" s="49"/>
      <c r="H52" s="49"/>
    </row>
    <row r="53" spans="1:8" ht="17" thickBot="1" x14ac:dyDescent="0.25">
      <c r="A53" s="110" t="s">
        <v>385</v>
      </c>
      <c r="B53" s="111"/>
      <c r="C53" s="41">
        <v>5</v>
      </c>
      <c r="D53" s="116">
        <f>+D123</f>
        <v>13</v>
      </c>
      <c r="G53" s="91"/>
      <c r="H53" s="91"/>
    </row>
    <row r="54" spans="1:8" ht="15.5" customHeight="1" x14ac:dyDescent="0.2">
      <c r="A54" s="338" t="s">
        <v>26</v>
      </c>
      <c r="B54" s="16">
        <f>+A327</f>
        <v>0</v>
      </c>
      <c r="C54" s="112">
        <v>5</v>
      </c>
      <c r="D54" s="117">
        <f>+MIN(45,G327)</f>
        <v>24</v>
      </c>
      <c r="G54" s="91"/>
      <c r="H54" s="91"/>
    </row>
    <row r="55" spans="1:8" ht="16" x14ac:dyDescent="0.2">
      <c r="A55" s="339"/>
      <c r="B55" s="17">
        <f>+A328</f>
        <v>1.4750000000000001</v>
      </c>
      <c r="C55" s="84">
        <v>5</v>
      </c>
      <c r="D55" s="117">
        <f t="shared" ref="D55:D57" si="0">+MIN(45,G328)</f>
        <v>23</v>
      </c>
      <c r="G55" s="91"/>
      <c r="H55" s="91"/>
    </row>
    <row r="56" spans="1:8" ht="16" x14ac:dyDescent="0.2">
      <c r="A56" s="339"/>
      <c r="B56" s="17">
        <f>+A329</f>
        <v>2.95</v>
      </c>
      <c r="C56" s="84">
        <v>5</v>
      </c>
      <c r="D56" s="117">
        <f t="shared" si="0"/>
        <v>21</v>
      </c>
      <c r="G56" s="91"/>
      <c r="H56" s="91"/>
    </row>
    <row r="57" spans="1:8" ht="16" x14ac:dyDescent="0.2">
      <c r="A57" s="339"/>
      <c r="B57" s="17">
        <f>+A330</f>
        <v>4.4250000000000007</v>
      </c>
      <c r="C57" s="84">
        <v>5</v>
      </c>
      <c r="D57" s="117">
        <f t="shared" si="0"/>
        <v>16</v>
      </c>
      <c r="G57" s="105"/>
      <c r="H57" s="105"/>
    </row>
    <row r="58" spans="1:8" ht="17" thickBot="1" x14ac:dyDescent="0.25">
      <c r="A58" s="340"/>
      <c r="B58" s="15">
        <f>+A331</f>
        <v>5.9</v>
      </c>
      <c r="C58" s="41">
        <v>5</v>
      </c>
      <c r="D58" s="116">
        <f>+H321</f>
        <v>7</v>
      </c>
      <c r="G58" s="44"/>
      <c r="H58" s="44"/>
    </row>
    <row r="59" spans="1:8" ht="16" x14ac:dyDescent="0.2">
      <c r="A59" s="268"/>
      <c r="B59" s="73"/>
      <c r="C59" s="269"/>
      <c r="D59" s="270"/>
      <c r="G59" s="133"/>
      <c r="H59" s="133"/>
    </row>
    <row r="60" spans="1:8" ht="16" x14ac:dyDescent="0.15">
      <c r="A60" s="336" t="s">
        <v>150</v>
      </c>
      <c r="B60" s="336"/>
      <c r="C60" s="336"/>
      <c r="D60" s="336"/>
      <c r="E60" s="336"/>
      <c r="F60" s="336"/>
      <c r="G60" s="336"/>
      <c r="H60" s="336"/>
    </row>
    <row r="61" spans="1:8" ht="16" x14ac:dyDescent="0.15">
      <c r="A61" s="336" t="s">
        <v>388</v>
      </c>
      <c r="B61" s="336"/>
      <c r="C61" s="336"/>
      <c r="D61" s="336"/>
      <c r="E61" s="336"/>
      <c r="F61" s="336"/>
      <c r="G61" s="336"/>
      <c r="H61" s="336"/>
    </row>
    <row r="62" spans="1:8" ht="17" thickBot="1" x14ac:dyDescent="0.25">
      <c r="C62" s="105"/>
      <c r="D62" s="105"/>
      <c r="E62" s="105"/>
      <c r="F62" s="105"/>
      <c r="G62" s="105"/>
      <c r="H62" s="105"/>
    </row>
    <row r="63" spans="1:8" ht="17" thickBot="1" x14ac:dyDescent="0.25">
      <c r="A63" s="5"/>
      <c r="B63" s="53"/>
      <c r="C63" s="342" t="s">
        <v>283</v>
      </c>
      <c r="D63" s="343"/>
      <c r="E63" s="343"/>
      <c r="F63" s="344"/>
    </row>
    <row r="64" spans="1:8" ht="15" thickBot="1" x14ac:dyDescent="0.2">
      <c r="A64" s="83" t="s">
        <v>13</v>
      </c>
      <c r="B64" s="83" t="s">
        <v>279</v>
      </c>
      <c r="C64" s="83" t="s">
        <v>280</v>
      </c>
      <c r="D64" s="83" t="s">
        <v>281</v>
      </c>
      <c r="E64" s="83" t="s">
        <v>282</v>
      </c>
      <c r="F64" s="266" t="s">
        <v>578</v>
      </c>
    </row>
    <row r="65" spans="1:11" x14ac:dyDescent="0.15">
      <c r="A65" s="26" t="s">
        <v>241</v>
      </c>
      <c r="B65" s="40">
        <v>0</v>
      </c>
      <c r="C65" s="56" t="str">
        <f>+H105</f>
        <v>ok</v>
      </c>
      <c r="D65" s="56" t="str">
        <f>+F121</f>
        <v>ok</v>
      </c>
      <c r="E65" s="56" t="str">
        <f>+G161</f>
        <v>ok</v>
      </c>
      <c r="F65" s="56" t="str">
        <f>+H481</f>
        <v>ok</v>
      </c>
    </row>
    <row r="66" spans="1:11" x14ac:dyDescent="0.15">
      <c r="A66" s="18" t="s">
        <v>15</v>
      </c>
      <c r="B66" s="84">
        <v>0</v>
      </c>
      <c r="C66" s="85" t="str">
        <f>+H106</f>
        <v>ok</v>
      </c>
      <c r="D66" s="85" t="str">
        <f>+F122</f>
        <v>ok</v>
      </c>
      <c r="E66" s="85" t="str">
        <f>+G162</f>
        <v>ok</v>
      </c>
      <c r="F66" s="85" t="str">
        <f>+H482</f>
        <v>ok</v>
      </c>
    </row>
    <row r="67" spans="1:11" x14ac:dyDescent="0.15">
      <c r="A67" s="18" t="s">
        <v>16</v>
      </c>
      <c r="B67" s="84">
        <v>0</v>
      </c>
      <c r="C67" s="85" t="str">
        <f>+H107</f>
        <v>ok</v>
      </c>
      <c r="D67" s="85" t="str">
        <f>+F123</f>
        <v>ok</v>
      </c>
      <c r="E67" s="85" t="str">
        <f>+G163</f>
        <v>ok</v>
      </c>
      <c r="F67" s="85" t="str">
        <f>+H483</f>
        <v>ok</v>
      </c>
    </row>
    <row r="68" spans="1:11" ht="15" thickBot="1" x14ac:dyDescent="0.2">
      <c r="A68" s="19" t="s">
        <v>26</v>
      </c>
      <c r="B68" s="41">
        <v>0</v>
      </c>
      <c r="C68" s="57" t="str">
        <f>+H108</f>
        <v>ok</v>
      </c>
      <c r="D68" s="57" t="str">
        <f>+F124</f>
        <v>ok</v>
      </c>
      <c r="E68" s="57" t="str">
        <f>+G164</f>
        <v>ok</v>
      </c>
      <c r="F68" s="57" t="str">
        <f>+H484</f>
        <v>ok</v>
      </c>
      <c r="K68" s="215"/>
    </row>
    <row r="69" spans="1:11" ht="16" x14ac:dyDescent="0.2">
      <c r="C69" s="53"/>
      <c r="D69" s="45"/>
      <c r="E69" s="53"/>
      <c r="F69" s="52"/>
      <c r="G69" s="54"/>
      <c r="H69" s="54"/>
      <c r="K69" s="216"/>
    </row>
    <row r="70" spans="1:11" ht="17" thickBot="1" x14ac:dyDescent="0.25">
      <c r="A70" s="3" t="s">
        <v>465</v>
      </c>
      <c r="E70" s="104"/>
      <c r="F70" s="103"/>
      <c r="G70" s="105"/>
      <c r="H70" s="105"/>
    </row>
    <row r="71" spans="1:11" ht="17" thickBot="1" x14ac:dyDescent="0.25">
      <c r="A71" s="258" t="s">
        <v>511</v>
      </c>
      <c r="B71" s="272"/>
      <c r="C71" s="258" t="s">
        <v>512</v>
      </c>
      <c r="D71" s="258" t="s">
        <v>513</v>
      </c>
      <c r="E71" s="139"/>
      <c r="F71" s="241"/>
      <c r="G71" s="133"/>
      <c r="H71" s="133"/>
    </row>
    <row r="72" spans="1:11" ht="16" x14ac:dyDescent="0.2">
      <c r="A72" s="326" t="s">
        <v>462</v>
      </c>
      <c r="B72" s="326"/>
      <c r="C72" s="325" t="str">
        <f>+RESISTENCIA!B214</f>
        <v>revisar</v>
      </c>
      <c r="D72" s="257" t="str">
        <f>+'EXTREMO I'!B229</f>
        <v>revisar</v>
      </c>
      <c r="E72" s="139"/>
      <c r="F72" s="219"/>
      <c r="G72" s="133"/>
      <c r="H72" s="133"/>
    </row>
    <row r="73" spans="1:11" ht="16" x14ac:dyDescent="0.2">
      <c r="A73" s="256" t="s">
        <v>499</v>
      </c>
      <c r="B73" s="256"/>
      <c r="C73" s="322" t="str">
        <f>+RESISTENCIA!E236</f>
        <v>ok</v>
      </c>
      <c r="D73" s="75" t="str">
        <f>+'EXTREMO I'!E251</f>
        <v>ok</v>
      </c>
      <c r="E73" s="139"/>
      <c r="F73" s="219"/>
      <c r="G73" s="133"/>
      <c r="H73" s="133"/>
    </row>
    <row r="74" spans="1:11" ht="17" thickBot="1" x14ac:dyDescent="0.25">
      <c r="A74" s="323" t="s">
        <v>459</v>
      </c>
      <c r="B74" s="324"/>
      <c r="C74" s="321" t="str">
        <f>+RESISTENCIA!E225</f>
        <v>Revisar</v>
      </c>
      <c r="D74" s="58" t="str">
        <f>+'EXTREMO I'!E240</f>
        <v>Revisar</v>
      </c>
      <c r="E74" s="139"/>
      <c r="F74" s="219"/>
      <c r="G74" s="133"/>
      <c r="H74" s="133"/>
    </row>
    <row r="75" spans="1:11" ht="16" x14ac:dyDescent="0.2">
      <c r="B75" s="45"/>
      <c r="C75" s="48"/>
      <c r="E75" s="104"/>
      <c r="F75" s="103"/>
      <c r="G75" s="105"/>
      <c r="H75" s="105"/>
    </row>
    <row r="76" spans="1:11" ht="16" x14ac:dyDescent="0.2">
      <c r="A76" s="5" t="s">
        <v>472</v>
      </c>
      <c r="E76" s="104"/>
      <c r="F76" s="103"/>
      <c r="G76" s="105"/>
      <c r="H76" s="105"/>
    </row>
    <row r="77" spans="1:11" ht="16" x14ac:dyDescent="0.2">
      <c r="A77" s="1" t="s">
        <v>242</v>
      </c>
      <c r="C77" s="120">
        <f>D88</f>
        <v>0.6</v>
      </c>
      <c r="D77" s="1" t="s">
        <v>0</v>
      </c>
      <c r="E77" s="104"/>
      <c r="F77" s="214"/>
      <c r="G77" s="105"/>
      <c r="H77" s="105"/>
    </row>
    <row r="78" spans="1:11" ht="16" x14ac:dyDescent="0.2">
      <c r="A78" s="1" t="s">
        <v>387</v>
      </c>
      <c r="C78" s="121">
        <f>+D39</f>
        <v>1</v>
      </c>
      <c r="D78" s="1" t="s">
        <v>0</v>
      </c>
      <c r="E78" s="104"/>
      <c r="F78" s="103"/>
      <c r="G78" s="105"/>
      <c r="H78" s="105"/>
    </row>
    <row r="79" spans="1:11" ht="17" thickBot="1" x14ac:dyDescent="0.25">
      <c r="A79" s="6"/>
      <c r="B79" s="45"/>
      <c r="C79" s="104"/>
      <c r="D79" s="55"/>
      <c r="E79" s="104"/>
      <c r="F79" s="103"/>
      <c r="G79" s="105"/>
      <c r="H79" s="105"/>
    </row>
    <row r="80" spans="1:11" ht="16" x14ac:dyDescent="0.2">
      <c r="A80" s="341" t="s">
        <v>284</v>
      </c>
      <c r="B80" s="341"/>
      <c r="C80" s="341"/>
      <c r="D80" s="341"/>
      <c r="E80" s="341"/>
      <c r="F80" s="341"/>
      <c r="G80" s="341"/>
      <c r="H80" s="341"/>
    </row>
    <row r="81" spans="1:8" ht="16" x14ac:dyDescent="0.2">
      <c r="A81" s="5"/>
      <c r="B81" s="44"/>
      <c r="C81" s="43"/>
      <c r="D81" s="7"/>
      <c r="E81" s="43"/>
      <c r="F81" s="42"/>
      <c r="G81" s="44"/>
      <c r="H81" s="44"/>
    </row>
    <row r="82" spans="1:8" ht="16" x14ac:dyDescent="0.2">
      <c r="A82" s="337" t="s">
        <v>196</v>
      </c>
      <c r="B82" s="337"/>
      <c r="C82" s="42" t="s">
        <v>194</v>
      </c>
      <c r="D82" s="42" t="s">
        <v>198</v>
      </c>
      <c r="E82" s="42" t="s">
        <v>195</v>
      </c>
      <c r="F82" s="42"/>
      <c r="G82" s="44"/>
      <c r="H82" s="44"/>
    </row>
    <row r="83" spans="1:8" ht="16" x14ac:dyDescent="0.2">
      <c r="A83" s="1" t="s">
        <v>490</v>
      </c>
      <c r="C83" s="139" t="s">
        <v>489</v>
      </c>
      <c r="D83" s="45">
        <f>+IF(D37="S",0.6,0)</f>
        <v>0.6</v>
      </c>
      <c r="E83" s="43" t="s">
        <v>0</v>
      </c>
      <c r="F83" s="42"/>
      <c r="G83" s="44"/>
      <c r="H83" s="44"/>
    </row>
    <row r="84" spans="1:8" ht="16" x14ac:dyDescent="0.2">
      <c r="A84" s="1" t="s">
        <v>224</v>
      </c>
      <c r="C84" s="43" t="s">
        <v>225</v>
      </c>
      <c r="D84" s="45">
        <f>+D18+D17+D15</f>
        <v>4.2</v>
      </c>
      <c r="E84" s="43" t="s">
        <v>0</v>
      </c>
      <c r="F84" s="42"/>
      <c r="G84" s="44"/>
      <c r="H84" s="44"/>
    </row>
    <row r="85" spans="1:8" ht="16" x14ac:dyDescent="0.2">
      <c r="A85" s="1" t="s">
        <v>226</v>
      </c>
      <c r="C85" s="43" t="s">
        <v>223</v>
      </c>
      <c r="D85" s="45">
        <f>+D10-D13</f>
        <v>5.9</v>
      </c>
      <c r="E85" s="43" t="s">
        <v>0</v>
      </c>
      <c r="F85" s="38"/>
      <c r="G85" s="44"/>
      <c r="H85" s="44"/>
    </row>
    <row r="86" spans="1:8" ht="16" x14ac:dyDescent="0.2">
      <c r="A86" s="1" t="s">
        <v>290</v>
      </c>
      <c r="C86" s="48" t="s">
        <v>234</v>
      </c>
      <c r="D86" s="45">
        <f>+D85-D11</f>
        <v>5.6000000000000005</v>
      </c>
      <c r="E86" s="48" t="s">
        <v>0</v>
      </c>
      <c r="F86" s="46"/>
      <c r="G86" s="49"/>
      <c r="H86" s="49"/>
    </row>
    <row r="87" spans="1:8" ht="16" x14ac:dyDescent="0.2">
      <c r="A87" s="1" t="s">
        <v>291</v>
      </c>
      <c r="C87" s="87" t="s">
        <v>197</v>
      </c>
      <c r="D87" s="45">
        <f>+D10-D11</f>
        <v>6.2</v>
      </c>
      <c r="E87" s="48" t="s">
        <v>0</v>
      </c>
      <c r="F87" s="46"/>
      <c r="G87" s="49"/>
      <c r="H87" s="49"/>
    </row>
    <row r="88" spans="1:8" ht="16" x14ac:dyDescent="0.2">
      <c r="A88" s="1" t="s">
        <v>242</v>
      </c>
      <c r="C88" s="48" t="s">
        <v>243</v>
      </c>
      <c r="D88" s="45">
        <f>+DENTELLON!B43</f>
        <v>0.6</v>
      </c>
      <c r="E88" s="48" t="s">
        <v>0</v>
      </c>
      <c r="F88" s="46"/>
      <c r="G88" s="49"/>
      <c r="H88" s="49"/>
    </row>
    <row r="89" spans="1:8" ht="16" x14ac:dyDescent="0.2">
      <c r="A89" s="1" t="s">
        <v>292</v>
      </c>
      <c r="C89" s="87" t="s">
        <v>286</v>
      </c>
      <c r="D89" s="45">
        <f>+D15-D14</f>
        <v>0.15000000000000002</v>
      </c>
      <c r="E89" s="87" t="s">
        <v>0</v>
      </c>
      <c r="F89" s="86"/>
      <c r="G89" s="88"/>
      <c r="H89" s="88"/>
    </row>
    <row r="90" spans="1:8" ht="16" x14ac:dyDescent="0.2">
      <c r="A90" s="1" t="s">
        <v>293</v>
      </c>
      <c r="C90" s="87" t="s">
        <v>287</v>
      </c>
      <c r="D90" s="45">
        <f>+D89*D86/D85</f>
        <v>0.14237288135593223</v>
      </c>
      <c r="E90" s="87" t="s">
        <v>0</v>
      </c>
      <c r="F90" s="86"/>
      <c r="G90" s="88"/>
      <c r="H90" s="88"/>
    </row>
    <row r="91" spans="1:8" ht="16" x14ac:dyDescent="0.2">
      <c r="A91" s="1" t="s">
        <v>377</v>
      </c>
      <c r="C91" s="101" t="s">
        <v>378</v>
      </c>
      <c r="D91" s="45">
        <f>+ATAN((D15-D14)/D85)</f>
        <v>2.5418253259075704E-2</v>
      </c>
      <c r="E91" s="96" t="s">
        <v>19</v>
      </c>
      <c r="F91" s="95"/>
      <c r="G91" s="97"/>
      <c r="H91" s="97"/>
    </row>
    <row r="93" spans="1:8" ht="16" x14ac:dyDescent="0.15">
      <c r="A93" s="336" t="s">
        <v>395</v>
      </c>
      <c r="B93" s="336"/>
      <c r="C93" s="336"/>
      <c r="D93" s="336"/>
      <c r="E93" s="336"/>
      <c r="F93" s="336"/>
      <c r="G93" s="336"/>
      <c r="H93" s="336"/>
    </row>
    <row r="94" spans="1:8" ht="17" thickBot="1" x14ac:dyDescent="0.2">
      <c r="A94" s="336" t="s">
        <v>235</v>
      </c>
      <c r="B94" s="336"/>
      <c r="C94" s="336"/>
      <c r="D94" s="336"/>
      <c r="E94" s="336"/>
      <c r="F94" s="336"/>
      <c r="G94" s="336"/>
      <c r="H94" s="336"/>
    </row>
    <row r="95" spans="1:8" ht="18" customHeight="1" thickBot="1" x14ac:dyDescent="0.2">
      <c r="A95" s="10" t="s">
        <v>10</v>
      </c>
      <c r="B95" s="10" t="s">
        <v>547</v>
      </c>
      <c r="C95" s="10" t="s">
        <v>548</v>
      </c>
      <c r="D95" s="10" t="s">
        <v>546</v>
      </c>
      <c r="E95" s="10" t="s">
        <v>18</v>
      </c>
      <c r="F95" s="10" t="s">
        <v>12</v>
      </c>
      <c r="G95" s="11" t="s">
        <v>34</v>
      </c>
      <c r="H95" s="10" t="s">
        <v>33</v>
      </c>
    </row>
    <row r="96" spans="1:8" x14ac:dyDescent="0.15">
      <c r="A96" s="118" t="s">
        <v>39</v>
      </c>
      <c r="B96" s="27">
        <f>+D12*100</f>
        <v>60</v>
      </c>
      <c r="C96" s="27">
        <v>100</v>
      </c>
      <c r="D96" s="27">
        <f>MAX(2.33,760*C96*B96/(2*(C96+B96)*$D$26))</f>
        <v>3.3928571428571428</v>
      </c>
      <c r="E96" s="113">
        <f>+C48</f>
        <v>3</v>
      </c>
      <c r="F96" s="23">
        <f>+E96^2/(4*PI())</f>
        <v>0.71619724391352901</v>
      </c>
      <c r="G96" s="23">
        <f>+D96/F96</f>
        <v>4.7373222554131802</v>
      </c>
      <c r="H96" s="113">
        <f>+MIN(30,300*B96,ROUND(100/G96,0))</f>
        <v>21</v>
      </c>
    </row>
    <row r="97" spans="1:8" x14ac:dyDescent="0.15">
      <c r="A97" s="134" t="s">
        <v>407</v>
      </c>
      <c r="B97" s="135">
        <f>+(D14+D15)*0.5*100</f>
        <v>42.5</v>
      </c>
      <c r="C97" s="135">
        <v>100</v>
      </c>
      <c r="D97" s="135">
        <f>MAX(2.33,760*C97*B97/(2*(C97+B97)*$D$26))</f>
        <v>2.6984126984126986</v>
      </c>
      <c r="E97" s="136">
        <f>+C49</f>
        <v>3</v>
      </c>
      <c r="F97" s="18">
        <f t="shared" ref="F97:F98" si="1">+E97^2/(4*PI())</f>
        <v>0.71619724391352901</v>
      </c>
      <c r="G97" s="18">
        <f t="shared" ref="G97:G98" si="2">+D97/F97</f>
        <v>3.7676948931941086</v>
      </c>
      <c r="H97" s="136">
        <f t="shared" ref="H97:H98" si="3">+MIN(30,300*B97,ROUND(100/G97,0))</f>
        <v>27</v>
      </c>
    </row>
    <row r="98" spans="1:8" ht="15" thickBot="1" x14ac:dyDescent="0.2">
      <c r="A98" s="119" t="s">
        <v>408</v>
      </c>
      <c r="B98" s="28">
        <f>+B97</f>
        <v>42.5</v>
      </c>
      <c r="C98" s="28">
        <f>C97</f>
        <v>100</v>
      </c>
      <c r="D98" s="28">
        <f>MAX(2.33,760*C98*B98/(2*(C98+B98)*$D$26))</f>
        <v>2.6984126984126986</v>
      </c>
      <c r="E98" s="114">
        <f>+C50</f>
        <v>4</v>
      </c>
      <c r="F98" s="19">
        <f t="shared" si="1"/>
        <v>1.2732395447351628</v>
      </c>
      <c r="G98" s="19">
        <f t="shared" si="2"/>
        <v>2.1193283774216858</v>
      </c>
      <c r="H98" s="114">
        <f t="shared" si="3"/>
        <v>30</v>
      </c>
    </row>
    <row r="99" spans="1:8" x14ac:dyDescent="0.15">
      <c r="C99" s="7"/>
      <c r="D99" s="48"/>
      <c r="E99" s="46"/>
      <c r="F99" s="46"/>
      <c r="G99" s="7"/>
      <c r="H99" s="48"/>
    </row>
    <row r="100" spans="1:8" x14ac:dyDescent="0.15">
      <c r="C100" s="7"/>
      <c r="D100" s="123"/>
      <c r="E100" s="122"/>
      <c r="F100" s="122"/>
      <c r="G100" s="7"/>
      <c r="H100" s="123"/>
    </row>
    <row r="101" spans="1:8" ht="16" x14ac:dyDescent="0.15">
      <c r="A101" s="336" t="s">
        <v>151</v>
      </c>
      <c r="B101" s="336"/>
      <c r="C101" s="336"/>
      <c r="D101" s="336"/>
      <c r="E101" s="336"/>
      <c r="F101" s="336"/>
      <c r="G101" s="336"/>
      <c r="H101" s="336"/>
    </row>
    <row r="102" spans="1:8" ht="16" x14ac:dyDescent="0.15">
      <c r="A102" s="336" t="s">
        <v>239</v>
      </c>
      <c r="B102" s="336"/>
      <c r="C102" s="336"/>
      <c r="D102" s="336"/>
      <c r="E102" s="336"/>
      <c r="F102" s="336"/>
      <c r="G102" s="336"/>
      <c r="H102" s="336"/>
    </row>
    <row r="103" spans="1:8" ht="15" thickBot="1" x14ac:dyDescent="0.2">
      <c r="C103" s="7"/>
      <c r="D103" s="48"/>
      <c r="E103" s="46"/>
      <c r="F103" s="46"/>
      <c r="G103" s="7"/>
      <c r="H103" s="48"/>
    </row>
    <row r="104" spans="1:8" ht="41.5" customHeight="1" thickBot="1" x14ac:dyDescent="0.25">
      <c r="A104" s="47" t="s">
        <v>13</v>
      </c>
      <c r="B104" s="29" t="s">
        <v>35</v>
      </c>
      <c r="C104" s="36" t="s">
        <v>66</v>
      </c>
      <c r="D104" s="47" t="s">
        <v>238</v>
      </c>
      <c r="E104" s="37" t="s">
        <v>67</v>
      </c>
      <c r="F104" s="62" t="s">
        <v>240</v>
      </c>
      <c r="G104" s="37" t="s">
        <v>236</v>
      </c>
      <c r="H104" s="47" t="s">
        <v>237</v>
      </c>
    </row>
    <row r="105" spans="1:8" x14ac:dyDescent="0.15">
      <c r="A105" s="26" t="s">
        <v>241</v>
      </c>
      <c r="B105" s="26">
        <f>+C51</f>
        <v>5</v>
      </c>
      <c r="C105" s="26">
        <f>+B105/PI()</f>
        <v>1.5915494309189535</v>
      </c>
      <c r="D105" s="26">
        <f>MAX(8*B105/PI(),317.5*C105/$D$24^0.5,15)</f>
        <v>30.198463431441773</v>
      </c>
      <c r="E105" s="26">
        <f>+D105+$D$19*100</f>
        <v>37.698463431441773</v>
      </c>
      <c r="F105" s="26" t="s">
        <v>39</v>
      </c>
      <c r="G105" s="26">
        <f>+D12*100</f>
        <v>60</v>
      </c>
      <c r="H105" s="59" t="str">
        <f>+IF(G105&gt;E105,"ok","revisar")</f>
        <v>ok</v>
      </c>
    </row>
    <row r="106" spans="1:8" x14ac:dyDescent="0.15">
      <c r="A106" s="18" t="s">
        <v>15</v>
      </c>
      <c r="B106" s="18">
        <f>+C52</f>
        <v>5</v>
      </c>
      <c r="C106" s="18">
        <f>+B106/PI()</f>
        <v>1.5915494309189535</v>
      </c>
      <c r="D106" s="18">
        <f t="shared" ref="D106:D108" si="4">MAX(8*B106/PI(),317.5*C106/$D$24^0.5,15)</f>
        <v>30.198463431441773</v>
      </c>
      <c r="E106" s="18">
        <f>+D106+$D$19*100</f>
        <v>37.698463431441773</v>
      </c>
      <c r="F106" s="18" t="s">
        <v>26</v>
      </c>
      <c r="G106" s="18">
        <f>+(D15+D16)*100</f>
        <v>50</v>
      </c>
      <c r="H106" s="60" t="str">
        <f t="shared" ref="H106:H107" si="5">+IF(G106&gt;E106,"ok","revisar")</f>
        <v>ok</v>
      </c>
    </row>
    <row r="107" spans="1:8" x14ac:dyDescent="0.15">
      <c r="A107" s="18" t="s">
        <v>16</v>
      </c>
      <c r="B107" s="18">
        <f>+C53</f>
        <v>5</v>
      </c>
      <c r="C107" s="18">
        <f t="shared" ref="C107:C108" si="6">+B107/PI()</f>
        <v>1.5915494309189535</v>
      </c>
      <c r="D107" s="18">
        <f t="shared" si="4"/>
        <v>30.198463431441773</v>
      </c>
      <c r="E107" s="18">
        <f t="shared" ref="E107:E108" si="7">+D107+$D$19*100</f>
        <v>37.698463431441773</v>
      </c>
      <c r="F107" s="18" t="s">
        <v>26</v>
      </c>
      <c r="G107" s="18">
        <f>+G106</f>
        <v>50</v>
      </c>
      <c r="H107" s="60" t="str">
        <f t="shared" si="5"/>
        <v>ok</v>
      </c>
    </row>
    <row r="108" spans="1:8" x14ac:dyDescent="0.15">
      <c r="A108" s="18" t="s">
        <v>26</v>
      </c>
      <c r="B108" s="18">
        <f>+C58</f>
        <v>5</v>
      </c>
      <c r="C108" s="18">
        <f t="shared" si="6"/>
        <v>1.5915494309189535</v>
      </c>
      <c r="D108" s="18">
        <f t="shared" si="4"/>
        <v>30.198463431441773</v>
      </c>
      <c r="E108" s="18">
        <f t="shared" si="7"/>
        <v>37.698463431441773</v>
      </c>
      <c r="F108" s="18" t="s">
        <v>39</v>
      </c>
      <c r="G108" s="18">
        <f>+D12*100</f>
        <v>60</v>
      </c>
      <c r="H108" s="60" t="s">
        <v>409</v>
      </c>
    </row>
    <row r="109" spans="1:8" x14ac:dyDescent="0.15">
      <c r="C109" s="7"/>
      <c r="D109" s="48"/>
      <c r="E109" s="46"/>
      <c r="F109" s="46"/>
      <c r="G109" s="7"/>
      <c r="H109" s="48"/>
    </row>
    <row r="110" spans="1:8" x14ac:dyDescent="0.15">
      <c r="A110" s="3" t="s">
        <v>401</v>
      </c>
      <c r="G110" s="7"/>
      <c r="H110" s="123"/>
    </row>
    <row r="111" spans="1:8" x14ac:dyDescent="0.15">
      <c r="A111" s="3"/>
      <c r="G111" s="7"/>
      <c r="H111" s="123"/>
    </row>
    <row r="112" spans="1:8" x14ac:dyDescent="0.15">
      <c r="A112"/>
      <c r="G112" s="7"/>
      <c r="H112" s="123"/>
    </row>
    <row r="113" spans="1:8" x14ac:dyDescent="0.15">
      <c r="A113" s="3"/>
      <c r="C113" s="25"/>
      <c r="G113" s="7"/>
      <c r="H113" s="123"/>
    </row>
    <row r="114" spans="1:8" x14ac:dyDescent="0.15">
      <c r="A114" s="3"/>
      <c r="C114" s="48"/>
      <c r="G114" s="7"/>
      <c r="H114" s="123"/>
    </row>
    <row r="115" spans="1:8" x14ac:dyDescent="0.15">
      <c r="A115"/>
      <c r="C115" s="48"/>
      <c r="G115" s="7"/>
      <c r="H115" s="123"/>
    </row>
    <row r="116" spans="1:8" x14ac:dyDescent="0.15">
      <c r="A116" s="3"/>
      <c r="C116" s="48"/>
      <c r="G116" s="7"/>
      <c r="H116" s="123"/>
    </row>
    <row r="117" spans="1:8" ht="16" x14ac:dyDescent="0.15">
      <c r="A117" s="336" t="s">
        <v>253</v>
      </c>
      <c r="B117" s="336"/>
      <c r="C117" s="336"/>
      <c r="D117" s="336"/>
      <c r="E117" s="336"/>
      <c r="F117" s="336"/>
      <c r="G117" s="336"/>
      <c r="H117" s="336"/>
    </row>
    <row r="118" spans="1:8" ht="16" x14ac:dyDescent="0.15">
      <c r="A118" s="336" t="s">
        <v>249</v>
      </c>
      <c r="B118" s="336"/>
      <c r="C118" s="336"/>
      <c r="D118" s="336"/>
      <c r="E118" s="336"/>
      <c r="F118" s="336"/>
      <c r="G118" s="336"/>
      <c r="H118" s="336"/>
    </row>
    <row r="119" spans="1:8" ht="15" thickBot="1" x14ac:dyDescent="0.2">
      <c r="C119" s="7"/>
      <c r="D119" s="48"/>
      <c r="E119" s="46"/>
      <c r="F119" s="46"/>
      <c r="G119" s="7"/>
      <c r="H119" s="48"/>
    </row>
    <row r="120" spans="1:8" ht="26.5" customHeight="1" thickBot="1" x14ac:dyDescent="0.2">
      <c r="A120" s="47" t="s">
        <v>13</v>
      </c>
      <c r="B120" s="47" t="s">
        <v>35</v>
      </c>
      <c r="C120" s="47" t="s">
        <v>248</v>
      </c>
      <c r="D120" s="37" t="s">
        <v>266</v>
      </c>
      <c r="E120" s="37" t="s">
        <v>348</v>
      </c>
      <c r="F120" s="47" t="s">
        <v>237</v>
      </c>
      <c r="G120" s="48"/>
    </row>
    <row r="121" spans="1:8" x14ac:dyDescent="0.15">
      <c r="A121" s="26" t="str">
        <f t="shared" ref="A121:B124" si="8">+A105</f>
        <v>Dentellon</v>
      </c>
      <c r="B121" s="26">
        <f t="shared" si="8"/>
        <v>5</v>
      </c>
      <c r="C121" s="26">
        <f>+D88</f>
        <v>0.6</v>
      </c>
      <c r="D121" s="26">
        <f>+H318</f>
        <v>16</v>
      </c>
      <c r="E121" s="26">
        <f>+MIN(45,150*C121)</f>
        <v>45</v>
      </c>
      <c r="F121" s="59" t="str">
        <f>+IF(E121&gt;=D121,"ok","revisar")</f>
        <v>ok</v>
      </c>
      <c r="G121" s="48"/>
    </row>
    <row r="122" spans="1:8" x14ac:dyDescent="0.15">
      <c r="A122" s="18" t="str">
        <f t="shared" si="8"/>
        <v>Pie</v>
      </c>
      <c r="B122" s="18">
        <f t="shared" si="8"/>
        <v>5</v>
      </c>
      <c r="C122" s="18">
        <f>+D12</f>
        <v>0.6</v>
      </c>
      <c r="D122" s="18">
        <f>+H319</f>
        <v>16</v>
      </c>
      <c r="E122" s="18">
        <f t="shared" ref="E122:E124" si="9">+MIN(45,150*C122)</f>
        <v>45</v>
      </c>
      <c r="F122" s="60" t="str">
        <f t="shared" ref="F122:F124" si="10">+IF(E122&gt;=D122,"ok","revisar")</f>
        <v>ok</v>
      </c>
      <c r="G122" s="48"/>
    </row>
    <row r="123" spans="1:8" x14ac:dyDescent="0.15">
      <c r="A123" s="18" t="str">
        <f t="shared" si="8"/>
        <v>Talon</v>
      </c>
      <c r="B123" s="18">
        <f t="shared" si="8"/>
        <v>5</v>
      </c>
      <c r="C123" s="18">
        <f>+C122</f>
        <v>0.6</v>
      </c>
      <c r="D123" s="18">
        <f>+H320</f>
        <v>13</v>
      </c>
      <c r="E123" s="18">
        <f t="shared" si="9"/>
        <v>45</v>
      </c>
      <c r="F123" s="60" t="str">
        <f t="shared" si="10"/>
        <v>ok</v>
      </c>
      <c r="G123" s="48"/>
    </row>
    <row r="124" spans="1:8" ht="15" thickBot="1" x14ac:dyDescent="0.2">
      <c r="A124" s="19" t="str">
        <f t="shared" si="8"/>
        <v>Vastago</v>
      </c>
      <c r="B124" s="19">
        <f t="shared" si="8"/>
        <v>5</v>
      </c>
      <c r="C124" s="19">
        <f>+D15</f>
        <v>0.5</v>
      </c>
      <c r="D124" s="19">
        <f>+H321</f>
        <v>7</v>
      </c>
      <c r="E124" s="19">
        <f t="shared" si="9"/>
        <v>45</v>
      </c>
      <c r="F124" s="63" t="str">
        <f t="shared" si="10"/>
        <v>ok</v>
      </c>
      <c r="G124" s="48"/>
    </row>
    <row r="125" spans="1:8" x14ac:dyDescent="0.15">
      <c r="C125" s="7"/>
      <c r="D125" s="48"/>
      <c r="E125" s="46"/>
      <c r="F125" s="46"/>
      <c r="G125" s="48"/>
      <c r="H125" s="48"/>
    </row>
    <row r="126" spans="1:8" x14ac:dyDescent="0.15">
      <c r="A126" s="3" t="s">
        <v>400</v>
      </c>
      <c r="C126" s="13"/>
      <c r="D126" s="14"/>
      <c r="E126" s="8"/>
      <c r="G126" s="123"/>
      <c r="H126" s="123"/>
    </row>
    <row r="127" spans="1:8" x14ac:dyDescent="0.15">
      <c r="C127" s="13"/>
      <c r="D127" s="14"/>
      <c r="E127" s="8"/>
      <c r="G127" s="123"/>
      <c r="H127" s="123"/>
    </row>
    <row r="128" spans="1:8" x14ac:dyDescent="0.15">
      <c r="A128"/>
      <c r="C128" s="13"/>
      <c r="D128" s="14"/>
      <c r="E128" s="8"/>
      <c r="G128" s="123"/>
      <c r="H128" s="123"/>
    </row>
    <row r="129" spans="1:8" x14ac:dyDescent="0.15">
      <c r="A129" s="3"/>
      <c r="C129" s="107"/>
      <c r="G129" s="123"/>
      <c r="H129" s="123"/>
    </row>
    <row r="130" spans="1:8" ht="16" x14ac:dyDescent="0.15">
      <c r="A130" s="336" t="s">
        <v>257</v>
      </c>
      <c r="B130" s="336"/>
      <c r="C130" s="336"/>
      <c r="D130" s="336"/>
      <c r="E130" s="336"/>
      <c r="F130" s="336"/>
      <c r="G130" s="336"/>
      <c r="H130" s="336"/>
    </row>
    <row r="131" spans="1:8" ht="16" x14ac:dyDescent="0.15">
      <c r="A131" s="336" t="s">
        <v>579</v>
      </c>
      <c r="B131" s="336"/>
      <c r="C131" s="336"/>
      <c r="D131" s="336"/>
      <c r="E131" s="336"/>
      <c r="F131" s="336"/>
      <c r="G131" s="336"/>
      <c r="H131" s="336"/>
    </row>
    <row r="132" spans="1:8" ht="16.5" customHeight="1" thickBot="1" x14ac:dyDescent="0.2">
      <c r="C132" s="7"/>
      <c r="D132" s="48"/>
      <c r="E132" s="46"/>
      <c r="F132" s="46"/>
      <c r="G132" s="7"/>
      <c r="H132" s="48"/>
    </row>
    <row r="133" spans="1:8" ht="30.75" customHeight="1" thickBot="1" x14ac:dyDescent="0.2">
      <c r="A133" s="47" t="s">
        <v>13</v>
      </c>
      <c r="B133" s="47" t="s">
        <v>35</v>
      </c>
      <c r="C133" s="47" t="s">
        <v>252</v>
      </c>
      <c r="D133" s="47" t="s">
        <v>14</v>
      </c>
      <c r="E133" s="37" t="s">
        <v>266</v>
      </c>
      <c r="F133" s="37" t="s">
        <v>70</v>
      </c>
    </row>
    <row r="134" spans="1:8" x14ac:dyDescent="0.15">
      <c r="A134" s="26" t="str">
        <f t="shared" ref="A134:B137" si="11">+A121</f>
        <v>Dentellon</v>
      </c>
      <c r="B134" s="26">
        <f t="shared" si="11"/>
        <v>5</v>
      </c>
      <c r="C134" s="26">
        <f>+B134^2/(4*PI())</f>
        <v>1.9894367886486917</v>
      </c>
      <c r="D134" s="26">
        <f>+MAX((C121-$D$19)*100,0)</f>
        <v>52.5</v>
      </c>
      <c r="E134" s="26">
        <f>+H318</f>
        <v>16</v>
      </c>
      <c r="F134" s="65">
        <f>+IF(D134=0,0,C134/(D134*E134))</f>
        <v>2.3683771293436804E-3</v>
      </c>
    </row>
    <row r="135" spans="1:8" x14ac:dyDescent="0.15">
      <c r="A135" s="18" t="str">
        <f t="shared" si="11"/>
        <v>Pie</v>
      </c>
      <c r="B135" s="18">
        <f t="shared" si="11"/>
        <v>5</v>
      </c>
      <c r="C135" s="18">
        <f t="shared" ref="C135:C137" si="12">+B135^2/(4*PI())</f>
        <v>1.9894367886486917</v>
      </c>
      <c r="D135" s="18">
        <f>+MAX((C122-$D$19)*100,0)</f>
        <v>52.5</v>
      </c>
      <c r="E135" s="18">
        <f>+H319</f>
        <v>16</v>
      </c>
      <c r="F135" s="66">
        <f t="shared" ref="F135:F137" si="13">+IF(D135=0,0,C135/(D135*E135))</f>
        <v>2.3683771293436804E-3</v>
      </c>
    </row>
    <row r="136" spans="1:8" x14ac:dyDescent="0.15">
      <c r="A136" s="18" t="str">
        <f t="shared" si="11"/>
        <v>Talon</v>
      </c>
      <c r="B136" s="18">
        <f t="shared" si="11"/>
        <v>5</v>
      </c>
      <c r="C136" s="18">
        <f t="shared" si="12"/>
        <v>1.9894367886486917</v>
      </c>
      <c r="D136" s="18">
        <f>+MAX((C123-$D$19)*100,0)</f>
        <v>52.5</v>
      </c>
      <c r="E136" s="18">
        <f>+H320</f>
        <v>13</v>
      </c>
      <c r="F136" s="66">
        <f t="shared" si="13"/>
        <v>2.9149256976537608E-3</v>
      </c>
    </row>
    <row r="137" spans="1:8" ht="15" thickBot="1" x14ac:dyDescent="0.2">
      <c r="A137" s="19" t="str">
        <f t="shared" si="11"/>
        <v>Vastago</v>
      </c>
      <c r="B137" s="19">
        <f t="shared" si="11"/>
        <v>5</v>
      </c>
      <c r="C137" s="19">
        <f t="shared" si="12"/>
        <v>1.9894367886486917</v>
      </c>
      <c r="D137" s="19">
        <f>+MAX((C124-$D$19)*100,0)</f>
        <v>42.5</v>
      </c>
      <c r="E137" s="19">
        <f>+H321</f>
        <v>7</v>
      </c>
      <c r="F137" s="264">
        <f t="shared" si="13"/>
        <v>6.6871824828527455E-3</v>
      </c>
    </row>
    <row r="138" spans="1:8" x14ac:dyDescent="0.15">
      <c r="A138" s="70"/>
      <c r="B138" s="70"/>
      <c r="C138" s="70"/>
      <c r="D138" s="70"/>
      <c r="E138" s="70"/>
      <c r="F138" s="125"/>
    </row>
    <row r="139" spans="1:8" x14ac:dyDescent="0.15">
      <c r="A139" s="70"/>
      <c r="B139" s="70"/>
      <c r="C139" s="70"/>
      <c r="D139" s="70"/>
      <c r="E139" s="70"/>
      <c r="F139" s="125"/>
      <c r="G139" s="72"/>
    </row>
    <row r="140" spans="1:8" x14ac:dyDescent="0.15">
      <c r="A140" s="3" t="s">
        <v>399</v>
      </c>
      <c r="C140" s="13"/>
      <c r="D140" s="14"/>
      <c r="E140" s="70"/>
      <c r="F140" s="125"/>
      <c r="G140" s="72"/>
    </row>
    <row r="141" spans="1:8" x14ac:dyDescent="0.15">
      <c r="C141" s="13"/>
      <c r="D141" s="14"/>
      <c r="E141" s="70"/>
      <c r="F141" s="125"/>
      <c r="G141" s="72"/>
    </row>
    <row r="142" spans="1:8" x14ac:dyDescent="0.15">
      <c r="A142" s="1" t="s">
        <v>250</v>
      </c>
      <c r="C142" s="13"/>
      <c r="D142" s="14"/>
      <c r="E142" s="70"/>
      <c r="F142" s="125"/>
      <c r="G142" s="72"/>
    </row>
    <row r="143" spans="1:8" x14ac:dyDescent="0.15">
      <c r="C143" s="13"/>
      <c r="D143" s="14"/>
      <c r="E143" s="70"/>
      <c r="F143" s="125"/>
      <c r="G143" s="72"/>
    </row>
    <row r="144" spans="1:8" x14ac:dyDescent="0.15">
      <c r="C144" s="13"/>
      <c r="D144" s="14"/>
      <c r="E144" s="70"/>
      <c r="F144" s="125"/>
      <c r="G144" s="72"/>
    </row>
    <row r="145" spans="1:8" x14ac:dyDescent="0.15">
      <c r="C145" s="13"/>
      <c r="D145" s="14"/>
      <c r="E145" s="70"/>
      <c r="F145" s="125"/>
      <c r="G145" s="72"/>
    </row>
    <row r="146" spans="1:8" x14ac:dyDescent="0.15">
      <c r="A146"/>
      <c r="C146" s="13"/>
      <c r="D146" s="14"/>
      <c r="E146" s="70"/>
      <c r="F146" s="125"/>
      <c r="G146" s="72"/>
    </row>
    <row r="147" spans="1:8" ht="16" x14ac:dyDescent="0.2">
      <c r="A147" s="48" t="s">
        <v>251</v>
      </c>
      <c r="B147" s="45">
        <v>0.85</v>
      </c>
      <c r="C147" s="13"/>
      <c r="D147" s="14"/>
      <c r="E147" s="70"/>
      <c r="F147" s="125"/>
      <c r="G147" s="72"/>
    </row>
    <row r="148" spans="1:8" x14ac:dyDescent="0.15">
      <c r="A148"/>
      <c r="C148" s="13"/>
      <c r="D148" s="14"/>
      <c r="E148" s="70"/>
      <c r="F148" s="125"/>
      <c r="G148" s="72"/>
    </row>
    <row r="149" spans="1:8" x14ac:dyDescent="0.15">
      <c r="A149" s="48" t="s">
        <v>17</v>
      </c>
      <c r="B149" s="64">
        <f>0.85*B147*D24/D26*(6120/(6120+D26))</f>
        <v>2.8563953488372092E-2</v>
      </c>
      <c r="C149" s="13"/>
      <c r="D149" s="14"/>
      <c r="E149" s="70"/>
      <c r="F149" s="125"/>
      <c r="G149" s="72"/>
    </row>
    <row r="150" spans="1:8" x14ac:dyDescent="0.15">
      <c r="A150"/>
      <c r="C150" s="13"/>
      <c r="D150" s="14"/>
      <c r="E150" s="70"/>
      <c r="F150" s="125"/>
      <c r="G150" s="72"/>
    </row>
    <row r="151" spans="1:8" x14ac:dyDescent="0.15">
      <c r="A151" s="1" t="s">
        <v>54</v>
      </c>
      <c r="C151" s="13"/>
      <c r="D151" s="14"/>
      <c r="E151" s="70"/>
      <c r="F151" s="125"/>
      <c r="G151" s="72"/>
    </row>
    <row r="152" spans="1:8" x14ac:dyDescent="0.15">
      <c r="C152" s="13"/>
      <c r="D152" s="14"/>
      <c r="E152" s="70"/>
      <c r="F152" s="125"/>
      <c r="G152" s="72"/>
    </row>
    <row r="153" spans="1:8" x14ac:dyDescent="0.15">
      <c r="C153" s="13"/>
      <c r="D153" s="14"/>
      <c r="E153" s="70"/>
      <c r="F153" s="125"/>
      <c r="G153" s="72"/>
    </row>
    <row r="154" spans="1:8" x14ac:dyDescent="0.15">
      <c r="C154" s="13"/>
      <c r="D154" s="14"/>
      <c r="E154" s="70"/>
      <c r="F154" s="125"/>
      <c r="G154" s="72"/>
    </row>
    <row r="155" spans="1:8" x14ac:dyDescent="0.15">
      <c r="A155" s="48" t="s">
        <v>58</v>
      </c>
      <c r="B155" s="64">
        <f>0.75*B149</f>
        <v>2.1422965116279068E-2</v>
      </c>
      <c r="C155" s="13"/>
      <c r="D155" s="14"/>
      <c r="E155" s="70"/>
      <c r="F155" s="125"/>
      <c r="G155" s="72"/>
    </row>
    <row r="156" spans="1:8" x14ac:dyDescent="0.15">
      <c r="A156" s="139"/>
      <c r="B156" s="64"/>
      <c r="C156" s="13"/>
      <c r="D156" s="14"/>
      <c r="E156" s="70"/>
      <c r="F156" s="125"/>
      <c r="G156" s="72"/>
    </row>
    <row r="157" spans="1:8" ht="16" x14ac:dyDescent="0.15">
      <c r="A157" s="336" t="s">
        <v>349</v>
      </c>
      <c r="B157" s="336"/>
      <c r="C157" s="336"/>
      <c r="D157" s="336"/>
      <c r="E157" s="336"/>
      <c r="F157" s="336"/>
      <c r="G157" s="336"/>
      <c r="H157" s="336"/>
    </row>
    <row r="158" spans="1:8" ht="16" x14ac:dyDescent="0.15">
      <c r="A158" s="336" t="s">
        <v>256</v>
      </c>
      <c r="B158" s="336"/>
      <c r="C158" s="336"/>
      <c r="D158" s="336"/>
      <c r="E158" s="336"/>
      <c r="F158" s="336"/>
      <c r="G158" s="336"/>
      <c r="H158" s="336"/>
    </row>
    <row r="159" spans="1:8" ht="15" thickBot="1" x14ac:dyDescent="0.2">
      <c r="C159" s="7"/>
      <c r="D159" s="53"/>
      <c r="E159" s="52"/>
      <c r="F159" s="52"/>
      <c r="G159" s="7"/>
      <c r="H159" s="53"/>
    </row>
    <row r="160" spans="1:8" ht="21" customHeight="1" thickBot="1" x14ac:dyDescent="0.2">
      <c r="A160" s="51" t="s">
        <v>13</v>
      </c>
      <c r="B160" s="51" t="s">
        <v>49</v>
      </c>
      <c r="C160" s="51" t="s">
        <v>14</v>
      </c>
      <c r="D160" s="51" t="s">
        <v>50</v>
      </c>
      <c r="E160" s="51" t="s">
        <v>51</v>
      </c>
      <c r="F160" s="51" t="s">
        <v>53</v>
      </c>
      <c r="G160" s="51" t="s">
        <v>237</v>
      </c>
    </row>
    <row r="161" spans="1:8" x14ac:dyDescent="0.15">
      <c r="A161" s="26" t="str">
        <f>+A134</f>
        <v>Dentellon</v>
      </c>
      <c r="B161" s="26">
        <f>+DENTELLON!B16</f>
        <v>4.7999999999999989</v>
      </c>
      <c r="C161" s="26">
        <f>+D134</f>
        <v>52.5</v>
      </c>
      <c r="D161" s="26">
        <f>+IF(C161=0,0,B161*10/(C161*$D$7*$B$186))</f>
        <v>1.0158730158730156</v>
      </c>
      <c r="E161" s="26">
        <f>+F179</f>
        <v>7.479851447182484</v>
      </c>
      <c r="F161" s="68">
        <f>+D161/E161</f>
        <v>0.1358145977960131</v>
      </c>
      <c r="G161" s="59" t="str">
        <f>+IF(F161&lt;1,"ok","revisar")</f>
        <v>ok</v>
      </c>
    </row>
    <row r="162" spans="1:8" x14ac:dyDescent="0.15">
      <c r="A162" s="18" t="str">
        <f>+A135</f>
        <v>Pie</v>
      </c>
      <c r="B162" s="18">
        <f>+'ZAPATA RESISTENCIA'!F202</f>
        <v>17.965159656828952</v>
      </c>
      <c r="C162" s="18">
        <f>+D135</f>
        <v>52.5</v>
      </c>
      <c r="D162" s="18">
        <f>+IF(C162=0,0,B162*10/(C162*$D$7*$B$186))</f>
        <v>3.8021501919214709</v>
      </c>
      <c r="E162" s="18">
        <f t="shared" ref="E162:E164" si="14">+F180</f>
        <v>8.8685962812612011</v>
      </c>
      <c r="F162" s="69">
        <f t="shared" ref="F162:F164" si="15">+D162/E162</f>
        <v>0.42872063078969785</v>
      </c>
      <c r="G162" s="60" t="str">
        <f t="shared" ref="G162:G164" si="16">+IF(F162&lt;1,"ok","revisar")</f>
        <v>ok</v>
      </c>
    </row>
    <row r="163" spans="1:8" x14ac:dyDescent="0.15">
      <c r="A163" s="18" t="str">
        <f>+A136</f>
        <v>Talon</v>
      </c>
      <c r="B163" s="18">
        <f>+'ZAPATA RESISTENCIA'!F203</f>
        <v>16.599074976662088</v>
      </c>
      <c r="C163" s="18">
        <f>+D136</f>
        <v>52.5</v>
      </c>
      <c r="D163" s="18">
        <f>+IF(C163=0,0,B163*10/(C163*$D$7*$B$186))</f>
        <v>3.5130317410925049</v>
      </c>
      <c r="E163" s="18">
        <f t="shared" si="14"/>
        <v>8.8685962812612011</v>
      </c>
      <c r="F163" s="69">
        <f t="shared" si="15"/>
        <v>0.3961203813635451</v>
      </c>
      <c r="G163" s="60" t="str">
        <f t="shared" si="16"/>
        <v>ok</v>
      </c>
    </row>
    <row r="164" spans="1:8" ht="15" thickBot="1" x14ac:dyDescent="0.2">
      <c r="A164" s="19" t="str">
        <f>+A137</f>
        <v>Vastago</v>
      </c>
      <c r="B164" s="19">
        <f>+'VASTAGO RESISTENCIA'!F125</f>
        <v>19.600000000000005</v>
      </c>
      <c r="C164" s="19">
        <f>+D137</f>
        <v>42.5</v>
      </c>
      <c r="D164" s="19">
        <f>+IF(C164=0,0,B164*10/(C164*$D$7*$B$186))</f>
        <v>5.124183006535949</v>
      </c>
      <c r="E164" s="19">
        <f t="shared" si="14"/>
        <v>8.0501530851413854</v>
      </c>
      <c r="F164" s="92">
        <f t="shared" si="15"/>
        <v>0.63653236806066937</v>
      </c>
      <c r="G164" s="63" t="str">
        <f t="shared" si="16"/>
        <v>ok</v>
      </c>
    </row>
    <row r="165" spans="1:8" x14ac:dyDescent="0.15">
      <c r="A165" s="70"/>
      <c r="B165" s="70"/>
      <c r="C165" s="70"/>
      <c r="D165" s="70"/>
      <c r="E165" s="70"/>
      <c r="F165" s="71"/>
      <c r="G165" s="72"/>
    </row>
    <row r="166" spans="1:8" ht="16" x14ac:dyDescent="0.15">
      <c r="A166" s="336" t="s">
        <v>350</v>
      </c>
      <c r="B166" s="336"/>
      <c r="C166" s="336"/>
      <c r="D166" s="336"/>
      <c r="E166" s="336"/>
      <c r="F166" s="336"/>
      <c r="G166" s="336"/>
      <c r="H166" s="336"/>
    </row>
    <row r="167" spans="1:8" ht="16" x14ac:dyDescent="0.15">
      <c r="A167" s="336" t="s">
        <v>389</v>
      </c>
      <c r="B167" s="336"/>
      <c r="C167" s="336"/>
      <c r="D167" s="336"/>
      <c r="E167" s="336"/>
      <c r="F167" s="336"/>
      <c r="G167" s="336"/>
      <c r="H167" s="336"/>
    </row>
    <row r="168" spans="1:8" ht="15" thickBot="1" x14ac:dyDescent="0.2">
      <c r="C168" s="7"/>
      <c r="D168" s="90"/>
      <c r="E168" s="89"/>
      <c r="F168" s="89"/>
      <c r="G168" s="7"/>
      <c r="H168" s="90"/>
    </row>
    <row r="169" spans="1:8" ht="16" thickBot="1" x14ac:dyDescent="0.2">
      <c r="A169" s="51" t="s">
        <v>248</v>
      </c>
      <c r="B169" s="51" t="s">
        <v>49</v>
      </c>
      <c r="C169" s="51" t="s">
        <v>14</v>
      </c>
      <c r="D169" s="51" t="s">
        <v>50</v>
      </c>
      <c r="E169" s="51" t="s">
        <v>51</v>
      </c>
      <c r="F169" s="51" t="s">
        <v>53</v>
      </c>
      <c r="G169" s="51" t="s">
        <v>237</v>
      </c>
    </row>
    <row r="170" spans="1:8" x14ac:dyDescent="0.15">
      <c r="A170" s="26">
        <f>+A327</f>
        <v>0</v>
      </c>
      <c r="B170" s="26">
        <f>+'VASTAGO RESISTENCIA'!F121</f>
        <v>0</v>
      </c>
      <c r="C170" s="26">
        <f>+('VASTAGO EVENTO EXTREMO'!C137-MURO!$D$19)*100</f>
        <v>27.499999999999996</v>
      </c>
      <c r="D170" s="26">
        <f>+IF(C170=0,0,B170*10/(C170*$D$7*$B$186))</f>
        <v>0</v>
      </c>
      <c r="E170" s="26">
        <f>+$F$182</f>
        <v>8.0501530851413854</v>
      </c>
      <c r="F170" s="68">
        <f>+D170/E170</f>
        <v>0</v>
      </c>
      <c r="G170" s="59" t="str">
        <f>+IF(F170&lt;1,"ok","revisar")</f>
        <v>ok</v>
      </c>
    </row>
    <row r="171" spans="1:8" x14ac:dyDescent="0.15">
      <c r="A171" s="18">
        <f>+A328</f>
        <v>1.4750000000000001</v>
      </c>
      <c r="B171" s="18">
        <f>+'VASTAGO RESISTENCIA'!F122</f>
        <v>1.5128125000000001</v>
      </c>
      <c r="C171" s="18">
        <f>+('VASTAGO EVENTO EXTREMO'!C138-MURO!$D$19)*100</f>
        <v>31.249999999999993</v>
      </c>
      <c r="D171" s="18">
        <f>+IF(C171=0,0,B171*10/(C171*$D$7*$B$186))</f>
        <v>0.53788888888888908</v>
      </c>
      <c r="E171" s="18">
        <f t="shared" ref="E171:E174" si="17">+$F$182</f>
        <v>8.0501530851413854</v>
      </c>
      <c r="F171" s="69">
        <f t="shared" ref="F171:F174" si="18">+D171/E171</f>
        <v>6.6817224865164421E-2</v>
      </c>
      <c r="G171" s="60" t="str">
        <f t="shared" ref="G171:G174" si="19">+IF(F171&lt;1,"ok","revisar")</f>
        <v>ok</v>
      </c>
    </row>
    <row r="172" spans="1:8" x14ac:dyDescent="0.15">
      <c r="A172" s="18">
        <f>+A329</f>
        <v>2.95</v>
      </c>
      <c r="B172" s="18">
        <f>+'VASTAGO RESISTENCIA'!F123</f>
        <v>5.3662500000000009</v>
      </c>
      <c r="C172" s="18">
        <f>+('VASTAGO EVENTO EXTREMO'!C139-MURO!$D$19)*100</f>
        <v>35</v>
      </c>
      <c r="D172" s="18">
        <f>+IF(C172=0,0,B172*10/(C172*$D$7*$B$186))</f>
        <v>1.7035714285714287</v>
      </c>
      <c r="E172" s="18">
        <f t="shared" si="17"/>
        <v>8.0501530851413854</v>
      </c>
      <c r="F172" s="69">
        <f t="shared" ref="F172" si="20">+D172/E172</f>
        <v>0.21161975561878507</v>
      </c>
      <c r="G172" s="60" t="str">
        <f t="shared" ref="G172" si="21">+IF(F172&lt;1,"ok","revisar")</f>
        <v>ok</v>
      </c>
    </row>
    <row r="173" spans="1:8" x14ac:dyDescent="0.15">
      <c r="A173" s="18">
        <f>+A330</f>
        <v>4.4250000000000007</v>
      </c>
      <c r="B173" s="18">
        <f>+'VASTAGO RESISTENCIA'!F124</f>
        <v>11.395312500000005</v>
      </c>
      <c r="C173" s="18">
        <f>+('VASTAGO EVENTO EXTREMO'!C140-MURO!$D$19)*100</f>
        <v>38.75</v>
      </c>
      <c r="D173" s="18">
        <f>+IF(C173=0,0,B173*10/(C173*$D$7*$B$186))</f>
        <v>3.2674731182795713</v>
      </c>
      <c r="E173" s="18">
        <f t="shared" si="17"/>
        <v>8.0501530851413854</v>
      </c>
      <c r="F173" s="69">
        <f t="shared" si="18"/>
        <v>0.4058895630581893</v>
      </c>
      <c r="G173" s="60" t="str">
        <f t="shared" si="19"/>
        <v>ok</v>
      </c>
    </row>
    <row r="174" spans="1:8" ht="15" thickBot="1" x14ac:dyDescent="0.2">
      <c r="A174" s="19">
        <f>+A331</f>
        <v>5.9</v>
      </c>
      <c r="B174" s="19">
        <f>+'VASTAGO RESISTENCIA'!F125</f>
        <v>19.600000000000005</v>
      </c>
      <c r="C174" s="19">
        <f>+('VASTAGO EVENTO EXTREMO'!C141-MURO!$D$19)*100</f>
        <v>42.5</v>
      </c>
      <c r="D174" s="19">
        <f>+IF(C174=0,0,B174*10/(C174*$D$7*$B$186))</f>
        <v>5.124183006535949</v>
      </c>
      <c r="E174" s="19">
        <f t="shared" si="17"/>
        <v>8.0501530851413854</v>
      </c>
      <c r="F174" s="92">
        <f t="shared" si="18"/>
        <v>0.63653236806066937</v>
      </c>
      <c r="G174" s="63" t="str">
        <f t="shared" si="19"/>
        <v>ok</v>
      </c>
    </row>
    <row r="175" spans="1:8" x14ac:dyDescent="0.15">
      <c r="A175" s="70"/>
      <c r="B175" s="70"/>
      <c r="C175" s="70"/>
      <c r="D175" s="70"/>
      <c r="E175" s="70"/>
      <c r="F175" s="71"/>
      <c r="G175" s="72"/>
    </row>
    <row r="176" spans="1:8" x14ac:dyDescent="0.15">
      <c r="A176" s="3" t="s">
        <v>563</v>
      </c>
      <c r="B176" s="70"/>
      <c r="C176" s="70"/>
      <c r="D176" s="70"/>
      <c r="E176" s="70"/>
      <c r="F176" s="71"/>
      <c r="G176" s="72"/>
    </row>
    <row r="177" spans="1:7" ht="15" thickBot="1" x14ac:dyDescent="0.2">
      <c r="A177" s="70"/>
      <c r="B177" s="70"/>
      <c r="C177" s="70"/>
      <c r="D177" s="70"/>
      <c r="E177" s="70"/>
      <c r="F177" s="71"/>
      <c r="G177" s="72"/>
    </row>
    <row r="178" spans="1:7" ht="15" thickBot="1" x14ac:dyDescent="0.2">
      <c r="A178" s="51" t="s">
        <v>13</v>
      </c>
      <c r="B178" s="51" t="s">
        <v>558</v>
      </c>
      <c r="C178" s="51" t="s">
        <v>559</v>
      </c>
      <c r="D178" s="51" t="s">
        <v>560</v>
      </c>
      <c r="E178" s="51" t="s">
        <v>561</v>
      </c>
      <c r="F178" s="51" t="s">
        <v>562</v>
      </c>
      <c r="G178" s="72"/>
    </row>
    <row r="179" spans="1:7" x14ac:dyDescent="0.15">
      <c r="A179" s="26" t="str">
        <f>+A161</f>
        <v>Dentellon</v>
      </c>
      <c r="B179" s="26">
        <f>+(C161-5)/2.54</f>
        <v>18.700787401574804</v>
      </c>
      <c r="C179" s="26">
        <f>1.38*B179/(0.63+$D$25)</f>
        <v>18.700787401574804</v>
      </c>
      <c r="D179" s="261">
        <f>+(B318*100000/C161+B161*1000)/(E421*$B$445)</f>
        <v>2.0201822384748377E-3</v>
      </c>
      <c r="E179" s="26">
        <f>MIN(2,4.8/(1+750*D179)*51/(39+C179))</f>
        <v>1.6868174421214663</v>
      </c>
      <c r="F179" s="26">
        <f>0.265*E179*$D$24^0.5</f>
        <v>7.479851447182484</v>
      </c>
      <c r="G179" s="72"/>
    </row>
    <row r="180" spans="1:7" x14ac:dyDescent="0.15">
      <c r="A180" s="18" t="str">
        <f>+A162</f>
        <v>Pie</v>
      </c>
      <c r="B180" s="18">
        <f>B253</f>
        <v>7.8740157480314963</v>
      </c>
      <c r="C180" s="18">
        <f>C253</f>
        <v>7.8740157480314972</v>
      </c>
      <c r="D180" s="262">
        <f>D253</f>
        <v>1.617337855294846E-3</v>
      </c>
      <c r="E180" s="18">
        <f>E253</f>
        <v>2</v>
      </c>
      <c r="F180" s="18">
        <f>0.265*E180*$D$24^0.5</f>
        <v>8.8685962812612011</v>
      </c>
      <c r="G180" s="72"/>
    </row>
    <row r="181" spans="1:7" x14ac:dyDescent="0.15">
      <c r="A181" s="18" t="str">
        <f>+A163</f>
        <v>Talon</v>
      </c>
      <c r="B181" s="18">
        <f>B312</f>
        <v>7.8740157480314963</v>
      </c>
      <c r="C181" s="18">
        <f>C312</f>
        <v>7.8740157480314972</v>
      </c>
      <c r="D181" s="262">
        <f>D312</f>
        <v>1.6370174836308883E-3</v>
      </c>
      <c r="E181" s="18">
        <f>E253</f>
        <v>2</v>
      </c>
      <c r="F181" s="18">
        <f t="shared" ref="F181:F182" si="22">0.265*E181*$D$24^0.5</f>
        <v>8.8685962812612011</v>
      </c>
      <c r="G181" s="72"/>
    </row>
    <row r="182" spans="1:7" ht="15" thickBot="1" x14ac:dyDescent="0.2">
      <c r="A182" s="19" t="str">
        <f>+A164</f>
        <v>Vastago</v>
      </c>
      <c r="B182" s="19">
        <f>+(C164-5)/2.54</f>
        <v>14.763779527559056</v>
      </c>
      <c r="C182" s="19">
        <f t="shared" ref="C182" si="23">1.38*B182/(0.63+$D$25)</f>
        <v>14.763779527559056</v>
      </c>
      <c r="D182" s="263">
        <f>+(B321*100000/C164+B164*1000)/(E424*$B$445)</f>
        <v>2.0107809363194874E-3</v>
      </c>
      <c r="E182" s="19">
        <f t="shared" ref="E182" si="24">MIN(2,4.8/(1+750*D182)*51/(39+C182))</f>
        <v>1.8154289201665124</v>
      </c>
      <c r="F182" s="19">
        <f t="shared" si="22"/>
        <v>8.0501530851413854</v>
      </c>
      <c r="G182" s="72"/>
    </row>
    <row r="183" spans="1:7" x14ac:dyDescent="0.15">
      <c r="A183" s="70"/>
      <c r="B183" s="70"/>
      <c r="C183" s="70"/>
      <c r="D183" s="70"/>
      <c r="E183" s="70"/>
      <c r="F183" s="71"/>
      <c r="G183" s="72"/>
    </row>
    <row r="184" spans="1:7" x14ac:dyDescent="0.15">
      <c r="A184" s="1" t="s">
        <v>69</v>
      </c>
      <c r="C184" s="13"/>
      <c r="D184" s="14"/>
      <c r="E184" s="70"/>
      <c r="F184" s="71"/>
      <c r="G184" s="72"/>
    </row>
    <row r="185" spans="1:7" x14ac:dyDescent="0.15">
      <c r="C185" s="13"/>
      <c r="D185" s="14"/>
      <c r="E185" s="70"/>
      <c r="F185" s="71"/>
      <c r="G185" s="72"/>
    </row>
    <row r="186" spans="1:7" ht="15" x14ac:dyDescent="0.2">
      <c r="A186" s="35" t="s">
        <v>255</v>
      </c>
      <c r="B186" s="30">
        <v>0.9</v>
      </c>
      <c r="C186" s="30"/>
      <c r="E186" s="70"/>
      <c r="F186" s="71"/>
      <c r="G186" s="72"/>
    </row>
    <row r="187" spans="1:7" x14ac:dyDescent="0.15">
      <c r="C187" s="13"/>
      <c r="D187" s="14"/>
      <c r="E187" s="70"/>
      <c r="F187" s="71"/>
      <c r="G187" s="72"/>
    </row>
    <row r="188" spans="1:7" x14ac:dyDescent="0.15">
      <c r="A188" s="1" t="s">
        <v>254</v>
      </c>
      <c r="C188" s="13"/>
      <c r="D188" s="14"/>
      <c r="E188" s="70"/>
      <c r="F188" s="71"/>
      <c r="G188" s="72"/>
    </row>
    <row r="189" spans="1:7" x14ac:dyDescent="0.15">
      <c r="C189" s="13"/>
      <c r="D189" s="14"/>
      <c r="E189" s="70"/>
      <c r="F189" s="71"/>
      <c r="G189" s="72"/>
    </row>
    <row r="190" spans="1:7" x14ac:dyDescent="0.15">
      <c r="A190"/>
      <c r="C190" s="13"/>
      <c r="D190" s="14"/>
      <c r="E190" s="70"/>
      <c r="F190" s="71"/>
      <c r="G190" s="72"/>
    </row>
    <row r="191" spans="1:7" x14ac:dyDescent="0.15">
      <c r="C191" s="13"/>
      <c r="D191" s="14"/>
      <c r="E191" s="70"/>
      <c r="F191" s="71"/>
      <c r="G191" s="72"/>
    </row>
    <row r="192" spans="1:7" x14ac:dyDescent="0.15">
      <c r="A192" s="1" t="s">
        <v>237</v>
      </c>
      <c r="C192"/>
      <c r="D192" s="14"/>
      <c r="E192" s="70"/>
      <c r="F192" s="71"/>
      <c r="G192" s="72"/>
    </row>
    <row r="193" spans="1:8" x14ac:dyDescent="0.15">
      <c r="C193" s="13"/>
      <c r="D193" s="14"/>
      <c r="E193" s="70"/>
      <c r="F193" s="71"/>
      <c r="G193" s="72"/>
    </row>
    <row r="194" spans="1:8" x14ac:dyDescent="0.15">
      <c r="C194" s="13"/>
      <c r="D194" s="14"/>
      <c r="E194" s="70"/>
      <c r="F194" s="71"/>
      <c r="G194" s="72"/>
    </row>
    <row r="195" spans="1:8" x14ac:dyDescent="0.15">
      <c r="C195" s="13"/>
      <c r="D195" s="14"/>
      <c r="E195" s="70"/>
      <c r="F195" s="71"/>
      <c r="G195" s="72"/>
    </row>
    <row r="196" spans="1:8" x14ac:dyDescent="0.15">
      <c r="A196" s="217" t="s">
        <v>646</v>
      </c>
      <c r="B196" s="276"/>
      <c r="C196" s="276"/>
      <c r="D196" s="276"/>
      <c r="E196" s="276"/>
      <c r="F196" s="276"/>
      <c r="G196" s="72"/>
    </row>
    <row r="197" spans="1:8" x14ac:dyDescent="0.15">
      <c r="A197" s="3"/>
      <c r="G197" s="72"/>
    </row>
    <row r="198" spans="1:8" ht="15" thickBot="1" x14ac:dyDescent="0.2">
      <c r="A198" s="3" t="s">
        <v>263</v>
      </c>
      <c r="B198" s="3"/>
      <c r="C198" s="3"/>
      <c r="G198" s="72"/>
    </row>
    <row r="199" spans="1:8" ht="15" thickBot="1" x14ac:dyDescent="0.2">
      <c r="A199" s="80" t="s">
        <v>650</v>
      </c>
      <c r="B199" s="80" t="s">
        <v>550</v>
      </c>
      <c r="C199" s="80" t="s">
        <v>651</v>
      </c>
      <c r="D199" s="80" t="s">
        <v>647</v>
      </c>
      <c r="E199" s="80" t="s">
        <v>648</v>
      </c>
      <c r="F199" s="80" t="s">
        <v>649</v>
      </c>
      <c r="G199" s="80" t="s">
        <v>265</v>
      </c>
      <c r="H199" s="80" t="s">
        <v>266</v>
      </c>
    </row>
    <row r="200" spans="1:8" ht="15" thickBot="1" x14ac:dyDescent="0.2">
      <c r="A200" s="279">
        <f>D12</f>
        <v>0.6</v>
      </c>
      <c r="B200" s="280">
        <f>+A200*100-7.5</f>
        <v>52.5</v>
      </c>
      <c r="C200" s="281">
        <f>B319</f>
        <v>23.854850676539566</v>
      </c>
      <c r="D200" s="281">
        <f>C319</f>
        <v>2.1659594978480499</v>
      </c>
      <c r="E200" s="281">
        <f>D319</f>
        <v>12.273770487805615</v>
      </c>
      <c r="F200" s="281">
        <f>E319</f>
        <v>5</v>
      </c>
      <c r="G200" s="281">
        <f>G319</f>
        <v>16</v>
      </c>
      <c r="H200" s="281">
        <f>H319</f>
        <v>16</v>
      </c>
    </row>
    <row r="201" spans="1:8" x14ac:dyDescent="0.15">
      <c r="A201" s="282"/>
      <c r="B201" s="282"/>
      <c r="C201" s="282"/>
      <c r="G201" s="72"/>
    </row>
    <row r="202" spans="1:8" x14ac:dyDescent="0.15">
      <c r="A202" s="3" t="s">
        <v>595</v>
      </c>
      <c r="G202" s="72"/>
    </row>
    <row r="203" spans="1:8" x14ac:dyDescent="0.15">
      <c r="A203" s="1" t="s">
        <v>193</v>
      </c>
      <c r="B203" s="283">
        <f>B162</f>
        <v>17.965159656828952</v>
      </c>
      <c r="C203" s="1" t="s">
        <v>2</v>
      </c>
      <c r="D203" s="282"/>
      <c r="E203" s="282"/>
      <c r="F203" s="282"/>
      <c r="G203" s="72"/>
    </row>
    <row r="204" spans="1:8" x14ac:dyDescent="0.15">
      <c r="A204" s="1" t="s">
        <v>596</v>
      </c>
      <c r="B204" s="283">
        <f>+B203*1000/0.9/B200/100</f>
        <v>3.8021501919214713</v>
      </c>
      <c r="C204" s="1" t="s">
        <v>597</v>
      </c>
      <c r="D204" s="3"/>
      <c r="G204" s="72"/>
    </row>
    <row r="205" spans="1:8" x14ac:dyDescent="0.15">
      <c r="A205" s="1" t="s">
        <v>228</v>
      </c>
      <c r="B205" s="283">
        <f>+F253</f>
        <v>8.8685962812612011</v>
      </c>
      <c r="C205" s="1" t="s">
        <v>597</v>
      </c>
      <c r="D205" s="55" t="str">
        <f>+IF(B205&gt;B204,"ok","revisar")</f>
        <v>ok</v>
      </c>
      <c r="G205" s="72"/>
    </row>
    <row r="206" spans="1:8" x14ac:dyDescent="0.15">
      <c r="B206" s="283"/>
      <c r="D206" s="276"/>
      <c r="G206" s="72"/>
    </row>
    <row r="207" spans="1:8" x14ac:dyDescent="0.15">
      <c r="A207" s="284" t="s">
        <v>563</v>
      </c>
      <c r="B207" s="285"/>
      <c r="C207" s="285"/>
      <c r="D207" s="285"/>
      <c r="E207" s="285"/>
      <c r="F207" s="286"/>
      <c r="G207" s="72"/>
    </row>
    <row r="208" spans="1:8" x14ac:dyDescent="0.15">
      <c r="A208" s="284"/>
      <c r="B208" s="285"/>
      <c r="C208" s="285"/>
      <c r="D208" s="285"/>
      <c r="E208" s="285"/>
      <c r="F208" s="286"/>
      <c r="G208" s="72"/>
    </row>
    <row r="209" spans="1:7" x14ac:dyDescent="0.15">
      <c r="A209" s="287" t="s">
        <v>598</v>
      </c>
      <c r="B209" s="285"/>
      <c r="C209" s="285" t="s">
        <v>60</v>
      </c>
      <c r="D209" s="285">
        <f>B319*100000</f>
        <v>2385485.0676539568</v>
      </c>
      <c r="E209" s="285" t="s">
        <v>599</v>
      </c>
      <c r="F209" s="286"/>
      <c r="G209" s="72"/>
    </row>
    <row r="210" spans="1:7" x14ac:dyDescent="0.15">
      <c r="A210" s="287" t="s">
        <v>600</v>
      </c>
      <c r="B210" s="285"/>
      <c r="C210" s="285" t="s">
        <v>193</v>
      </c>
      <c r="D210" s="285">
        <f>+B203*1000</f>
        <v>17965.159656828953</v>
      </c>
      <c r="E210" s="285" t="s">
        <v>601</v>
      </c>
      <c r="F210" s="286"/>
      <c r="G210" s="72"/>
    </row>
    <row r="211" spans="1:7" x14ac:dyDescent="0.15">
      <c r="A211" s="287" t="s">
        <v>555</v>
      </c>
      <c r="B211" s="287"/>
      <c r="C211" s="288" t="s">
        <v>556</v>
      </c>
      <c r="D211" s="289">
        <v>0.75</v>
      </c>
      <c r="E211" s="287" t="s">
        <v>557</v>
      </c>
      <c r="F211" s="286"/>
      <c r="G211" s="72"/>
    </row>
    <row r="212" spans="1:7" ht="15" x14ac:dyDescent="0.15">
      <c r="A212" s="287" t="s">
        <v>268</v>
      </c>
      <c r="B212" s="290"/>
      <c r="C212" s="288" t="s">
        <v>146</v>
      </c>
      <c r="D212" s="291">
        <v>2000000</v>
      </c>
      <c r="E212" s="287" t="s">
        <v>52</v>
      </c>
      <c r="F212" s="286"/>
      <c r="G212" s="72"/>
    </row>
    <row r="213" spans="1:7" x14ac:dyDescent="0.15">
      <c r="A213" s="287" t="s">
        <v>602</v>
      </c>
      <c r="B213" s="290"/>
      <c r="C213" s="288" t="s">
        <v>603</v>
      </c>
      <c r="D213" s="292">
        <v>2</v>
      </c>
      <c r="E213" s="287"/>
      <c r="F213" s="286"/>
      <c r="G213" s="72"/>
    </row>
    <row r="214" spans="1:7" x14ac:dyDescent="0.15">
      <c r="A214" s="287" t="s">
        <v>604</v>
      </c>
      <c r="B214" s="290"/>
      <c r="C214" s="288" t="s">
        <v>605</v>
      </c>
      <c r="D214" s="293">
        <f>+(A200*100-10)/D213</f>
        <v>25</v>
      </c>
      <c r="E214" s="287" t="s">
        <v>7</v>
      </c>
      <c r="F214" s="286"/>
      <c r="G214" s="72"/>
    </row>
    <row r="215" spans="1:7" x14ac:dyDescent="0.15">
      <c r="A215" s="287"/>
      <c r="B215" s="290"/>
      <c r="C215" s="288"/>
      <c r="D215" s="293"/>
      <c r="E215" s="287"/>
      <c r="F215" s="286"/>
      <c r="G215" s="72"/>
    </row>
    <row r="216" spans="1:7" x14ac:dyDescent="0.15">
      <c r="A216" s="294" t="s">
        <v>606</v>
      </c>
      <c r="B216" s="295"/>
      <c r="C216" s="296"/>
      <c r="D216" s="297"/>
      <c r="E216" s="296"/>
      <c r="F216" s="298"/>
      <c r="G216" s="72"/>
    </row>
    <row r="217" spans="1:7" x14ac:dyDescent="0.15">
      <c r="A217" s="299" t="s">
        <v>607</v>
      </c>
      <c r="B217" s="295"/>
      <c r="C217" s="296" t="s">
        <v>608</v>
      </c>
      <c r="D217" s="300">
        <v>18</v>
      </c>
      <c r="E217" s="296" t="s">
        <v>7</v>
      </c>
      <c r="F217" s="298"/>
      <c r="G217" s="72"/>
    </row>
    <row r="218" spans="1:7" x14ac:dyDescent="0.15">
      <c r="A218" s="299" t="s">
        <v>35</v>
      </c>
      <c r="B218" s="295"/>
      <c r="C218" s="296" t="s">
        <v>609</v>
      </c>
      <c r="D218" s="300">
        <v>5</v>
      </c>
      <c r="E218" s="296"/>
      <c r="F218" s="298"/>
      <c r="G218" s="72"/>
    </row>
    <row r="219" spans="1:7" x14ac:dyDescent="0.15">
      <c r="A219" s="299" t="s">
        <v>610</v>
      </c>
      <c r="B219" s="295"/>
      <c r="C219" s="296" t="s">
        <v>611</v>
      </c>
      <c r="D219" s="297">
        <f>+D218^2/(4*PI())</f>
        <v>1.9894367886486917</v>
      </c>
      <c r="E219" s="296" t="s">
        <v>612</v>
      </c>
      <c r="F219" s="298"/>
      <c r="G219" s="72"/>
    </row>
    <row r="220" spans="1:7" x14ac:dyDescent="0.15">
      <c r="A220" s="299" t="s">
        <v>613</v>
      </c>
      <c r="B220" s="295"/>
      <c r="C220" s="296" t="s">
        <v>614</v>
      </c>
      <c r="D220" s="297">
        <f>100/D217</f>
        <v>5.5555555555555554</v>
      </c>
      <c r="E220" s="296" t="s">
        <v>615</v>
      </c>
      <c r="F220" s="298"/>
      <c r="G220" s="72"/>
    </row>
    <row r="221" spans="1:7" x14ac:dyDescent="0.15">
      <c r="A221" s="299"/>
      <c r="B221" s="295"/>
      <c r="C221" s="296" t="s">
        <v>616</v>
      </c>
      <c r="D221" s="297">
        <f>+D220*D219</f>
        <v>11.052426603603843</v>
      </c>
      <c r="E221" s="296" t="s">
        <v>612</v>
      </c>
      <c r="F221" s="298"/>
      <c r="G221" s="72"/>
    </row>
    <row r="222" spans="1:7" x14ac:dyDescent="0.15">
      <c r="A222" s="299" t="s">
        <v>617</v>
      </c>
      <c r="B222" s="295"/>
      <c r="C222" s="296" t="s">
        <v>618</v>
      </c>
      <c r="D222" s="297">
        <f>+D221/0.3</f>
        <v>36.841422012012814</v>
      </c>
      <c r="E222" s="296" t="s">
        <v>7</v>
      </c>
      <c r="F222" s="301" t="str">
        <f>+IF(D222&gt;=D214,"ok","revisar")</f>
        <v>ok</v>
      </c>
      <c r="G222" s="72"/>
    </row>
    <row r="223" spans="1:7" x14ac:dyDescent="0.15">
      <c r="A223" s="299" t="s">
        <v>619</v>
      </c>
      <c r="B223" s="295"/>
      <c r="C223" s="296"/>
      <c r="D223" s="297">
        <f>+D213-D234</f>
        <v>2</v>
      </c>
      <c r="E223" s="296"/>
      <c r="F223" s="302"/>
      <c r="G223" s="72"/>
    </row>
    <row r="224" spans="1:7" x14ac:dyDescent="0.15">
      <c r="A224" s="299" t="s">
        <v>620</v>
      </c>
      <c r="B224" s="295"/>
      <c r="C224" s="296"/>
      <c r="D224" s="297">
        <f>+D223*D221</f>
        <v>22.104853207207686</v>
      </c>
      <c r="E224" s="296" t="s">
        <v>612</v>
      </c>
      <c r="F224" s="302"/>
      <c r="G224" s="72"/>
    </row>
    <row r="225" spans="1:7" x14ac:dyDescent="0.15">
      <c r="A225" s="287"/>
      <c r="B225" s="290"/>
      <c r="C225" s="288"/>
      <c r="D225" s="293"/>
      <c r="E225" s="287"/>
      <c r="F225" s="286"/>
      <c r="G225" s="72"/>
    </row>
    <row r="226" spans="1:7" x14ac:dyDescent="0.15">
      <c r="A226" s="284" t="s">
        <v>621</v>
      </c>
      <c r="B226" s="290"/>
      <c r="C226" s="288"/>
      <c r="D226" s="293"/>
      <c r="E226" s="288"/>
      <c r="F226" s="286"/>
      <c r="G226" s="72"/>
    </row>
    <row r="227" spans="1:7" x14ac:dyDescent="0.15">
      <c r="A227" s="287" t="s">
        <v>607</v>
      </c>
      <c r="B227" s="290"/>
      <c r="C227" s="288" t="s">
        <v>608</v>
      </c>
      <c r="D227" s="303">
        <v>18</v>
      </c>
      <c r="E227" s="288" t="s">
        <v>0</v>
      </c>
      <c r="F227" s="286"/>
      <c r="G227" s="72"/>
    </row>
    <row r="228" spans="1:7" x14ac:dyDescent="0.15">
      <c r="A228" s="287" t="s">
        <v>35</v>
      </c>
      <c r="B228" s="290"/>
      <c r="C228" s="288" t="s">
        <v>609</v>
      </c>
      <c r="D228" s="303">
        <v>5</v>
      </c>
      <c r="E228" s="288"/>
      <c r="F228" s="286"/>
      <c r="G228" s="72"/>
    </row>
    <row r="229" spans="1:7" x14ac:dyDescent="0.15">
      <c r="A229" s="287" t="s">
        <v>610</v>
      </c>
      <c r="B229" s="290"/>
      <c r="C229" s="288" t="s">
        <v>611</v>
      </c>
      <c r="D229" s="293">
        <f>+D228^2/(4*PI())</f>
        <v>1.9894367886486917</v>
      </c>
      <c r="E229" s="288" t="s">
        <v>612</v>
      </c>
      <c r="F229" s="286"/>
      <c r="G229" s="72"/>
    </row>
    <row r="230" spans="1:7" x14ac:dyDescent="0.15">
      <c r="A230" s="287" t="s">
        <v>613</v>
      </c>
      <c r="B230" s="290"/>
      <c r="C230" s="288" t="s">
        <v>614</v>
      </c>
      <c r="D230" s="293">
        <f>100/D227</f>
        <v>5.5555555555555554</v>
      </c>
      <c r="E230" s="288" t="s">
        <v>615</v>
      </c>
      <c r="F230" s="286"/>
      <c r="G230" s="72"/>
    </row>
    <row r="231" spans="1:7" x14ac:dyDescent="0.15">
      <c r="A231" s="287"/>
      <c r="B231" s="290"/>
      <c r="C231" s="288" t="s">
        <v>616</v>
      </c>
      <c r="D231" s="293">
        <f>+D230*D229</f>
        <v>11.052426603603843</v>
      </c>
      <c r="E231" s="288" t="s">
        <v>612</v>
      </c>
      <c r="F231" s="286"/>
      <c r="G231" s="72"/>
    </row>
    <row r="232" spans="1:7" x14ac:dyDescent="0.15">
      <c r="A232" s="287" t="s">
        <v>622</v>
      </c>
      <c r="B232" s="290"/>
      <c r="C232" s="288" t="s">
        <v>623</v>
      </c>
      <c r="D232" s="293">
        <v>3.5</v>
      </c>
      <c r="E232" s="288" t="s">
        <v>597</v>
      </c>
      <c r="F232" s="286"/>
      <c r="G232" s="72"/>
    </row>
    <row r="233" spans="1:7" x14ac:dyDescent="0.15">
      <c r="A233" s="287" t="s">
        <v>617</v>
      </c>
      <c r="B233" s="290"/>
      <c r="C233" s="288" t="s">
        <v>618</v>
      </c>
      <c r="D233" s="293">
        <f>+IF(B205&lt;B204,D231*D26/(D232*100),D214)</f>
        <v>25</v>
      </c>
      <c r="E233" s="288" t="s">
        <v>7</v>
      </c>
      <c r="F233" s="304" t="str">
        <f>+IF(D233&gt;=D214,"ok","revisar")</f>
        <v>ok</v>
      </c>
      <c r="G233" s="72"/>
    </row>
    <row r="234" spans="1:7" x14ac:dyDescent="0.15">
      <c r="A234" s="287"/>
      <c r="B234" s="290"/>
      <c r="C234" s="288"/>
      <c r="D234" s="293"/>
      <c r="E234" s="288"/>
      <c r="F234" s="305"/>
      <c r="G234" s="72"/>
    </row>
    <row r="235" spans="1:7" x14ac:dyDescent="0.15">
      <c r="A235" s="284" t="s">
        <v>624</v>
      </c>
      <c r="B235" s="290"/>
      <c r="C235" s="288"/>
      <c r="D235" s="293"/>
      <c r="E235" s="288"/>
      <c r="F235" s="305"/>
      <c r="G235" s="72"/>
    </row>
    <row r="236" spans="1:7" x14ac:dyDescent="0.15">
      <c r="A236" s="287" t="s">
        <v>625</v>
      </c>
      <c r="B236" s="290"/>
      <c r="C236" s="288" t="s">
        <v>626</v>
      </c>
      <c r="D236" s="293">
        <f>+D231</f>
        <v>11.052426603603843</v>
      </c>
      <c r="E236" s="288" t="s">
        <v>612</v>
      </c>
      <c r="F236" s="305"/>
      <c r="G236" s="72"/>
    </row>
    <row r="237" spans="1:7" x14ac:dyDescent="0.15">
      <c r="A237" s="287" t="s">
        <v>627</v>
      </c>
      <c r="B237" s="290"/>
      <c r="C237" s="288" t="s">
        <v>628</v>
      </c>
      <c r="D237" s="303">
        <v>1</v>
      </c>
      <c r="E237" s="288"/>
      <c r="F237" s="305"/>
      <c r="G237" s="72"/>
    </row>
    <row r="238" spans="1:7" x14ac:dyDescent="0.15">
      <c r="A238" s="287" t="s">
        <v>629</v>
      </c>
      <c r="B238" s="290"/>
      <c r="C238" s="288"/>
      <c r="D238" s="293">
        <f>+IF(D213&lt;2,0,D236*D237)</f>
        <v>11.052426603603843</v>
      </c>
      <c r="E238" s="288" t="s">
        <v>612</v>
      </c>
      <c r="F238" s="305"/>
      <c r="G238" s="72"/>
    </row>
    <row r="239" spans="1:7" x14ac:dyDescent="0.15">
      <c r="A239" s="287" t="s">
        <v>630</v>
      </c>
      <c r="B239" s="290"/>
      <c r="C239" s="288"/>
      <c r="D239" s="292">
        <v>4.1399999999999997</v>
      </c>
      <c r="E239" s="288" t="s">
        <v>612</v>
      </c>
      <c r="F239" s="304" t="str">
        <f>+IF(D239&lt;=D238,"ok","revisar")</f>
        <v>ok</v>
      </c>
      <c r="G239" s="72"/>
    </row>
    <row r="240" spans="1:7" x14ac:dyDescent="0.15">
      <c r="A240" s="287" t="s">
        <v>631</v>
      </c>
      <c r="B240" s="290"/>
      <c r="C240" s="288"/>
      <c r="D240" s="293">
        <f>+D239+E200</f>
        <v>16.413770487805614</v>
      </c>
      <c r="E240" s="288" t="s">
        <v>612</v>
      </c>
      <c r="F240" s="305"/>
      <c r="G240" s="72"/>
    </row>
    <row r="241" spans="1:7" x14ac:dyDescent="0.15">
      <c r="A241" s="287" t="s">
        <v>632</v>
      </c>
      <c r="B241" s="290"/>
      <c r="C241" s="288"/>
      <c r="D241" s="293">
        <f>+D240*D26/(0.85*100*D24)</f>
        <v>2.896547733142167</v>
      </c>
      <c r="E241" s="288" t="s">
        <v>7</v>
      </c>
      <c r="F241" s="305"/>
      <c r="G241" s="72"/>
    </row>
    <row r="242" spans="1:7" x14ac:dyDescent="0.15">
      <c r="A242" s="287" t="s">
        <v>633</v>
      </c>
      <c r="B242" s="290"/>
      <c r="C242" s="288" t="s">
        <v>85</v>
      </c>
      <c r="D242" s="293">
        <f>+D241/0.85</f>
        <v>3.4077032154613729</v>
      </c>
      <c r="E242" s="288" t="s">
        <v>7</v>
      </c>
      <c r="F242" s="305"/>
      <c r="G242" s="72"/>
    </row>
    <row r="243" spans="1:7" x14ac:dyDescent="0.15">
      <c r="A243" s="287" t="s">
        <v>634</v>
      </c>
      <c r="B243" s="290"/>
      <c r="C243" s="288"/>
      <c r="D243" s="306">
        <f>+D253/(B200-D242)</f>
        <v>3.2944839847139081E-5</v>
      </c>
      <c r="E243" s="288"/>
      <c r="F243" s="305"/>
      <c r="G243" s="72"/>
    </row>
    <row r="244" spans="1:7" x14ac:dyDescent="0.15">
      <c r="A244" s="287" t="s">
        <v>635</v>
      </c>
      <c r="B244" s="290"/>
      <c r="C244" s="288"/>
      <c r="D244" s="293">
        <f>IF(D213&lt;2,0,B200-D242-D214)</f>
        <v>24.092296784538625</v>
      </c>
      <c r="E244" s="288" t="s">
        <v>7</v>
      </c>
      <c r="F244" s="305"/>
      <c r="G244" s="72"/>
    </row>
    <row r="245" spans="1:7" x14ac:dyDescent="0.15">
      <c r="A245" s="287" t="s">
        <v>636</v>
      </c>
      <c r="B245" s="290"/>
      <c r="C245" s="288"/>
      <c r="D245" s="306">
        <f>+D244*D243</f>
        <v>7.9371685911636884E-4</v>
      </c>
      <c r="E245" s="288"/>
      <c r="F245" s="305"/>
      <c r="G245" s="72"/>
    </row>
    <row r="246" spans="1:7" x14ac:dyDescent="0.15">
      <c r="A246" s="287" t="s">
        <v>637</v>
      </c>
      <c r="B246" s="290"/>
      <c r="C246" s="288" t="s">
        <v>638</v>
      </c>
      <c r="D246" s="293">
        <f>+D245*D212</f>
        <v>1587.4337182327376</v>
      </c>
      <c r="E246" s="288" t="s">
        <v>597</v>
      </c>
      <c r="F246" s="305"/>
      <c r="G246" s="72"/>
    </row>
    <row r="247" spans="1:7" x14ac:dyDescent="0.15">
      <c r="A247" s="287" t="s">
        <v>639</v>
      </c>
      <c r="B247" s="290"/>
      <c r="C247" s="288"/>
      <c r="D247" s="289">
        <f>+IF(D213&lt;2,0,D246*D236/D26)</f>
        <v>4.1773796806793513</v>
      </c>
      <c r="E247" s="288" t="s">
        <v>612</v>
      </c>
      <c r="F247" s="304" t="str">
        <f>IF(D239=0," ",IF(ABS(D247-D239)&lt;0.02,"ok","revisar"))</f>
        <v>revisar</v>
      </c>
      <c r="G247" s="72"/>
    </row>
    <row r="248" spans="1:7" x14ac:dyDescent="0.15">
      <c r="A248" s="287" t="s">
        <v>640</v>
      </c>
      <c r="B248" s="290"/>
      <c r="C248" s="288"/>
      <c r="D248" s="289">
        <f>+D239+E200</f>
        <v>16.413770487805614</v>
      </c>
      <c r="E248" s="288" t="s">
        <v>612</v>
      </c>
      <c r="F248" s="305"/>
      <c r="G248" s="72"/>
    </row>
    <row r="249" spans="1:7" x14ac:dyDescent="0.15">
      <c r="A249" s="287" t="s">
        <v>641</v>
      </c>
      <c r="B249" s="290"/>
      <c r="C249" s="288" t="s">
        <v>642</v>
      </c>
      <c r="D249" s="289">
        <f>D248+D224</f>
        <v>38.518623695013304</v>
      </c>
      <c r="E249" s="288" t="s">
        <v>612</v>
      </c>
      <c r="F249" s="305"/>
      <c r="G249" s="72"/>
    </row>
    <row r="250" spans="1:7" x14ac:dyDescent="0.15">
      <c r="A250" s="287" t="s">
        <v>643</v>
      </c>
      <c r="B250" s="290"/>
      <c r="C250" s="288" t="s">
        <v>644</v>
      </c>
      <c r="D250" s="306">
        <f>D210/D249/D212</f>
        <v>2.3320095493384356E-4</v>
      </c>
      <c r="E250" s="288"/>
      <c r="F250" s="305"/>
      <c r="G250" s="72"/>
    </row>
    <row r="251" spans="1:7" ht="15" thickBot="1" x14ac:dyDescent="0.2">
      <c r="A251" s="287"/>
      <c r="B251" s="290"/>
      <c r="C251" s="288"/>
      <c r="D251" s="293"/>
      <c r="E251" s="287"/>
      <c r="F251" s="286"/>
      <c r="G251" s="72"/>
    </row>
    <row r="252" spans="1:7" ht="15" thickBot="1" x14ac:dyDescent="0.2">
      <c r="A252" s="307" t="s">
        <v>13</v>
      </c>
      <c r="B252" s="307" t="s">
        <v>558</v>
      </c>
      <c r="C252" s="307" t="s">
        <v>559</v>
      </c>
      <c r="D252" s="307" t="s">
        <v>560</v>
      </c>
      <c r="E252" s="307" t="s">
        <v>561</v>
      </c>
      <c r="F252" s="307" t="s">
        <v>562</v>
      </c>
      <c r="G252" s="72"/>
    </row>
    <row r="253" spans="1:7" ht="15" thickBot="1" x14ac:dyDescent="0.2">
      <c r="A253" s="308" t="s">
        <v>645</v>
      </c>
      <c r="B253" s="308">
        <f>+(D214-5)/2.54</f>
        <v>7.8740157480314963</v>
      </c>
      <c r="C253" s="308">
        <f>1.38*B253/(0.63+D211)</f>
        <v>7.8740157480314972</v>
      </c>
      <c r="D253" s="309">
        <f>+(D209/B200)/(D248*D212)+D250</f>
        <v>1.617337855294846E-3</v>
      </c>
      <c r="E253" s="308">
        <f>MIN(2,4.8/(1+750*D253)*51/(39+C253))</f>
        <v>2</v>
      </c>
      <c r="F253" s="308">
        <f>0.265*E253*D24^0.5</f>
        <v>8.8685962812612011</v>
      </c>
      <c r="G253" s="72"/>
    </row>
    <row r="254" spans="1:7" x14ac:dyDescent="0.15">
      <c r="A254" s="285"/>
      <c r="B254" s="285"/>
      <c r="C254" s="285"/>
      <c r="D254" s="285"/>
      <c r="E254" s="285"/>
      <c r="F254" s="286"/>
      <c r="G254" s="72"/>
    </row>
    <row r="255" spans="1:7" x14ac:dyDescent="0.15">
      <c r="A255" s="311" t="s">
        <v>653</v>
      </c>
      <c r="B255" s="312"/>
      <c r="C255" s="312"/>
      <c r="D255" s="312"/>
      <c r="E255" s="312"/>
      <c r="F255" s="312"/>
      <c r="G255" s="72"/>
    </row>
    <row r="256" spans="1:7" x14ac:dyDescent="0.15">
      <c r="A256" s="284"/>
      <c r="B256" s="287"/>
      <c r="C256" s="287"/>
      <c r="D256" s="287"/>
      <c r="E256" s="287"/>
      <c r="F256" s="287"/>
      <c r="G256" s="72"/>
    </row>
    <row r="257" spans="1:8" ht="15" thickBot="1" x14ac:dyDescent="0.2">
      <c r="A257" s="284" t="s">
        <v>263</v>
      </c>
      <c r="B257" s="284"/>
      <c r="C257" s="284"/>
      <c r="D257" s="287"/>
      <c r="E257" s="287"/>
      <c r="F257" s="287"/>
      <c r="G257" s="72"/>
    </row>
    <row r="258" spans="1:8" ht="15" thickBot="1" x14ac:dyDescent="0.2">
      <c r="A258" s="80" t="s">
        <v>650</v>
      </c>
      <c r="B258" s="80" t="s">
        <v>550</v>
      </c>
      <c r="C258" s="80" t="s">
        <v>651</v>
      </c>
      <c r="D258" s="80" t="s">
        <v>647</v>
      </c>
      <c r="E258" s="80" t="s">
        <v>648</v>
      </c>
      <c r="F258" s="80" t="s">
        <v>649</v>
      </c>
      <c r="G258" s="80" t="s">
        <v>265</v>
      </c>
      <c r="H258" s="80" t="s">
        <v>266</v>
      </c>
    </row>
    <row r="259" spans="1:8" ht="15" thickBot="1" x14ac:dyDescent="0.2">
      <c r="A259" s="313">
        <f>+A200</f>
        <v>0.6</v>
      </c>
      <c r="B259" s="314">
        <f>+A259*100-7.5</f>
        <v>52.5</v>
      </c>
      <c r="C259" s="310">
        <f>B320</f>
        <v>28.253753644596493</v>
      </c>
      <c r="D259" s="310">
        <f>C320</f>
        <v>2.575629433835914</v>
      </c>
      <c r="E259" s="310">
        <f>D320</f>
        <v>14.595233458403511</v>
      </c>
      <c r="F259" s="317">
        <f>E320</f>
        <v>5</v>
      </c>
      <c r="G259" s="310">
        <f>G320</f>
        <v>13</v>
      </c>
      <c r="H259" s="310">
        <f>H320</f>
        <v>13</v>
      </c>
    </row>
    <row r="260" spans="1:8" x14ac:dyDescent="0.15">
      <c r="A260" s="315"/>
      <c r="B260" s="315"/>
      <c r="C260" s="315"/>
      <c r="D260" s="287"/>
      <c r="E260" s="287"/>
      <c r="F260" s="287"/>
      <c r="G260" s="72"/>
    </row>
    <row r="261" spans="1:8" x14ac:dyDescent="0.15">
      <c r="A261" s="284" t="s">
        <v>595</v>
      </c>
      <c r="B261" s="287"/>
      <c r="C261" s="287"/>
      <c r="D261" s="287"/>
      <c r="E261" s="287"/>
      <c r="F261" s="287"/>
      <c r="G261" s="72"/>
    </row>
    <row r="262" spans="1:8" x14ac:dyDescent="0.15">
      <c r="A262" s="287" t="s">
        <v>193</v>
      </c>
      <c r="B262" s="289">
        <f>B163</f>
        <v>16.599074976662088</v>
      </c>
      <c r="C262" s="287" t="s">
        <v>2</v>
      </c>
      <c r="D262" s="315"/>
      <c r="E262" s="315"/>
      <c r="F262" s="315"/>
      <c r="G262" s="72"/>
    </row>
    <row r="263" spans="1:8" x14ac:dyDescent="0.15">
      <c r="A263" s="287" t="s">
        <v>596</v>
      </c>
      <c r="B263" s="289">
        <f>+B262*1000/0.9/B259/100</f>
        <v>3.5130317410925045</v>
      </c>
      <c r="C263" s="287" t="s">
        <v>597</v>
      </c>
      <c r="D263" s="284"/>
      <c r="E263" s="287"/>
      <c r="F263" s="287"/>
      <c r="G263" s="72"/>
    </row>
    <row r="264" spans="1:8" x14ac:dyDescent="0.15">
      <c r="A264" s="287" t="s">
        <v>228</v>
      </c>
      <c r="B264" s="289">
        <f>+F312</f>
        <v>8.8685962812612011</v>
      </c>
      <c r="C264" s="287" t="s">
        <v>597</v>
      </c>
      <c r="D264" s="304" t="str">
        <f>+IF(B264&gt;B263,"ok","revisar")</f>
        <v>ok</v>
      </c>
      <c r="E264" s="287"/>
      <c r="F264" s="287"/>
      <c r="G264" s="72"/>
    </row>
    <row r="265" spans="1:8" x14ac:dyDescent="0.15">
      <c r="A265" s="287"/>
      <c r="B265" s="289"/>
      <c r="C265" s="287"/>
      <c r="D265" s="312"/>
      <c r="E265" s="287"/>
      <c r="F265" s="287"/>
      <c r="G265" s="72"/>
    </row>
    <row r="266" spans="1:8" x14ac:dyDescent="0.15">
      <c r="A266" s="284" t="s">
        <v>563</v>
      </c>
      <c r="B266" s="285"/>
      <c r="C266" s="285"/>
      <c r="D266" s="285"/>
      <c r="E266" s="285"/>
      <c r="F266" s="286"/>
      <c r="G266" s="72"/>
    </row>
    <row r="267" spans="1:8" x14ac:dyDescent="0.15">
      <c r="A267" s="284"/>
      <c r="B267" s="285"/>
      <c r="C267" s="285"/>
      <c r="D267" s="285"/>
      <c r="E267" s="285"/>
      <c r="F267" s="286"/>
      <c r="G267" s="72"/>
    </row>
    <row r="268" spans="1:8" x14ac:dyDescent="0.15">
      <c r="A268" s="287" t="s">
        <v>598</v>
      </c>
      <c r="B268" s="285"/>
      <c r="C268" s="285" t="s">
        <v>60</v>
      </c>
      <c r="D268" s="285">
        <f>C259*100000</f>
        <v>2825375.3644596492</v>
      </c>
      <c r="E268" s="285" t="s">
        <v>599</v>
      </c>
      <c r="F268" s="286"/>
      <c r="G268" s="72"/>
    </row>
    <row r="269" spans="1:8" x14ac:dyDescent="0.15">
      <c r="A269" s="287" t="s">
        <v>600</v>
      </c>
      <c r="B269" s="285"/>
      <c r="C269" s="285" t="s">
        <v>193</v>
      </c>
      <c r="D269" s="285">
        <f>+B262*1000</f>
        <v>16599.074976662087</v>
      </c>
      <c r="E269" s="285" t="s">
        <v>601</v>
      </c>
      <c r="F269" s="286"/>
      <c r="G269" s="72"/>
    </row>
    <row r="270" spans="1:8" x14ac:dyDescent="0.15">
      <c r="A270" s="287" t="s">
        <v>555</v>
      </c>
      <c r="B270" s="287"/>
      <c r="C270" s="288" t="s">
        <v>556</v>
      </c>
      <c r="D270" s="289">
        <v>0.75</v>
      </c>
      <c r="E270" s="287" t="s">
        <v>557</v>
      </c>
      <c r="F270" s="286"/>
      <c r="G270" s="72"/>
    </row>
    <row r="271" spans="1:8" ht="15" x14ac:dyDescent="0.15">
      <c r="A271" s="287" t="s">
        <v>268</v>
      </c>
      <c r="B271" s="290"/>
      <c r="C271" s="288" t="s">
        <v>146</v>
      </c>
      <c r="D271" s="291">
        <v>2000000</v>
      </c>
      <c r="E271" s="287" t="s">
        <v>52</v>
      </c>
      <c r="F271" s="286"/>
      <c r="G271" s="72"/>
    </row>
    <row r="272" spans="1:8" x14ac:dyDescent="0.15">
      <c r="A272" s="287" t="s">
        <v>602</v>
      </c>
      <c r="B272" s="290"/>
      <c r="C272" s="288" t="s">
        <v>603</v>
      </c>
      <c r="D272" s="292">
        <v>2</v>
      </c>
      <c r="E272" s="287"/>
      <c r="F272" s="286"/>
      <c r="G272" s="72"/>
    </row>
    <row r="273" spans="1:7" x14ac:dyDescent="0.15">
      <c r="A273" s="287" t="s">
        <v>604</v>
      </c>
      <c r="B273" s="290"/>
      <c r="C273" s="288" t="s">
        <v>605</v>
      </c>
      <c r="D273" s="293">
        <f>+(A259*100-10)/D272</f>
        <v>25</v>
      </c>
      <c r="E273" s="287" t="s">
        <v>7</v>
      </c>
      <c r="F273" s="286"/>
      <c r="G273" s="72"/>
    </row>
    <row r="274" spans="1:7" x14ac:dyDescent="0.15">
      <c r="A274" s="287"/>
      <c r="B274" s="290"/>
      <c r="C274" s="288"/>
      <c r="D274" s="293"/>
      <c r="E274" s="287"/>
      <c r="F274" s="286"/>
      <c r="G274" s="72"/>
    </row>
    <row r="275" spans="1:7" x14ac:dyDescent="0.15">
      <c r="A275" s="294" t="s">
        <v>606</v>
      </c>
      <c r="B275" s="295"/>
      <c r="C275" s="296"/>
      <c r="D275" s="297"/>
      <c r="E275" s="296"/>
      <c r="F275" s="298"/>
      <c r="G275" s="72"/>
    </row>
    <row r="276" spans="1:7" x14ac:dyDescent="0.15">
      <c r="A276" s="299" t="s">
        <v>607</v>
      </c>
      <c r="B276" s="295"/>
      <c r="C276" s="296" t="s">
        <v>608</v>
      </c>
      <c r="D276" s="300">
        <v>18</v>
      </c>
      <c r="E276" s="296" t="s">
        <v>7</v>
      </c>
      <c r="F276" s="298"/>
      <c r="G276" s="72"/>
    </row>
    <row r="277" spans="1:7" x14ac:dyDescent="0.15">
      <c r="A277" s="299" t="s">
        <v>35</v>
      </c>
      <c r="B277" s="295"/>
      <c r="C277" s="296" t="s">
        <v>609</v>
      </c>
      <c r="D277" s="300">
        <v>5</v>
      </c>
      <c r="E277" s="296"/>
      <c r="F277" s="298"/>
      <c r="G277" s="72"/>
    </row>
    <row r="278" spans="1:7" x14ac:dyDescent="0.15">
      <c r="A278" s="299" t="s">
        <v>610</v>
      </c>
      <c r="B278" s="295"/>
      <c r="C278" s="296" t="s">
        <v>611</v>
      </c>
      <c r="D278" s="297">
        <f>+D277^2/(4*PI())</f>
        <v>1.9894367886486917</v>
      </c>
      <c r="E278" s="296" t="s">
        <v>612</v>
      </c>
      <c r="F278" s="298"/>
      <c r="G278" s="72"/>
    </row>
    <row r="279" spans="1:7" x14ac:dyDescent="0.15">
      <c r="A279" s="299" t="s">
        <v>613</v>
      </c>
      <c r="B279" s="295"/>
      <c r="C279" s="296" t="s">
        <v>614</v>
      </c>
      <c r="D279" s="297">
        <f>100/D276</f>
        <v>5.5555555555555554</v>
      </c>
      <c r="E279" s="296" t="s">
        <v>615</v>
      </c>
      <c r="F279" s="298"/>
      <c r="G279" s="72"/>
    </row>
    <row r="280" spans="1:7" x14ac:dyDescent="0.15">
      <c r="A280" s="299"/>
      <c r="B280" s="295"/>
      <c r="C280" s="296" t="s">
        <v>616</v>
      </c>
      <c r="D280" s="297">
        <f>+D279*D278</f>
        <v>11.052426603603843</v>
      </c>
      <c r="E280" s="296" t="s">
        <v>612</v>
      </c>
      <c r="F280" s="298"/>
      <c r="G280" s="72"/>
    </row>
    <row r="281" spans="1:7" x14ac:dyDescent="0.15">
      <c r="A281" s="299" t="s">
        <v>617</v>
      </c>
      <c r="B281" s="295"/>
      <c r="C281" s="296" t="s">
        <v>618</v>
      </c>
      <c r="D281" s="297">
        <f>+D280/0.3</f>
        <v>36.841422012012814</v>
      </c>
      <c r="E281" s="296" t="s">
        <v>7</v>
      </c>
      <c r="F281" s="301" t="str">
        <f>+IF(D281&gt;=D273,"ok","revisar")</f>
        <v>ok</v>
      </c>
      <c r="G281" s="72"/>
    </row>
    <row r="282" spans="1:7" x14ac:dyDescent="0.15">
      <c r="A282" s="299" t="s">
        <v>619</v>
      </c>
      <c r="B282" s="295"/>
      <c r="C282" s="296"/>
      <c r="D282" s="297">
        <f>+D272-D293</f>
        <v>2</v>
      </c>
      <c r="E282" s="296"/>
      <c r="F282" s="302"/>
      <c r="G282" s="72"/>
    </row>
    <row r="283" spans="1:7" x14ac:dyDescent="0.15">
      <c r="A283" s="299" t="s">
        <v>620</v>
      </c>
      <c r="B283" s="295"/>
      <c r="C283" s="296"/>
      <c r="D283" s="297">
        <f>+D282*D280</f>
        <v>22.104853207207686</v>
      </c>
      <c r="E283" s="296" t="s">
        <v>612</v>
      </c>
      <c r="F283" s="302"/>
      <c r="G283" s="72"/>
    </row>
    <row r="284" spans="1:7" x14ac:dyDescent="0.15">
      <c r="A284" s="287"/>
      <c r="B284" s="290"/>
      <c r="C284" s="288"/>
      <c r="D284" s="293"/>
      <c r="E284" s="287"/>
      <c r="F284" s="286"/>
      <c r="G284" s="72"/>
    </row>
    <row r="285" spans="1:7" x14ac:dyDescent="0.15">
      <c r="A285" s="284" t="s">
        <v>621</v>
      </c>
      <c r="B285" s="290"/>
      <c r="C285" s="288"/>
      <c r="D285" s="293"/>
      <c r="E285" s="288"/>
      <c r="F285" s="286"/>
      <c r="G285" s="72"/>
    </row>
    <row r="286" spans="1:7" x14ac:dyDescent="0.15">
      <c r="A286" s="287" t="s">
        <v>607</v>
      </c>
      <c r="B286" s="290"/>
      <c r="C286" s="288" t="s">
        <v>608</v>
      </c>
      <c r="D286" s="303">
        <v>18</v>
      </c>
      <c r="E286" s="288" t="s">
        <v>0</v>
      </c>
      <c r="F286" s="286"/>
      <c r="G286" s="72"/>
    </row>
    <row r="287" spans="1:7" x14ac:dyDescent="0.15">
      <c r="A287" s="287" t="s">
        <v>35</v>
      </c>
      <c r="B287" s="290"/>
      <c r="C287" s="288" t="s">
        <v>609</v>
      </c>
      <c r="D287" s="303">
        <v>5</v>
      </c>
      <c r="E287" s="288"/>
      <c r="F287" s="286"/>
      <c r="G287" s="72"/>
    </row>
    <row r="288" spans="1:7" x14ac:dyDescent="0.15">
      <c r="A288" s="287" t="s">
        <v>610</v>
      </c>
      <c r="B288" s="290"/>
      <c r="C288" s="288" t="s">
        <v>611</v>
      </c>
      <c r="D288" s="293">
        <f>+D287^2/(4*PI())</f>
        <v>1.9894367886486917</v>
      </c>
      <c r="E288" s="288" t="s">
        <v>612</v>
      </c>
      <c r="F288" s="286"/>
      <c r="G288" s="72"/>
    </row>
    <row r="289" spans="1:7" x14ac:dyDescent="0.15">
      <c r="A289" s="287" t="s">
        <v>613</v>
      </c>
      <c r="B289" s="290"/>
      <c r="C289" s="288" t="s">
        <v>614</v>
      </c>
      <c r="D289" s="293">
        <f>100/D286</f>
        <v>5.5555555555555554</v>
      </c>
      <c r="E289" s="288" t="s">
        <v>615</v>
      </c>
      <c r="F289" s="286"/>
      <c r="G289" s="72"/>
    </row>
    <row r="290" spans="1:7" x14ac:dyDescent="0.15">
      <c r="A290" s="287"/>
      <c r="B290" s="290"/>
      <c r="C290" s="288" t="s">
        <v>616</v>
      </c>
      <c r="D290" s="293">
        <f>+D289*D288</f>
        <v>11.052426603603843</v>
      </c>
      <c r="E290" s="288" t="s">
        <v>612</v>
      </c>
      <c r="F290" s="286"/>
      <c r="G290" s="72"/>
    </row>
    <row r="291" spans="1:7" x14ac:dyDescent="0.15">
      <c r="A291" s="287" t="s">
        <v>622</v>
      </c>
      <c r="B291" s="290"/>
      <c r="C291" s="288" t="s">
        <v>623</v>
      </c>
      <c r="D291" s="293">
        <v>3.5</v>
      </c>
      <c r="E291" s="288" t="s">
        <v>597</v>
      </c>
      <c r="F291" s="286"/>
      <c r="G291" s="72"/>
    </row>
    <row r="292" spans="1:7" x14ac:dyDescent="0.15">
      <c r="A292" s="287" t="s">
        <v>617</v>
      </c>
      <c r="B292" s="290"/>
      <c r="C292" s="288" t="s">
        <v>618</v>
      </c>
      <c r="D292" s="293">
        <f>+IF(B264&lt;B263,D290*D26/(D291*100),D273)</f>
        <v>25</v>
      </c>
      <c r="E292" s="288" t="s">
        <v>7</v>
      </c>
      <c r="F292" s="304" t="str">
        <f>+IF(D292&gt;=D273,"ok","revisar")</f>
        <v>ok</v>
      </c>
      <c r="G292" s="72"/>
    </row>
    <row r="293" spans="1:7" x14ac:dyDescent="0.15">
      <c r="A293" s="287"/>
      <c r="B293" s="290"/>
      <c r="C293" s="288"/>
      <c r="D293" s="293"/>
      <c r="E293" s="288"/>
      <c r="F293" s="305"/>
      <c r="G293" s="72"/>
    </row>
    <row r="294" spans="1:7" x14ac:dyDescent="0.15">
      <c r="A294" s="284" t="s">
        <v>624</v>
      </c>
      <c r="B294" s="290"/>
      <c r="C294" s="288"/>
      <c r="D294" s="293"/>
      <c r="E294" s="288"/>
      <c r="F294" s="305"/>
      <c r="G294" s="72"/>
    </row>
    <row r="295" spans="1:7" x14ac:dyDescent="0.15">
      <c r="A295" s="287" t="s">
        <v>625</v>
      </c>
      <c r="B295" s="290"/>
      <c r="C295" s="288" t="s">
        <v>626</v>
      </c>
      <c r="D295" s="293">
        <f>+D290</f>
        <v>11.052426603603843</v>
      </c>
      <c r="E295" s="288" t="s">
        <v>612</v>
      </c>
      <c r="F295" s="305"/>
      <c r="G295" s="72"/>
    </row>
    <row r="296" spans="1:7" x14ac:dyDescent="0.15">
      <c r="A296" s="287" t="s">
        <v>627</v>
      </c>
      <c r="B296" s="290"/>
      <c r="C296" s="288" t="s">
        <v>628</v>
      </c>
      <c r="D296" s="303">
        <v>1</v>
      </c>
      <c r="E296" s="288"/>
      <c r="F296" s="305"/>
      <c r="G296" s="72"/>
    </row>
    <row r="297" spans="1:7" x14ac:dyDescent="0.15">
      <c r="A297" s="287" t="s">
        <v>629</v>
      </c>
      <c r="B297" s="290"/>
      <c r="C297" s="288"/>
      <c r="D297" s="293">
        <f>+IF(D272&lt;2,0,D295*D296)</f>
        <v>11.052426603603843</v>
      </c>
      <c r="E297" s="288" t="s">
        <v>612</v>
      </c>
      <c r="F297" s="305"/>
      <c r="G297" s="72"/>
    </row>
    <row r="298" spans="1:7" x14ac:dyDescent="0.15">
      <c r="A298" s="287" t="s">
        <v>630</v>
      </c>
      <c r="B298" s="290"/>
      <c r="C298" s="288"/>
      <c r="D298" s="292">
        <v>4.17</v>
      </c>
      <c r="E298" s="288" t="s">
        <v>612</v>
      </c>
      <c r="F298" s="304" t="str">
        <f>+IF(D298&lt;=D297,"ok","revisar")</f>
        <v>ok</v>
      </c>
      <c r="G298" s="72"/>
    </row>
    <row r="299" spans="1:7" x14ac:dyDescent="0.15">
      <c r="A299" s="287" t="s">
        <v>631</v>
      </c>
      <c r="B299" s="290"/>
      <c r="C299" s="288"/>
      <c r="D299" s="293">
        <f>+D298+E259</f>
        <v>18.765233458403511</v>
      </c>
      <c r="E299" s="288" t="s">
        <v>612</v>
      </c>
      <c r="F299" s="305"/>
      <c r="G299" s="72"/>
    </row>
    <row r="300" spans="1:7" x14ac:dyDescent="0.15">
      <c r="A300" s="287" t="s">
        <v>632</v>
      </c>
      <c r="B300" s="290"/>
      <c r="C300" s="288"/>
      <c r="D300" s="293">
        <f>+D299*D26/(0.85*100*D24)</f>
        <v>3.31151178677709</v>
      </c>
      <c r="E300" s="288" t="s">
        <v>7</v>
      </c>
      <c r="F300" s="305"/>
      <c r="G300" s="72"/>
    </row>
    <row r="301" spans="1:7" x14ac:dyDescent="0.15">
      <c r="A301" s="287" t="s">
        <v>633</v>
      </c>
      <c r="B301" s="290"/>
      <c r="C301" s="288" t="s">
        <v>85</v>
      </c>
      <c r="D301" s="293">
        <f>+D300/0.85</f>
        <v>3.8958962197377529</v>
      </c>
      <c r="E301" s="288" t="s">
        <v>7</v>
      </c>
      <c r="F301" s="305"/>
      <c r="G301" s="72"/>
    </row>
    <row r="302" spans="1:7" x14ac:dyDescent="0.15">
      <c r="A302" s="287" t="s">
        <v>634</v>
      </c>
      <c r="B302" s="290"/>
      <c r="C302" s="288"/>
      <c r="D302" s="306">
        <f>+D312/(B259-D301)</f>
        <v>3.3680643326575818E-5</v>
      </c>
      <c r="E302" s="288"/>
      <c r="F302" s="305"/>
      <c r="G302" s="72"/>
    </row>
    <row r="303" spans="1:7" x14ac:dyDescent="0.15">
      <c r="A303" s="287" t="s">
        <v>635</v>
      </c>
      <c r="B303" s="290"/>
      <c r="C303" s="288"/>
      <c r="D303" s="293">
        <f>IF(D272&lt;2,0,B259-D301-D273)</f>
        <v>23.60410378026225</v>
      </c>
      <c r="E303" s="288" t="s">
        <v>7</v>
      </c>
      <c r="F303" s="305"/>
      <c r="G303" s="72"/>
    </row>
    <row r="304" spans="1:7" x14ac:dyDescent="0.15">
      <c r="A304" s="287" t="s">
        <v>636</v>
      </c>
      <c r="B304" s="290"/>
      <c r="C304" s="288"/>
      <c r="D304" s="306">
        <f>+D303*D302</f>
        <v>7.950014004664928E-4</v>
      </c>
      <c r="E304" s="288"/>
      <c r="F304" s="305"/>
      <c r="G304" s="72"/>
    </row>
    <row r="305" spans="1:10" x14ac:dyDescent="0.15">
      <c r="A305" s="287" t="s">
        <v>637</v>
      </c>
      <c r="B305" s="290"/>
      <c r="C305" s="288" t="s">
        <v>638</v>
      </c>
      <c r="D305" s="293">
        <f>+D304*D271</f>
        <v>1590.0028009329856</v>
      </c>
      <c r="E305" s="288" t="s">
        <v>597</v>
      </c>
      <c r="F305" s="305"/>
      <c r="G305" s="72"/>
    </row>
    <row r="306" spans="1:10" x14ac:dyDescent="0.15">
      <c r="A306" s="287" t="s">
        <v>639</v>
      </c>
      <c r="B306" s="290"/>
      <c r="C306" s="288"/>
      <c r="D306" s="289">
        <f>+IF(D272&lt;2,0,D305*D295/D26)</f>
        <v>4.1841402992467511</v>
      </c>
      <c r="E306" s="288" t="s">
        <v>612</v>
      </c>
      <c r="F306" s="304" t="str">
        <f>IF(D298=0," ",IF(ABS(D306-D298)&lt;0.02,"ok","revisar"))</f>
        <v>ok</v>
      </c>
      <c r="G306" s="72"/>
    </row>
    <row r="307" spans="1:10" x14ac:dyDescent="0.15">
      <c r="A307" s="287" t="s">
        <v>640</v>
      </c>
      <c r="B307" s="290"/>
      <c r="C307" s="288"/>
      <c r="D307" s="289">
        <f>+D298+E259</f>
        <v>18.765233458403511</v>
      </c>
      <c r="E307" s="288" t="s">
        <v>612</v>
      </c>
      <c r="F307" s="305"/>
      <c r="G307" s="72"/>
    </row>
    <row r="308" spans="1:10" x14ac:dyDescent="0.15">
      <c r="A308" s="287" t="s">
        <v>641</v>
      </c>
      <c r="B308" s="290"/>
      <c r="C308" s="288" t="s">
        <v>642</v>
      </c>
      <c r="D308" s="289">
        <f>D307+D283</f>
        <v>40.870086665611197</v>
      </c>
      <c r="E308" s="288" t="s">
        <v>612</v>
      </c>
      <c r="F308" s="305"/>
      <c r="G308" s="72"/>
    </row>
    <row r="309" spans="1:10" x14ac:dyDescent="0.15">
      <c r="A309" s="287" t="s">
        <v>643</v>
      </c>
      <c r="B309" s="290"/>
      <c r="C309" s="288" t="s">
        <v>644</v>
      </c>
      <c r="D309" s="306">
        <f>D269/D308/D271</f>
        <v>2.0307119865528494E-4</v>
      </c>
      <c r="E309" s="288"/>
      <c r="F309" s="305"/>
      <c r="G309" s="72"/>
    </row>
    <row r="310" spans="1:10" ht="15" thickBot="1" x14ac:dyDescent="0.2">
      <c r="A310" s="287"/>
      <c r="B310" s="290"/>
      <c r="C310" s="287"/>
      <c r="D310" s="289"/>
      <c r="E310" s="287"/>
      <c r="F310" s="286"/>
      <c r="G310" s="72"/>
    </row>
    <row r="311" spans="1:10" ht="15" thickBot="1" x14ac:dyDescent="0.2">
      <c r="A311" s="307" t="s">
        <v>13</v>
      </c>
      <c r="B311" s="307" t="s">
        <v>558</v>
      </c>
      <c r="C311" s="307" t="s">
        <v>559</v>
      </c>
      <c r="D311" s="307" t="s">
        <v>560</v>
      </c>
      <c r="E311" s="307" t="s">
        <v>561</v>
      </c>
      <c r="F311" s="307" t="s">
        <v>562</v>
      </c>
      <c r="G311" s="72"/>
    </row>
    <row r="312" spans="1:10" ht="15" thickBot="1" x14ac:dyDescent="0.2">
      <c r="A312" s="308" t="s">
        <v>645</v>
      </c>
      <c r="B312" s="308">
        <f>+(D273-5)/2.54</f>
        <v>7.8740157480314963</v>
      </c>
      <c r="C312" s="308">
        <f>1.38*B312/(0.63+D270)</f>
        <v>7.8740157480314972</v>
      </c>
      <c r="D312" s="309">
        <f>+(D268/B259)/(D307*D271)+D309</f>
        <v>1.6370174836308883E-3</v>
      </c>
      <c r="E312" s="308">
        <f>MIN(2,4.8/(1+750*D312)*51/(39+C312))</f>
        <v>2</v>
      </c>
      <c r="F312" s="308">
        <f>0.265*E312*D24^0.5</f>
        <v>8.8685962812612011</v>
      </c>
      <c r="G312" s="72"/>
    </row>
    <row r="313" spans="1:10" x14ac:dyDescent="0.15">
      <c r="A313" s="285"/>
      <c r="B313" s="285"/>
      <c r="C313" s="285"/>
      <c r="D313" s="306"/>
      <c r="E313" s="285"/>
      <c r="F313" s="285"/>
      <c r="G313" s="72"/>
    </row>
    <row r="314" spans="1:10" ht="16" x14ac:dyDescent="0.15">
      <c r="A314" s="336" t="s">
        <v>351</v>
      </c>
      <c r="B314" s="336"/>
      <c r="C314" s="336"/>
      <c r="D314" s="336"/>
      <c r="E314" s="336"/>
      <c r="F314" s="336"/>
      <c r="G314" s="336"/>
      <c r="H314" s="336"/>
    </row>
    <row r="315" spans="1:10" ht="16" x14ac:dyDescent="0.15">
      <c r="A315" s="336" t="s">
        <v>263</v>
      </c>
      <c r="B315" s="336"/>
      <c r="C315" s="336"/>
      <c r="D315" s="336"/>
      <c r="E315" s="336"/>
      <c r="F315" s="336"/>
      <c r="G315" s="336"/>
      <c r="H315" s="336"/>
    </row>
    <row r="316" spans="1:10" ht="15" thickBot="1" x14ac:dyDescent="0.2">
      <c r="A316" s="70"/>
      <c r="B316" s="70"/>
      <c r="C316" s="70"/>
      <c r="D316" s="70"/>
      <c r="E316" s="70"/>
      <c r="F316" s="71"/>
      <c r="G316" s="72"/>
    </row>
    <row r="317" spans="1:10" ht="28.5" customHeight="1" thickBot="1" x14ac:dyDescent="0.2">
      <c r="A317" s="168" t="s">
        <v>13</v>
      </c>
      <c r="B317" s="168" t="s">
        <v>46</v>
      </c>
      <c r="C317" s="316" t="s">
        <v>47</v>
      </c>
      <c r="D317" s="168" t="s">
        <v>48</v>
      </c>
      <c r="E317" s="168" t="s">
        <v>18</v>
      </c>
      <c r="F317" s="168" t="s">
        <v>652</v>
      </c>
      <c r="G317" s="80" t="s">
        <v>265</v>
      </c>
      <c r="H317" s="80" t="s">
        <v>266</v>
      </c>
      <c r="J317" s="2"/>
    </row>
    <row r="318" spans="1:10" x14ac:dyDescent="0.15">
      <c r="A318" s="26" t="str">
        <f>+A161</f>
        <v>Dentellon</v>
      </c>
      <c r="B318" s="17">
        <f>+MAX(DENTELLON!D16,G382)</f>
        <v>23.854850676539566</v>
      </c>
      <c r="C318" s="17">
        <f>+C161-SQRT(C161^2-2000*B318/(0.85*B341*$D$7*$D$24))</f>
        <v>2.1659594978480499</v>
      </c>
      <c r="D318" s="20">
        <f>0.85*C318*$D$7*100*$D$24/$D$26</f>
        <v>12.273770487805615</v>
      </c>
      <c r="E318" s="75">
        <f>+B105</f>
        <v>5</v>
      </c>
      <c r="F318" s="20">
        <f>+(E318^2)/(4*PI())</f>
        <v>1.9894367886486917</v>
      </c>
      <c r="G318" s="20">
        <f>IF(D318=0,0,ROUNDDOWN(100*$D$7*F318/D318,0))</f>
        <v>16</v>
      </c>
      <c r="H318" s="76">
        <f>+IF(G318=0,0,G318-B65)</f>
        <v>16</v>
      </c>
      <c r="J318" s="2"/>
    </row>
    <row r="319" spans="1:10" x14ac:dyDescent="0.15">
      <c r="A319" s="18" t="str">
        <f>+A162</f>
        <v>Pie</v>
      </c>
      <c r="B319" s="17">
        <f>+MAX('ZAPATA RESISTENCIA'!G202,G383)</f>
        <v>23.854850676539566</v>
      </c>
      <c r="C319" s="17">
        <f>+C162-SQRT(C162^2-2000*B319/(0.85*B342*$D$7*$D$24))</f>
        <v>2.1659594978480499</v>
      </c>
      <c r="D319" s="20">
        <f>0.85*C319*$D$7*100*$D$24/$D$26</f>
        <v>12.273770487805615</v>
      </c>
      <c r="E319" s="75">
        <f>+B106</f>
        <v>5</v>
      </c>
      <c r="F319" s="20">
        <f t="shared" ref="F319:F321" si="25">+(E319^2)/(4*PI())</f>
        <v>1.9894367886486917</v>
      </c>
      <c r="G319" s="20">
        <f>IF(D319=0,0,ROUNDDOWN(100*$D$7*F319/D319,0))</f>
        <v>16</v>
      </c>
      <c r="H319" s="76">
        <f>+IF(G319=0,0,G319-B66)</f>
        <v>16</v>
      </c>
      <c r="J319" s="2"/>
    </row>
    <row r="320" spans="1:10" x14ac:dyDescent="0.15">
      <c r="A320" s="18" t="str">
        <f>+A163</f>
        <v>Talon</v>
      </c>
      <c r="B320" s="17">
        <f>+MAX('ZAPATA RESISTENCIA'!G203,G384)</f>
        <v>28.253753644596493</v>
      </c>
      <c r="C320" s="17">
        <f>+C163-SQRT(C163^2-2000*B320/(0.85*B343*$D$7*$D$24))</f>
        <v>2.575629433835914</v>
      </c>
      <c r="D320" s="20">
        <f>0.85*C320*$D$7*100*$D$24/$D$26</f>
        <v>14.595233458403511</v>
      </c>
      <c r="E320" s="75">
        <f>+B107</f>
        <v>5</v>
      </c>
      <c r="F320" s="20">
        <f t="shared" si="25"/>
        <v>1.9894367886486917</v>
      </c>
      <c r="G320" s="20">
        <f t="shared" ref="G320:G321" si="26">IF(D320=0,0,ROUNDDOWN(100*$D$7*F320/D320,0))</f>
        <v>13</v>
      </c>
      <c r="H320" s="76">
        <f>+IF(G320=0,0,G320-B67)</f>
        <v>13</v>
      </c>
      <c r="J320" s="2"/>
    </row>
    <row r="321" spans="1:10" ht="15" thickBot="1" x14ac:dyDescent="0.2">
      <c r="A321" s="19" t="str">
        <f>+A164</f>
        <v>Vastago</v>
      </c>
      <c r="B321" s="15">
        <f>+MAX('VASTAGO RESISTENCIA'!G125,G390)</f>
        <v>40.245333333333335</v>
      </c>
      <c r="C321" s="15">
        <f>+C164-SQRT(C164^2-2000*B321/(0.85*B344*$D$7*$D$24))</f>
        <v>4.6783583180119308</v>
      </c>
      <c r="D321" s="21">
        <f>0.85*C321*$D$7*100*$D$24/$D$26</f>
        <v>26.510697135400942</v>
      </c>
      <c r="E321" s="58">
        <f>+B108</f>
        <v>5</v>
      </c>
      <c r="F321" s="21">
        <f t="shared" si="25"/>
        <v>1.9894367886486917</v>
      </c>
      <c r="G321" s="21">
        <f t="shared" si="26"/>
        <v>7</v>
      </c>
      <c r="H321" s="77">
        <f>+IF(G321=0,0,G321-B68)</f>
        <v>7</v>
      </c>
      <c r="J321" s="2"/>
    </row>
    <row r="322" spans="1:10" x14ac:dyDescent="0.15">
      <c r="A322" s="70"/>
      <c r="B322" s="73"/>
      <c r="C322" s="74"/>
      <c r="D322" s="74"/>
      <c r="E322" s="73"/>
      <c r="F322" s="71"/>
      <c r="G322" s="72"/>
    </row>
    <row r="323" spans="1:10" ht="16" x14ac:dyDescent="0.15">
      <c r="A323" s="336" t="s">
        <v>390</v>
      </c>
      <c r="B323" s="336"/>
      <c r="C323" s="336"/>
      <c r="D323" s="336"/>
      <c r="E323" s="336"/>
      <c r="F323" s="336"/>
      <c r="G323" s="336"/>
      <c r="H323" s="336"/>
    </row>
    <row r="324" spans="1:10" ht="16" x14ac:dyDescent="0.15">
      <c r="A324" s="336" t="s">
        <v>347</v>
      </c>
      <c r="B324" s="336"/>
      <c r="C324" s="336"/>
      <c r="D324" s="336"/>
      <c r="E324" s="336"/>
      <c r="F324" s="336"/>
      <c r="G324" s="336"/>
      <c r="H324" s="336"/>
    </row>
    <row r="325" spans="1:10" ht="15" thickBot="1" x14ac:dyDescent="0.2">
      <c r="A325" s="70"/>
      <c r="B325" s="70"/>
      <c r="C325" s="70"/>
      <c r="D325" s="70"/>
      <c r="E325" s="70"/>
      <c r="F325" s="71"/>
      <c r="G325" s="72"/>
    </row>
    <row r="326" spans="1:10" ht="16" thickBot="1" x14ac:dyDescent="0.2">
      <c r="A326" s="51" t="s">
        <v>248</v>
      </c>
      <c r="B326" s="51" t="s">
        <v>46</v>
      </c>
      <c r="C326" s="9" t="s">
        <v>47</v>
      </c>
      <c r="D326" s="51" t="s">
        <v>48</v>
      </c>
      <c r="E326" s="51" t="s">
        <v>18</v>
      </c>
      <c r="F326" s="34" t="s">
        <v>264</v>
      </c>
      <c r="G326" s="37" t="s">
        <v>265</v>
      </c>
    </row>
    <row r="327" spans="1:10" x14ac:dyDescent="0.15">
      <c r="A327" s="26">
        <f>+'VASTAGO RESISTENCIA'!A121</f>
        <v>0</v>
      </c>
      <c r="B327" s="23">
        <f>+MAX('VASTAGO RESISTENCIA'!G121,G386)</f>
        <v>8.117275577433599</v>
      </c>
      <c r="C327" s="23">
        <f>+C170-SQRT(C170^2-2000*B327/(0.85*$B$344*$D$7*$D$24))</f>
        <v>1.4144015852588048</v>
      </c>
      <c r="D327" s="93">
        <f>0.85*C327*$D$7*100*$D$24/$D$26</f>
        <v>8.0149423164665592</v>
      </c>
      <c r="E327" s="94">
        <f>+C54</f>
        <v>5</v>
      </c>
      <c r="F327" s="93">
        <f t="shared" ref="F327" si="27">+(E327^2)/(4*PI())</f>
        <v>1.9894367886486917</v>
      </c>
      <c r="G327" s="93">
        <f>IF(D327=0,0,ROUNDDOWN(100*$D$7*F327/D327,0))</f>
        <v>24</v>
      </c>
    </row>
    <row r="328" spans="1:10" x14ac:dyDescent="0.15">
      <c r="A328" s="18">
        <f>+'VASTAGO RESISTENCIA'!A122</f>
        <v>1.4750000000000001</v>
      </c>
      <c r="B328" s="17">
        <f>+MAX('VASTAGO RESISTENCIA'!G122,G387)</f>
        <v>9.9498747830531737</v>
      </c>
      <c r="C328" s="17">
        <f>+C171-SQRT(C171^2-2000*B328/(0.85*$B$344*$D$7*$D$24))</f>
        <v>1.523583449039446</v>
      </c>
      <c r="D328" s="20">
        <f>0.85*C328*$D$7*100*$D$24/$D$26</f>
        <v>8.6336395445568606</v>
      </c>
      <c r="E328" s="76">
        <f>+C55</f>
        <v>5</v>
      </c>
      <c r="F328" s="20">
        <f t="shared" ref="F328:F331" si="28">+(E328^2)/(4*PI())</f>
        <v>1.9894367886486917</v>
      </c>
      <c r="G328" s="20">
        <f t="shared" ref="G328:G331" si="29">IF(D328=0,0,ROUNDDOWN(100*$D$7*F328/D328,0))</f>
        <v>23</v>
      </c>
    </row>
    <row r="329" spans="1:10" x14ac:dyDescent="0.15">
      <c r="A329" s="18">
        <f>+'VASTAGO RESISTENCIA'!A123</f>
        <v>2.95</v>
      </c>
      <c r="B329" s="17">
        <f>+MAX('VASTAGO RESISTENCIA'!G123,G388)</f>
        <v>11.968840009583216</v>
      </c>
      <c r="C329" s="17">
        <f>+C172-SQRT(C172^2-2000*B329/(0.85*$B$344*$D$7*$D$24))</f>
        <v>1.634656827371991</v>
      </c>
      <c r="D329" s="20">
        <f>0.85*C329*$D$7*100*$D$24/$D$26</f>
        <v>9.263055355107948</v>
      </c>
      <c r="E329" s="76">
        <f>+C56</f>
        <v>5</v>
      </c>
      <c r="F329" s="20">
        <f t="shared" si="28"/>
        <v>1.9894367886486917</v>
      </c>
      <c r="G329" s="20">
        <f t="shared" si="29"/>
        <v>21</v>
      </c>
    </row>
    <row r="330" spans="1:10" x14ac:dyDescent="0.15">
      <c r="A330" s="18">
        <f>+'VASTAGO RESISTENCIA'!A124</f>
        <v>4.4250000000000007</v>
      </c>
      <c r="B330" s="17">
        <f>+MAX('VASTAGO RESISTENCIA'!G124,G389)</f>
        <v>17.653710937500009</v>
      </c>
      <c r="C330" s="17">
        <f>+C173-SQRT(C173^2-2000*B330/(0.85*$B$344*$D$7*$D$24))</f>
        <v>2.1887008205524054</v>
      </c>
      <c r="D330" s="20">
        <f>0.85*C330*$D$7*100*$D$24/$D$26</f>
        <v>12.402637983130298</v>
      </c>
      <c r="E330" s="76">
        <f>+C57</f>
        <v>5</v>
      </c>
      <c r="F330" s="20">
        <f t="shared" ref="F330" si="30">+(E330^2)/(4*PI())</f>
        <v>1.9894367886486917</v>
      </c>
      <c r="G330" s="20">
        <f t="shared" si="29"/>
        <v>16</v>
      </c>
    </row>
    <row r="331" spans="1:10" ht="15" thickBot="1" x14ac:dyDescent="0.2">
      <c r="A331" s="19">
        <f>+'VASTAGO RESISTENCIA'!A125</f>
        <v>5.9</v>
      </c>
      <c r="B331" s="15">
        <f>+MAX('VASTAGO RESISTENCIA'!G125,G390)</f>
        <v>40.245333333333335</v>
      </c>
      <c r="C331" s="15">
        <f>+C174-SQRT(C174^2-2000*B331/(0.85*$B$344*$D$7*$D$24))</f>
        <v>4.6783583180119308</v>
      </c>
      <c r="D331" s="21">
        <f>0.85*C331*$D$7*100*$D$24/$D$26</f>
        <v>26.510697135400942</v>
      </c>
      <c r="E331" s="77">
        <f>+C58</f>
        <v>5</v>
      </c>
      <c r="F331" s="21">
        <f t="shared" si="28"/>
        <v>1.9894367886486917</v>
      </c>
      <c r="G331" s="21">
        <f t="shared" si="29"/>
        <v>7</v>
      </c>
    </row>
    <row r="332" spans="1:10" x14ac:dyDescent="0.15">
      <c r="A332" s="70"/>
      <c r="B332" s="73"/>
      <c r="C332" s="74"/>
      <c r="D332" s="74"/>
      <c r="E332" s="73"/>
      <c r="F332" s="71"/>
      <c r="G332" s="72"/>
    </row>
    <row r="333" spans="1:10" x14ac:dyDescent="0.15">
      <c r="A333" s="1" t="s">
        <v>261</v>
      </c>
      <c r="C333" s="13"/>
      <c r="D333" s="14"/>
      <c r="F333" s="71"/>
      <c r="G333" s="72"/>
    </row>
    <row r="334" spans="1:10" x14ac:dyDescent="0.15">
      <c r="C334" s="13"/>
      <c r="D334" s="14"/>
      <c r="F334" s="71"/>
      <c r="G334" s="72"/>
    </row>
    <row r="335" spans="1:10" x14ac:dyDescent="0.15">
      <c r="A335"/>
      <c r="C335" s="13"/>
      <c r="D335" s="14"/>
      <c r="F335" s="71"/>
      <c r="G335" s="72"/>
    </row>
    <row r="336" spans="1:10" x14ac:dyDescent="0.15">
      <c r="C336" s="13"/>
      <c r="D336" s="14"/>
      <c r="F336" s="71"/>
      <c r="G336" s="72"/>
    </row>
    <row r="337" spans="1:7" x14ac:dyDescent="0.15">
      <c r="A337" s="3" t="s">
        <v>564</v>
      </c>
      <c r="C337" s="13"/>
      <c r="D337" s="14"/>
      <c r="F337" s="71"/>
      <c r="G337" s="72"/>
    </row>
    <row r="338" spans="1:7" ht="15" thickBot="1" x14ac:dyDescent="0.2">
      <c r="C338" s="13"/>
      <c r="D338" s="14"/>
      <c r="F338" s="71"/>
      <c r="G338" s="72"/>
    </row>
    <row r="339" spans="1:7" ht="16" thickBot="1" x14ac:dyDescent="0.25">
      <c r="A339" s="35"/>
      <c r="B339" s="51" t="s">
        <v>549</v>
      </c>
      <c r="C339" s="51" t="s">
        <v>552</v>
      </c>
      <c r="D339" s="14"/>
      <c r="F339" s="71"/>
      <c r="G339" s="72"/>
    </row>
    <row r="340" spans="1:7" ht="15" thickBot="1" x14ac:dyDescent="0.2">
      <c r="A340" s="51" t="s">
        <v>13</v>
      </c>
      <c r="B340" s="51" t="s">
        <v>262</v>
      </c>
      <c r="C340" s="51" t="s">
        <v>554</v>
      </c>
      <c r="D340" s="9" t="s">
        <v>550</v>
      </c>
      <c r="E340" s="9" t="s">
        <v>551</v>
      </c>
      <c r="F340" s="51" t="s">
        <v>553</v>
      </c>
      <c r="G340" s="72"/>
    </row>
    <row r="341" spans="1:7" x14ac:dyDescent="0.15">
      <c r="A341" s="26" t="str">
        <f>+A318</f>
        <v>Dentellon</v>
      </c>
      <c r="B341" s="17">
        <v>0.9</v>
      </c>
      <c r="C341" s="69">
        <f>+B341-F341</f>
        <v>0</v>
      </c>
      <c r="D341" s="17">
        <f>+C161</f>
        <v>52.5</v>
      </c>
      <c r="E341" s="17">
        <f>+C327/0.85</f>
        <v>1.6640018650103585</v>
      </c>
      <c r="F341" s="17">
        <f>MIN(0.9,0.65+0.15*(D341/E341-1))</f>
        <v>0.9</v>
      </c>
      <c r="G341" s="72"/>
    </row>
    <row r="342" spans="1:7" x14ac:dyDescent="0.15">
      <c r="A342" s="18" t="str">
        <f t="shared" ref="A342:A344" si="31">+A319</f>
        <v>Pie</v>
      </c>
      <c r="B342" s="17">
        <v>0.9</v>
      </c>
      <c r="C342" s="69">
        <f>+B342-F342</f>
        <v>0</v>
      </c>
      <c r="D342" s="17">
        <f>+C162</f>
        <v>52.5</v>
      </c>
      <c r="E342" s="17">
        <f t="shared" ref="E342:E344" si="32">+C328/0.85</f>
        <v>1.7924511165169954</v>
      </c>
      <c r="F342" s="17">
        <f t="shared" ref="F342:F344" si="33">MIN(0.9,0.65+0.15*(D342/E342-1))</f>
        <v>0.9</v>
      </c>
      <c r="G342" s="72"/>
    </row>
    <row r="343" spans="1:7" x14ac:dyDescent="0.15">
      <c r="A343" s="18" t="str">
        <f t="shared" si="31"/>
        <v>Talon</v>
      </c>
      <c r="B343" s="17">
        <v>0.9</v>
      </c>
      <c r="C343" s="69">
        <f>+B343-F343</f>
        <v>0</v>
      </c>
      <c r="D343" s="17">
        <f>+C163</f>
        <v>52.5</v>
      </c>
      <c r="E343" s="17">
        <f t="shared" si="32"/>
        <v>1.923125679261166</v>
      </c>
      <c r="F343" s="17">
        <f t="shared" si="33"/>
        <v>0.9</v>
      </c>
      <c r="G343" s="72"/>
    </row>
    <row r="344" spans="1:7" ht="15" thickBot="1" x14ac:dyDescent="0.2">
      <c r="A344" s="19" t="str">
        <f t="shared" si="31"/>
        <v>Vastago</v>
      </c>
      <c r="B344" s="15">
        <v>0.9</v>
      </c>
      <c r="C344" s="92">
        <f>+B344-F344</f>
        <v>0</v>
      </c>
      <c r="D344" s="15">
        <f>+C164</f>
        <v>42.5</v>
      </c>
      <c r="E344" s="15">
        <f t="shared" si="32"/>
        <v>2.5749421418263596</v>
      </c>
      <c r="F344" s="15">
        <f t="shared" si="33"/>
        <v>0.9</v>
      </c>
      <c r="G344" s="72"/>
    </row>
    <row r="345" spans="1:7" ht="15" x14ac:dyDescent="0.2">
      <c r="A345" s="35"/>
      <c r="B345" s="139"/>
      <c r="C345" s="13"/>
      <c r="D345" s="14"/>
      <c r="F345" s="71"/>
      <c r="G345" s="72"/>
    </row>
    <row r="346" spans="1:7" ht="15" x14ac:dyDescent="0.2">
      <c r="A346" s="35" t="s">
        <v>27</v>
      </c>
      <c r="B346" s="260">
        <f>+B456</f>
        <v>8</v>
      </c>
      <c r="C346" s="13"/>
      <c r="D346" s="14"/>
      <c r="F346" s="71"/>
      <c r="G346" s="72"/>
    </row>
    <row r="347" spans="1:7" ht="15" x14ac:dyDescent="0.2">
      <c r="A347" s="35"/>
      <c r="B347" s="139"/>
      <c r="C347" s="13"/>
      <c r="D347" s="14"/>
      <c r="F347" s="71"/>
      <c r="G347" s="72"/>
    </row>
    <row r="348" spans="1:7" x14ac:dyDescent="0.15">
      <c r="A348" s="1" t="s">
        <v>258</v>
      </c>
      <c r="C348" s="13"/>
      <c r="D348" s="14"/>
      <c r="F348" s="71"/>
      <c r="G348" s="72"/>
    </row>
    <row r="349" spans="1:7" x14ac:dyDescent="0.15">
      <c r="C349" s="13"/>
      <c r="D349" s="14"/>
      <c r="F349" s="71"/>
      <c r="G349" s="72"/>
    </row>
    <row r="350" spans="1:7" x14ac:dyDescent="0.15">
      <c r="C350" s="13"/>
      <c r="D350" s="14"/>
      <c r="F350" s="71"/>
      <c r="G350" s="72"/>
    </row>
    <row r="351" spans="1:7" x14ac:dyDescent="0.15">
      <c r="A351"/>
      <c r="C351" s="13"/>
      <c r="D351" s="14"/>
      <c r="F351" s="71"/>
      <c r="G351" s="72"/>
    </row>
    <row r="352" spans="1:7" x14ac:dyDescent="0.15">
      <c r="C352" s="13"/>
      <c r="D352" s="14"/>
      <c r="F352" s="71"/>
      <c r="G352" s="72"/>
    </row>
    <row r="353" spans="1:7" x14ac:dyDescent="0.15">
      <c r="C353" s="13"/>
      <c r="D353" s="14"/>
      <c r="F353" s="71"/>
      <c r="G353" s="72"/>
    </row>
    <row r="354" spans="1:7" x14ac:dyDescent="0.15">
      <c r="A354" s="1" t="s">
        <v>259</v>
      </c>
      <c r="C354" s="13"/>
      <c r="D354" s="14"/>
      <c r="F354" s="71"/>
      <c r="G354" s="72"/>
    </row>
    <row r="355" spans="1:7" x14ac:dyDescent="0.15">
      <c r="C355" s="13"/>
      <c r="D355" s="14"/>
      <c r="F355" s="71"/>
      <c r="G355" s="72"/>
    </row>
    <row r="356" spans="1:7" x14ac:dyDescent="0.15">
      <c r="A356"/>
      <c r="C356" s="13"/>
      <c r="D356" s="14"/>
      <c r="F356" s="71"/>
      <c r="G356" s="72"/>
    </row>
    <row r="357" spans="1:7" x14ac:dyDescent="0.15">
      <c r="C357" s="13"/>
      <c r="D357" s="14"/>
      <c r="F357" s="71"/>
      <c r="G357" s="72"/>
    </row>
    <row r="358" spans="1:7" x14ac:dyDescent="0.15">
      <c r="C358" s="13"/>
      <c r="D358" s="14"/>
      <c r="F358" s="71"/>
      <c r="G358" s="72"/>
    </row>
    <row r="359" spans="1:7" x14ac:dyDescent="0.15">
      <c r="C359" s="13"/>
      <c r="D359" s="14"/>
      <c r="F359" s="71"/>
      <c r="G359" s="72"/>
    </row>
    <row r="360" spans="1:7" x14ac:dyDescent="0.15">
      <c r="A360" s="1" t="s">
        <v>190</v>
      </c>
      <c r="C360" s="13"/>
      <c r="D360" s="14"/>
      <c r="F360" s="71"/>
      <c r="G360" s="72"/>
    </row>
    <row r="361" spans="1:7" x14ac:dyDescent="0.15">
      <c r="C361" s="13"/>
      <c r="D361" s="14"/>
      <c r="F361" s="71"/>
      <c r="G361" s="72"/>
    </row>
    <row r="362" spans="1:7" x14ac:dyDescent="0.15">
      <c r="C362" s="13"/>
      <c r="D362" s="14"/>
      <c r="F362" s="71"/>
      <c r="G362" s="72"/>
    </row>
    <row r="363" spans="1:7" x14ac:dyDescent="0.15">
      <c r="C363" s="13"/>
      <c r="D363" s="14"/>
      <c r="F363" s="71"/>
      <c r="G363" s="72"/>
    </row>
    <row r="364" spans="1:7" x14ac:dyDescent="0.15">
      <c r="C364" s="13"/>
      <c r="D364" s="14"/>
      <c r="F364" s="71"/>
      <c r="G364" s="72"/>
    </row>
    <row r="365" spans="1:7" x14ac:dyDescent="0.15">
      <c r="A365" s="1" t="s">
        <v>260</v>
      </c>
      <c r="C365" s="13"/>
      <c r="D365" s="14"/>
      <c r="F365" s="71"/>
      <c r="G365" s="72"/>
    </row>
    <row r="366" spans="1:7" x14ac:dyDescent="0.15">
      <c r="C366" s="13"/>
      <c r="D366" s="14"/>
      <c r="F366" s="71"/>
      <c r="G366" s="72"/>
    </row>
    <row r="367" spans="1:7" x14ac:dyDescent="0.15">
      <c r="C367" s="13"/>
      <c r="D367" s="14"/>
      <c r="F367" s="71"/>
      <c r="G367" s="72"/>
    </row>
    <row r="368" spans="1:7" x14ac:dyDescent="0.15">
      <c r="C368" s="13"/>
      <c r="D368" s="14"/>
      <c r="F368" s="71"/>
      <c r="G368" s="72"/>
    </row>
    <row r="369" spans="1:8" x14ac:dyDescent="0.15">
      <c r="C369" s="13"/>
      <c r="D369" s="14"/>
      <c r="F369" s="71"/>
      <c r="G369" s="72"/>
    </row>
    <row r="370" spans="1:8" x14ac:dyDescent="0.15">
      <c r="C370" s="13"/>
      <c r="D370" s="14"/>
      <c r="F370" s="71"/>
      <c r="G370" s="72"/>
    </row>
    <row r="371" spans="1:8" ht="15" thickBot="1" x14ac:dyDescent="0.2">
      <c r="A371" s="3" t="s">
        <v>565</v>
      </c>
      <c r="B371" s="139"/>
      <c r="C371" s="13"/>
      <c r="D371" s="14"/>
      <c r="F371" s="71"/>
      <c r="G371" s="72"/>
    </row>
    <row r="372" spans="1:8" ht="15" thickBot="1" x14ac:dyDescent="0.2">
      <c r="A372" s="51" t="s">
        <v>13</v>
      </c>
      <c r="B372" s="51" t="s">
        <v>566</v>
      </c>
      <c r="C372" s="9" t="s">
        <v>551</v>
      </c>
      <c r="D372" s="51" t="s">
        <v>567</v>
      </c>
      <c r="E372" s="34" t="s">
        <v>569</v>
      </c>
      <c r="F372" s="34" t="s">
        <v>568</v>
      </c>
      <c r="G372" s="72"/>
    </row>
    <row r="373" spans="1:8" x14ac:dyDescent="0.15">
      <c r="A373" s="26" t="str">
        <f>+A341</f>
        <v>Dentellon</v>
      </c>
      <c r="B373" s="17">
        <f t="shared" ref="B373:C376" si="34">+D341</f>
        <v>52.5</v>
      </c>
      <c r="C373" s="17">
        <f t="shared" si="34"/>
        <v>1.6640018650103585</v>
      </c>
      <c r="D373" s="261">
        <v>3.0000000000000001E-3</v>
      </c>
      <c r="E373" s="261">
        <f>+D373*(B373-C373)/C373</f>
        <v>9.1651336222522542E-2</v>
      </c>
      <c r="F373" s="261" t="str">
        <f>+IF(E373&gt;=0.005,"traccion","transicion")</f>
        <v>traccion</v>
      </c>
      <c r="G373" s="72"/>
    </row>
    <row r="374" spans="1:8" x14ac:dyDescent="0.15">
      <c r="A374" s="18" t="str">
        <f>+A342</f>
        <v>Pie</v>
      </c>
      <c r="B374" s="17">
        <f t="shared" si="34"/>
        <v>52.5</v>
      </c>
      <c r="C374" s="17">
        <f t="shared" si="34"/>
        <v>1.7924511165169954</v>
      </c>
      <c r="D374" s="262">
        <v>3.0000000000000001E-3</v>
      </c>
      <c r="E374" s="262">
        <f t="shared" ref="E374:E376" si="35">+D374*(B374-C374)/C374</f>
        <v>8.4868505059176411E-2</v>
      </c>
      <c r="F374" s="262" t="str">
        <f t="shared" ref="F374:F376" si="36">+IF(E374&gt;=0.005,"traccion","transicion")</f>
        <v>traccion</v>
      </c>
      <c r="G374" s="72"/>
    </row>
    <row r="375" spans="1:8" x14ac:dyDescent="0.15">
      <c r="A375" s="18" t="str">
        <f>+A343</f>
        <v>Talon</v>
      </c>
      <c r="B375" s="17">
        <f t="shared" si="34"/>
        <v>52.5</v>
      </c>
      <c r="C375" s="17">
        <f t="shared" si="34"/>
        <v>1.923125679261166</v>
      </c>
      <c r="D375" s="262">
        <v>3.0000000000000001E-3</v>
      </c>
      <c r="E375" s="262">
        <f t="shared" si="35"/>
        <v>7.8897923624268271E-2</v>
      </c>
      <c r="F375" s="262" t="str">
        <f t="shared" si="36"/>
        <v>traccion</v>
      </c>
      <c r="G375" s="72"/>
    </row>
    <row r="376" spans="1:8" ht="15" thickBot="1" x14ac:dyDescent="0.2">
      <c r="A376" s="19" t="str">
        <f>+A344</f>
        <v>Vastago</v>
      </c>
      <c r="B376" s="15">
        <f t="shared" si="34"/>
        <v>42.5</v>
      </c>
      <c r="C376" s="15">
        <f t="shared" si="34"/>
        <v>2.5749421418263596</v>
      </c>
      <c r="D376" s="263">
        <v>3.0000000000000001E-3</v>
      </c>
      <c r="E376" s="263">
        <f t="shared" si="35"/>
        <v>4.6515675684101608E-2</v>
      </c>
      <c r="F376" s="263" t="str">
        <f t="shared" si="36"/>
        <v>traccion</v>
      </c>
      <c r="G376" s="72"/>
    </row>
    <row r="377" spans="1:8" x14ac:dyDescent="0.15">
      <c r="A377" s="70"/>
      <c r="B377" s="73"/>
      <c r="C377" s="74"/>
      <c r="D377" s="74"/>
      <c r="E377" s="73"/>
      <c r="F377" s="71"/>
      <c r="G377" s="72"/>
    </row>
    <row r="378" spans="1:8" ht="16" x14ac:dyDescent="0.15">
      <c r="A378" s="336" t="s">
        <v>352</v>
      </c>
      <c r="B378" s="336"/>
      <c r="C378" s="336"/>
      <c r="D378" s="336"/>
      <c r="E378" s="336"/>
      <c r="F378" s="336"/>
      <c r="G378" s="336"/>
      <c r="H378" s="336"/>
    </row>
    <row r="379" spans="1:8" ht="16" x14ac:dyDescent="0.15">
      <c r="A379" s="336" t="s">
        <v>247</v>
      </c>
      <c r="B379" s="336"/>
      <c r="C379" s="336"/>
      <c r="D379" s="336"/>
      <c r="E379" s="336"/>
      <c r="F379" s="336"/>
      <c r="G379" s="336"/>
      <c r="H379" s="336"/>
    </row>
    <row r="380" spans="1:8" ht="15" thickBot="1" x14ac:dyDescent="0.2"/>
    <row r="381" spans="1:8" ht="16" thickBot="1" x14ac:dyDescent="0.2">
      <c r="A381" s="51" t="s">
        <v>13</v>
      </c>
      <c r="B381" s="51" t="s">
        <v>246</v>
      </c>
      <c r="C381" s="51" t="s">
        <v>41</v>
      </c>
      <c r="D381" s="51" t="s">
        <v>45</v>
      </c>
      <c r="E381" s="51" t="s">
        <v>42</v>
      </c>
      <c r="F381" s="51" t="s">
        <v>44</v>
      </c>
      <c r="G381" s="34" t="s">
        <v>43</v>
      </c>
    </row>
    <row r="382" spans="1:8" x14ac:dyDescent="0.15">
      <c r="A382" s="26" t="str">
        <f>+A318</f>
        <v>Dentellon</v>
      </c>
      <c r="B382" s="26">
        <f>+D88</f>
        <v>0.6</v>
      </c>
      <c r="C382" s="18">
        <f>1.98*$D$24^0.5*10</f>
        <v>331.31737050749393</v>
      </c>
      <c r="D382" s="32">
        <f>+B382^3/12</f>
        <v>1.7999999999999999E-2</v>
      </c>
      <c r="E382" s="26">
        <f>+B382/2</f>
        <v>0.3</v>
      </c>
      <c r="F382" s="26">
        <f>+IF(E382=0,0,C382*D382/E382)</f>
        <v>19.879042230449638</v>
      </c>
      <c r="G382" s="26">
        <f>+F382*1.2</f>
        <v>23.854850676539566</v>
      </c>
    </row>
    <row r="383" spans="1:8" x14ac:dyDescent="0.15">
      <c r="A383" s="18" t="str">
        <f>+A319</f>
        <v>Pie</v>
      </c>
      <c r="B383" s="18">
        <f>+D13</f>
        <v>0.6</v>
      </c>
      <c r="C383" s="18">
        <f>1.98*$D$24^0.5*10</f>
        <v>331.31737050749393</v>
      </c>
      <c r="D383" s="33">
        <f>+B383^3/12</f>
        <v>1.7999999999999999E-2</v>
      </c>
      <c r="E383" s="18">
        <f>+B383/2</f>
        <v>0.3</v>
      </c>
      <c r="F383" s="18">
        <f>+C383*D383/E383</f>
        <v>19.879042230449638</v>
      </c>
      <c r="G383" s="18">
        <f>+F383*1.2</f>
        <v>23.854850676539566</v>
      </c>
    </row>
    <row r="384" spans="1:8" x14ac:dyDescent="0.15">
      <c r="A384" s="18" t="str">
        <f>+A320</f>
        <v>Talon</v>
      </c>
      <c r="B384" s="18">
        <f>+D13</f>
        <v>0.6</v>
      </c>
      <c r="C384" s="18">
        <f t="shared" ref="C384:C390" si="37">1.98*$D$24^0.5*10</f>
        <v>331.31737050749393</v>
      </c>
      <c r="D384" s="33">
        <f>+B384^3/12</f>
        <v>1.7999999999999999E-2</v>
      </c>
      <c r="E384" s="18">
        <f>+B384/2</f>
        <v>0.3</v>
      </c>
      <c r="F384" s="18">
        <f>+C384*D384/E384</f>
        <v>19.879042230449638</v>
      </c>
      <c r="G384" s="18">
        <f>+F384*1.2</f>
        <v>23.854850676539566</v>
      </c>
    </row>
    <row r="385" spans="1:7" x14ac:dyDescent="0.15">
      <c r="A385" s="18" t="str">
        <f>+A321</f>
        <v>Vastago</v>
      </c>
      <c r="B385" s="18"/>
      <c r="C385" s="18"/>
      <c r="D385" s="33"/>
      <c r="E385" s="18"/>
      <c r="F385" s="18"/>
      <c r="G385" s="18"/>
    </row>
    <row r="386" spans="1:7" x14ac:dyDescent="0.15">
      <c r="A386" s="18">
        <f>+A327</f>
        <v>0</v>
      </c>
      <c r="B386" s="18">
        <f>+'VASTAGO EVENTO EXTREMO'!C137</f>
        <v>0.35</v>
      </c>
      <c r="C386" s="18">
        <f t="shared" si="37"/>
        <v>331.31737050749393</v>
      </c>
      <c r="D386" s="33">
        <f t="shared" ref="D386:D390" si="38">+B386^3/12</f>
        <v>3.5729166666666656E-3</v>
      </c>
      <c r="E386" s="18">
        <f t="shared" ref="E386:E390" si="39">+B386/2</f>
        <v>0.17499999999999999</v>
      </c>
      <c r="F386" s="18">
        <f t="shared" ref="F386:F390" si="40">+C386*D386/E386</f>
        <v>6.7643963145279988</v>
      </c>
      <c r="G386" s="18">
        <f t="shared" ref="G386:G390" si="41">+F386*1.2</f>
        <v>8.117275577433599</v>
      </c>
    </row>
    <row r="387" spans="1:7" x14ac:dyDescent="0.15">
      <c r="A387" s="18">
        <f>+A328</f>
        <v>1.4750000000000001</v>
      </c>
      <c r="B387" s="18">
        <f>+'VASTAGO EVENTO EXTREMO'!C138</f>
        <v>0.38749999999999996</v>
      </c>
      <c r="C387" s="18">
        <f t="shared" si="37"/>
        <v>331.31737050749393</v>
      </c>
      <c r="D387" s="33">
        <f t="shared" si="38"/>
        <v>4.848795572916665E-3</v>
      </c>
      <c r="E387" s="18">
        <f t="shared" si="39"/>
        <v>0.19374999999999998</v>
      </c>
      <c r="F387" s="18">
        <f t="shared" si="40"/>
        <v>8.2915623192109784</v>
      </c>
      <c r="G387" s="18">
        <f t="shared" si="41"/>
        <v>9.9498747830531737</v>
      </c>
    </row>
    <row r="388" spans="1:7" x14ac:dyDescent="0.15">
      <c r="A388" s="18">
        <f>+A329</f>
        <v>2.95</v>
      </c>
      <c r="B388" s="18">
        <f>+'VASTAGO EVENTO EXTREMO'!C139</f>
        <v>0.42499999999999999</v>
      </c>
      <c r="C388" s="18">
        <f t="shared" si="37"/>
        <v>331.31737050749393</v>
      </c>
      <c r="D388" s="33">
        <f t="shared" si="38"/>
        <v>6.3971354166666656E-3</v>
      </c>
      <c r="E388" s="18">
        <f t="shared" si="39"/>
        <v>0.21249999999999999</v>
      </c>
      <c r="F388" s="18">
        <f t="shared" si="40"/>
        <v>9.9740333413193465</v>
      </c>
      <c r="G388" s="18">
        <f t="shared" si="41"/>
        <v>11.968840009583216</v>
      </c>
    </row>
    <row r="389" spans="1:7" x14ac:dyDescent="0.15">
      <c r="A389" s="18">
        <f>+A330</f>
        <v>4.4250000000000007</v>
      </c>
      <c r="B389" s="18">
        <f>+'VASTAGO EVENTO EXTREMO'!C140</f>
        <v>0.46250000000000002</v>
      </c>
      <c r="C389" s="18">
        <f t="shared" si="37"/>
        <v>331.31737050749393</v>
      </c>
      <c r="D389" s="33">
        <f t="shared" si="38"/>
        <v>8.244303385416667E-3</v>
      </c>
      <c r="E389" s="18">
        <f t="shared" si="39"/>
        <v>0.23125000000000001</v>
      </c>
      <c r="F389" s="18">
        <f t="shared" si="40"/>
        <v>11.811809380853104</v>
      </c>
      <c r="G389" s="18">
        <f t="shared" si="41"/>
        <v>14.174171257023724</v>
      </c>
    </row>
    <row r="390" spans="1:7" ht="15" thickBot="1" x14ac:dyDescent="0.2">
      <c r="A390" s="19">
        <f>+A331</f>
        <v>5.9</v>
      </c>
      <c r="B390" s="19">
        <f>+'VASTAGO EVENTO EXTREMO'!C141</f>
        <v>0.5</v>
      </c>
      <c r="C390" s="19">
        <f t="shared" si="37"/>
        <v>331.31737050749393</v>
      </c>
      <c r="D390" s="124">
        <f t="shared" si="38"/>
        <v>1.0416666666666666E-2</v>
      </c>
      <c r="E390" s="19">
        <f t="shared" si="39"/>
        <v>0.25</v>
      </c>
      <c r="F390" s="19">
        <f t="shared" si="40"/>
        <v>13.804890437812247</v>
      </c>
      <c r="G390" s="19">
        <f t="shared" si="41"/>
        <v>16.565868525374697</v>
      </c>
    </row>
    <row r="391" spans="1:7" x14ac:dyDescent="0.15">
      <c r="A391" s="70"/>
      <c r="B391" s="70"/>
      <c r="C391" s="70"/>
      <c r="D391" s="126"/>
      <c r="E391" s="70"/>
      <c r="F391" s="70"/>
      <c r="G391" s="70"/>
    </row>
    <row r="392" spans="1:7" x14ac:dyDescent="0.15">
      <c r="A392" s="3" t="s">
        <v>398</v>
      </c>
      <c r="C392" s="25"/>
      <c r="F392" s="70"/>
      <c r="G392" s="70"/>
    </row>
    <row r="393" spans="1:7" x14ac:dyDescent="0.15">
      <c r="A393" s="3"/>
      <c r="C393" s="48"/>
      <c r="F393" s="70"/>
      <c r="G393" s="70"/>
    </row>
    <row r="394" spans="1:7" x14ac:dyDescent="0.15">
      <c r="A394" s="1" t="s">
        <v>62</v>
      </c>
      <c r="C394" s="48"/>
      <c r="F394" s="70"/>
      <c r="G394" s="70"/>
    </row>
    <row r="395" spans="1:7" x14ac:dyDescent="0.15">
      <c r="F395" s="70"/>
      <c r="G395" s="70"/>
    </row>
    <row r="396" spans="1:7" x14ac:dyDescent="0.15">
      <c r="A396"/>
      <c r="B396" s="3"/>
      <c r="C396" s="30"/>
      <c r="F396" s="70"/>
      <c r="G396" s="70"/>
    </row>
    <row r="397" spans="1:7" x14ac:dyDescent="0.15">
      <c r="A397" s="3"/>
      <c r="B397" s="3"/>
      <c r="F397" s="70"/>
      <c r="G397" s="70"/>
    </row>
    <row r="398" spans="1:7" x14ac:dyDescent="0.15">
      <c r="A398" s="1" t="s">
        <v>63</v>
      </c>
      <c r="B398" s="3"/>
      <c r="F398" s="70"/>
      <c r="G398" s="70"/>
    </row>
    <row r="399" spans="1:7" x14ac:dyDescent="0.15">
      <c r="A399" s="3"/>
      <c r="B399" s="3"/>
      <c r="F399" s="70"/>
      <c r="G399" s="70"/>
    </row>
    <row r="400" spans="1:7" x14ac:dyDescent="0.15">
      <c r="A400"/>
      <c r="B400" s="31"/>
      <c r="C400" s="30"/>
      <c r="F400" s="70"/>
      <c r="G400" s="70"/>
    </row>
    <row r="401" spans="1:7" x14ac:dyDescent="0.15">
      <c r="A401" s="3"/>
      <c r="B401" s="24"/>
      <c r="C401" s="25"/>
      <c r="F401" s="70"/>
      <c r="G401" s="70"/>
    </row>
    <row r="402" spans="1:7" x14ac:dyDescent="0.15">
      <c r="A402" s="3"/>
      <c r="B402" s="24"/>
      <c r="C402" s="25"/>
      <c r="F402" s="70"/>
      <c r="G402" s="70"/>
    </row>
    <row r="403" spans="1:7" x14ac:dyDescent="0.15">
      <c r="A403" s="1" t="s">
        <v>64</v>
      </c>
      <c r="B403" s="24"/>
      <c r="C403" s="25"/>
      <c r="F403" s="70"/>
      <c r="G403" s="70"/>
    </row>
    <row r="404" spans="1:7" x14ac:dyDescent="0.15">
      <c r="A404" s="3"/>
      <c r="B404" s="24"/>
      <c r="C404" s="25"/>
      <c r="F404" s="70"/>
      <c r="G404" s="70"/>
    </row>
    <row r="405" spans="1:7" x14ac:dyDescent="0.15">
      <c r="A405"/>
      <c r="B405" s="46"/>
      <c r="C405" s="48"/>
      <c r="F405" s="70"/>
      <c r="G405" s="70"/>
    </row>
    <row r="406" spans="1:7" x14ac:dyDescent="0.15">
      <c r="A406" s="3"/>
      <c r="B406" s="46"/>
      <c r="C406" s="48"/>
      <c r="F406" s="70"/>
      <c r="G406" s="70"/>
    </row>
    <row r="407" spans="1:7" x14ac:dyDescent="0.15">
      <c r="A407" s="3"/>
      <c r="B407" s="46"/>
      <c r="C407" s="48"/>
      <c r="F407" s="70"/>
      <c r="G407" s="70"/>
    </row>
    <row r="408" spans="1:7" x14ac:dyDescent="0.15">
      <c r="A408" s="1" t="s">
        <v>65</v>
      </c>
      <c r="B408" s="46"/>
      <c r="C408" s="48"/>
      <c r="F408" s="70"/>
      <c r="G408" s="70"/>
    </row>
    <row r="409" spans="1:7" x14ac:dyDescent="0.15">
      <c r="A409" s="3"/>
      <c r="B409" s="46"/>
      <c r="C409" s="48"/>
      <c r="F409" s="70"/>
      <c r="G409" s="70"/>
    </row>
    <row r="410" spans="1:7" x14ac:dyDescent="0.15">
      <c r="A410"/>
      <c r="B410" s="46"/>
      <c r="C410" s="48"/>
      <c r="F410" s="70"/>
      <c r="G410" s="70"/>
    </row>
    <row r="411" spans="1:7" x14ac:dyDescent="0.15">
      <c r="A411" s="3"/>
      <c r="B411" s="46"/>
      <c r="C411" s="48"/>
      <c r="F411" s="70"/>
      <c r="G411" s="70"/>
    </row>
    <row r="412" spans="1:7" x14ac:dyDescent="0.15">
      <c r="A412" s="31"/>
      <c r="B412" s="24"/>
      <c r="C412" s="25"/>
      <c r="F412" s="70"/>
      <c r="G412" s="70"/>
    </row>
    <row r="413" spans="1:7" x14ac:dyDescent="0.15">
      <c r="A413" s="1" t="s">
        <v>245</v>
      </c>
      <c r="F413" s="70"/>
      <c r="G413" s="70"/>
    </row>
    <row r="414" spans="1:7" x14ac:dyDescent="0.15">
      <c r="F414" s="70"/>
      <c r="G414" s="70"/>
    </row>
    <row r="415" spans="1:7" ht="19.25" customHeight="1" x14ac:dyDescent="0.15">
      <c r="A415"/>
      <c r="F415" s="70"/>
      <c r="G415" s="70"/>
    </row>
    <row r="416" spans="1:7" x14ac:dyDescent="0.15">
      <c r="A416"/>
      <c r="F416" s="70"/>
      <c r="G416" s="70"/>
    </row>
    <row r="417" spans="1:8" ht="16" x14ac:dyDescent="0.15">
      <c r="A417" s="336" t="s">
        <v>353</v>
      </c>
      <c r="B417" s="336"/>
      <c r="C417" s="336"/>
      <c r="D417" s="336"/>
      <c r="E417" s="336"/>
      <c r="F417" s="336"/>
      <c r="G417" s="336"/>
      <c r="H417" s="336"/>
    </row>
    <row r="418" spans="1:8" ht="16" x14ac:dyDescent="0.15">
      <c r="A418" s="336" t="s">
        <v>274</v>
      </c>
      <c r="B418" s="336"/>
      <c r="C418" s="336"/>
      <c r="D418" s="336"/>
      <c r="E418" s="336"/>
      <c r="F418" s="336"/>
      <c r="G418" s="336"/>
      <c r="H418" s="336"/>
    </row>
    <row r="419" spans="1:8" ht="17" thickBot="1" x14ac:dyDescent="0.2">
      <c r="A419" s="61"/>
      <c r="B419" s="61"/>
      <c r="C419" s="61"/>
      <c r="D419" s="61"/>
      <c r="E419" s="61"/>
      <c r="F419" s="61"/>
      <c r="G419" s="61"/>
      <c r="H419" s="61"/>
    </row>
    <row r="420" spans="1:8" ht="19" thickBot="1" x14ac:dyDescent="0.25">
      <c r="A420" s="51" t="s">
        <v>13</v>
      </c>
      <c r="B420" s="51" t="s">
        <v>28</v>
      </c>
      <c r="C420" s="51" t="s">
        <v>14</v>
      </c>
      <c r="D420" s="51" t="s">
        <v>272</v>
      </c>
      <c r="E420" s="51" t="s">
        <v>273</v>
      </c>
      <c r="G420" s="50"/>
      <c r="H420" s="50"/>
    </row>
    <row r="421" spans="1:8" ht="15" customHeight="1" x14ac:dyDescent="0.2">
      <c r="A421" s="26" t="str">
        <f>+A382</f>
        <v>Dentellon</v>
      </c>
      <c r="B421" s="65">
        <f>+B434</f>
        <v>2.3683771293436804E-3</v>
      </c>
      <c r="C421" s="26">
        <f>+C161</f>
        <v>52.5</v>
      </c>
      <c r="D421" s="78">
        <f>+$D$7*100</f>
        <v>100</v>
      </c>
      <c r="E421" s="26">
        <f>+B421*C421*D421</f>
        <v>12.433979929054322</v>
      </c>
      <c r="G421" s="50"/>
      <c r="H421" s="50"/>
    </row>
    <row r="422" spans="1:8" ht="15" customHeight="1" x14ac:dyDescent="0.2">
      <c r="A422" s="18" t="str">
        <f>+A383</f>
        <v>Pie</v>
      </c>
      <c r="B422" s="66">
        <f>+B435</f>
        <v>2.3683771293436804E-3</v>
      </c>
      <c r="C422" s="18">
        <f>+C162</f>
        <v>52.5</v>
      </c>
      <c r="D422" s="79">
        <f t="shared" ref="D422:D424" si="42">+$D$7*100</f>
        <v>100</v>
      </c>
      <c r="E422" s="18">
        <f t="shared" ref="E422:E424" si="43">+B422*C422*D422</f>
        <v>12.433979929054322</v>
      </c>
      <c r="G422" s="50"/>
      <c r="H422" s="50"/>
    </row>
    <row r="423" spans="1:8" ht="15" customHeight="1" x14ac:dyDescent="0.2">
      <c r="A423" s="18" t="str">
        <f>+A384</f>
        <v>Talon</v>
      </c>
      <c r="B423" s="66">
        <f>+B436</f>
        <v>2.9149256976537608E-3</v>
      </c>
      <c r="C423" s="18">
        <f>+C163</f>
        <v>52.5</v>
      </c>
      <c r="D423" s="79">
        <f t="shared" si="42"/>
        <v>100</v>
      </c>
      <c r="E423" s="18">
        <f t="shared" si="43"/>
        <v>15.303359912682243</v>
      </c>
      <c r="G423" s="50"/>
      <c r="H423" s="50"/>
    </row>
    <row r="424" spans="1:8" ht="15" customHeight="1" thickBot="1" x14ac:dyDescent="0.25">
      <c r="A424" s="19" t="str">
        <f>+A385</f>
        <v>Vastago</v>
      </c>
      <c r="B424" s="264">
        <f>+B437</f>
        <v>6.6871824828527455E-3</v>
      </c>
      <c r="C424" s="19">
        <f>+C164</f>
        <v>42.5</v>
      </c>
      <c r="D424" s="275">
        <f t="shared" si="42"/>
        <v>100</v>
      </c>
      <c r="E424" s="19">
        <f t="shared" si="43"/>
        <v>28.420525552124172</v>
      </c>
      <c r="G424" s="50"/>
      <c r="H424" s="50"/>
    </row>
    <row r="425" spans="1:8" ht="18" x14ac:dyDescent="0.2">
      <c r="A425" s="50"/>
      <c r="B425" s="50"/>
      <c r="C425" s="50"/>
      <c r="D425" s="50"/>
      <c r="E425" s="50"/>
      <c r="F425" s="50"/>
      <c r="G425" s="50"/>
      <c r="H425" s="50"/>
    </row>
    <row r="426" spans="1:8" ht="18" x14ac:dyDescent="0.2">
      <c r="A426" s="3" t="s">
        <v>397</v>
      </c>
      <c r="B426" s="50"/>
      <c r="C426" s="50"/>
      <c r="D426" s="50"/>
      <c r="E426" s="50"/>
      <c r="F426" s="50"/>
      <c r="G426" s="50"/>
      <c r="H426" s="50"/>
    </row>
    <row r="427" spans="1:8" ht="18" x14ac:dyDescent="0.2">
      <c r="B427" s="50"/>
      <c r="C427" s="50"/>
      <c r="D427" s="50"/>
      <c r="E427" s="50"/>
      <c r="F427" s="50"/>
      <c r="G427" s="50"/>
      <c r="H427" s="50"/>
    </row>
    <row r="428" spans="1:8" ht="19.25" customHeight="1" x14ac:dyDescent="0.2">
      <c r="A428"/>
      <c r="B428" s="50"/>
      <c r="C428" s="50"/>
      <c r="D428" s="50"/>
      <c r="E428" s="50"/>
      <c r="F428" s="50"/>
      <c r="G428" s="50"/>
      <c r="H428" s="50"/>
    </row>
    <row r="429" spans="1:8" ht="18" x14ac:dyDescent="0.2">
      <c r="A429" s="50"/>
      <c r="B429" s="50"/>
      <c r="C429" s="50"/>
      <c r="D429" s="50"/>
      <c r="E429" s="50"/>
      <c r="F429" s="50"/>
      <c r="G429" s="50"/>
      <c r="H429" s="50"/>
    </row>
    <row r="430" spans="1:8" ht="16" x14ac:dyDescent="0.15">
      <c r="A430" s="336" t="s">
        <v>354</v>
      </c>
      <c r="B430" s="336"/>
      <c r="C430" s="336"/>
      <c r="D430" s="336"/>
      <c r="E430" s="336"/>
      <c r="F430" s="336"/>
      <c r="G430" s="336"/>
      <c r="H430" s="336"/>
    </row>
    <row r="431" spans="1:8" ht="16" x14ac:dyDescent="0.15">
      <c r="A431" s="336" t="s">
        <v>577</v>
      </c>
      <c r="B431" s="336"/>
      <c r="C431" s="336"/>
      <c r="D431" s="336"/>
      <c r="E431" s="336"/>
      <c r="F431" s="336"/>
      <c r="G431" s="336"/>
      <c r="H431" s="336"/>
    </row>
    <row r="432" spans="1:8" ht="17" thickBot="1" x14ac:dyDescent="0.25">
      <c r="A432" s="12"/>
      <c r="B432" s="22"/>
      <c r="C432" s="22"/>
      <c r="D432" s="22"/>
      <c r="E432" s="22"/>
      <c r="F432" s="22"/>
      <c r="G432" s="22"/>
      <c r="H432" s="22"/>
    </row>
    <row r="433" spans="1:8" ht="33" thickBot="1" x14ac:dyDescent="0.2">
      <c r="A433" s="80" t="s">
        <v>13</v>
      </c>
      <c r="B433" s="80" t="s">
        <v>28</v>
      </c>
      <c r="C433" s="80" t="s">
        <v>29</v>
      </c>
      <c r="D433" s="80" t="s">
        <v>30</v>
      </c>
      <c r="E433" s="80" t="s">
        <v>31</v>
      </c>
      <c r="F433" s="80" t="s">
        <v>32</v>
      </c>
      <c r="G433" s="80" t="s">
        <v>275</v>
      </c>
      <c r="H433" s="80" t="s">
        <v>71</v>
      </c>
    </row>
    <row r="434" spans="1:8" x14ac:dyDescent="0.15">
      <c r="A434" s="26" t="str">
        <f>+A318</f>
        <v>Dentellon</v>
      </c>
      <c r="B434" s="65">
        <f>+F134</f>
        <v>2.3683771293436804E-3</v>
      </c>
      <c r="C434" s="32">
        <f>+B434*$B$456</f>
        <v>1.8947017034749443E-2</v>
      </c>
      <c r="D434" s="26">
        <f t="shared" ref="D434:D435" si="44">+(C434^2+2*C434)^0.5-C434</f>
        <v>0.17663678475878858</v>
      </c>
      <c r="E434" s="26">
        <f t="shared" ref="E434:E435" si="45">1-D434/3</f>
        <v>0.94112107174707049</v>
      </c>
      <c r="F434" s="26">
        <f>+E434*D134</f>
        <v>49.408856266721202</v>
      </c>
      <c r="G434" s="81">
        <f>+DENTELLON!D16*100000</f>
        <v>259999.99999999991</v>
      </c>
      <c r="H434" s="26">
        <f>+IF(B434=0,0,G434/(F434*E421))</f>
        <v>423.21240122244359</v>
      </c>
    </row>
    <row r="435" spans="1:8" x14ac:dyDescent="0.15">
      <c r="A435" s="18" t="str">
        <f>+A319</f>
        <v>Pie</v>
      </c>
      <c r="B435" s="66">
        <f>+F135</f>
        <v>2.3683771293436804E-3</v>
      </c>
      <c r="C435" s="33">
        <f>+B435*$B$456</f>
        <v>1.8947017034749443E-2</v>
      </c>
      <c r="D435" s="18">
        <f t="shared" si="44"/>
        <v>0.17663678475878858</v>
      </c>
      <c r="E435" s="18">
        <f t="shared" si="45"/>
        <v>0.94112107174707049</v>
      </c>
      <c r="F435" s="18">
        <f>+E435*D135</f>
        <v>49.408856266721202</v>
      </c>
      <c r="G435" s="82">
        <f>+'ZAPATA SERVICIO'!C202*100000</f>
        <v>449811.48935025744</v>
      </c>
      <c r="H435" s="18">
        <f>+IF(B435=0,0,G435/(F435*E422))</f>
        <v>732.17615578986965</v>
      </c>
    </row>
    <row r="436" spans="1:8" x14ac:dyDescent="0.15">
      <c r="A436" s="18" t="str">
        <f>+A320</f>
        <v>Talon</v>
      </c>
      <c r="B436" s="66">
        <f>+F136</f>
        <v>2.9149256976537608E-3</v>
      </c>
      <c r="C436" s="33">
        <f>+B436*$B$456</f>
        <v>2.3319405581230086E-2</v>
      </c>
      <c r="D436" s="18">
        <f>+(C436^2+2*C436)^0.5-C436</f>
        <v>0.19389616899647391</v>
      </c>
      <c r="E436" s="18">
        <f>1-D436/3</f>
        <v>0.93536794366784204</v>
      </c>
      <c r="F436" s="18">
        <f>+E436*D136</f>
        <v>49.106817042561708</v>
      </c>
      <c r="G436" s="82">
        <f>+ABS('ZAPATA SERVICIO'!C203*100000)</f>
        <v>475826.49005221925</v>
      </c>
      <c r="H436" s="18">
        <f>+IF(B436=0,0,G436/(F436*E423))</f>
        <v>633.16957578630627</v>
      </c>
    </row>
    <row r="437" spans="1:8" ht="15" thickBot="1" x14ac:dyDescent="0.2">
      <c r="A437" s="19" t="str">
        <f>+A321</f>
        <v>Vastago</v>
      </c>
      <c r="B437" s="264">
        <f>+F137</f>
        <v>6.6871824828527455E-3</v>
      </c>
      <c r="C437" s="124">
        <f>+B437*$B$456</f>
        <v>5.3497459862821964E-2</v>
      </c>
      <c r="D437" s="19">
        <f>+(C437^2+2*C437)^0.5-C437</f>
        <v>0.27794921448679072</v>
      </c>
      <c r="E437" s="19">
        <f>1-D437/3</f>
        <v>0.90735026183773648</v>
      </c>
      <c r="F437" s="19">
        <f>+E437*D137</f>
        <v>38.562386128103803</v>
      </c>
      <c r="G437" s="265">
        <f>+'VASTAGO RESISTENCIA'!D114*100000</f>
        <v>2578488.8888888895</v>
      </c>
      <c r="H437" s="19">
        <f>+IF(B437=0,0,G437/(F437*E424))</f>
        <v>2352.7146714004216</v>
      </c>
    </row>
    <row r="438" spans="1:8" x14ac:dyDescent="0.15">
      <c r="A438" s="70"/>
      <c r="B438" s="125"/>
      <c r="C438" s="70"/>
      <c r="D438" s="70"/>
      <c r="E438" s="70"/>
      <c r="F438" s="70"/>
      <c r="G438" s="127"/>
      <c r="H438" s="70"/>
    </row>
    <row r="439" spans="1:8" x14ac:dyDescent="0.15">
      <c r="A439" s="3" t="s">
        <v>396</v>
      </c>
      <c r="B439" s="125"/>
      <c r="C439" s="70"/>
      <c r="D439" s="70"/>
      <c r="E439" s="70"/>
      <c r="F439" s="70"/>
      <c r="G439" s="127"/>
      <c r="H439" s="70"/>
    </row>
    <row r="440" spans="1:8" x14ac:dyDescent="0.15">
      <c r="A440" s="70"/>
      <c r="B440" s="125"/>
      <c r="C440" s="70"/>
      <c r="D440" s="70"/>
      <c r="E440" s="70"/>
      <c r="F440" s="70"/>
      <c r="G440" s="127"/>
      <c r="H440" s="70"/>
    </row>
    <row r="441" spans="1:8" ht="18" x14ac:dyDescent="0.2">
      <c r="A441" s="1" t="s">
        <v>267</v>
      </c>
      <c r="B441" s="50"/>
      <c r="C441" s="50"/>
      <c r="D441" s="70"/>
      <c r="E441" s="70"/>
      <c r="F441" s="70"/>
      <c r="G441" s="127"/>
      <c r="H441" s="70"/>
    </row>
    <row r="442" spans="1:8" ht="18" x14ac:dyDescent="0.2">
      <c r="A442" s="50"/>
      <c r="B442" s="50"/>
      <c r="C442" s="50"/>
      <c r="D442" s="70"/>
      <c r="E442" s="70"/>
      <c r="F442" s="70"/>
      <c r="G442" s="127"/>
      <c r="H442" s="70"/>
    </row>
    <row r="443" spans="1:8" ht="18" x14ac:dyDescent="0.2">
      <c r="A443" s="1" t="s">
        <v>268</v>
      </c>
      <c r="B443" s="50"/>
      <c r="C443" s="50"/>
      <c r="D443" s="70"/>
      <c r="E443" s="70"/>
      <c r="F443" s="70"/>
      <c r="G443" s="127"/>
      <c r="H443" s="70"/>
    </row>
    <row r="444" spans="1:8" ht="18" x14ac:dyDescent="0.2">
      <c r="A444" s="50"/>
      <c r="B444" s="50"/>
      <c r="C444" s="50"/>
      <c r="D444" s="70"/>
      <c r="E444" s="70"/>
      <c r="F444" s="70"/>
      <c r="G444" s="127"/>
      <c r="H444" s="70"/>
    </row>
    <row r="445" spans="1:8" ht="15" x14ac:dyDescent="0.15">
      <c r="A445" s="53" t="s">
        <v>146</v>
      </c>
      <c r="B445" s="45">
        <v>2000000</v>
      </c>
      <c r="C445" s="53" t="s">
        <v>52</v>
      </c>
      <c r="D445" s="70"/>
      <c r="E445" s="70"/>
      <c r="F445" s="70"/>
      <c r="G445" s="127"/>
      <c r="H445" s="70"/>
    </row>
    <row r="446" spans="1:8" x14ac:dyDescent="0.15">
      <c r="A446" s="53"/>
      <c r="B446" s="45"/>
      <c r="C446" s="53"/>
      <c r="D446" s="70"/>
      <c r="E446" s="70"/>
      <c r="F446" s="70"/>
      <c r="G446" s="127"/>
      <c r="H446" s="70"/>
    </row>
    <row r="447" spans="1:8" ht="18" x14ac:dyDescent="0.2">
      <c r="A447" s="1" t="s">
        <v>269</v>
      </c>
      <c r="B447" s="50"/>
      <c r="C447" s="53"/>
      <c r="D447" s="70"/>
      <c r="E447" s="70"/>
      <c r="F447" s="70"/>
      <c r="G447" s="127"/>
      <c r="H447" s="70"/>
    </row>
    <row r="448" spans="1:8" ht="18" x14ac:dyDescent="0.2">
      <c r="B448" s="50"/>
      <c r="C448" s="53"/>
      <c r="D448" s="70"/>
      <c r="E448" s="70"/>
      <c r="F448" s="70"/>
      <c r="G448" s="127"/>
      <c r="H448" s="70"/>
    </row>
    <row r="449" spans="1:8" ht="15" x14ac:dyDescent="0.15">
      <c r="A449" s="53" t="s">
        <v>270</v>
      </c>
      <c r="B449" s="45">
        <f>14862*SQRT(D24)</f>
        <v>248688.82628698862</v>
      </c>
      <c r="C449" s="53" t="s">
        <v>52</v>
      </c>
      <c r="D449" s="70"/>
      <c r="E449" s="70"/>
      <c r="F449" s="70"/>
      <c r="G449" s="127"/>
      <c r="H449" s="70"/>
    </row>
    <row r="450" spans="1:8" ht="18" x14ac:dyDescent="0.2">
      <c r="A450" s="50"/>
      <c r="B450" s="50"/>
      <c r="C450" s="50"/>
      <c r="D450" s="70"/>
      <c r="E450" s="70"/>
      <c r="F450" s="70"/>
      <c r="G450" s="127"/>
      <c r="H450" s="70"/>
    </row>
    <row r="451" spans="1:8" ht="18" x14ac:dyDescent="0.2">
      <c r="A451" s="1" t="s">
        <v>271</v>
      </c>
      <c r="B451" s="50"/>
      <c r="C451" s="50"/>
      <c r="D451" s="70"/>
      <c r="E451" s="70"/>
      <c r="F451" s="70"/>
      <c r="G451" s="127"/>
      <c r="H451" s="70"/>
    </row>
    <row r="452" spans="1:8" ht="18" x14ac:dyDescent="0.2">
      <c r="A452" s="50"/>
      <c r="B452" s="50"/>
      <c r="C452" s="50"/>
      <c r="D452" s="70"/>
      <c r="E452" s="70"/>
      <c r="F452" s="70"/>
      <c r="G452" s="127"/>
      <c r="H452" s="70"/>
    </row>
    <row r="453" spans="1:8" ht="18" x14ac:dyDescent="0.2">
      <c r="A453"/>
      <c r="B453" s="50"/>
      <c r="C453" s="50"/>
      <c r="D453" s="70"/>
      <c r="E453" s="70"/>
      <c r="F453" s="70"/>
      <c r="G453" s="127"/>
      <c r="H453" s="70"/>
    </row>
    <row r="454" spans="1:8" ht="18" x14ac:dyDescent="0.2">
      <c r="A454" s="50"/>
      <c r="B454" s="50"/>
      <c r="C454" s="50"/>
      <c r="D454" s="70"/>
      <c r="E454" s="70"/>
      <c r="F454" s="70"/>
      <c r="G454" s="127"/>
      <c r="H454" s="70"/>
    </row>
    <row r="455" spans="1:8" ht="18" x14ac:dyDescent="0.2">
      <c r="A455" s="50"/>
      <c r="B455" s="50"/>
      <c r="C455" s="50"/>
      <c r="D455" s="70"/>
      <c r="E455" s="70"/>
      <c r="F455" s="70"/>
      <c r="G455" s="127"/>
      <c r="H455" s="70"/>
    </row>
    <row r="456" spans="1:8" ht="15" customHeight="1" x14ac:dyDescent="0.2">
      <c r="A456" s="53" t="s">
        <v>27</v>
      </c>
      <c r="B456" s="45">
        <f>+ROUND(B445/B449,0)</f>
        <v>8</v>
      </c>
      <c r="C456" s="50"/>
      <c r="D456" s="70"/>
      <c r="E456" s="70"/>
      <c r="F456" s="70"/>
      <c r="G456" s="127"/>
      <c r="H456" s="70"/>
    </row>
    <row r="457" spans="1:8" ht="18" x14ac:dyDescent="0.2">
      <c r="A457" s="50"/>
      <c r="B457" s="50"/>
      <c r="C457" s="50"/>
      <c r="D457" s="70"/>
      <c r="E457" s="70"/>
      <c r="F457" s="70"/>
      <c r="G457" s="127"/>
      <c r="H457" s="70"/>
    </row>
    <row r="458" spans="1:8" ht="18" x14ac:dyDescent="0.2">
      <c r="A458" s="1" t="s">
        <v>277</v>
      </c>
      <c r="B458" s="50"/>
      <c r="C458" s="50"/>
      <c r="D458" s="70"/>
      <c r="E458" s="70"/>
      <c r="F458" s="70"/>
      <c r="G458" s="127"/>
      <c r="H458" s="70"/>
    </row>
    <row r="459" spans="1:8" ht="18" x14ac:dyDescent="0.2">
      <c r="B459" s="50"/>
      <c r="C459" s="50"/>
      <c r="D459" s="70"/>
      <c r="E459" s="70"/>
      <c r="F459" s="70"/>
      <c r="G459" s="127"/>
      <c r="H459" s="70"/>
    </row>
    <row r="460" spans="1:8" ht="23" customHeight="1" x14ac:dyDescent="0.2">
      <c r="A460"/>
      <c r="B460" s="50"/>
      <c r="C460" s="50"/>
      <c r="D460" s="70"/>
      <c r="E460" s="70"/>
      <c r="F460" s="70"/>
      <c r="G460" s="127"/>
      <c r="H460" s="70"/>
    </row>
    <row r="461" spans="1:8" ht="18" x14ac:dyDescent="0.2">
      <c r="B461" s="50"/>
      <c r="C461" s="50"/>
      <c r="D461" s="70"/>
      <c r="E461" s="70"/>
      <c r="F461" s="70"/>
      <c r="G461" s="127"/>
      <c r="H461" s="70"/>
    </row>
    <row r="462" spans="1:8" ht="12.5" customHeight="1" x14ac:dyDescent="0.2">
      <c r="B462" s="50"/>
      <c r="C462" s="50"/>
      <c r="D462" s="70"/>
      <c r="E462" s="70"/>
      <c r="F462" s="70"/>
      <c r="G462" s="127"/>
      <c r="H462" s="70"/>
    </row>
    <row r="463" spans="1:8" ht="18" x14ac:dyDescent="0.2">
      <c r="A463" s="1" t="s">
        <v>276</v>
      </c>
      <c r="B463" s="50"/>
      <c r="C463" s="50"/>
      <c r="D463" s="70"/>
      <c r="E463" s="70"/>
      <c r="F463" s="70"/>
      <c r="G463" s="127"/>
      <c r="H463" s="70"/>
    </row>
    <row r="464" spans="1:8" ht="18" x14ac:dyDescent="0.2">
      <c r="B464" s="50"/>
      <c r="C464" s="50"/>
      <c r="D464" s="70"/>
      <c r="E464" s="70"/>
      <c r="F464" s="70"/>
      <c r="G464" s="127"/>
      <c r="H464" s="70"/>
    </row>
    <row r="465" spans="1:8" ht="16.25" customHeight="1" x14ac:dyDescent="0.2">
      <c r="A465"/>
      <c r="B465" s="50"/>
      <c r="C465" s="50"/>
      <c r="D465" s="70"/>
      <c r="E465" s="70"/>
      <c r="F465" s="70"/>
      <c r="G465" s="127"/>
      <c r="H465" s="70"/>
    </row>
    <row r="466" spans="1:8" ht="16.25" customHeight="1" x14ac:dyDescent="0.2">
      <c r="B466" s="50"/>
      <c r="C466" s="50"/>
      <c r="D466" s="70"/>
      <c r="E466" s="70"/>
      <c r="F466" s="70"/>
      <c r="G466" s="127"/>
      <c r="H466" s="70"/>
    </row>
    <row r="467" spans="1:8" ht="15" customHeight="1" x14ac:dyDescent="0.2">
      <c r="B467" s="50"/>
      <c r="C467" s="50"/>
      <c r="D467" s="70"/>
      <c r="E467" s="70"/>
      <c r="F467" s="70"/>
      <c r="G467" s="127"/>
      <c r="H467" s="70"/>
    </row>
    <row r="468" spans="1:8" ht="18" x14ac:dyDescent="0.2">
      <c r="A468" s="1" t="s">
        <v>278</v>
      </c>
      <c r="B468" s="50"/>
      <c r="C468" s="50"/>
      <c r="D468" s="70"/>
      <c r="E468" s="70"/>
      <c r="F468" s="70"/>
      <c r="G468" s="127"/>
      <c r="H468" s="70"/>
    </row>
    <row r="469" spans="1:8" ht="18" x14ac:dyDescent="0.2">
      <c r="B469" s="50"/>
      <c r="C469" s="50"/>
      <c r="D469" s="70"/>
      <c r="E469" s="70"/>
      <c r="F469" s="70"/>
      <c r="G469" s="127"/>
      <c r="H469" s="70"/>
    </row>
    <row r="470" spans="1:8" ht="18" x14ac:dyDescent="0.2">
      <c r="A470"/>
      <c r="B470" s="50"/>
      <c r="C470" s="50"/>
      <c r="D470" s="70"/>
      <c r="E470" s="70"/>
      <c r="F470" s="70"/>
      <c r="G470" s="127"/>
      <c r="H470" s="70"/>
    </row>
    <row r="471" spans="1:8" ht="18" x14ac:dyDescent="0.2">
      <c r="B471" s="50"/>
      <c r="C471" s="50"/>
      <c r="D471" s="70"/>
      <c r="E471" s="70"/>
      <c r="F471" s="70"/>
      <c r="G471" s="127"/>
      <c r="H471" s="70"/>
    </row>
    <row r="472" spans="1:8" ht="18" x14ac:dyDescent="0.2">
      <c r="A472" s="1" t="s">
        <v>72</v>
      </c>
      <c r="B472" s="50"/>
      <c r="C472" s="50"/>
      <c r="D472" s="70"/>
      <c r="E472" s="70"/>
      <c r="F472" s="70"/>
      <c r="G472" s="127"/>
      <c r="H472" s="70"/>
    </row>
    <row r="473" spans="1:8" ht="18" x14ac:dyDescent="0.2">
      <c r="B473" s="50"/>
      <c r="C473" s="50"/>
      <c r="D473" s="70"/>
      <c r="E473" s="70"/>
      <c r="F473" s="70"/>
      <c r="G473" s="127"/>
      <c r="H473" s="70"/>
    </row>
    <row r="474" spans="1:8" ht="15.5" customHeight="1" x14ac:dyDescent="0.2">
      <c r="A474"/>
      <c r="B474" s="50"/>
      <c r="C474"/>
      <c r="D474" s="70"/>
      <c r="E474" s="70"/>
      <c r="F474" s="70"/>
      <c r="G474" s="127"/>
      <c r="H474" s="70"/>
    </row>
    <row r="475" spans="1:8" ht="15.5" customHeight="1" x14ac:dyDescent="0.2">
      <c r="B475" s="50"/>
      <c r="C475" s="50"/>
      <c r="D475" s="70"/>
      <c r="E475" s="70"/>
      <c r="F475" s="70"/>
      <c r="G475" s="127"/>
      <c r="H475" s="70"/>
    </row>
    <row r="476" spans="1:8" ht="18" x14ac:dyDescent="0.2">
      <c r="B476" s="50"/>
      <c r="C476" s="50"/>
      <c r="D476" s="70"/>
      <c r="E476" s="70"/>
      <c r="F476" s="70"/>
      <c r="G476" s="127"/>
      <c r="H476" s="70"/>
    </row>
    <row r="477" spans="1:8" ht="16" x14ac:dyDescent="0.15">
      <c r="A477" s="336" t="s">
        <v>355</v>
      </c>
      <c r="B477" s="336"/>
      <c r="C477" s="336"/>
      <c r="D477" s="336"/>
      <c r="E477" s="336"/>
      <c r="F477" s="336"/>
      <c r="G477" s="336"/>
      <c r="H477" s="336"/>
    </row>
    <row r="478" spans="1:8" ht="16" x14ac:dyDescent="0.15">
      <c r="A478" s="336" t="s">
        <v>570</v>
      </c>
      <c r="B478" s="336"/>
      <c r="C478" s="336"/>
      <c r="D478" s="336"/>
      <c r="E478" s="336"/>
      <c r="F478" s="336"/>
      <c r="G478" s="336"/>
      <c r="H478" s="336"/>
    </row>
    <row r="479" spans="1:8" ht="17" thickBot="1" x14ac:dyDescent="0.25">
      <c r="A479" s="12"/>
      <c r="B479" s="22"/>
      <c r="C479" s="22"/>
      <c r="D479" s="22"/>
      <c r="E479" s="22"/>
      <c r="F479" s="22"/>
      <c r="G479" s="22"/>
      <c r="H479" s="22"/>
    </row>
    <row r="480" spans="1:8" ht="16" thickBot="1" x14ac:dyDescent="0.2">
      <c r="A480" s="80" t="s">
        <v>13</v>
      </c>
      <c r="B480" s="80" t="s">
        <v>573</v>
      </c>
      <c r="C480" s="80" t="s">
        <v>571</v>
      </c>
      <c r="D480" s="80" t="s">
        <v>572</v>
      </c>
      <c r="E480" s="80" t="s">
        <v>574</v>
      </c>
      <c r="F480" s="80" t="s">
        <v>575</v>
      </c>
      <c r="G480" s="80" t="s">
        <v>576</v>
      </c>
      <c r="H480" s="80" t="s">
        <v>237</v>
      </c>
    </row>
    <row r="481" spans="1:8" x14ac:dyDescent="0.15">
      <c r="A481" s="26" t="str">
        <f>+A434</f>
        <v>Dentellon</v>
      </c>
      <c r="B481" s="26">
        <f>5/2.54</f>
        <v>1.9685039370078741</v>
      </c>
      <c r="C481" s="26">
        <f>1+B481/(0.7*C421/2.54)</f>
        <v>1.1360544217687074</v>
      </c>
      <c r="D481" s="26">
        <v>1</v>
      </c>
      <c r="E481" s="26">
        <f>+H434/0.07/1000</f>
        <v>6.0458914460349078</v>
      </c>
      <c r="F481" s="26">
        <f>700*D481/(C481*E481)-2*B481</f>
        <v>97.978097643593486</v>
      </c>
      <c r="G481" s="26">
        <f>+F481*2.54</f>
        <v>248.86436801472746</v>
      </c>
      <c r="H481" s="76" t="str">
        <f>+IF(G481&gt;H318,"ok","revisar")</f>
        <v>ok</v>
      </c>
    </row>
    <row r="482" spans="1:8" x14ac:dyDescent="0.15">
      <c r="A482" s="18" t="str">
        <f>+A435</f>
        <v>Pie</v>
      </c>
      <c r="B482" s="18">
        <f>+B481</f>
        <v>1.9685039370078741</v>
      </c>
      <c r="C482" s="18">
        <f>1+B482/(0.7*C422/2.54)</f>
        <v>1.1360544217687074</v>
      </c>
      <c r="D482" s="18">
        <v>1</v>
      </c>
      <c r="E482" s="18">
        <f>+H435/0.07/1000</f>
        <v>10.459659368426708</v>
      </c>
      <c r="F482" s="18">
        <f t="shared" ref="F482:F483" si="46">700*D482/(C482*E482)-2*B482</f>
        <v>54.97195301725462</v>
      </c>
      <c r="G482" s="18">
        <f t="shared" ref="G482:G484" si="47">+F482*2.54</f>
        <v>139.62876066382674</v>
      </c>
      <c r="H482" s="76" t="str">
        <f>+IF(G482&gt;H319,"ok","revisar")</f>
        <v>ok</v>
      </c>
    </row>
    <row r="483" spans="1:8" x14ac:dyDescent="0.15">
      <c r="A483" s="18" t="str">
        <f>+A436</f>
        <v>Talon</v>
      </c>
      <c r="B483" s="18">
        <f>+B481</f>
        <v>1.9685039370078741</v>
      </c>
      <c r="C483" s="18">
        <f>1+B483/(0.7*C423/2.54)</f>
        <v>1.1360544217687074</v>
      </c>
      <c r="D483" s="18">
        <v>1</v>
      </c>
      <c r="E483" s="18">
        <f>+H436/0.07/1000</f>
        <v>9.0452796540900895</v>
      </c>
      <c r="F483" s="18">
        <f t="shared" si="46"/>
        <v>64.183347519533683</v>
      </c>
      <c r="G483" s="18">
        <f t="shared" si="47"/>
        <v>163.02570269961555</v>
      </c>
      <c r="H483" s="76" t="str">
        <f>+IF(G483&gt;H320,"ok","revisar")</f>
        <v>ok</v>
      </c>
    </row>
    <row r="484" spans="1:8" ht="15" thickBot="1" x14ac:dyDescent="0.2">
      <c r="A484" s="19" t="str">
        <f>+A437</f>
        <v>Vastago</v>
      </c>
      <c r="B484" s="19">
        <f>+B481</f>
        <v>1.9685039370078741</v>
      </c>
      <c r="C484" s="19">
        <f>1+B484/(0.7*C424/2.54)</f>
        <v>1.1680672268907564</v>
      </c>
      <c r="D484" s="19">
        <v>1</v>
      </c>
      <c r="E484" s="19">
        <f>+H437/0.07/1000</f>
        <v>33.61020959143459</v>
      </c>
      <c r="F484" s="19">
        <f>700*D484/(C484*E484)-2*B484</f>
        <v>13.893305677265772</v>
      </c>
      <c r="G484" s="19">
        <f t="shared" si="47"/>
        <v>35.28899642025506</v>
      </c>
      <c r="H484" s="77" t="str">
        <f>+IF(G484&gt;H321,"ok","revisar")</f>
        <v>ok</v>
      </c>
    </row>
    <row r="485" spans="1:8" ht="14" customHeight="1" x14ac:dyDescent="0.2">
      <c r="B485" s="50"/>
      <c r="C485" s="50"/>
      <c r="D485" s="50"/>
      <c r="E485" s="50"/>
      <c r="F485" s="50"/>
      <c r="G485" s="50"/>
      <c r="H485" s="50"/>
    </row>
    <row r="486" spans="1:8" ht="14" customHeight="1" x14ac:dyDescent="0.2">
      <c r="B486" s="50"/>
      <c r="C486" s="50"/>
      <c r="D486" s="50"/>
      <c r="E486" s="50"/>
      <c r="F486" s="50"/>
      <c r="G486" s="50"/>
      <c r="H486" s="50"/>
    </row>
    <row r="487" spans="1:8" ht="14" customHeight="1" x14ac:dyDescent="0.15"/>
    <row r="488" spans="1:8" ht="14" customHeight="1" x14ac:dyDescent="0.15"/>
    <row r="489" spans="1:8" ht="14" customHeight="1" x14ac:dyDescent="0.15"/>
    <row r="490" spans="1:8" ht="18" customHeight="1" x14ac:dyDescent="0.15"/>
    <row r="491" spans="1:8" ht="14" customHeight="1" x14ac:dyDescent="0.15"/>
    <row r="492" spans="1:8" ht="14" customHeight="1" x14ac:dyDescent="0.15"/>
    <row r="493" spans="1:8" ht="14" customHeight="1" x14ac:dyDescent="0.15"/>
    <row r="494" spans="1:8" ht="14" customHeight="1" x14ac:dyDescent="0.15"/>
    <row r="495" spans="1:8" ht="14" customHeight="1" x14ac:dyDescent="0.15"/>
    <row r="496" spans="1:8" ht="14" customHeight="1" x14ac:dyDescent="0.15"/>
    <row r="497" ht="14" customHeight="1" x14ac:dyDescent="0.15"/>
    <row r="498" ht="14" customHeight="1" x14ac:dyDescent="0.15"/>
    <row r="500" ht="14" customHeight="1" x14ac:dyDescent="0.15"/>
    <row r="501" ht="14" customHeight="1" x14ac:dyDescent="0.15"/>
    <row r="502" ht="14" customHeight="1" x14ac:dyDescent="0.15"/>
    <row r="503" ht="14" customHeight="1" x14ac:dyDescent="0.15"/>
    <row r="504" ht="14" customHeight="1" x14ac:dyDescent="0.15"/>
    <row r="505" ht="14" customHeight="1" x14ac:dyDescent="0.15"/>
    <row r="506" ht="14" customHeight="1" x14ac:dyDescent="0.15"/>
    <row r="507" ht="14" customHeight="1" x14ac:dyDescent="0.15"/>
    <row r="508" ht="14" customHeight="1" x14ac:dyDescent="0.15"/>
    <row r="509" ht="50" customHeight="1" x14ac:dyDescent="0.15"/>
    <row r="510" ht="14" customHeight="1" x14ac:dyDescent="0.15"/>
    <row r="511" ht="14" customHeight="1" x14ac:dyDescent="0.15"/>
    <row r="512" ht="14" customHeight="1" x14ac:dyDescent="0.15"/>
    <row r="513" ht="14" customHeight="1" x14ac:dyDescent="0.15"/>
  </sheetData>
  <mergeCells count="38">
    <mergeCell ref="A94:H94"/>
    <mergeCell ref="A101:H101"/>
    <mergeCell ref="A102:H102"/>
    <mergeCell ref="A478:H478"/>
    <mergeCell ref="A417:H417"/>
    <mergeCell ref="A418:H418"/>
    <mergeCell ref="A430:H430"/>
    <mergeCell ref="A431:H431"/>
    <mergeCell ref="A477:H477"/>
    <mergeCell ref="A378:H378"/>
    <mergeCell ref="A379:H379"/>
    <mergeCell ref="A117:H117"/>
    <mergeCell ref="A118:H118"/>
    <mergeCell ref="A130:H130"/>
    <mergeCell ref="A131:H131"/>
    <mergeCell ref="A323:H323"/>
    <mergeCell ref="A324:H324"/>
    <mergeCell ref="A166:H166"/>
    <mergeCell ref="A167:H167"/>
    <mergeCell ref="A315:H315"/>
    <mergeCell ref="A157:H157"/>
    <mergeCell ref="A158:H158"/>
    <mergeCell ref="A314:H314"/>
    <mergeCell ref="A1:H1"/>
    <mergeCell ref="A2:H2"/>
    <mergeCell ref="A93:H93"/>
    <mergeCell ref="A6:B6"/>
    <mergeCell ref="A23:B23"/>
    <mergeCell ref="A82:B82"/>
    <mergeCell ref="A44:H44"/>
    <mergeCell ref="A61:H61"/>
    <mergeCell ref="A42:H42"/>
    <mergeCell ref="A45:H45"/>
    <mergeCell ref="A60:H60"/>
    <mergeCell ref="A54:A58"/>
    <mergeCell ref="A3:H3"/>
    <mergeCell ref="A80:H80"/>
    <mergeCell ref="C63:F63"/>
  </mergeCells>
  <phoneticPr fontId="0" type="noConversion"/>
  <printOptions horizontalCentered="1"/>
  <pageMargins left="0.78740157480314965" right="0.78740157480314965" top="0.78740157480314965" bottom="0.78740157480314965" header="0.31496062992125984" footer="0.31496062992125984"/>
  <pageSetup scale="69" orientation="portrait" r:id="rId1"/>
  <headerFooter alignWithMargins="0">
    <oddHeader>&amp;C&amp;F</oddHeader>
    <oddFooter>&amp;C&amp;P</oddFooter>
  </headerFooter>
  <rowBreaks count="9" manualBreakCount="9">
    <brk id="58" max="7" man="1"/>
    <brk id="108" max="7" man="1"/>
    <brk id="155" max="7" man="1"/>
    <brk id="205" max="7" man="1"/>
    <brk id="253" max="7" man="1"/>
    <brk id="312" max="7" man="1"/>
    <brk id="369" max="7" man="1"/>
    <brk id="424" max="7" man="1"/>
    <brk id="47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abSelected="1" view="pageBreakPreview" zoomScale="135" zoomScaleNormal="173" zoomScaleSheetLayoutView="85" zoomScalePageLayoutView="173" workbookViewId="0">
      <selection activeCell="G227" sqref="G227"/>
    </sheetView>
  </sheetViews>
  <sheetFormatPr baseColWidth="10" defaultColWidth="11.5" defaultRowHeight="14" x14ac:dyDescent="0.15"/>
  <cols>
    <col min="1" max="1" width="12.5" style="140" customWidth="1"/>
    <col min="2" max="2" width="13.5" style="140" customWidth="1"/>
    <col min="3" max="3" width="13.16406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16384" width="11.5" style="140"/>
  </cols>
  <sheetData>
    <row r="1" spans="1:7" ht="39" customHeight="1" x14ac:dyDescent="0.15">
      <c r="A1" s="348" t="s">
        <v>515</v>
      </c>
      <c r="B1" s="348"/>
      <c r="C1" s="348"/>
      <c r="D1" s="348"/>
      <c r="E1" s="348"/>
      <c r="F1" s="348"/>
      <c r="G1" s="348"/>
    </row>
    <row r="2" spans="1:7" x14ac:dyDescent="0.15">
      <c r="A2" s="141"/>
      <c r="B2" s="141"/>
      <c r="C2" s="141"/>
      <c r="D2" s="141"/>
      <c r="E2" s="141"/>
      <c r="F2" s="141"/>
      <c r="G2" s="141"/>
    </row>
    <row r="3" spans="1:7" x14ac:dyDescent="0.15">
      <c r="A3" s="141"/>
      <c r="B3" s="141"/>
      <c r="C3" s="141"/>
      <c r="D3" s="141"/>
      <c r="E3" s="141"/>
      <c r="F3" s="141"/>
      <c r="G3" s="141"/>
    </row>
    <row r="5" spans="1:7" x14ac:dyDescent="0.15">
      <c r="D5" s="142"/>
    </row>
    <row r="6" spans="1:7" x14ac:dyDescent="0.15">
      <c r="D6" s="143">
        <f>MURO!D14</f>
        <v>0.35</v>
      </c>
    </row>
    <row r="7" spans="1:7" x14ac:dyDescent="0.15">
      <c r="C7" s="144" t="s">
        <v>286</v>
      </c>
      <c r="D7" s="145">
        <f>+MURO!D89</f>
        <v>0.15000000000000002</v>
      </c>
    </row>
    <row r="8" spans="1:7" x14ac:dyDescent="0.15">
      <c r="C8" s="142"/>
      <c r="E8" s="146">
        <f>+MURO!D11</f>
        <v>0.3</v>
      </c>
    </row>
    <row r="9" spans="1:7" x14ac:dyDescent="0.15">
      <c r="C9" s="144" t="s">
        <v>287</v>
      </c>
      <c r="D9" s="145">
        <f>+MURO!D90</f>
        <v>0.14237288135593223</v>
      </c>
    </row>
    <row r="10" spans="1:7" x14ac:dyDescent="0.15">
      <c r="E10" s="147"/>
    </row>
    <row r="11" spans="1:7" x14ac:dyDescent="0.15">
      <c r="B11" s="147"/>
      <c r="D11" s="142">
        <v>4</v>
      </c>
    </row>
    <row r="12" spans="1:7" x14ac:dyDescent="0.15">
      <c r="B12" s="39"/>
    </row>
    <row r="13" spans="1:7" x14ac:dyDescent="0.15">
      <c r="B13" s="144">
        <v>5</v>
      </c>
    </row>
    <row r="14" spans="1:7" x14ac:dyDescent="0.15">
      <c r="D14" s="145"/>
    </row>
    <row r="15" spans="1:7" x14ac:dyDescent="0.15">
      <c r="C15" s="39"/>
    </row>
    <row r="18" spans="1:7" x14ac:dyDescent="0.15">
      <c r="C18" s="39"/>
      <c r="F18" s="144" t="s">
        <v>223</v>
      </c>
      <c r="G18" s="147">
        <f>+MURO!D85</f>
        <v>5.9</v>
      </c>
    </row>
    <row r="19" spans="1:7" x14ac:dyDescent="0.15">
      <c r="C19" s="142"/>
    </row>
    <row r="20" spans="1:7" x14ac:dyDescent="0.15">
      <c r="B20" s="147"/>
    </row>
    <row r="21" spans="1:7" x14ac:dyDescent="0.15">
      <c r="A21" s="147">
        <f>+MURO!D10</f>
        <v>6.5</v>
      </c>
      <c r="D21" s="148">
        <v>2</v>
      </c>
    </row>
    <row r="22" spans="1:7" x14ac:dyDescent="0.15">
      <c r="E22" s="147">
        <f>+MURO!D86</f>
        <v>5.6000000000000005</v>
      </c>
    </row>
    <row r="23" spans="1:7" x14ac:dyDescent="0.15">
      <c r="C23" s="39"/>
      <c r="E23" s="39" t="s">
        <v>197</v>
      </c>
    </row>
    <row r="24" spans="1:7" x14ac:dyDescent="0.15">
      <c r="A24" s="149">
        <f>+MURO!D87</f>
        <v>6.2</v>
      </c>
    </row>
    <row r="25" spans="1:7" x14ac:dyDescent="0.15">
      <c r="D25" s="142"/>
    </row>
    <row r="26" spans="1:7" x14ac:dyDescent="0.15">
      <c r="B26" s="147"/>
    </row>
    <row r="27" spans="1:7" x14ac:dyDescent="0.15">
      <c r="B27" s="39"/>
    </row>
    <row r="30" spans="1:7" x14ac:dyDescent="0.15">
      <c r="C30" s="147"/>
      <c r="D30" s="142">
        <v>3</v>
      </c>
    </row>
    <row r="31" spans="1:7" x14ac:dyDescent="0.15">
      <c r="C31" s="39"/>
    </row>
    <row r="32" spans="1:7" x14ac:dyDescent="0.15">
      <c r="C32" s="145">
        <f>+MURO!D17</f>
        <v>2.5</v>
      </c>
      <c r="D32" s="150">
        <f>+MURO!D15</f>
        <v>0.5</v>
      </c>
      <c r="F32" s="151">
        <f>MURO!D18</f>
        <v>1.2</v>
      </c>
    </row>
    <row r="33" spans="1:7" x14ac:dyDescent="0.15">
      <c r="D33" s="141">
        <v>1</v>
      </c>
    </row>
    <row r="34" spans="1:7" x14ac:dyDescent="0.15">
      <c r="C34" s="149">
        <f>+MURO!D12</f>
        <v>0.6</v>
      </c>
    </row>
    <row r="35" spans="1:7" x14ac:dyDescent="0.15">
      <c r="B35" s="140" t="s">
        <v>5</v>
      </c>
      <c r="C35" s="152">
        <v>6</v>
      </c>
      <c r="D35" s="39"/>
      <c r="F35" s="140" t="s">
        <v>6</v>
      </c>
      <c r="G35" s="147">
        <f>+MURO!D13</f>
        <v>0.6</v>
      </c>
    </row>
    <row r="36" spans="1:7" x14ac:dyDescent="0.15">
      <c r="G36" s="140" t="s">
        <v>201</v>
      </c>
    </row>
    <row r="38" spans="1:7" x14ac:dyDescent="0.15">
      <c r="D38" s="147">
        <f>MURO!D84</f>
        <v>4.2</v>
      </c>
    </row>
    <row r="39" spans="1:7" x14ac:dyDescent="0.15">
      <c r="D39" s="147"/>
    </row>
    <row r="40" spans="1:7" x14ac:dyDescent="0.15">
      <c r="A40" s="153"/>
      <c r="B40" s="153"/>
      <c r="C40" s="142"/>
      <c r="D40" s="141"/>
      <c r="E40" s="141"/>
      <c r="F40" s="141"/>
      <c r="G40" s="141"/>
    </row>
    <row r="41" spans="1:7" ht="16" x14ac:dyDescent="0.15">
      <c r="A41" s="156" t="s">
        <v>8</v>
      </c>
    </row>
    <row r="42" spans="1:7" x14ac:dyDescent="0.15">
      <c r="C42" s="154"/>
      <c r="G42" s="154"/>
    </row>
    <row r="43" spans="1:7" x14ac:dyDescent="0.15">
      <c r="A43" s="155" t="s">
        <v>20</v>
      </c>
      <c r="C43" s="154"/>
      <c r="G43" s="154"/>
    </row>
    <row r="44" spans="1:7" ht="16" x14ac:dyDescent="0.15">
      <c r="A44" s="156"/>
      <c r="C44" s="154"/>
      <c r="G44" s="154"/>
    </row>
    <row r="45" spans="1:7" x14ac:dyDescent="0.15">
      <c r="A45" s="140" t="s">
        <v>116</v>
      </c>
      <c r="C45" s="154"/>
      <c r="G45" s="154"/>
    </row>
    <row r="46" spans="1:7" x14ac:dyDescent="0.15">
      <c r="C46" s="154"/>
      <c r="G46" s="154"/>
    </row>
    <row r="47" spans="1:7" ht="15" x14ac:dyDescent="0.15">
      <c r="A47" s="240" t="s">
        <v>488</v>
      </c>
      <c r="B47" s="147">
        <f>+RADIANS(MURO!D29)</f>
        <v>0.52359877559829882</v>
      </c>
      <c r="C47" s="330">
        <f>+RADIANS(MURO!D30)</f>
        <v>0.52359877559829882</v>
      </c>
      <c r="G47" s="154"/>
    </row>
    <row r="48" spans="1:7" x14ac:dyDescent="0.15">
      <c r="C48" s="331"/>
      <c r="G48" s="154"/>
    </row>
    <row r="49" spans="1:8" ht="16" x14ac:dyDescent="0.15">
      <c r="A49" s="157" t="s">
        <v>114</v>
      </c>
      <c r="B49" s="147">
        <f>+TAN(45*PI()/180-B47/2)^2</f>
        <v>0.33333333333333343</v>
      </c>
      <c r="C49" s="330">
        <f>+TAN(45*PI()/180-C47/2)^2</f>
        <v>0.33333333333333343</v>
      </c>
      <c r="G49" s="154"/>
    </row>
    <row r="50" spans="1:8" ht="16" x14ac:dyDescent="0.15">
      <c r="A50" s="238"/>
      <c r="B50" s="147"/>
      <c r="C50" s="154"/>
      <c r="G50" s="154"/>
    </row>
    <row r="51" spans="1:8" x14ac:dyDescent="0.15">
      <c r="A51" s="140" t="s">
        <v>117</v>
      </c>
      <c r="B51" s="147"/>
      <c r="C51" s="154"/>
      <c r="G51" s="158"/>
    </row>
    <row r="52" spans="1:8" x14ac:dyDescent="0.15">
      <c r="B52" s="147"/>
      <c r="C52" s="154"/>
      <c r="G52" s="158"/>
    </row>
    <row r="53" spans="1:8" ht="16" x14ac:dyDescent="0.15">
      <c r="A53" s="157" t="s">
        <v>115</v>
      </c>
      <c r="B53" s="147">
        <f>1/C49</f>
        <v>2.9999999999999991</v>
      </c>
      <c r="C53" s="154"/>
      <c r="G53" s="154"/>
    </row>
    <row r="54" spans="1:8" ht="16" x14ac:dyDescent="0.15">
      <c r="A54" s="156"/>
      <c r="C54" s="154"/>
      <c r="G54" s="154"/>
    </row>
    <row r="55" spans="1:8" ht="18" x14ac:dyDescent="0.15">
      <c r="A55" s="155" t="s">
        <v>428</v>
      </c>
      <c r="B55" s="159"/>
      <c r="C55" s="159"/>
      <c r="D55" s="159"/>
      <c r="E55" s="159"/>
      <c r="F55" s="159"/>
      <c r="G55" s="159"/>
      <c r="H55" s="138"/>
    </row>
    <row r="56" spans="1:8" x14ac:dyDescent="0.15">
      <c r="C56" s="159"/>
      <c r="G56" s="159"/>
    </row>
    <row r="57" spans="1:8" x14ac:dyDescent="0.15">
      <c r="E57" s="159"/>
      <c r="G57" s="159"/>
    </row>
    <row r="58" spans="1:8" x14ac:dyDescent="0.15">
      <c r="E58" s="159"/>
      <c r="G58" s="159"/>
    </row>
    <row r="59" spans="1:8" ht="16" x14ac:dyDescent="0.15">
      <c r="A59" s="157" t="s">
        <v>144</v>
      </c>
      <c r="B59" s="147">
        <f>D71</f>
        <v>4.1333333333333346</v>
      </c>
      <c r="C59" s="39" t="s">
        <v>57</v>
      </c>
      <c r="E59" s="159"/>
      <c r="G59" s="159"/>
    </row>
    <row r="60" spans="1:8" x14ac:dyDescent="0.15">
      <c r="E60" s="159"/>
      <c r="G60" s="159"/>
    </row>
    <row r="61" spans="1:8" x14ac:dyDescent="0.15">
      <c r="E61" s="159"/>
      <c r="G61" s="159"/>
    </row>
    <row r="62" spans="1:8" x14ac:dyDescent="0.15">
      <c r="A62" s="158"/>
      <c r="E62" s="159"/>
      <c r="G62" s="159"/>
    </row>
    <row r="63" spans="1:8" ht="16" x14ac:dyDescent="0.15">
      <c r="A63" s="157" t="s">
        <v>142</v>
      </c>
      <c r="B63" s="147">
        <f>+B59*F64/2</f>
        <v>12.813333333333338</v>
      </c>
      <c r="C63" s="39" t="s">
        <v>2</v>
      </c>
      <c r="E63" s="159"/>
      <c r="G63" s="159"/>
    </row>
    <row r="64" spans="1:8" x14ac:dyDescent="0.15">
      <c r="E64" s="159"/>
      <c r="F64" s="147">
        <f>A24</f>
        <v>6.2</v>
      </c>
      <c r="G64" s="159"/>
    </row>
    <row r="65" spans="1:7" x14ac:dyDescent="0.15">
      <c r="A65" s="346" t="s">
        <v>392</v>
      </c>
      <c r="B65" s="346"/>
      <c r="E65" s="160" t="s">
        <v>142</v>
      </c>
      <c r="G65" s="159"/>
    </row>
    <row r="66" spans="1:7" x14ac:dyDescent="0.15">
      <c r="E66" s="159"/>
      <c r="G66" s="159"/>
    </row>
    <row r="67" spans="1:7" x14ac:dyDescent="0.15">
      <c r="E67" s="159"/>
      <c r="G67" s="159"/>
    </row>
    <row r="68" spans="1:7" ht="16" x14ac:dyDescent="0.15">
      <c r="A68" s="157" t="s">
        <v>143</v>
      </c>
      <c r="B68" s="147">
        <f>F64/3</f>
        <v>2.0666666666666669</v>
      </c>
      <c r="C68" s="39" t="s">
        <v>0</v>
      </c>
      <c r="E68" s="160" t="s">
        <v>143</v>
      </c>
      <c r="G68" s="159"/>
    </row>
    <row r="69" spans="1:7" x14ac:dyDescent="0.15">
      <c r="E69" s="159"/>
      <c r="G69" s="159"/>
    </row>
    <row r="70" spans="1:7" x14ac:dyDescent="0.15">
      <c r="E70" s="159"/>
      <c r="G70" s="159"/>
    </row>
    <row r="71" spans="1:7" x14ac:dyDescent="0.15">
      <c r="D71" s="161">
        <f>F64*B49*MURO!D28</f>
        <v>4.1333333333333346</v>
      </c>
      <c r="E71" s="159"/>
      <c r="G71" s="159"/>
    </row>
    <row r="72" spans="1:7" ht="15" x14ac:dyDescent="0.15">
      <c r="D72" s="140" t="s">
        <v>81</v>
      </c>
      <c r="G72" s="159"/>
    </row>
    <row r="74" spans="1:7" x14ac:dyDescent="0.15">
      <c r="A74" s="162" t="s">
        <v>427</v>
      </c>
    </row>
    <row r="76" spans="1:7" x14ac:dyDescent="0.15">
      <c r="A76" s="140" t="s">
        <v>299</v>
      </c>
    </row>
    <row r="78" spans="1:7" x14ac:dyDescent="0.15">
      <c r="A78" s="158"/>
    </row>
    <row r="80" spans="1:7" ht="16" x14ac:dyDescent="0.15">
      <c r="A80" s="157" t="s">
        <v>302</v>
      </c>
      <c r="B80" s="147">
        <f>+MURO!D83*MURO!D28*RESISTENCIA!B49</f>
        <v>0.40000000000000008</v>
      </c>
      <c r="C80" s="39" t="s">
        <v>57</v>
      </c>
    </row>
    <row r="82" spans="1:7" x14ac:dyDescent="0.15">
      <c r="A82" s="140" t="s">
        <v>300</v>
      </c>
      <c r="G82" s="147">
        <f>+F64</f>
        <v>6.2</v>
      </c>
    </row>
    <row r="84" spans="1:7" x14ac:dyDescent="0.15">
      <c r="A84" s="158"/>
    </row>
    <row r="85" spans="1:7" x14ac:dyDescent="0.15">
      <c r="F85" s="39" t="s">
        <v>143</v>
      </c>
    </row>
    <row r="86" spans="1:7" ht="16" x14ac:dyDescent="0.15">
      <c r="A86" s="157" t="s">
        <v>303</v>
      </c>
      <c r="B86" s="147">
        <f>+B80*F64</f>
        <v>2.4800000000000004</v>
      </c>
      <c r="C86" s="39" t="s">
        <v>2</v>
      </c>
    </row>
    <row r="88" spans="1:7" x14ac:dyDescent="0.15">
      <c r="A88" s="140" t="s">
        <v>391</v>
      </c>
    </row>
    <row r="90" spans="1:7" ht="16" x14ac:dyDescent="0.15">
      <c r="A90" s="157" t="s">
        <v>143</v>
      </c>
      <c r="B90" s="147">
        <f>+E22/2</f>
        <v>2.8000000000000003</v>
      </c>
      <c r="C90" s="39" t="s">
        <v>0</v>
      </c>
      <c r="E90" s="147">
        <f>+B80</f>
        <v>0.40000000000000008</v>
      </c>
    </row>
    <row r="91" spans="1:7" x14ac:dyDescent="0.15">
      <c r="E91" s="140" t="s">
        <v>304</v>
      </c>
    </row>
    <row r="93" spans="1:7" x14ac:dyDescent="0.15">
      <c r="A93" s="155" t="s">
        <v>411</v>
      </c>
      <c r="B93" s="159"/>
      <c r="C93" s="159"/>
      <c r="D93" s="159"/>
      <c r="E93" s="159"/>
      <c r="F93" s="159"/>
      <c r="G93" s="159"/>
    </row>
    <row r="94" spans="1:7" x14ac:dyDescent="0.15">
      <c r="C94" s="159"/>
      <c r="G94" s="159"/>
    </row>
    <row r="95" spans="1:7" x14ac:dyDescent="0.15">
      <c r="E95" s="159"/>
      <c r="G95" s="159"/>
    </row>
    <row r="96" spans="1:7" x14ac:dyDescent="0.15">
      <c r="E96" s="159"/>
      <c r="G96" s="159"/>
    </row>
    <row r="97" spans="1:7" ht="16" x14ac:dyDescent="0.15">
      <c r="A97" s="157" t="s">
        <v>413</v>
      </c>
      <c r="B97" s="147">
        <f>+D109</f>
        <v>5.9999999999999982</v>
      </c>
      <c r="C97" s="213" t="s">
        <v>57</v>
      </c>
      <c r="E97" s="159"/>
      <c r="G97" s="159"/>
    </row>
    <row r="98" spans="1:7" x14ac:dyDescent="0.15">
      <c r="E98" s="159"/>
      <c r="G98" s="159"/>
    </row>
    <row r="99" spans="1:7" x14ac:dyDescent="0.15">
      <c r="E99" s="159"/>
      <c r="G99" s="159"/>
    </row>
    <row r="100" spans="1:7" x14ac:dyDescent="0.15">
      <c r="A100" s="158"/>
      <c r="E100" s="159"/>
      <c r="G100" s="159"/>
    </row>
    <row r="101" spans="1:7" ht="16" x14ac:dyDescent="0.15">
      <c r="A101" s="157" t="s">
        <v>412</v>
      </c>
      <c r="B101" s="147">
        <f>+B97*F102/2</f>
        <v>2.9999999999999991</v>
      </c>
      <c r="C101" s="213" t="s">
        <v>2</v>
      </c>
      <c r="E101" s="159"/>
      <c r="G101" s="159"/>
    </row>
    <row r="102" spans="1:7" x14ac:dyDescent="0.15">
      <c r="E102" s="159"/>
      <c r="F102" s="147">
        <f>+MURO!C78</f>
        <v>1</v>
      </c>
      <c r="G102" s="159"/>
    </row>
    <row r="103" spans="1:7" x14ac:dyDescent="0.15">
      <c r="A103" s="347"/>
      <c r="B103" s="347"/>
      <c r="E103" s="160" t="s">
        <v>412</v>
      </c>
      <c r="G103" s="159"/>
    </row>
    <row r="104" spans="1:7" x14ac:dyDescent="0.15">
      <c r="E104" s="159"/>
      <c r="G104" s="159"/>
    </row>
    <row r="105" spans="1:7" x14ac:dyDescent="0.15">
      <c r="E105" s="159"/>
      <c r="G105" s="159"/>
    </row>
    <row r="106" spans="1:7" ht="16" x14ac:dyDescent="0.15">
      <c r="A106" s="157" t="s">
        <v>143</v>
      </c>
      <c r="B106" s="147">
        <f>+F102/3</f>
        <v>0.33333333333333331</v>
      </c>
      <c r="C106" s="213" t="s">
        <v>0</v>
      </c>
      <c r="E106" s="160" t="s">
        <v>143</v>
      </c>
      <c r="G106" s="159"/>
    </row>
    <row r="107" spans="1:7" x14ac:dyDescent="0.15">
      <c r="E107" s="159"/>
      <c r="G107" s="159"/>
    </row>
    <row r="108" spans="1:7" x14ac:dyDescent="0.15">
      <c r="E108" s="159"/>
      <c r="G108" s="159"/>
    </row>
    <row r="109" spans="1:7" x14ac:dyDescent="0.15">
      <c r="D109" s="161">
        <f>+F102*B53*MURO!D28</f>
        <v>5.9999999999999982</v>
      </c>
      <c r="E109" s="159"/>
      <c r="G109" s="159"/>
    </row>
    <row r="110" spans="1:7" ht="15" x14ac:dyDescent="0.15">
      <c r="D110" s="140" t="s">
        <v>81</v>
      </c>
      <c r="G110" s="159"/>
    </row>
    <row r="111" spans="1:7" x14ac:dyDescent="0.15">
      <c r="G111" s="159"/>
    </row>
    <row r="112" spans="1:7" x14ac:dyDescent="0.15">
      <c r="C112" s="39"/>
    </row>
    <row r="113" spans="1:8" ht="16" x14ac:dyDescent="0.15">
      <c r="A113" s="345" t="s">
        <v>356</v>
      </c>
      <c r="B113" s="345"/>
      <c r="C113" s="345"/>
      <c r="D113" s="345"/>
      <c r="E113" s="345"/>
      <c r="F113" s="345"/>
      <c r="G113" s="345"/>
    </row>
    <row r="114" spans="1:8" ht="16" x14ac:dyDescent="0.15">
      <c r="A114" s="345" t="s">
        <v>514</v>
      </c>
      <c r="B114" s="345"/>
      <c r="C114" s="345"/>
      <c r="D114" s="345"/>
      <c r="E114" s="345"/>
      <c r="F114" s="345"/>
      <c r="G114" s="345"/>
    </row>
    <row r="115" spans="1:8" ht="15" thickBot="1" x14ac:dyDescent="0.2">
      <c r="B115" s="167"/>
      <c r="C115" s="167"/>
      <c r="D115" s="167"/>
      <c r="E115" s="167"/>
      <c r="F115" s="167"/>
    </row>
    <row r="116" spans="1:8" ht="17.5" customHeight="1" thickBot="1" x14ac:dyDescent="0.2">
      <c r="A116" s="173" t="s">
        <v>4</v>
      </c>
      <c r="B116" s="174"/>
      <c r="C116" s="168" t="s">
        <v>119</v>
      </c>
      <c r="D116" s="168" t="s">
        <v>80</v>
      </c>
      <c r="E116" s="168" t="s">
        <v>79</v>
      </c>
    </row>
    <row r="117" spans="1:8" x14ac:dyDescent="0.15">
      <c r="A117" s="175" t="s">
        <v>450</v>
      </c>
      <c r="B117" s="176"/>
      <c r="C117" s="177">
        <f>+B63</f>
        <v>12.813333333333338</v>
      </c>
      <c r="D117" s="177">
        <f>+B68</f>
        <v>2.0666666666666669</v>
      </c>
      <c r="E117" s="177">
        <f>+C117*D117</f>
        <v>26.480888888888902</v>
      </c>
    </row>
    <row r="118" spans="1:8" ht="15" thickBot="1" x14ac:dyDescent="0.2">
      <c r="A118" s="273" t="s">
        <v>451</v>
      </c>
      <c r="B118" s="274"/>
      <c r="C118" s="190">
        <f>+B86</f>
        <v>2.4800000000000004</v>
      </c>
      <c r="D118" s="190">
        <f>+G82/2</f>
        <v>3.1</v>
      </c>
      <c r="E118" s="190">
        <f>+C118*D118</f>
        <v>7.6880000000000015</v>
      </c>
    </row>
    <row r="119" spans="1:8" x14ac:dyDescent="0.15">
      <c r="A119" s="181"/>
      <c r="B119" s="167"/>
      <c r="C119" s="182"/>
      <c r="D119" s="167"/>
      <c r="E119" s="182"/>
    </row>
    <row r="120" spans="1:8" x14ac:dyDescent="0.15">
      <c r="A120" s="181"/>
      <c r="B120" s="167"/>
      <c r="C120" s="182"/>
      <c r="D120" s="167"/>
      <c r="E120" s="182"/>
    </row>
    <row r="121" spans="1:8" ht="18" x14ac:dyDescent="0.15">
      <c r="A121" s="156" t="s">
        <v>11</v>
      </c>
      <c r="B121" s="156"/>
      <c r="C121" s="156"/>
      <c r="D121" s="156"/>
      <c r="E121" s="156"/>
      <c r="F121" s="156"/>
      <c r="G121" s="156"/>
      <c r="H121" s="138"/>
    </row>
    <row r="122" spans="1:8" x14ac:dyDescent="0.15">
      <c r="A122" s="141"/>
      <c r="B122" s="141"/>
      <c r="C122" s="141"/>
      <c r="D122" s="141"/>
      <c r="E122" s="141"/>
      <c r="F122" s="141"/>
      <c r="G122" s="141"/>
    </row>
    <row r="123" spans="1:8" x14ac:dyDescent="0.15">
      <c r="A123" s="140" t="s">
        <v>36</v>
      </c>
    </row>
    <row r="125" spans="1:8" x14ac:dyDescent="0.15">
      <c r="A125" s="155" t="s">
        <v>122</v>
      </c>
    </row>
    <row r="126" spans="1:8" x14ac:dyDescent="0.15">
      <c r="A126" s="158"/>
    </row>
    <row r="127" spans="1:8" x14ac:dyDescent="0.15">
      <c r="C127" s="39"/>
    </row>
    <row r="128" spans="1:8" x14ac:dyDescent="0.15">
      <c r="C128" s="39"/>
    </row>
    <row r="129" spans="1:3" x14ac:dyDescent="0.15">
      <c r="A129" s="155" t="s">
        <v>9</v>
      </c>
      <c r="C129" s="39"/>
    </row>
    <row r="130" spans="1:3" x14ac:dyDescent="0.15">
      <c r="C130" s="39"/>
    </row>
    <row r="131" spans="1:3" x14ac:dyDescent="0.15">
      <c r="A131" s="158"/>
      <c r="C131" s="39"/>
    </row>
    <row r="132" spans="1:3" x14ac:dyDescent="0.15">
      <c r="C132" s="39"/>
    </row>
    <row r="133" spans="1:3" x14ac:dyDescent="0.15">
      <c r="A133" s="39" t="s">
        <v>120</v>
      </c>
      <c r="B133" s="191">
        <f>+(F32*(G35+C34)/2+D32*C34+C32*(G35+C34)/2)*MURO!D27</f>
        <v>6.048</v>
      </c>
      <c r="C133" s="39" t="s">
        <v>2</v>
      </c>
    </row>
    <row r="134" spans="1:3" x14ac:dyDescent="0.15">
      <c r="C134" s="39"/>
    </row>
    <row r="135" spans="1:3" x14ac:dyDescent="0.15">
      <c r="A135" s="158"/>
      <c r="C135" s="39"/>
    </row>
    <row r="136" spans="1:3" x14ac:dyDescent="0.15">
      <c r="C136" s="39"/>
    </row>
    <row r="137" spans="1:3" x14ac:dyDescent="0.15">
      <c r="A137" s="39" t="s">
        <v>121</v>
      </c>
      <c r="B137" s="191">
        <f>+D38/2</f>
        <v>2.1</v>
      </c>
      <c r="C137" s="39" t="s">
        <v>0</v>
      </c>
    </row>
    <row r="138" spans="1:3" x14ac:dyDescent="0.15">
      <c r="C138" s="39"/>
    </row>
    <row r="139" spans="1:3" x14ac:dyDescent="0.15">
      <c r="A139" s="155" t="s">
        <v>23</v>
      </c>
      <c r="B139" s="191"/>
      <c r="C139" s="39"/>
    </row>
    <row r="140" spans="1:3" x14ac:dyDescent="0.15">
      <c r="C140" s="39"/>
    </row>
    <row r="141" spans="1:3" x14ac:dyDescent="0.15">
      <c r="A141" s="158"/>
      <c r="C141" s="39"/>
    </row>
    <row r="142" spans="1:3" x14ac:dyDescent="0.15">
      <c r="C142" s="39"/>
    </row>
    <row r="143" spans="1:3" x14ac:dyDescent="0.15">
      <c r="A143" s="39" t="s">
        <v>123</v>
      </c>
      <c r="B143" s="191">
        <f>+G18*D6*MURO!D27</f>
        <v>4.9559999999999995</v>
      </c>
      <c r="C143" s="39" t="s">
        <v>2</v>
      </c>
    </row>
    <row r="144" spans="1:3" x14ac:dyDescent="0.15">
      <c r="C144" s="39"/>
    </row>
    <row r="145" spans="1:3" x14ac:dyDescent="0.15">
      <c r="A145" s="158"/>
      <c r="C145" s="39"/>
    </row>
    <row r="146" spans="1:3" x14ac:dyDescent="0.15">
      <c r="C146" s="39"/>
    </row>
    <row r="147" spans="1:3" x14ac:dyDescent="0.15">
      <c r="A147" s="39" t="s">
        <v>124</v>
      </c>
      <c r="B147" s="191">
        <f>+F32+D6/2</f>
        <v>1.375</v>
      </c>
      <c r="C147" s="39" t="s">
        <v>0</v>
      </c>
    </row>
    <row r="149" spans="1:3" x14ac:dyDescent="0.15">
      <c r="A149" s="155" t="s">
        <v>295</v>
      </c>
    </row>
    <row r="151" spans="1:3" x14ac:dyDescent="0.15">
      <c r="A151" s="158"/>
      <c r="C151" s="39"/>
    </row>
    <row r="153" spans="1:3" x14ac:dyDescent="0.15">
      <c r="A153" s="39" t="s">
        <v>125</v>
      </c>
      <c r="B153" s="146">
        <f>+D7*G18*MURO!D27/2</f>
        <v>1.0620000000000003</v>
      </c>
      <c r="C153" s="39" t="s">
        <v>2</v>
      </c>
    </row>
    <row r="154" spans="1:3" x14ac:dyDescent="0.15">
      <c r="A154" s="158"/>
      <c r="B154" s="191"/>
      <c r="C154" s="39"/>
    </row>
    <row r="155" spans="1:3" x14ac:dyDescent="0.15">
      <c r="A155" s="158"/>
      <c r="B155" s="191"/>
      <c r="C155" s="39"/>
    </row>
    <row r="156" spans="1:3" x14ac:dyDescent="0.15">
      <c r="A156" s="158"/>
      <c r="B156" s="191"/>
      <c r="C156" s="39"/>
    </row>
    <row r="158" spans="1:3" x14ac:dyDescent="0.15">
      <c r="A158" s="39" t="s">
        <v>126</v>
      </c>
      <c r="B158" s="146">
        <f>+F32+D6+D7/3</f>
        <v>1.5999999999999999</v>
      </c>
      <c r="C158" s="39" t="s">
        <v>0</v>
      </c>
    </row>
    <row r="160" spans="1:3" x14ac:dyDescent="0.15">
      <c r="A160" s="155" t="s">
        <v>296</v>
      </c>
    </row>
    <row r="162" spans="1:3" x14ac:dyDescent="0.15">
      <c r="A162" s="158"/>
    </row>
    <row r="163" spans="1:3" x14ac:dyDescent="0.15">
      <c r="A163" s="158"/>
      <c r="C163" s="39"/>
    </row>
    <row r="165" spans="1:3" x14ac:dyDescent="0.15">
      <c r="A165" s="39" t="s">
        <v>127</v>
      </c>
      <c r="B165" s="146">
        <f>+E22*D9*MURO!D28/2</f>
        <v>0.79728813559322054</v>
      </c>
      <c r="C165" s="39" t="s">
        <v>2</v>
      </c>
    </row>
    <row r="166" spans="1:3" x14ac:dyDescent="0.15">
      <c r="A166" s="158"/>
      <c r="B166" s="191"/>
      <c r="C166" s="39"/>
    </row>
    <row r="167" spans="1:3" x14ac:dyDescent="0.15">
      <c r="A167" s="158"/>
      <c r="B167" s="191"/>
      <c r="C167" s="39"/>
    </row>
    <row r="168" spans="1:3" x14ac:dyDescent="0.15">
      <c r="A168" s="158"/>
      <c r="B168" s="191"/>
      <c r="C168" s="39"/>
    </row>
    <row r="170" spans="1:3" x14ac:dyDescent="0.15">
      <c r="A170" s="39" t="s">
        <v>128</v>
      </c>
      <c r="B170" s="146">
        <f>+F32+D6+D9*2/3</f>
        <v>1.644915254237288</v>
      </c>
      <c r="C170" s="39" t="s">
        <v>0</v>
      </c>
    </row>
    <row r="172" spans="1:3" x14ac:dyDescent="0.15">
      <c r="A172" s="155" t="s">
        <v>297</v>
      </c>
    </row>
    <row r="174" spans="1:3" x14ac:dyDescent="0.15">
      <c r="A174" s="158"/>
      <c r="C174" s="39"/>
    </row>
    <row r="176" spans="1:3" x14ac:dyDescent="0.15">
      <c r="A176" s="39" t="s">
        <v>129</v>
      </c>
      <c r="B176" s="146">
        <f>+C32*E22*MURO!D28</f>
        <v>28.000000000000004</v>
      </c>
      <c r="C176" s="39" t="s">
        <v>2</v>
      </c>
    </row>
    <row r="177" spans="1:7" x14ac:dyDescent="0.15">
      <c r="A177" s="158"/>
      <c r="B177" s="191"/>
      <c r="C177" s="39"/>
    </row>
    <row r="178" spans="1:7" x14ac:dyDescent="0.15">
      <c r="A178" s="158"/>
      <c r="B178" s="191"/>
      <c r="C178" s="39"/>
    </row>
    <row r="179" spans="1:7" x14ac:dyDescent="0.15">
      <c r="A179" s="158"/>
      <c r="B179" s="191"/>
      <c r="C179" s="39"/>
    </row>
    <row r="181" spans="1:7" x14ac:dyDescent="0.15">
      <c r="A181" s="39" t="s">
        <v>130</v>
      </c>
      <c r="B181" s="146">
        <f>+D38-C32/2</f>
        <v>2.95</v>
      </c>
      <c r="C181" s="39" t="s">
        <v>0</v>
      </c>
    </row>
    <row r="182" spans="1:7" x14ac:dyDescent="0.15">
      <c r="A182" s="39"/>
      <c r="B182" s="146"/>
      <c r="C182" s="39"/>
    </row>
    <row r="183" spans="1:7" ht="16" x14ac:dyDescent="0.15">
      <c r="A183" s="345" t="s">
        <v>357</v>
      </c>
      <c r="B183" s="345"/>
      <c r="C183" s="345"/>
      <c r="D183" s="345"/>
      <c r="E183" s="345"/>
      <c r="F183" s="345"/>
      <c r="G183" s="345"/>
    </row>
    <row r="184" spans="1:7" ht="17.5" customHeight="1" x14ac:dyDescent="0.15">
      <c r="A184" s="345" t="s">
        <v>487</v>
      </c>
      <c r="B184" s="345"/>
      <c r="C184" s="345"/>
      <c r="D184" s="345"/>
      <c r="E184" s="345"/>
      <c r="F184" s="345"/>
      <c r="G184" s="345"/>
    </row>
    <row r="185" spans="1:7" ht="17.5" customHeight="1" thickBot="1" x14ac:dyDescent="0.2">
      <c r="A185" s="172"/>
      <c r="B185" s="172"/>
      <c r="C185" s="172"/>
      <c r="D185" s="172"/>
      <c r="E185" s="172"/>
      <c r="F185" s="172"/>
      <c r="G185" s="172"/>
    </row>
    <row r="186" spans="1:7" ht="15" thickBot="1" x14ac:dyDescent="0.2">
      <c r="A186" s="168" t="s">
        <v>37</v>
      </c>
      <c r="B186" s="168" t="s">
        <v>38</v>
      </c>
      <c r="C186" s="168" t="s">
        <v>77</v>
      </c>
      <c r="D186" s="168" t="s">
        <v>78</v>
      </c>
      <c r="E186" s="168" t="s">
        <v>79</v>
      </c>
    </row>
    <row r="187" spans="1:7" x14ac:dyDescent="0.15">
      <c r="A187" s="183" t="s">
        <v>39</v>
      </c>
      <c r="B187" s="183">
        <v>1</v>
      </c>
      <c r="C187" s="177">
        <f>+B133</f>
        <v>6.048</v>
      </c>
      <c r="D187" s="177">
        <f>+B137</f>
        <v>2.1</v>
      </c>
      <c r="E187" s="177">
        <f>+D187*C187</f>
        <v>12.700800000000001</v>
      </c>
    </row>
    <row r="188" spans="1:7" x14ac:dyDescent="0.15">
      <c r="A188" s="169" t="s">
        <v>26</v>
      </c>
      <c r="B188" s="169">
        <v>2</v>
      </c>
      <c r="C188" s="170">
        <f>+B143</f>
        <v>4.9559999999999995</v>
      </c>
      <c r="D188" s="170">
        <f>+B147</f>
        <v>1.375</v>
      </c>
      <c r="E188" s="170">
        <f t="shared" ref="E188" si="0">+D188*C188</f>
        <v>6.8144999999999989</v>
      </c>
    </row>
    <row r="189" spans="1:7" ht="15" thickBot="1" x14ac:dyDescent="0.2">
      <c r="A189" s="226" t="s">
        <v>26</v>
      </c>
      <c r="B189" s="226">
        <v>3</v>
      </c>
      <c r="C189" s="227">
        <f>+B153</f>
        <v>1.0620000000000003</v>
      </c>
      <c r="D189" s="227">
        <f>+B158</f>
        <v>1.5999999999999999</v>
      </c>
      <c r="E189" s="227">
        <f t="shared" ref="E189:E192" si="1">+D189*C189</f>
        <v>1.6992000000000003</v>
      </c>
    </row>
    <row r="190" spans="1:7" ht="15" thickBot="1" x14ac:dyDescent="0.2">
      <c r="A190" s="228" t="s">
        <v>429</v>
      </c>
      <c r="B190" s="228"/>
      <c r="C190" s="184">
        <f>SUM(C187:C189)</f>
        <v>12.065999999999999</v>
      </c>
      <c r="D190" s="184"/>
      <c r="E190" s="184">
        <f>SUM(E187:E189)</f>
        <v>21.214500000000001</v>
      </c>
      <c r="F190" s="140" t="s">
        <v>430</v>
      </c>
    </row>
    <row r="191" spans="1:7" x14ac:dyDescent="0.15">
      <c r="A191" s="169" t="s">
        <v>21</v>
      </c>
      <c r="B191" s="169">
        <v>4</v>
      </c>
      <c r="C191" s="170">
        <f>+B165</f>
        <v>0.79728813559322054</v>
      </c>
      <c r="D191" s="170">
        <f>+B170</f>
        <v>1.644915254237288</v>
      </c>
      <c r="E191" s="170">
        <f t="shared" si="1"/>
        <v>1.3114714162596957</v>
      </c>
    </row>
    <row r="192" spans="1:7" x14ac:dyDescent="0.15">
      <c r="A192" s="169" t="s">
        <v>21</v>
      </c>
      <c r="B192" s="169">
        <v>5</v>
      </c>
      <c r="C192" s="170">
        <f>+B176</f>
        <v>28.000000000000004</v>
      </c>
      <c r="D192" s="170">
        <f>+B181</f>
        <v>2.95</v>
      </c>
      <c r="E192" s="170">
        <f t="shared" si="1"/>
        <v>82.600000000000009</v>
      </c>
    </row>
    <row r="193" spans="1:6" ht="15" thickBot="1" x14ac:dyDescent="0.2">
      <c r="A193" s="169" t="s">
        <v>416</v>
      </c>
      <c r="B193" s="169">
        <v>6</v>
      </c>
      <c r="C193" s="170">
        <f>+F32*MURO!D40*MURO!D28</f>
        <v>-0.23999999999999994</v>
      </c>
      <c r="D193" s="170">
        <f>+F32/2</f>
        <v>0.6</v>
      </c>
      <c r="E193" s="170">
        <f t="shared" ref="E193" si="2">+D193*C193</f>
        <v>-0.14399999999999996</v>
      </c>
    </row>
    <row r="194" spans="1:6" ht="15" thickBot="1" x14ac:dyDescent="0.2">
      <c r="A194" s="228" t="s">
        <v>431</v>
      </c>
      <c r="B194" s="228"/>
      <c r="C194" s="184">
        <f>SUM(C191:C193)</f>
        <v>28.557288135593225</v>
      </c>
      <c r="D194" s="184"/>
      <c r="E194" s="184">
        <f>SUM(E191:E193)</f>
        <v>83.767471416259696</v>
      </c>
      <c r="F194" s="140" t="s">
        <v>432</v>
      </c>
    </row>
    <row r="195" spans="1:6" ht="15" thickBot="1" x14ac:dyDescent="0.2">
      <c r="A195" s="228" t="s">
        <v>489</v>
      </c>
      <c r="B195" s="228"/>
      <c r="C195" s="184">
        <f>+MURO!D28*MURO!D83</f>
        <v>1.2</v>
      </c>
      <c r="D195" s="184">
        <f>+D38-C32/2</f>
        <v>2.95</v>
      </c>
      <c r="E195" s="184">
        <f>+D195*C195</f>
        <v>3.54</v>
      </c>
      <c r="F195" s="140" t="s">
        <v>491</v>
      </c>
    </row>
    <row r="196" spans="1:6" x14ac:dyDescent="0.15">
      <c r="A196" s="237"/>
      <c r="B196" s="237"/>
      <c r="C196" s="192"/>
      <c r="D196" s="192"/>
      <c r="E196" s="192"/>
    </row>
    <row r="197" spans="1:6" x14ac:dyDescent="0.15">
      <c r="A197" s="162" t="s">
        <v>433</v>
      </c>
      <c r="C197" s="186"/>
      <c r="D197" s="185"/>
      <c r="E197" s="186"/>
      <c r="F197" s="185"/>
    </row>
    <row r="198" spans="1:6" x14ac:dyDescent="0.15">
      <c r="C198" s="186"/>
      <c r="D198" s="185"/>
      <c r="E198" s="186"/>
      <c r="F198" s="185"/>
    </row>
    <row r="199" spans="1:6" x14ac:dyDescent="0.15">
      <c r="A199" s="229" t="s">
        <v>434</v>
      </c>
      <c r="B199" s="229" t="s">
        <v>435</v>
      </c>
      <c r="C199" s="222"/>
      <c r="D199" s="222"/>
    </row>
    <row r="200" spans="1:6" x14ac:dyDescent="0.15">
      <c r="A200" s="229" t="s">
        <v>436</v>
      </c>
      <c r="B200" s="229" t="s">
        <v>437</v>
      </c>
      <c r="C200" s="187"/>
      <c r="D200" s="187"/>
    </row>
    <row r="201" spans="1:6" ht="19" x14ac:dyDescent="0.15">
      <c r="A201" s="230" t="s">
        <v>438</v>
      </c>
      <c r="B201" s="229" t="s">
        <v>439</v>
      </c>
      <c r="C201" s="187"/>
      <c r="D201" s="187"/>
    </row>
    <row r="202" spans="1:6" ht="19" x14ac:dyDescent="0.15">
      <c r="A202" s="233" t="s">
        <v>440</v>
      </c>
      <c r="B202" s="229" t="s">
        <v>441</v>
      </c>
      <c r="C202" s="187"/>
      <c r="D202" s="187"/>
    </row>
    <row r="203" spans="1:6" x14ac:dyDescent="0.15">
      <c r="A203" s="229" t="s">
        <v>442</v>
      </c>
      <c r="B203" s="229" t="s">
        <v>443</v>
      </c>
      <c r="C203" s="187"/>
      <c r="D203" s="187"/>
    </row>
    <row r="204" spans="1:6" ht="19" x14ac:dyDescent="0.15">
      <c r="A204" s="230" t="s">
        <v>438</v>
      </c>
      <c r="B204" s="146">
        <v>0.85</v>
      </c>
      <c r="C204" s="39"/>
      <c r="D204" s="187"/>
    </row>
    <row r="205" spans="1:6" ht="19" x14ac:dyDescent="0.15">
      <c r="A205" s="233" t="s">
        <v>440</v>
      </c>
      <c r="B205" s="146">
        <v>1</v>
      </c>
      <c r="C205" s="187"/>
      <c r="D205" s="187"/>
    </row>
    <row r="206" spans="1:6" x14ac:dyDescent="0.15">
      <c r="A206" s="229" t="s">
        <v>436</v>
      </c>
      <c r="B206" s="232">
        <f>+B101</f>
        <v>2.9999999999999991</v>
      </c>
      <c r="C206" s="236" t="s">
        <v>2</v>
      </c>
      <c r="D206" s="222"/>
    </row>
    <row r="207" spans="1:6" x14ac:dyDescent="0.15">
      <c r="A207" s="229" t="s">
        <v>113</v>
      </c>
      <c r="B207" s="232">
        <f>0.9*C190+C194</f>
        <v>39.416688135593226</v>
      </c>
      <c r="C207" s="236" t="s">
        <v>2</v>
      </c>
      <c r="D207" s="229" t="s">
        <v>445</v>
      </c>
    </row>
    <row r="208" spans="1:6" ht="15" x14ac:dyDescent="0.15">
      <c r="A208" s="229" t="s">
        <v>434</v>
      </c>
      <c r="B208" s="232">
        <f>+TAN(B47)*B207</f>
        <v>22.757235505648275</v>
      </c>
      <c r="C208" s="236" t="s">
        <v>2</v>
      </c>
      <c r="D208" s="229" t="s">
        <v>446</v>
      </c>
    </row>
    <row r="209" spans="1:8" ht="15" x14ac:dyDescent="0.15">
      <c r="A209" s="222" t="s">
        <v>442</v>
      </c>
      <c r="B209" s="234">
        <f>B208*B204+B206*B205</f>
        <v>22.343650179801035</v>
      </c>
      <c r="C209" s="167" t="s">
        <v>2</v>
      </c>
      <c r="D209" s="222" t="s">
        <v>447</v>
      </c>
    </row>
    <row r="210" spans="1:8" x14ac:dyDescent="0.15">
      <c r="A210" s="187"/>
      <c r="B210" s="187"/>
      <c r="C210" s="167"/>
      <c r="D210" s="187"/>
    </row>
    <row r="211" spans="1:8" x14ac:dyDescent="0.15">
      <c r="A211" s="222" t="s">
        <v>448</v>
      </c>
      <c r="B211" s="187"/>
      <c r="C211" s="167"/>
      <c r="D211" s="187"/>
    </row>
    <row r="212" spans="1:8" x14ac:dyDescent="0.15">
      <c r="A212" s="39"/>
      <c r="B212" s="146"/>
      <c r="C212" s="167"/>
      <c r="D212" s="187"/>
    </row>
    <row r="213" spans="1:8" x14ac:dyDescent="0.15">
      <c r="A213" s="222" t="s">
        <v>449</v>
      </c>
      <c r="B213" s="234">
        <f>1.5*C117+1.75*C118</f>
        <v>23.560000000000006</v>
      </c>
      <c r="C213" s="167" t="s">
        <v>2</v>
      </c>
      <c r="D213" s="222" t="s">
        <v>452</v>
      </c>
    </row>
    <row r="214" spans="1:8" x14ac:dyDescent="0.15">
      <c r="A214" s="229" t="s">
        <v>237</v>
      </c>
      <c r="B214" s="235" t="str">
        <f>IF(B213&gt;B209,"revisar","ok")</f>
        <v>revisar</v>
      </c>
      <c r="C214" s="39"/>
      <c r="D214" s="187"/>
    </row>
    <row r="215" spans="1:8" x14ac:dyDescent="0.15">
      <c r="A215" s="39"/>
      <c r="B215" s="146"/>
      <c r="C215" s="142"/>
      <c r="D215" s="187"/>
    </row>
    <row r="216" spans="1:8" ht="18" x14ac:dyDescent="0.15">
      <c r="A216" s="156" t="s">
        <v>494</v>
      </c>
      <c r="B216" s="156"/>
      <c r="C216" s="156"/>
      <c r="D216" s="156"/>
      <c r="E216" s="156"/>
      <c r="F216" s="156"/>
      <c r="G216" s="156"/>
      <c r="H216" s="138"/>
    </row>
    <row r="217" spans="1:8" ht="14" customHeight="1" x14ac:dyDescent="0.15">
      <c r="A217" s="156"/>
      <c r="B217" s="156"/>
      <c r="C217" s="156"/>
      <c r="D217" s="156"/>
      <c r="E217" s="156"/>
      <c r="F217" s="156"/>
      <c r="G217" s="156"/>
      <c r="H217" s="220"/>
    </row>
    <row r="218" spans="1:8" ht="14" customHeight="1" x14ac:dyDescent="0.15">
      <c r="A218" s="222" t="s">
        <v>473</v>
      </c>
      <c r="B218" s="232"/>
      <c r="C218" s="232"/>
      <c r="D218" s="232"/>
      <c r="E218" s="138"/>
      <c r="F218" s="138"/>
      <c r="G218" s="138"/>
      <c r="H218" s="138"/>
    </row>
    <row r="219" spans="1:8" ht="14" customHeight="1" x14ac:dyDescent="0.15">
      <c r="A219" s="229" t="s">
        <v>200</v>
      </c>
      <c r="B219" s="232">
        <f>D38</f>
        <v>4.2</v>
      </c>
      <c r="C219" s="232" t="s">
        <v>0</v>
      </c>
      <c r="D219" s="231" t="s">
        <v>453</v>
      </c>
      <c r="E219" s="138"/>
      <c r="F219" s="138"/>
      <c r="G219" s="138"/>
      <c r="H219" s="138"/>
    </row>
    <row r="220" spans="1:8" ht="14" customHeight="1" x14ac:dyDescent="0.15">
      <c r="A220" s="229" t="s">
        <v>461</v>
      </c>
      <c r="B220" s="244">
        <f>B219/6</f>
        <v>0.70000000000000007</v>
      </c>
      <c r="C220" s="232" t="s">
        <v>0</v>
      </c>
      <c r="D220" s="231" t="s">
        <v>498</v>
      </c>
      <c r="E220" s="220"/>
      <c r="F220" s="220"/>
      <c r="G220" s="220"/>
      <c r="H220" s="220"/>
    </row>
    <row r="221" spans="1:8" ht="14" customHeight="1" x14ac:dyDescent="0.15">
      <c r="A221" s="229" t="s">
        <v>464</v>
      </c>
      <c r="B221" s="232">
        <f>1.5*E117+1.75*E118</f>
        <v>53.175333333333356</v>
      </c>
      <c r="C221" s="232" t="s">
        <v>3</v>
      </c>
      <c r="D221" s="229" t="s">
        <v>452</v>
      </c>
      <c r="E221" s="138"/>
      <c r="F221" s="138"/>
      <c r="G221" s="138"/>
      <c r="H221" s="138"/>
    </row>
    <row r="222" spans="1:8" ht="14" customHeight="1" x14ac:dyDescent="0.15">
      <c r="A222" s="229" t="s">
        <v>463</v>
      </c>
      <c r="B222" s="232">
        <f>0.9*E190+E194</f>
        <v>102.8605214162597</v>
      </c>
      <c r="C222" s="232" t="s">
        <v>3</v>
      </c>
      <c r="D222" s="229" t="s">
        <v>492</v>
      </c>
      <c r="E222" s="138"/>
      <c r="F222" s="138"/>
      <c r="G222" s="138"/>
      <c r="H222" s="138"/>
    </row>
    <row r="223" spans="1:8" ht="14" customHeight="1" thickBot="1" x14ac:dyDescent="0.2">
      <c r="A223" s="229" t="s">
        <v>113</v>
      </c>
      <c r="B223" s="232">
        <f>0.9*C190+C194</f>
        <v>39.416688135593226</v>
      </c>
      <c r="C223" s="232" t="s">
        <v>2</v>
      </c>
      <c r="D223" s="231" t="str">
        <f>+D222</f>
        <v>0.90*DC+1.0*EV</v>
      </c>
      <c r="E223" s="138"/>
      <c r="F223" s="138"/>
      <c r="G223" s="138"/>
      <c r="H223" s="138"/>
    </row>
    <row r="224" spans="1:8" ht="14" customHeight="1" thickBot="1" x14ac:dyDescent="0.2">
      <c r="A224" s="229" t="s">
        <v>454</v>
      </c>
      <c r="B224" s="232">
        <f>+(B222-B221)/B223</f>
        <v>1.2605114846790153</v>
      </c>
      <c r="C224" s="232" t="s">
        <v>0</v>
      </c>
      <c r="D224" s="229" t="s">
        <v>493</v>
      </c>
      <c r="E224" s="138"/>
      <c r="F224" s="250" t="s">
        <v>502</v>
      </c>
      <c r="G224" s="138"/>
      <c r="H224" s="138"/>
    </row>
    <row r="225" spans="1:8" ht="14" customHeight="1" thickBot="1" x14ac:dyDescent="0.2">
      <c r="A225" s="246" t="s">
        <v>455</v>
      </c>
      <c r="B225" s="247">
        <f>+B219/2-B224</f>
        <v>0.83948851532098479</v>
      </c>
      <c r="C225" s="248" t="s">
        <v>0</v>
      </c>
      <c r="D225" s="246" t="s">
        <v>459</v>
      </c>
      <c r="E225" s="249" t="str">
        <f>+IF(B225&gt;B220,"Revisar","ok")</f>
        <v>Revisar</v>
      </c>
      <c r="F225" s="250" t="s">
        <v>503</v>
      </c>
      <c r="G225" s="138"/>
      <c r="H225" s="138"/>
    </row>
    <row r="226" spans="1:8" ht="14" customHeight="1" x14ac:dyDescent="0.15">
      <c r="A226" s="229"/>
      <c r="B226" s="244"/>
      <c r="C226" s="232"/>
      <c r="D226" s="229"/>
      <c r="E226" s="245"/>
      <c r="F226" s="239"/>
      <c r="G226" s="239"/>
      <c r="H226" s="239"/>
    </row>
    <row r="227" spans="1:8" ht="14" customHeight="1" x14ac:dyDescent="0.15">
      <c r="A227" s="156" t="s">
        <v>495</v>
      </c>
      <c r="B227" s="244"/>
      <c r="C227" s="232"/>
      <c r="D227" s="229"/>
      <c r="E227" s="245"/>
      <c r="F227" s="239"/>
      <c r="G227" s="239"/>
      <c r="H227" s="239"/>
    </row>
    <row r="228" spans="1:8" ht="14" customHeight="1" x14ac:dyDescent="0.15">
      <c r="A228" s="229"/>
      <c r="B228" s="244"/>
      <c r="C228" s="232"/>
      <c r="D228" s="229"/>
      <c r="E228" s="245"/>
      <c r="F228" s="239"/>
      <c r="G228" s="239"/>
      <c r="H228" s="239"/>
    </row>
    <row r="229" spans="1:8" ht="14" customHeight="1" x14ac:dyDescent="0.15">
      <c r="A229" s="229" t="s">
        <v>216</v>
      </c>
      <c r="B229" s="232">
        <f>+MURO!D31</f>
        <v>48.4</v>
      </c>
      <c r="C229" s="232" t="s">
        <v>457</v>
      </c>
      <c r="D229" s="229"/>
      <c r="E229" s="245"/>
      <c r="F229" s="239"/>
      <c r="G229" s="239"/>
      <c r="H229" s="239"/>
    </row>
    <row r="230" spans="1:8" ht="14" customHeight="1" x14ac:dyDescent="0.15">
      <c r="A230" s="229" t="s">
        <v>200</v>
      </c>
      <c r="B230" s="232">
        <f>+B219</f>
        <v>4.2</v>
      </c>
      <c r="C230" s="232" t="s">
        <v>0</v>
      </c>
      <c r="D230" s="231" t="s">
        <v>453</v>
      </c>
      <c r="E230" s="220"/>
      <c r="G230" s="239"/>
      <c r="H230" s="239"/>
    </row>
    <row r="231" spans="1:8" ht="14" customHeight="1" x14ac:dyDescent="0.15">
      <c r="A231" s="229" t="s">
        <v>464</v>
      </c>
      <c r="B231" s="232">
        <f>1.5*E117+1.75*E118</f>
        <v>53.175333333333356</v>
      </c>
      <c r="C231" s="232" t="s">
        <v>3</v>
      </c>
      <c r="D231" s="229" t="s">
        <v>497</v>
      </c>
      <c r="E231" s="220"/>
      <c r="G231" s="239"/>
      <c r="H231" s="239"/>
    </row>
    <row r="232" spans="1:8" ht="14" customHeight="1" x14ac:dyDescent="0.15">
      <c r="A232" s="229" t="s">
        <v>463</v>
      </c>
      <c r="B232" s="232">
        <f>1.25*E190+1.35*E194+1.75*E195</f>
        <v>145.79921141195061</v>
      </c>
      <c r="C232" s="232" t="s">
        <v>3</v>
      </c>
      <c r="D232" s="229" t="s">
        <v>496</v>
      </c>
      <c r="E232" s="220"/>
      <c r="G232" s="239"/>
      <c r="H232" s="239"/>
    </row>
    <row r="233" spans="1:8" ht="14" customHeight="1" thickBot="1" x14ac:dyDescent="0.2">
      <c r="A233" s="229" t="s">
        <v>113</v>
      </c>
      <c r="B233" s="232">
        <f>1.25*C190+1.35*C194+1.75*C195</f>
        <v>55.734838983050857</v>
      </c>
      <c r="C233" s="232" t="s">
        <v>2</v>
      </c>
      <c r="D233" s="231" t="str">
        <f>+D232</f>
        <v>1.25*DC+1.35*EV+1.75 LS</v>
      </c>
      <c r="E233" s="220"/>
      <c r="G233" s="239"/>
      <c r="H233" s="239"/>
    </row>
    <row r="234" spans="1:8" ht="14" customHeight="1" thickBot="1" x14ac:dyDescent="0.2">
      <c r="A234" s="229" t="s">
        <v>454</v>
      </c>
      <c r="B234" s="232">
        <f>+(B232-B231)/B233</f>
        <v>1.6618667922730426</v>
      </c>
      <c r="C234" s="232" t="s">
        <v>0</v>
      </c>
      <c r="D234" s="229" t="s">
        <v>458</v>
      </c>
      <c r="E234" s="220"/>
      <c r="F234" s="250" t="s">
        <v>502</v>
      </c>
      <c r="G234" s="239"/>
      <c r="H234" s="239"/>
    </row>
    <row r="235" spans="1:8" ht="14" customHeight="1" thickBot="1" x14ac:dyDescent="0.2">
      <c r="A235" s="229" t="s">
        <v>455</v>
      </c>
      <c r="B235" s="232">
        <f>+B230/2-B234</f>
        <v>0.43813320772695752</v>
      </c>
      <c r="C235" s="232" t="s">
        <v>0</v>
      </c>
      <c r="D235" s="229" t="s">
        <v>459</v>
      </c>
      <c r="E235" s="220"/>
      <c r="F235" s="250" t="s">
        <v>503</v>
      </c>
      <c r="G235" s="239"/>
      <c r="H235" s="239"/>
    </row>
    <row r="236" spans="1:8" ht="14" customHeight="1" thickBot="1" x14ac:dyDescent="0.2">
      <c r="A236" s="246" t="s">
        <v>456</v>
      </c>
      <c r="B236" s="248">
        <f>+B233/(B230-2*B235)</f>
        <v>16.76874441507394</v>
      </c>
      <c r="C236" s="248" t="s">
        <v>457</v>
      </c>
      <c r="D236" s="246" t="s">
        <v>460</v>
      </c>
      <c r="E236" s="249" t="str">
        <f>IF(B236&gt;B229,"Revisar","ok")</f>
        <v>ok</v>
      </c>
      <c r="F236" s="250" t="s">
        <v>501</v>
      </c>
      <c r="G236" s="239"/>
      <c r="H236" s="239"/>
    </row>
    <row r="237" spans="1:8" ht="14" customHeight="1" x14ac:dyDescent="0.15">
      <c r="A237" s="229"/>
      <c r="B237" s="244"/>
      <c r="C237" s="232"/>
      <c r="D237" s="229"/>
      <c r="E237" s="245"/>
      <c r="F237" s="252"/>
      <c r="G237" s="252"/>
      <c r="H237" s="252"/>
    </row>
    <row r="238" spans="1:8" ht="14" customHeight="1" x14ac:dyDescent="0.15">
      <c r="A238" s="156" t="s">
        <v>500</v>
      </c>
      <c r="B238" s="244"/>
      <c r="C238" s="232"/>
      <c r="D238" s="229"/>
      <c r="E238" s="245"/>
      <c r="F238" s="239"/>
      <c r="G238" s="239"/>
      <c r="H238" s="239"/>
    </row>
    <row r="239" spans="1:8" ht="14" customHeight="1" x14ac:dyDescent="0.15">
      <c r="A239" s="225"/>
      <c r="B239" s="244"/>
      <c r="C239" s="232"/>
      <c r="D239" s="229"/>
      <c r="E239" s="245"/>
      <c r="F239" s="252"/>
      <c r="G239" s="252"/>
      <c r="H239" s="252"/>
    </row>
    <row r="240" spans="1:8" ht="14" customHeight="1" x14ac:dyDescent="0.15">
      <c r="A240" s="225" t="s">
        <v>523</v>
      </c>
      <c r="B240" s="244"/>
      <c r="C240" s="232"/>
      <c r="D240" s="229"/>
      <c r="E240" s="245"/>
      <c r="F240" s="252"/>
      <c r="G240" s="252"/>
      <c r="H240" s="252"/>
    </row>
    <row r="241" spans="1:7" ht="15" thickBot="1" x14ac:dyDescent="0.2">
      <c r="A241" s="162" t="s">
        <v>522</v>
      </c>
    </row>
    <row r="242" spans="1:7" ht="15" thickBot="1" x14ac:dyDescent="0.2">
      <c r="F242" s="168" t="s">
        <v>15</v>
      </c>
      <c r="G242" s="168" t="s">
        <v>16</v>
      </c>
    </row>
    <row r="243" spans="1:7" ht="16" thickBot="1" x14ac:dyDescent="0.2">
      <c r="A243" s="168" t="s">
        <v>468</v>
      </c>
      <c r="B243" s="168" t="s">
        <v>467</v>
      </c>
      <c r="C243" s="168" t="s">
        <v>466</v>
      </c>
      <c r="D243" s="168" t="s">
        <v>469</v>
      </c>
      <c r="E243" s="168" t="s">
        <v>73</v>
      </c>
      <c r="F243" s="168" t="s">
        <v>74</v>
      </c>
      <c r="G243" s="168" t="s">
        <v>75</v>
      </c>
    </row>
    <row r="244" spans="1:7" x14ac:dyDescent="0.15">
      <c r="A244" s="188">
        <f>+B231</f>
        <v>53.175333333333356</v>
      </c>
      <c r="B244" s="188">
        <f>+B232</f>
        <v>145.79921141195061</v>
      </c>
      <c r="C244" s="188">
        <f>+B233</f>
        <v>55.734838983050857</v>
      </c>
      <c r="D244" s="188">
        <f>+(B244-A244)/C244</f>
        <v>1.6618667922730426</v>
      </c>
      <c r="E244" s="188">
        <f>-B225</f>
        <v>-0.83948851532098479</v>
      </c>
      <c r="F244" s="189">
        <f>+C244/B219*(1-6*E244/B219)</f>
        <v>29.184743033221466</v>
      </c>
      <c r="G244" s="189">
        <f>+C244/B219*(1+6*E244/B219)</f>
        <v>-2.6443435174829606</v>
      </c>
    </row>
    <row r="245" spans="1:7" x14ac:dyDescent="0.15">
      <c r="A245" s="188">
        <f>+E117+E118</f>
        <v>34.168888888888901</v>
      </c>
      <c r="B245" s="188">
        <f>+E190+E194+E195</f>
        <v>108.5219714162597</v>
      </c>
      <c r="C245" s="188">
        <f>+C190+C194+C195</f>
        <v>41.823288135593231</v>
      </c>
      <c r="D245" s="188">
        <f>+(B245-A245)/C245</f>
        <v>1.7777914133942392</v>
      </c>
      <c r="E245" s="188">
        <f>+B219/2-D245</f>
        <v>0.3222085866057609</v>
      </c>
      <c r="F245" s="189">
        <f>+C245/B219*(1-6*E245/B219)</f>
        <v>5.374312631816422</v>
      </c>
      <c r="G245" s="189">
        <f>+C245/B219*(1+6*E245/B219)</f>
        <v>14.541538861323213</v>
      </c>
    </row>
  </sheetData>
  <mergeCells count="7">
    <mergeCell ref="A184:G184"/>
    <mergeCell ref="A65:B65"/>
    <mergeCell ref="A103:B103"/>
    <mergeCell ref="A1:G1"/>
    <mergeCell ref="A113:G113"/>
    <mergeCell ref="A114:G114"/>
    <mergeCell ref="A183:G183"/>
  </mergeCells>
  <phoneticPr fontId="0" type="noConversion"/>
  <printOptions horizontalCentered="1"/>
  <pageMargins left="0.78740157480314965" right="0.78740157480314965" top="0.78740157480314965" bottom="0.78740157480314965" header="0.31496062992125984" footer="0.31496062992125984"/>
  <pageSetup scale="85" orientation="portrait" r:id="rId1"/>
  <headerFooter alignWithMargins="0">
    <oddHeader>&amp;C&amp;F</oddHeader>
    <oddFooter>&amp;C&amp;P</oddFooter>
  </headerFooter>
  <rowBreaks count="5" manualBreakCount="5">
    <brk id="40" max="6" man="1"/>
    <brk id="91" max="6" man="1"/>
    <brk id="137" max="6" man="1"/>
    <brk id="181" max="6" man="1"/>
    <brk id="22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view="pageBreakPreview" topLeftCell="A232" zoomScale="125" zoomScaleNormal="173" zoomScaleSheetLayoutView="85" zoomScalePageLayoutView="173" workbookViewId="0">
      <selection activeCell="H9" sqref="H9"/>
    </sheetView>
  </sheetViews>
  <sheetFormatPr baseColWidth="10" defaultColWidth="11.5" defaultRowHeight="14" x14ac:dyDescent="0.15"/>
  <cols>
    <col min="1" max="1" width="12.5" style="140" customWidth="1"/>
    <col min="2" max="2" width="13.5" style="140" customWidth="1"/>
    <col min="3" max="3" width="13.16406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8" width="13.33203125" style="140" bestFit="1" customWidth="1"/>
    <col min="9" max="16384" width="11.5" style="140"/>
  </cols>
  <sheetData>
    <row r="1" spans="1:7" ht="20" x14ac:dyDescent="0.15">
      <c r="A1" s="349" t="s">
        <v>504</v>
      </c>
      <c r="B1" s="349"/>
      <c r="C1" s="349"/>
      <c r="D1" s="349"/>
      <c r="E1" s="349"/>
      <c r="F1" s="349"/>
      <c r="G1" s="349"/>
    </row>
    <row r="2" spans="1:7" x14ac:dyDescent="0.15">
      <c r="A2" s="141"/>
      <c r="B2" s="141"/>
      <c r="C2" s="141"/>
      <c r="D2" s="141"/>
      <c r="E2" s="141"/>
      <c r="F2" s="141"/>
      <c r="G2" s="141"/>
    </row>
    <row r="3" spans="1:7" x14ac:dyDescent="0.15">
      <c r="A3" s="141"/>
      <c r="B3" s="141"/>
      <c r="C3" s="141"/>
      <c r="D3" s="141"/>
      <c r="E3" s="141"/>
      <c r="F3" s="141"/>
      <c r="G3" s="141"/>
    </row>
    <row r="5" spans="1:7" x14ac:dyDescent="0.15">
      <c r="D5" s="142"/>
    </row>
    <row r="6" spans="1:7" x14ac:dyDescent="0.15">
      <c r="D6" s="143">
        <f>+MURO!D14</f>
        <v>0.35</v>
      </c>
    </row>
    <row r="7" spans="1:7" x14ac:dyDescent="0.15">
      <c r="C7" s="144" t="s">
        <v>286</v>
      </c>
      <c r="D7" s="145">
        <f>+MURO!D89</f>
        <v>0.15000000000000002</v>
      </c>
    </row>
    <row r="8" spans="1:7" x14ac:dyDescent="0.15">
      <c r="C8" s="142"/>
      <c r="E8" s="146">
        <f>+MURO!D11</f>
        <v>0.3</v>
      </c>
    </row>
    <row r="9" spans="1:7" x14ac:dyDescent="0.15">
      <c r="C9" s="144" t="s">
        <v>287</v>
      </c>
      <c r="D9" s="145">
        <f>+MURO!D90</f>
        <v>0.14237288135593223</v>
      </c>
    </row>
    <row r="10" spans="1:7" x14ac:dyDescent="0.15">
      <c r="E10" s="147"/>
    </row>
    <row r="11" spans="1:7" x14ac:dyDescent="0.15">
      <c r="B11" s="147"/>
      <c r="D11" s="142">
        <v>4</v>
      </c>
    </row>
    <row r="12" spans="1:7" x14ac:dyDescent="0.15">
      <c r="B12" s="39"/>
    </row>
    <row r="13" spans="1:7" x14ac:dyDescent="0.15">
      <c r="B13" s="144">
        <v>5</v>
      </c>
    </row>
    <row r="14" spans="1:7" x14ac:dyDescent="0.15">
      <c r="D14" s="145"/>
    </row>
    <row r="15" spans="1:7" x14ac:dyDescent="0.15">
      <c r="C15" s="39"/>
    </row>
    <row r="18" spans="1:7" x14ac:dyDescent="0.15">
      <c r="C18" s="39"/>
      <c r="F18" s="144" t="s">
        <v>223</v>
      </c>
      <c r="G18" s="147">
        <f>+MURO!D85</f>
        <v>5.9</v>
      </c>
    </row>
    <row r="19" spans="1:7" x14ac:dyDescent="0.15">
      <c r="C19" s="142"/>
    </row>
    <row r="20" spans="1:7" x14ac:dyDescent="0.15">
      <c r="B20" s="147"/>
    </row>
    <row r="21" spans="1:7" x14ac:dyDescent="0.15">
      <c r="A21" s="147">
        <f>+MURO!D10</f>
        <v>6.5</v>
      </c>
      <c r="D21" s="148">
        <v>2</v>
      </c>
    </row>
    <row r="22" spans="1:7" x14ac:dyDescent="0.15">
      <c r="E22" s="147">
        <f>+MURO!D86</f>
        <v>5.6000000000000005</v>
      </c>
    </row>
    <row r="23" spans="1:7" x14ac:dyDescent="0.15">
      <c r="C23" s="39"/>
      <c r="E23" s="39" t="s">
        <v>197</v>
      </c>
    </row>
    <row r="24" spans="1:7" x14ac:dyDescent="0.15">
      <c r="A24" s="149">
        <f>+MURO!D87</f>
        <v>6.2</v>
      </c>
    </row>
    <row r="25" spans="1:7" x14ac:dyDescent="0.15">
      <c r="D25" s="142"/>
    </row>
    <row r="26" spans="1:7" x14ac:dyDescent="0.15">
      <c r="B26" s="147"/>
    </row>
    <row r="27" spans="1:7" x14ac:dyDescent="0.15">
      <c r="B27" s="39"/>
    </row>
    <row r="30" spans="1:7" x14ac:dyDescent="0.15">
      <c r="C30" s="147"/>
      <c r="D30" s="142">
        <v>3</v>
      </c>
    </row>
    <row r="31" spans="1:7" x14ac:dyDescent="0.15">
      <c r="C31" s="39"/>
    </row>
    <row r="32" spans="1:7" x14ac:dyDescent="0.15">
      <c r="C32" s="145">
        <f>+MURO!D17</f>
        <v>2.5</v>
      </c>
      <c r="D32" s="150">
        <f>+MURO!D15</f>
        <v>0.5</v>
      </c>
      <c r="F32" s="151">
        <f>+MURO!D18</f>
        <v>1.2</v>
      </c>
    </row>
    <row r="33" spans="1:7" x14ac:dyDescent="0.15">
      <c r="D33" s="141">
        <v>1</v>
      </c>
    </row>
    <row r="35" spans="1:7" x14ac:dyDescent="0.15">
      <c r="B35" s="140" t="s">
        <v>5</v>
      </c>
      <c r="C35" s="152">
        <v>6</v>
      </c>
      <c r="D35" s="39"/>
      <c r="F35" s="140" t="s">
        <v>6</v>
      </c>
      <c r="G35" s="147">
        <f>+MURO!D13</f>
        <v>0.6</v>
      </c>
    </row>
    <row r="38" spans="1:7" x14ac:dyDescent="0.15">
      <c r="D38" s="147">
        <f>+MURO!D84</f>
        <v>4.2</v>
      </c>
    </row>
    <row r="39" spans="1:7" x14ac:dyDescent="0.15">
      <c r="D39" s="147"/>
    </row>
    <row r="40" spans="1:7" x14ac:dyDescent="0.15">
      <c r="A40" s="153"/>
      <c r="B40" s="153"/>
      <c r="C40" s="142"/>
      <c r="D40" s="141"/>
      <c r="E40" s="141"/>
      <c r="F40" s="141"/>
      <c r="G40" s="141"/>
    </row>
    <row r="41" spans="1:7" ht="16" x14ac:dyDescent="0.15">
      <c r="A41" s="336" t="s">
        <v>8</v>
      </c>
      <c r="B41" s="336"/>
      <c r="C41" s="336"/>
      <c r="D41" s="336"/>
      <c r="E41" s="336"/>
      <c r="F41" s="336"/>
      <c r="G41" s="336"/>
    </row>
    <row r="42" spans="1:7" x14ac:dyDescent="0.15">
      <c r="C42" s="154"/>
      <c r="G42" s="154"/>
    </row>
    <row r="43" spans="1:7" x14ac:dyDescent="0.15">
      <c r="A43" s="155" t="s">
        <v>20</v>
      </c>
      <c r="C43" s="154"/>
      <c r="G43" s="154"/>
    </row>
    <row r="44" spans="1:7" ht="16" x14ac:dyDescent="0.15">
      <c r="A44" s="156"/>
      <c r="C44" s="154"/>
      <c r="G44" s="154"/>
    </row>
    <row r="45" spans="1:7" x14ac:dyDescent="0.15">
      <c r="A45" s="140" t="s">
        <v>116</v>
      </c>
      <c r="C45" s="154"/>
      <c r="G45" s="154"/>
    </row>
    <row r="46" spans="1:7" x14ac:dyDescent="0.15">
      <c r="C46" s="154"/>
      <c r="G46" s="154"/>
    </row>
    <row r="47" spans="1:7" ht="16" x14ac:dyDescent="0.15">
      <c r="A47" s="157" t="s">
        <v>114</v>
      </c>
      <c r="B47" s="147">
        <f>+RESISTENCIA!B49</f>
        <v>0.33333333333333343</v>
      </c>
      <c r="C47" s="154"/>
      <c r="G47" s="154"/>
    </row>
    <row r="48" spans="1:7" ht="16" x14ac:dyDescent="0.15">
      <c r="A48" s="137"/>
      <c r="B48" s="147"/>
      <c r="C48" s="154"/>
      <c r="G48" s="154"/>
    </row>
    <row r="49" spans="1:8" x14ac:dyDescent="0.15">
      <c r="A49" s="140" t="s">
        <v>117</v>
      </c>
      <c r="B49" s="147"/>
      <c r="C49" s="154"/>
      <c r="G49" s="158"/>
    </row>
    <row r="50" spans="1:8" x14ac:dyDescent="0.15">
      <c r="B50" s="147"/>
      <c r="C50" s="154"/>
      <c r="G50" s="158"/>
    </row>
    <row r="51" spans="1:8" ht="16" x14ac:dyDescent="0.15">
      <c r="A51" s="157" t="s">
        <v>115</v>
      </c>
      <c r="B51" s="147">
        <f>+RESISTENCIA!B53</f>
        <v>2.9999999999999991</v>
      </c>
      <c r="C51" s="154"/>
      <c r="G51" s="154"/>
    </row>
    <row r="52" spans="1:8" ht="16" x14ac:dyDescent="0.15">
      <c r="A52" s="156"/>
      <c r="C52" s="154"/>
      <c r="G52" s="154"/>
    </row>
    <row r="53" spans="1:8" ht="18" x14ac:dyDescent="0.15">
      <c r="A53" s="155" t="s">
        <v>118</v>
      </c>
      <c r="B53" s="159"/>
      <c r="C53" s="159"/>
      <c r="D53" s="159"/>
      <c r="E53" s="159"/>
      <c r="F53" s="159"/>
      <c r="G53" s="159"/>
      <c r="H53" s="138"/>
    </row>
    <row r="54" spans="1:8" x14ac:dyDescent="0.15">
      <c r="C54" s="159"/>
      <c r="G54" s="159"/>
    </row>
    <row r="55" spans="1:8" x14ac:dyDescent="0.15">
      <c r="E55" s="159"/>
      <c r="G55" s="159"/>
    </row>
    <row r="56" spans="1:8" x14ac:dyDescent="0.15">
      <c r="E56" s="159"/>
      <c r="G56" s="159"/>
    </row>
    <row r="57" spans="1:8" ht="15" x14ac:dyDescent="0.15">
      <c r="A57" s="39" t="s">
        <v>144</v>
      </c>
      <c r="B57" s="146">
        <f>+D69</f>
        <v>4.1333333333333346</v>
      </c>
      <c r="C57" s="39" t="s">
        <v>57</v>
      </c>
      <c r="E57" s="159"/>
      <c r="G57" s="159"/>
    </row>
    <row r="58" spans="1:8" x14ac:dyDescent="0.15">
      <c r="E58" s="159"/>
      <c r="G58" s="159"/>
    </row>
    <row r="59" spans="1:8" x14ac:dyDescent="0.15">
      <c r="E59" s="159"/>
      <c r="G59" s="159"/>
    </row>
    <row r="60" spans="1:8" x14ac:dyDescent="0.15">
      <c r="A60" s="158"/>
      <c r="E60" s="159"/>
      <c r="G60" s="159"/>
    </row>
    <row r="61" spans="1:8" x14ac:dyDescent="0.15">
      <c r="E61" s="159"/>
      <c r="G61" s="159"/>
    </row>
    <row r="62" spans="1:8" x14ac:dyDescent="0.15">
      <c r="A62" s="39" t="s">
        <v>142</v>
      </c>
      <c r="B62" s="146">
        <f>+B57*F62/2</f>
        <v>12.813333333333338</v>
      </c>
      <c r="C62" s="39" t="s">
        <v>2</v>
      </c>
      <c r="E62" s="159"/>
      <c r="F62" s="147">
        <f>+A24</f>
        <v>6.2</v>
      </c>
      <c r="G62" s="159"/>
    </row>
    <row r="63" spans="1:8" x14ac:dyDescent="0.15">
      <c r="E63" s="159" t="s">
        <v>142</v>
      </c>
      <c r="G63" s="159"/>
    </row>
    <row r="64" spans="1:8" x14ac:dyDescent="0.15">
      <c r="E64" s="159"/>
      <c r="G64" s="159"/>
    </row>
    <row r="65" spans="1:7" x14ac:dyDescent="0.15">
      <c r="E65" s="159"/>
      <c r="G65" s="159"/>
    </row>
    <row r="66" spans="1:7" x14ac:dyDescent="0.15">
      <c r="A66" s="158"/>
      <c r="E66" s="160" t="s">
        <v>143</v>
      </c>
      <c r="G66" s="159"/>
    </row>
    <row r="67" spans="1:7" x14ac:dyDescent="0.15">
      <c r="A67" s="39" t="s">
        <v>143</v>
      </c>
      <c r="B67" s="146">
        <f>+F62/3</f>
        <v>2.0666666666666669</v>
      </c>
      <c r="C67" s="39" t="s">
        <v>0</v>
      </c>
      <c r="E67" s="159"/>
      <c r="G67" s="159"/>
    </row>
    <row r="68" spans="1:7" x14ac:dyDescent="0.15">
      <c r="E68" s="159"/>
      <c r="G68" s="159"/>
    </row>
    <row r="69" spans="1:7" x14ac:dyDescent="0.15">
      <c r="D69" s="161">
        <f>+F62*B47*MURO!D28</f>
        <v>4.1333333333333346</v>
      </c>
      <c r="E69" s="159"/>
      <c r="G69" s="159"/>
    </row>
    <row r="70" spans="1:7" ht="16" x14ac:dyDescent="0.15">
      <c r="A70" s="157"/>
      <c r="B70" s="147"/>
      <c r="C70" s="39"/>
      <c r="D70" s="140" t="s">
        <v>81</v>
      </c>
      <c r="G70" s="159"/>
    </row>
    <row r="71" spans="1:7" x14ac:dyDescent="0.15">
      <c r="G71" s="154"/>
    </row>
    <row r="72" spans="1:7" x14ac:dyDescent="0.15">
      <c r="A72" s="162" t="s">
        <v>140</v>
      </c>
      <c r="G72" s="154"/>
    </row>
    <row r="73" spans="1:7" x14ac:dyDescent="0.15">
      <c r="D73" s="163"/>
      <c r="E73" s="163"/>
      <c r="G73" s="154"/>
    </row>
    <row r="74" spans="1:7" x14ac:dyDescent="0.15">
      <c r="A74" s="162" t="s">
        <v>131</v>
      </c>
      <c r="D74" s="163"/>
      <c r="E74" s="163"/>
      <c r="G74" s="154"/>
    </row>
    <row r="75" spans="1:7" x14ac:dyDescent="0.15">
      <c r="D75" s="163"/>
      <c r="E75" s="163"/>
      <c r="G75" s="154"/>
    </row>
    <row r="76" spans="1:7" x14ac:dyDescent="0.15">
      <c r="A76" s="39" t="s">
        <v>24</v>
      </c>
      <c r="B76" s="146">
        <v>0</v>
      </c>
      <c r="C76" s="39"/>
      <c r="D76" s="163"/>
      <c r="E76" s="163"/>
      <c r="G76" s="154"/>
    </row>
    <row r="77" spans="1:7" x14ac:dyDescent="0.15">
      <c r="D77" s="163"/>
      <c r="E77" s="163"/>
      <c r="G77" s="154"/>
    </row>
    <row r="78" spans="1:7" x14ac:dyDescent="0.15">
      <c r="A78" s="162" t="s">
        <v>132</v>
      </c>
      <c r="D78" s="163"/>
      <c r="E78" s="163"/>
      <c r="G78" s="154"/>
    </row>
    <row r="79" spans="1:7" x14ac:dyDescent="0.15">
      <c r="D79" s="163"/>
      <c r="E79" s="163"/>
      <c r="G79" s="154"/>
    </row>
    <row r="80" spans="1:7" x14ac:dyDescent="0.15">
      <c r="A80" s="243" t="s">
        <v>133</v>
      </c>
      <c r="B80" s="212">
        <f>+MURO!D35*MURO!D36/2</f>
        <v>0.14374999999999999</v>
      </c>
      <c r="C80" s="142" t="s">
        <v>517</v>
      </c>
      <c r="E80" s="140" t="s">
        <v>518</v>
      </c>
      <c r="G80" s="154"/>
    </row>
    <row r="81" spans="1:7" x14ac:dyDescent="0.15">
      <c r="C81" s="39"/>
      <c r="D81" s="39"/>
      <c r="E81" s="39"/>
      <c r="G81" s="159"/>
    </row>
    <row r="82" spans="1:7" ht="15" x14ac:dyDescent="0.15">
      <c r="A82" s="155" t="s">
        <v>134</v>
      </c>
      <c r="C82" s="39"/>
      <c r="D82" s="39"/>
      <c r="E82" s="39"/>
      <c r="G82" s="159"/>
    </row>
    <row r="83" spans="1:7" x14ac:dyDescent="0.15">
      <c r="C83" s="39"/>
      <c r="D83" s="39"/>
      <c r="E83" s="39"/>
      <c r="G83" s="159"/>
    </row>
    <row r="84" spans="1:7" x14ac:dyDescent="0.15">
      <c r="A84" s="158"/>
      <c r="C84" s="39"/>
      <c r="D84" s="39"/>
      <c r="E84" s="39"/>
      <c r="G84" s="159"/>
    </row>
    <row r="85" spans="1:7" x14ac:dyDescent="0.15">
      <c r="C85" s="39"/>
      <c r="D85" s="39"/>
      <c r="E85" s="39"/>
      <c r="G85" s="159"/>
    </row>
    <row r="86" spans="1:7" x14ac:dyDescent="0.15">
      <c r="C86" s="39"/>
      <c r="D86" s="39"/>
      <c r="E86" s="39"/>
      <c r="G86" s="159"/>
    </row>
    <row r="87" spans="1:7" ht="16" x14ac:dyDescent="0.15">
      <c r="A87" s="164" t="s">
        <v>135</v>
      </c>
      <c r="B87" s="146">
        <f>+ATAN(B80/(1-B76))</f>
        <v>0.1427719450196106</v>
      </c>
      <c r="C87" s="39" t="s">
        <v>19</v>
      </c>
      <c r="E87" s="39"/>
      <c r="G87" s="159"/>
    </row>
    <row r="88" spans="1:7" x14ac:dyDescent="0.15">
      <c r="C88" s="39"/>
      <c r="D88" s="39"/>
      <c r="E88" s="39"/>
      <c r="G88" s="159"/>
    </row>
    <row r="89" spans="1:7" ht="15" x14ac:dyDescent="0.15">
      <c r="A89" s="162" t="s">
        <v>141</v>
      </c>
      <c r="C89" s="39"/>
      <c r="D89" s="39"/>
      <c r="E89" s="39"/>
      <c r="G89" s="159"/>
    </row>
    <row r="90" spans="1:7" x14ac:dyDescent="0.15">
      <c r="C90" s="39"/>
      <c r="D90" s="39"/>
      <c r="E90" s="39"/>
      <c r="G90" s="159"/>
    </row>
    <row r="91" spans="1:7" ht="16.25" customHeight="1" x14ac:dyDescent="0.15">
      <c r="A91" s="158"/>
      <c r="B91" s="146">
        <f>+RADIANS(MURO!D29)</f>
        <v>0.52359877559829882</v>
      </c>
      <c r="C91" s="39" t="s">
        <v>19</v>
      </c>
      <c r="D91" s="39"/>
      <c r="E91" s="39"/>
      <c r="G91" s="159"/>
    </row>
    <row r="92" spans="1:7" x14ac:dyDescent="0.15">
      <c r="C92" s="39"/>
      <c r="D92" s="39"/>
      <c r="E92" s="39"/>
      <c r="G92" s="159"/>
    </row>
    <row r="93" spans="1:7" x14ac:dyDescent="0.15">
      <c r="A93" s="140" t="s">
        <v>380</v>
      </c>
      <c r="C93" s="39"/>
      <c r="D93" s="39"/>
      <c r="E93" s="39"/>
      <c r="G93" s="159"/>
    </row>
    <row r="94" spans="1:7" x14ac:dyDescent="0.15">
      <c r="C94" s="39"/>
      <c r="D94" s="39"/>
      <c r="E94" s="39"/>
      <c r="G94" s="159"/>
    </row>
    <row r="95" spans="1:7" ht="15" x14ac:dyDescent="0.15">
      <c r="A95" s="165" t="s">
        <v>378</v>
      </c>
      <c r="B95" s="146">
        <f>+MURO!D91</f>
        <v>2.5418253259075704E-2</v>
      </c>
      <c r="C95" s="39" t="s">
        <v>19</v>
      </c>
      <c r="D95" s="39"/>
      <c r="E95" s="39"/>
      <c r="G95" s="159"/>
    </row>
    <row r="96" spans="1:7" x14ac:dyDescent="0.15">
      <c r="C96" s="39"/>
      <c r="D96" s="39"/>
      <c r="E96" s="39"/>
      <c r="G96" s="159"/>
    </row>
    <row r="97" spans="1:7" x14ac:dyDescent="0.15">
      <c r="A97" s="140" t="s">
        <v>372</v>
      </c>
      <c r="C97" s="39"/>
      <c r="D97" s="39"/>
      <c r="E97" s="39"/>
      <c r="G97" s="159"/>
    </row>
    <row r="98" spans="1:7" x14ac:dyDescent="0.15">
      <c r="C98" s="39"/>
      <c r="D98" s="39"/>
      <c r="E98" s="39"/>
      <c r="G98" s="159"/>
    </row>
    <row r="99" spans="1:7" ht="16" x14ac:dyDescent="0.15">
      <c r="A99" s="137" t="s">
        <v>374</v>
      </c>
      <c r="B99" s="146">
        <f>+RADIANS(MURO!D32)</f>
        <v>0</v>
      </c>
      <c r="C99" s="39" t="s">
        <v>19</v>
      </c>
      <c r="D99" s="39"/>
      <c r="E99" s="39"/>
      <c r="G99" s="159"/>
    </row>
    <row r="100" spans="1:7" ht="16" x14ac:dyDescent="0.15">
      <c r="A100" s="137"/>
      <c r="B100" s="146"/>
      <c r="C100" s="39"/>
      <c r="D100" s="39"/>
      <c r="E100" s="39"/>
      <c r="G100" s="159"/>
    </row>
    <row r="101" spans="1:7" x14ac:dyDescent="0.15">
      <c r="A101" s="140" t="s">
        <v>379</v>
      </c>
      <c r="C101" s="39"/>
      <c r="D101" s="39"/>
      <c r="E101" s="39"/>
      <c r="G101" s="159"/>
    </row>
    <row r="102" spans="1:7" x14ac:dyDescent="0.15">
      <c r="C102" s="39"/>
      <c r="D102" s="39"/>
      <c r="E102" s="39"/>
      <c r="G102" s="159"/>
    </row>
    <row r="103" spans="1:7" ht="16" x14ac:dyDescent="0.15">
      <c r="A103" s="137" t="s">
        <v>376</v>
      </c>
      <c r="B103" s="146">
        <f>+RADIANS(MURO!D33)</f>
        <v>0.38397243543875248</v>
      </c>
      <c r="C103" s="39" t="s">
        <v>19</v>
      </c>
      <c r="D103" s="39"/>
      <c r="E103" s="39"/>
      <c r="G103" s="159"/>
    </row>
    <row r="104" spans="1:7" x14ac:dyDescent="0.15">
      <c r="C104" s="39"/>
      <c r="D104" s="39"/>
      <c r="E104" s="39"/>
      <c r="G104" s="159"/>
    </row>
    <row r="105" spans="1:7" ht="19" x14ac:dyDescent="0.15">
      <c r="A105" s="162" t="s">
        <v>136</v>
      </c>
      <c r="C105" s="39"/>
      <c r="D105" s="39"/>
      <c r="E105" s="39"/>
      <c r="G105" s="159"/>
    </row>
    <row r="106" spans="1:7" x14ac:dyDescent="0.15">
      <c r="C106" s="39"/>
      <c r="D106" s="39"/>
      <c r="E106" s="39"/>
      <c r="G106" s="159"/>
    </row>
    <row r="107" spans="1:7" ht="17" customHeight="1" x14ac:dyDescent="0.15">
      <c r="A107" s="158"/>
      <c r="C107" s="39"/>
      <c r="D107" s="39"/>
      <c r="E107" s="39"/>
      <c r="G107" s="159"/>
    </row>
    <row r="108" spans="1:7" ht="18.5" customHeight="1" x14ac:dyDescent="0.15">
      <c r="A108" s="158"/>
      <c r="C108" s="39"/>
      <c r="D108" s="39"/>
      <c r="E108" s="39"/>
      <c r="G108" s="159"/>
    </row>
    <row r="109" spans="1:7" x14ac:dyDescent="0.15">
      <c r="C109" s="39"/>
      <c r="D109" s="39"/>
      <c r="E109" s="39"/>
      <c r="G109" s="159"/>
    </row>
    <row r="110" spans="1:7" x14ac:dyDescent="0.15">
      <c r="C110" s="39"/>
      <c r="D110" s="39"/>
      <c r="E110" s="39"/>
      <c r="G110" s="159"/>
    </row>
    <row r="111" spans="1:7" ht="16" x14ac:dyDescent="0.15">
      <c r="A111" s="164" t="s">
        <v>137</v>
      </c>
      <c r="B111" s="161">
        <f>+(1+(SIN(B91+B103)*SIN(B91-B87-B99)/(COS(B103+B95+B87)*COS(B99-B95)))^0.5)^2</f>
        <v>2.5173798406814334</v>
      </c>
      <c r="C111" s="39"/>
      <c r="D111" s="39"/>
      <c r="E111" s="39"/>
      <c r="G111" s="159"/>
    </row>
    <row r="112" spans="1:7" x14ac:dyDescent="0.15">
      <c r="C112" s="39"/>
      <c r="D112" s="39"/>
      <c r="E112" s="158"/>
      <c r="G112" s="159"/>
    </row>
    <row r="113" spans="1:7" x14ac:dyDescent="0.15">
      <c r="A113" s="162" t="s">
        <v>138</v>
      </c>
      <c r="C113" s="39"/>
      <c r="D113" s="39"/>
      <c r="E113" s="39"/>
      <c r="G113" s="159"/>
    </row>
    <row r="114" spans="1:7" x14ac:dyDescent="0.15">
      <c r="C114" s="39"/>
      <c r="D114" s="39"/>
      <c r="E114" s="39"/>
      <c r="G114" s="159"/>
    </row>
    <row r="115" spans="1:7" ht="18.5" customHeight="1" x14ac:dyDescent="0.15">
      <c r="A115" s="158"/>
      <c r="C115" s="39"/>
      <c r="D115" s="39"/>
      <c r="E115" s="39"/>
      <c r="G115" s="159"/>
    </row>
    <row r="116" spans="1:7" ht="19.25" customHeight="1" x14ac:dyDescent="0.15">
      <c r="C116" s="39"/>
      <c r="D116" s="39"/>
      <c r="E116" s="39"/>
      <c r="G116" s="159"/>
    </row>
    <row r="117" spans="1:7" x14ac:dyDescent="0.15">
      <c r="C117" s="39"/>
      <c r="D117" s="39"/>
      <c r="E117" s="39"/>
      <c r="G117" s="159"/>
    </row>
    <row r="118" spans="1:7" ht="16" x14ac:dyDescent="0.15">
      <c r="A118" s="164" t="s">
        <v>83</v>
      </c>
      <c r="B118" s="146">
        <f>+COS(B91-B87-B95)^2/(B111*COS(B87)*COS(B95)^2*COS(B103+B95+B87))</f>
        <v>0.41456274036853225</v>
      </c>
      <c r="C118" s="39"/>
      <c r="D118" s="39"/>
      <c r="E118" s="39"/>
      <c r="G118" s="159"/>
    </row>
    <row r="119" spans="1:7" x14ac:dyDescent="0.15">
      <c r="C119" s="39"/>
      <c r="D119" s="39"/>
      <c r="E119" s="39"/>
      <c r="G119" s="159"/>
    </row>
    <row r="120" spans="1:7" x14ac:dyDescent="0.15">
      <c r="A120" s="162" t="s">
        <v>477</v>
      </c>
      <c r="E120" s="39"/>
      <c r="G120" s="159"/>
    </row>
    <row r="121" spans="1:7" x14ac:dyDescent="0.15">
      <c r="E121" s="39"/>
      <c r="G121" s="159"/>
    </row>
    <row r="122" spans="1:7" ht="15" x14ac:dyDescent="0.15">
      <c r="A122" s="350" t="s">
        <v>139</v>
      </c>
      <c r="B122" s="350"/>
      <c r="C122" s="350"/>
      <c r="D122" s="39"/>
      <c r="E122" s="39"/>
      <c r="F122" s="39"/>
      <c r="G122" s="159"/>
    </row>
    <row r="123" spans="1:7" x14ac:dyDescent="0.15">
      <c r="A123" s="39"/>
      <c r="B123" s="161">
        <f>+B118*A128*MURO!D28</f>
        <v>5.1405779805698</v>
      </c>
      <c r="C123" s="39"/>
      <c r="D123" s="39"/>
      <c r="E123" s="39"/>
      <c r="G123" s="159"/>
    </row>
    <row r="124" spans="1:7" ht="15" x14ac:dyDescent="0.15">
      <c r="D124" s="39" t="s">
        <v>145</v>
      </c>
      <c r="E124" s="146">
        <f>+B123</f>
        <v>5.1405779805698</v>
      </c>
      <c r="F124" s="39" t="s">
        <v>57</v>
      </c>
      <c r="G124" s="159"/>
    </row>
    <row r="125" spans="1:7" x14ac:dyDescent="0.15">
      <c r="E125" s="39"/>
      <c r="G125" s="159"/>
    </row>
    <row r="126" spans="1:7" x14ac:dyDescent="0.15">
      <c r="A126" s="158"/>
      <c r="D126" s="158"/>
      <c r="G126" s="159"/>
    </row>
    <row r="127" spans="1:7" x14ac:dyDescent="0.15">
      <c r="A127" s="158"/>
      <c r="E127" s="39"/>
      <c r="G127" s="159"/>
    </row>
    <row r="128" spans="1:7" x14ac:dyDescent="0.15">
      <c r="A128" s="166">
        <f>+F62</f>
        <v>6.2</v>
      </c>
      <c r="D128" s="224" t="s">
        <v>486</v>
      </c>
      <c r="E128" s="146">
        <f>+E124*A128/2</f>
        <v>15.93579173976638</v>
      </c>
      <c r="F128" s="39" t="s">
        <v>2</v>
      </c>
      <c r="G128" s="159"/>
    </row>
    <row r="129" spans="1:7" x14ac:dyDescent="0.15">
      <c r="E129" s="39"/>
      <c r="G129" s="159"/>
    </row>
    <row r="130" spans="1:7" x14ac:dyDescent="0.15">
      <c r="A130" s="158"/>
      <c r="D130" s="158"/>
      <c r="E130" s="39"/>
      <c r="G130" s="159"/>
    </row>
    <row r="131" spans="1:7" x14ac:dyDescent="0.15">
      <c r="E131" s="39"/>
      <c r="G131" s="159"/>
    </row>
    <row r="132" spans="1:7" x14ac:dyDescent="0.15">
      <c r="D132" s="39" t="s">
        <v>147</v>
      </c>
      <c r="E132" s="146">
        <f>0.4*A128</f>
        <v>2.4800000000000004</v>
      </c>
      <c r="F132" s="39" t="s">
        <v>0</v>
      </c>
      <c r="G132" s="159"/>
    </row>
    <row r="133" spans="1:7" x14ac:dyDescent="0.15">
      <c r="E133" s="39"/>
      <c r="G133" s="159"/>
    </row>
    <row r="134" spans="1:7" x14ac:dyDescent="0.15">
      <c r="C134" s="39"/>
      <c r="D134" s="158"/>
      <c r="E134" s="39"/>
      <c r="G134" s="159"/>
    </row>
    <row r="135" spans="1:7" x14ac:dyDescent="0.15">
      <c r="C135" s="39"/>
      <c r="D135" s="39"/>
      <c r="E135" s="39"/>
      <c r="G135" s="159"/>
    </row>
    <row r="136" spans="1:7" x14ac:dyDescent="0.15">
      <c r="C136" s="39"/>
      <c r="D136" s="39"/>
      <c r="E136" s="39"/>
      <c r="G136" s="159"/>
    </row>
    <row r="137" spans="1:7" x14ac:dyDescent="0.15">
      <c r="A137" s="162" t="s">
        <v>478</v>
      </c>
      <c r="C137" s="39"/>
      <c r="D137" s="39"/>
      <c r="E137" s="39"/>
      <c r="G137" s="159"/>
    </row>
    <row r="138" spans="1:7" x14ac:dyDescent="0.15">
      <c r="A138" s="162"/>
      <c r="C138" s="39"/>
      <c r="D138" s="39"/>
      <c r="E138" s="39"/>
      <c r="G138" s="159"/>
    </row>
    <row r="139" spans="1:7" x14ac:dyDescent="0.15">
      <c r="A139" s="140" t="s">
        <v>157</v>
      </c>
      <c r="C139" s="39"/>
      <c r="D139" s="39"/>
      <c r="E139" s="39"/>
      <c r="G139" s="159"/>
    </row>
    <row r="140" spans="1:7" x14ac:dyDescent="0.15">
      <c r="C140" s="39"/>
      <c r="D140" s="39"/>
      <c r="E140" s="39"/>
      <c r="G140" s="159"/>
    </row>
    <row r="141" spans="1:7" x14ac:dyDescent="0.15">
      <c r="A141" s="158"/>
      <c r="C141" s="39"/>
      <c r="D141" s="39"/>
      <c r="E141" s="39"/>
      <c r="G141" s="159"/>
    </row>
    <row r="142" spans="1:7" x14ac:dyDescent="0.15">
      <c r="C142" s="39"/>
      <c r="D142" s="39"/>
      <c r="E142" s="39"/>
      <c r="G142" s="159"/>
    </row>
    <row r="143" spans="1:7" x14ac:dyDescent="0.15">
      <c r="A143" s="39" t="s">
        <v>154</v>
      </c>
      <c r="B143" s="146">
        <f>+G35/2</f>
        <v>0.3</v>
      </c>
      <c r="C143" s="39" t="s">
        <v>0</v>
      </c>
      <c r="D143" s="39"/>
      <c r="E143" s="39"/>
      <c r="G143" s="159"/>
    </row>
    <row r="144" spans="1:7" x14ac:dyDescent="0.15">
      <c r="C144" s="39"/>
      <c r="D144" s="39"/>
      <c r="E144" s="39"/>
      <c r="G144" s="159"/>
    </row>
    <row r="145" spans="1:7" x14ac:dyDescent="0.15">
      <c r="A145" s="158"/>
      <c r="C145" s="39"/>
      <c r="D145" s="39"/>
      <c r="E145" s="39"/>
      <c r="G145" s="159"/>
    </row>
    <row r="146" spans="1:7" x14ac:dyDescent="0.15">
      <c r="C146" s="39"/>
      <c r="D146" s="39"/>
      <c r="E146" s="39"/>
      <c r="G146" s="159"/>
    </row>
    <row r="147" spans="1:7" x14ac:dyDescent="0.15">
      <c r="A147" s="39" t="s">
        <v>155</v>
      </c>
      <c r="B147" s="146">
        <f>+G35+G18/2</f>
        <v>3.5500000000000003</v>
      </c>
      <c r="C147" s="39" t="s">
        <v>0</v>
      </c>
      <c r="D147" s="39"/>
      <c r="E147" s="39"/>
      <c r="G147" s="159"/>
    </row>
    <row r="148" spans="1:7" x14ac:dyDescent="0.15">
      <c r="C148" s="39"/>
      <c r="D148" s="39"/>
      <c r="E148" s="39"/>
      <c r="G148" s="159"/>
    </row>
    <row r="149" spans="1:7" x14ac:dyDescent="0.15">
      <c r="A149" s="158"/>
      <c r="C149" s="39"/>
      <c r="D149" s="39"/>
      <c r="E149" s="39"/>
      <c r="G149" s="159"/>
    </row>
    <row r="150" spans="1:7" x14ac:dyDescent="0.15">
      <c r="C150" s="39"/>
      <c r="D150" s="39"/>
      <c r="E150" s="39"/>
      <c r="G150" s="159"/>
    </row>
    <row r="151" spans="1:7" x14ac:dyDescent="0.15">
      <c r="C151" s="39"/>
      <c r="D151" s="39"/>
      <c r="E151" s="39"/>
      <c r="G151" s="159"/>
    </row>
    <row r="152" spans="1:7" x14ac:dyDescent="0.15">
      <c r="A152" s="39" t="s">
        <v>156</v>
      </c>
      <c r="B152" s="146">
        <f>+G35+G18/3</f>
        <v>2.5666666666666669</v>
      </c>
      <c r="C152" s="39" t="s">
        <v>0</v>
      </c>
      <c r="D152" s="39"/>
      <c r="E152" s="39"/>
      <c r="G152" s="159"/>
    </row>
    <row r="153" spans="1:7" x14ac:dyDescent="0.15">
      <c r="C153" s="39"/>
      <c r="D153" s="39"/>
      <c r="E153" s="39"/>
      <c r="G153" s="159"/>
    </row>
    <row r="154" spans="1:7" x14ac:dyDescent="0.15">
      <c r="A154" s="140" t="s">
        <v>481</v>
      </c>
      <c r="C154" s="224"/>
      <c r="D154" s="224"/>
      <c r="E154" s="224"/>
      <c r="G154" s="159"/>
    </row>
    <row r="155" spans="1:7" x14ac:dyDescent="0.15">
      <c r="C155" s="224"/>
      <c r="D155" s="224"/>
      <c r="E155" s="224"/>
      <c r="G155" s="159"/>
    </row>
    <row r="156" spans="1:7" x14ac:dyDescent="0.15">
      <c r="A156" s="224" t="s">
        <v>479</v>
      </c>
      <c r="B156" s="146">
        <f>+(D9*E22*MURO!D28/2)</f>
        <v>0.79728813559322054</v>
      </c>
      <c r="C156" s="224" t="s">
        <v>2</v>
      </c>
      <c r="D156" s="224"/>
      <c r="E156" s="224"/>
      <c r="G156" s="159"/>
    </row>
    <row r="157" spans="1:7" x14ac:dyDescent="0.15">
      <c r="C157" s="224"/>
      <c r="D157" s="224"/>
      <c r="E157" s="224"/>
      <c r="G157" s="159"/>
    </row>
    <row r="158" spans="1:7" x14ac:dyDescent="0.15">
      <c r="A158" s="224" t="s">
        <v>480</v>
      </c>
      <c r="B158" s="146">
        <f>+G35+E22*0.666666666666667</f>
        <v>4.3333333333333348</v>
      </c>
      <c r="C158" s="224" t="s">
        <v>0</v>
      </c>
      <c r="D158" s="224"/>
      <c r="E158" s="224"/>
      <c r="G158" s="159"/>
    </row>
    <row r="159" spans="1:7" x14ac:dyDescent="0.15">
      <c r="A159" s="224"/>
      <c r="B159" s="146"/>
      <c r="C159" s="224"/>
      <c r="D159" s="224"/>
      <c r="E159" s="224"/>
      <c r="G159" s="159"/>
    </row>
    <row r="160" spans="1:7" x14ac:dyDescent="0.15">
      <c r="A160" s="140" t="s">
        <v>481</v>
      </c>
      <c r="C160" s="224"/>
      <c r="D160" s="224"/>
      <c r="E160" s="224"/>
      <c r="G160" s="159"/>
    </row>
    <row r="161" spans="1:7" x14ac:dyDescent="0.15">
      <c r="C161" s="224"/>
      <c r="D161" s="224"/>
      <c r="E161" s="224"/>
      <c r="G161" s="159"/>
    </row>
    <row r="162" spans="1:7" x14ac:dyDescent="0.15">
      <c r="A162" s="224" t="s">
        <v>482</v>
      </c>
      <c r="B162" s="146">
        <f>+E22*C32*MURO!D28</f>
        <v>28.000000000000004</v>
      </c>
      <c r="C162" s="224" t="s">
        <v>2</v>
      </c>
      <c r="D162" s="224"/>
      <c r="E162" s="224"/>
      <c r="G162" s="159"/>
    </row>
    <row r="163" spans="1:7" x14ac:dyDescent="0.15">
      <c r="C163" s="224"/>
      <c r="D163" s="224"/>
      <c r="E163" s="224"/>
      <c r="G163" s="159"/>
    </row>
    <row r="164" spans="1:7" x14ac:dyDescent="0.15">
      <c r="A164" s="224" t="s">
        <v>483</v>
      </c>
      <c r="B164" s="146">
        <f>+G35+E22/2</f>
        <v>3.4000000000000004</v>
      </c>
      <c r="C164" s="224" t="s">
        <v>0</v>
      </c>
      <c r="D164" s="224"/>
      <c r="E164" s="224"/>
      <c r="G164" s="159"/>
    </row>
    <row r="165" spans="1:7" x14ac:dyDescent="0.15">
      <c r="C165" s="224"/>
      <c r="D165" s="224"/>
      <c r="E165" s="224"/>
      <c r="G165" s="159"/>
    </row>
    <row r="166" spans="1:7" ht="16" x14ac:dyDescent="0.15">
      <c r="A166" s="345" t="s">
        <v>358</v>
      </c>
      <c r="B166" s="345"/>
      <c r="C166" s="345"/>
      <c r="D166" s="345"/>
      <c r="E166" s="345"/>
      <c r="F166" s="345"/>
      <c r="G166" s="345"/>
    </row>
    <row r="167" spans="1:7" ht="16" x14ac:dyDescent="0.15">
      <c r="A167" s="345" t="s">
        <v>592</v>
      </c>
      <c r="B167" s="345"/>
      <c r="C167" s="345"/>
      <c r="D167" s="345"/>
      <c r="E167" s="345"/>
      <c r="F167" s="345"/>
      <c r="G167" s="345"/>
    </row>
    <row r="168" spans="1:7" ht="15" thickBot="1" x14ac:dyDescent="0.2">
      <c r="A168" s="167"/>
      <c r="B168" s="167"/>
      <c r="C168" s="167"/>
      <c r="D168" s="167"/>
      <c r="E168" s="167"/>
      <c r="G168" s="159"/>
    </row>
    <row r="169" spans="1:7" ht="17.5" customHeight="1" thickBot="1" x14ac:dyDescent="0.2">
      <c r="A169" s="168" t="s">
        <v>37</v>
      </c>
      <c r="B169" s="168" t="s">
        <v>38</v>
      </c>
      <c r="C169" s="168" t="s">
        <v>77</v>
      </c>
      <c r="D169" s="168" t="s">
        <v>80</v>
      </c>
      <c r="E169" s="168" t="s">
        <v>82</v>
      </c>
      <c r="G169" s="159"/>
    </row>
    <row r="170" spans="1:7" x14ac:dyDescent="0.15">
      <c r="A170" s="169" t="s">
        <v>39</v>
      </c>
      <c r="B170" s="169">
        <v>1</v>
      </c>
      <c r="C170" s="170">
        <f>+C197</f>
        <v>6.048</v>
      </c>
      <c r="D170" s="170">
        <f>+B143</f>
        <v>0.3</v>
      </c>
      <c r="E170" s="170">
        <f>+D170*C170</f>
        <v>1.8144</v>
      </c>
      <c r="G170" s="159"/>
    </row>
    <row r="171" spans="1:7" x14ac:dyDescent="0.15">
      <c r="A171" s="169" t="s">
        <v>26</v>
      </c>
      <c r="B171" s="169">
        <v>2</v>
      </c>
      <c r="C171" s="170">
        <f>+C198</f>
        <v>4.9559999999999995</v>
      </c>
      <c r="D171" s="170">
        <f>+B147</f>
        <v>3.5500000000000003</v>
      </c>
      <c r="E171" s="170">
        <f t="shared" ref="E171:E172" si="0">+D171*C171</f>
        <v>17.593799999999998</v>
      </c>
      <c r="G171" s="159"/>
    </row>
    <row r="172" spans="1:7" x14ac:dyDescent="0.15">
      <c r="A172" s="169" t="s">
        <v>26</v>
      </c>
      <c r="B172" s="169">
        <v>3</v>
      </c>
      <c r="C172" s="170">
        <f>+C199</f>
        <v>1.0620000000000003</v>
      </c>
      <c r="D172" s="170">
        <f>+B152</f>
        <v>2.5666666666666669</v>
      </c>
      <c r="E172" s="170">
        <f t="shared" si="0"/>
        <v>2.7258000000000009</v>
      </c>
      <c r="G172" s="159"/>
    </row>
    <row r="173" spans="1:7" x14ac:dyDescent="0.15">
      <c r="A173" s="169" t="s">
        <v>21</v>
      </c>
      <c r="B173" s="169">
        <v>4</v>
      </c>
      <c r="C173" s="170">
        <f t="shared" ref="C173:C174" si="1">+C201</f>
        <v>0.79728813559322054</v>
      </c>
      <c r="D173" s="170">
        <f>+B158</f>
        <v>4.3333333333333348</v>
      </c>
      <c r="E173" s="170">
        <f t="shared" ref="E173:E174" si="2">+D173*C173</f>
        <v>3.4549152542372901</v>
      </c>
      <c r="G173" s="159"/>
    </row>
    <row r="174" spans="1:7" ht="15" thickBot="1" x14ac:dyDescent="0.2">
      <c r="A174" s="226" t="s">
        <v>21</v>
      </c>
      <c r="B174" s="226">
        <v>5</v>
      </c>
      <c r="C174" s="227">
        <f t="shared" si="1"/>
        <v>28.000000000000004</v>
      </c>
      <c r="D174" s="227">
        <f>+B164</f>
        <v>3.4000000000000004</v>
      </c>
      <c r="E174" s="227">
        <f t="shared" si="2"/>
        <v>95.200000000000017</v>
      </c>
      <c r="G174" s="159"/>
    </row>
    <row r="175" spans="1:7" ht="15" thickBot="1" x14ac:dyDescent="0.2">
      <c r="A175" s="254" t="s">
        <v>152</v>
      </c>
      <c r="B175" s="254"/>
      <c r="C175" s="255">
        <f>SUM(C170:C174)</f>
        <v>40.863288135593223</v>
      </c>
      <c r="D175" s="255"/>
      <c r="E175" s="255">
        <f>SUM(E170:E174)</f>
        <v>120.78891525423731</v>
      </c>
      <c r="G175" s="159"/>
    </row>
    <row r="176" spans="1:7" x14ac:dyDescent="0.15">
      <c r="C176" s="39"/>
      <c r="D176" s="39"/>
      <c r="E176" s="39"/>
      <c r="G176" s="159"/>
    </row>
    <row r="177" spans="1:7" x14ac:dyDescent="0.15">
      <c r="A177" s="140" t="s">
        <v>158</v>
      </c>
      <c r="C177" s="39"/>
      <c r="D177" s="224"/>
      <c r="E177" s="224"/>
      <c r="G177" s="159"/>
    </row>
    <row r="178" spans="1:7" x14ac:dyDescent="0.15">
      <c r="C178" s="39"/>
      <c r="D178" s="224"/>
      <c r="E178" s="224"/>
      <c r="G178" s="159"/>
    </row>
    <row r="179" spans="1:7" x14ac:dyDescent="0.15">
      <c r="A179" s="39" t="s">
        <v>153</v>
      </c>
      <c r="B179" s="146">
        <f>+E175/C175</f>
        <v>2.9559274538415408</v>
      </c>
      <c r="C179" s="39" t="s">
        <v>0</v>
      </c>
      <c r="D179" s="224"/>
      <c r="E179" s="224"/>
      <c r="G179" s="159"/>
    </row>
    <row r="180" spans="1:7" x14ac:dyDescent="0.15">
      <c r="C180" s="224"/>
      <c r="D180" s="224"/>
      <c r="E180" s="224"/>
      <c r="G180" s="159"/>
    </row>
    <row r="181" spans="1:7" x14ac:dyDescent="0.15">
      <c r="A181" s="140" t="s">
        <v>484</v>
      </c>
      <c r="C181" s="39"/>
      <c r="D181" s="39"/>
      <c r="E181" s="39"/>
      <c r="G181" s="159"/>
    </row>
    <row r="182" spans="1:7" x14ac:dyDescent="0.15">
      <c r="G182" s="159"/>
    </row>
    <row r="183" spans="1:7" x14ac:dyDescent="0.15">
      <c r="A183" s="224" t="s">
        <v>485</v>
      </c>
      <c r="B183" s="146">
        <f>+C175*B80</f>
        <v>5.8740976694915252</v>
      </c>
      <c r="C183" s="39" t="s">
        <v>2</v>
      </c>
    </row>
    <row r="184" spans="1:7" x14ac:dyDescent="0.15">
      <c r="F184" s="171"/>
    </row>
    <row r="185" spans="1:7" ht="16" x14ac:dyDescent="0.15">
      <c r="A185" s="345" t="s">
        <v>359</v>
      </c>
      <c r="B185" s="345"/>
      <c r="C185" s="345"/>
      <c r="D185" s="345"/>
      <c r="E185" s="345"/>
      <c r="F185" s="345"/>
      <c r="G185" s="345"/>
    </row>
    <row r="186" spans="1:7" ht="16" x14ac:dyDescent="0.15">
      <c r="A186" s="345" t="s">
        <v>470</v>
      </c>
      <c r="B186" s="345"/>
      <c r="C186" s="345"/>
      <c r="D186" s="345"/>
      <c r="E186" s="345"/>
      <c r="F186" s="345"/>
      <c r="G186" s="345"/>
    </row>
    <row r="187" spans="1:7" ht="17" thickBot="1" x14ac:dyDescent="0.2">
      <c r="A187" s="172"/>
      <c r="B187" s="172"/>
      <c r="C187" s="172"/>
      <c r="D187" s="172"/>
      <c r="E187" s="172"/>
      <c r="F187" s="172"/>
      <c r="G187" s="172"/>
    </row>
    <row r="188" spans="1:7" ht="18" customHeight="1" thickBot="1" x14ac:dyDescent="0.2">
      <c r="A188" s="173" t="s">
        <v>4</v>
      </c>
      <c r="B188" s="174"/>
      <c r="C188" s="168" t="s">
        <v>119</v>
      </c>
      <c r="D188" s="168" t="s">
        <v>80</v>
      </c>
      <c r="E188" s="168" t="s">
        <v>79</v>
      </c>
    </row>
    <row r="189" spans="1:7" x14ac:dyDescent="0.15">
      <c r="A189" s="175" t="s">
        <v>486</v>
      </c>
      <c r="B189" s="176"/>
      <c r="C189" s="177">
        <f>+E128</f>
        <v>15.93579173976638</v>
      </c>
      <c r="D189" s="177">
        <f>+E132</f>
        <v>2.4800000000000004</v>
      </c>
      <c r="E189" s="177">
        <f>+C189*D189</f>
        <v>39.520763514620626</v>
      </c>
    </row>
    <row r="190" spans="1:7" x14ac:dyDescent="0.15">
      <c r="A190" s="178" t="s">
        <v>593</v>
      </c>
      <c r="B190" s="179"/>
      <c r="C190" s="180">
        <f>+B183</f>
        <v>5.8740976694915252</v>
      </c>
      <c r="D190" s="180">
        <f>+B179</f>
        <v>2.9559274538415408</v>
      </c>
      <c r="E190" s="180">
        <f>+C190*D190</f>
        <v>17.363406567796613</v>
      </c>
    </row>
    <row r="191" spans="1:7" ht="15" thickBot="1" x14ac:dyDescent="0.2">
      <c r="A191" s="277" t="str">
        <f>+RESISTENCIA!A118</f>
        <v>Sobrecarga viva LS</v>
      </c>
      <c r="B191" s="278"/>
      <c r="C191" s="190">
        <f>+RESISTENCIA!C118</f>
        <v>2.4800000000000004</v>
      </c>
      <c r="D191" s="190">
        <f>+RESISTENCIA!D118</f>
        <v>3.1</v>
      </c>
      <c r="E191" s="190">
        <f>+RESISTENCIA!E118</f>
        <v>7.6880000000000015</v>
      </c>
    </row>
    <row r="192" spans="1:7" x14ac:dyDescent="0.15">
      <c r="A192" s="181"/>
      <c r="B192" s="167"/>
      <c r="C192" s="182"/>
      <c r="D192" s="167"/>
      <c r="E192" s="182"/>
    </row>
    <row r="193" spans="1:7" ht="16" x14ac:dyDescent="0.15">
      <c r="A193" s="345" t="s">
        <v>360</v>
      </c>
      <c r="B193" s="345"/>
      <c r="C193" s="345"/>
      <c r="D193" s="345"/>
      <c r="E193" s="345"/>
      <c r="F193" s="345"/>
      <c r="G193" s="345"/>
    </row>
    <row r="194" spans="1:7" ht="20" customHeight="1" x14ac:dyDescent="0.15">
      <c r="A194" s="345" t="s">
        <v>487</v>
      </c>
      <c r="B194" s="345"/>
      <c r="C194" s="345"/>
      <c r="D194" s="345"/>
      <c r="E194" s="345"/>
      <c r="F194" s="345"/>
      <c r="G194" s="345"/>
    </row>
    <row r="195" spans="1:7" ht="20" customHeight="1" thickBot="1" x14ac:dyDescent="0.2">
      <c r="A195" s="172"/>
      <c r="B195" s="172"/>
      <c r="C195" s="172"/>
      <c r="D195" s="172"/>
      <c r="E195" s="172"/>
    </row>
    <row r="196" spans="1:7" ht="15" thickBot="1" x14ac:dyDescent="0.2">
      <c r="A196" s="168" t="s">
        <v>37</v>
      </c>
      <c r="B196" s="168" t="s">
        <v>38</v>
      </c>
      <c r="C196" s="168" t="s">
        <v>77</v>
      </c>
      <c r="D196" s="168" t="s">
        <v>78</v>
      </c>
      <c r="E196" s="168" t="s">
        <v>79</v>
      </c>
    </row>
    <row r="197" spans="1:7" x14ac:dyDescent="0.15">
      <c r="A197" s="183" t="str">
        <f>+RESISTENCIA!A187</f>
        <v>Zapata</v>
      </c>
      <c r="B197" s="183">
        <f>+RESISTENCIA!B187</f>
        <v>1</v>
      </c>
      <c r="C197" s="177">
        <f>+RESISTENCIA!C187</f>
        <v>6.048</v>
      </c>
      <c r="D197" s="177">
        <f>+RESISTENCIA!D187</f>
        <v>2.1</v>
      </c>
      <c r="E197" s="177">
        <f>+RESISTENCIA!E187</f>
        <v>12.700800000000001</v>
      </c>
    </row>
    <row r="198" spans="1:7" x14ac:dyDescent="0.15">
      <c r="A198" s="169" t="str">
        <f>+RESISTENCIA!A188</f>
        <v>Vastago</v>
      </c>
      <c r="B198" s="169">
        <f>+RESISTENCIA!B188</f>
        <v>2</v>
      </c>
      <c r="C198" s="170">
        <f>+RESISTENCIA!C188</f>
        <v>4.9559999999999995</v>
      </c>
      <c r="D198" s="170">
        <f>+RESISTENCIA!D188</f>
        <v>1.375</v>
      </c>
      <c r="E198" s="170">
        <f>+RESISTENCIA!E188</f>
        <v>6.8144999999999989</v>
      </c>
    </row>
    <row r="199" spans="1:7" ht="15" thickBot="1" x14ac:dyDescent="0.2">
      <c r="A199" s="169" t="str">
        <f>+RESISTENCIA!A189</f>
        <v>Vastago</v>
      </c>
      <c r="B199" s="169">
        <f>+RESISTENCIA!B189</f>
        <v>3</v>
      </c>
      <c r="C199" s="170">
        <f>+RESISTENCIA!C189</f>
        <v>1.0620000000000003</v>
      </c>
      <c r="D199" s="170">
        <f>+RESISTENCIA!D189</f>
        <v>1.5999999999999999</v>
      </c>
      <c r="E199" s="170">
        <f>+RESISTENCIA!E189</f>
        <v>1.6992000000000003</v>
      </c>
    </row>
    <row r="200" spans="1:7" ht="15" thickBot="1" x14ac:dyDescent="0.2">
      <c r="A200" s="228" t="s">
        <v>429</v>
      </c>
      <c r="B200" s="228"/>
      <c r="C200" s="184">
        <f>SUM(C197:C199)</f>
        <v>12.065999999999999</v>
      </c>
      <c r="D200" s="184"/>
      <c r="E200" s="184">
        <f>SUM(E197:E199)</f>
        <v>21.214500000000001</v>
      </c>
      <c r="F200" s="140" t="s">
        <v>430</v>
      </c>
    </row>
    <row r="201" spans="1:7" x14ac:dyDescent="0.15">
      <c r="A201" s="169" t="str">
        <f>+RESISTENCIA!A191</f>
        <v>Relleno</v>
      </c>
      <c r="B201" s="169">
        <f>+RESISTENCIA!B191</f>
        <v>4</v>
      </c>
      <c r="C201" s="170">
        <f>+RESISTENCIA!C191</f>
        <v>0.79728813559322054</v>
      </c>
      <c r="D201" s="170">
        <f>+RESISTENCIA!D191</f>
        <v>1.644915254237288</v>
      </c>
      <c r="E201" s="170">
        <f>+RESISTENCIA!E191</f>
        <v>1.3114714162596957</v>
      </c>
    </row>
    <row r="202" spans="1:7" x14ac:dyDescent="0.15">
      <c r="A202" s="169" t="str">
        <f>+RESISTENCIA!A192</f>
        <v>Relleno</v>
      </c>
      <c r="B202" s="169">
        <f>+RESISTENCIA!B192</f>
        <v>5</v>
      </c>
      <c r="C202" s="170">
        <f>+RESISTENCIA!C192</f>
        <v>28.000000000000004</v>
      </c>
      <c r="D202" s="170">
        <f>+RESISTENCIA!D192</f>
        <v>2.95</v>
      </c>
      <c r="E202" s="170">
        <f>+RESISTENCIA!E192</f>
        <v>82.600000000000009</v>
      </c>
    </row>
    <row r="203" spans="1:7" ht="15" thickBot="1" x14ac:dyDescent="0.2">
      <c r="A203" s="169" t="str">
        <f>+RESISTENCIA!A193</f>
        <v>Relleno pie</v>
      </c>
      <c r="B203" s="169">
        <f>+RESISTENCIA!B193</f>
        <v>6</v>
      </c>
      <c r="C203" s="170">
        <f>+RESISTENCIA!C193</f>
        <v>-0.23999999999999994</v>
      </c>
      <c r="D203" s="170">
        <f>+RESISTENCIA!D193</f>
        <v>0.6</v>
      </c>
      <c r="E203" s="170">
        <f>+RESISTENCIA!E193</f>
        <v>-0.14399999999999996</v>
      </c>
    </row>
    <row r="204" spans="1:7" ht="15" thickBot="1" x14ac:dyDescent="0.2">
      <c r="A204" s="228" t="s">
        <v>431</v>
      </c>
      <c r="B204" s="228"/>
      <c r="C204" s="184">
        <f>SUM(C201:C203)</f>
        <v>28.557288135593225</v>
      </c>
      <c r="D204" s="184"/>
      <c r="E204" s="184">
        <f>SUM(E201:E203)</f>
        <v>83.767471416259696</v>
      </c>
      <c r="F204" s="140" t="s">
        <v>432</v>
      </c>
    </row>
    <row r="205" spans="1:7" x14ac:dyDescent="0.15">
      <c r="C205" s="186"/>
      <c r="D205" s="185"/>
      <c r="E205" s="186"/>
      <c r="F205" s="185"/>
    </row>
    <row r="206" spans="1:7" x14ac:dyDescent="0.15">
      <c r="A206" s="162" t="s">
        <v>433</v>
      </c>
      <c r="C206" s="186"/>
      <c r="D206" s="185"/>
      <c r="E206" s="186"/>
      <c r="F206" s="185"/>
    </row>
    <row r="207" spans="1:7" x14ac:dyDescent="0.15">
      <c r="C207" s="186"/>
      <c r="D207" s="185"/>
      <c r="E207" s="186"/>
      <c r="F207" s="185"/>
    </row>
    <row r="208" spans="1:7" x14ac:dyDescent="0.15">
      <c r="A208" s="229" t="s">
        <v>434</v>
      </c>
      <c r="B208" s="229" t="s">
        <v>435</v>
      </c>
      <c r="C208" s="225"/>
      <c r="D208" s="225"/>
    </row>
    <row r="209" spans="1:4" x14ac:dyDescent="0.15">
      <c r="A209" s="229" t="s">
        <v>436</v>
      </c>
      <c r="B209" s="229" t="s">
        <v>437</v>
      </c>
      <c r="C209" s="225"/>
      <c r="D209" s="225"/>
    </row>
    <row r="210" spans="1:4" ht="19" x14ac:dyDescent="0.15">
      <c r="A210" s="230" t="s">
        <v>438</v>
      </c>
      <c r="B210" s="229" t="s">
        <v>439</v>
      </c>
      <c r="C210" s="225"/>
      <c r="D210" s="225"/>
    </row>
    <row r="211" spans="1:4" ht="19" x14ac:dyDescent="0.15">
      <c r="A211" s="233" t="s">
        <v>440</v>
      </c>
      <c r="B211" s="229" t="s">
        <v>441</v>
      </c>
      <c r="C211" s="225"/>
      <c r="D211" s="225"/>
    </row>
    <row r="212" spans="1:4" x14ac:dyDescent="0.15">
      <c r="A212" s="229" t="s">
        <v>442</v>
      </c>
      <c r="B212" s="229" t="s">
        <v>443</v>
      </c>
      <c r="C212" s="225"/>
      <c r="D212" s="225"/>
    </row>
    <row r="213" spans="1:4" ht="19" x14ac:dyDescent="0.15">
      <c r="A213" s="230" t="s">
        <v>438</v>
      </c>
      <c r="B213" s="146">
        <v>0.85</v>
      </c>
      <c r="C213" s="224"/>
      <c r="D213" s="225"/>
    </row>
    <row r="214" spans="1:4" ht="19" x14ac:dyDescent="0.15">
      <c r="A214" s="233" t="s">
        <v>440</v>
      </c>
      <c r="B214" s="146">
        <v>0.5</v>
      </c>
      <c r="C214" s="225"/>
      <c r="D214" s="225"/>
    </row>
    <row r="215" spans="1:4" x14ac:dyDescent="0.15">
      <c r="A215" s="229" t="s">
        <v>436</v>
      </c>
      <c r="B215" s="232">
        <f>+RESISTENCIA!B206</f>
        <v>2.9999999999999991</v>
      </c>
      <c r="C215" s="236" t="s">
        <v>2</v>
      </c>
      <c r="D215" s="225"/>
    </row>
    <row r="216" spans="1:4" x14ac:dyDescent="0.15">
      <c r="A216" s="229" t="s">
        <v>113</v>
      </c>
      <c r="B216" s="232">
        <f>1*C200+C204</f>
        <v>40.623288135593228</v>
      </c>
      <c r="C216" s="236" t="s">
        <v>2</v>
      </c>
      <c r="D216" s="229" t="s">
        <v>516</v>
      </c>
    </row>
    <row r="217" spans="1:4" ht="15" x14ac:dyDescent="0.15">
      <c r="A217" s="229" t="s">
        <v>434</v>
      </c>
      <c r="B217" s="232">
        <f>+RESISTENCIA!B208</f>
        <v>22.757235505648275</v>
      </c>
      <c r="C217" s="236" t="s">
        <v>2</v>
      </c>
      <c r="D217" s="229" t="s">
        <v>446</v>
      </c>
    </row>
    <row r="218" spans="1:4" ht="15" x14ac:dyDescent="0.15">
      <c r="A218" s="225" t="s">
        <v>442</v>
      </c>
      <c r="B218" s="234">
        <f>+B217*B213+B215*B214</f>
        <v>20.843650179801035</v>
      </c>
      <c r="C218" s="167" t="s">
        <v>2</v>
      </c>
      <c r="D218" s="225" t="s">
        <v>447</v>
      </c>
    </row>
    <row r="219" spans="1:4" x14ac:dyDescent="0.15">
      <c r="A219" s="225"/>
      <c r="B219" s="225"/>
      <c r="C219" s="167"/>
      <c r="D219" s="225"/>
    </row>
    <row r="220" spans="1:4" x14ac:dyDescent="0.15">
      <c r="A220" s="225" t="s">
        <v>448</v>
      </c>
      <c r="B220" s="225"/>
      <c r="C220" s="167"/>
      <c r="D220" s="225"/>
    </row>
    <row r="221" spans="1:4" x14ac:dyDescent="0.15">
      <c r="A221" s="224"/>
      <c r="B221" s="146"/>
      <c r="C221" s="167"/>
      <c r="D221" s="225"/>
    </row>
    <row r="222" spans="1:4" x14ac:dyDescent="0.15">
      <c r="A222" s="229" t="s">
        <v>486</v>
      </c>
      <c r="B222" s="232">
        <f>+C189</f>
        <v>15.93579173976638</v>
      </c>
      <c r="C222" s="236" t="s">
        <v>2</v>
      </c>
      <c r="D222" s="225"/>
    </row>
    <row r="223" spans="1:4" x14ac:dyDescent="0.15">
      <c r="A223" s="229" t="s">
        <v>485</v>
      </c>
      <c r="B223" s="232">
        <f>+C190</f>
        <v>5.8740976694915252</v>
      </c>
      <c r="C223" s="236" t="s">
        <v>2</v>
      </c>
      <c r="D223" s="225"/>
    </row>
    <row r="224" spans="1:4" x14ac:dyDescent="0.15">
      <c r="A224" s="229" t="s">
        <v>505</v>
      </c>
      <c r="B224" s="232">
        <f>+B222+0.5*B223</f>
        <v>18.872840574512143</v>
      </c>
      <c r="C224" s="236" t="s">
        <v>2</v>
      </c>
      <c r="D224" s="225"/>
    </row>
    <row r="225" spans="1:7" x14ac:dyDescent="0.15">
      <c r="A225" s="229" t="s">
        <v>507</v>
      </c>
      <c r="B225" s="232">
        <f>+B222*0.5</f>
        <v>7.9678958698831899</v>
      </c>
      <c r="C225" s="236" t="s">
        <v>2</v>
      </c>
      <c r="D225" s="225"/>
    </row>
    <row r="226" spans="1:7" x14ac:dyDescent="0.15">
      <c r="A226" s="229" t="s">
        <v>508</v>
      </c>
      <c r="B226" s="232">
        <f>+RESISTENCIA!C117</f>
        <v>12.813333333333338</v>
      </c>
      <c r="C226" s="236" t="s">
        <v>2</v>
      </c>
      <c r="D226" s="225"/>
    </row>
    <row r="227" spans="1:7" x14ac:dyDescent="0.15">
      <c r="A227" s="229" t="s">
        <v>506</v>
      </c>
      <c r="B227" s="232">
        <f>+MAX(B225,B226)+B223</f>
        <v>18.687431002824862</v>
      </c>
      <c r="C227" s="236" t="s">
        <v>2</v>
      </c>
      <c r="D227" s="225"/>
    </row>
    <row r="228" spans="1:7" x14ac:dyDescent="0.15">
      <c r="A228" s="225" t="s">
        <v>449</v>
      </c>
      <c r="B228" s="234">
        <f>+MAX(B227,B224)+C191</f>
        <v>21.352840574512143</v>
      </c>
      <c r="C228" s="167" t="s">
        <v>2</v>
      </c>
      <c r="D228" s="225"/>
    </row>
    <row r="229" spans="1:7" x14ac:dyDescent="0.15">
      <c r="A229" s="229" t="s">
        <v>237</v>
      </c>
      <c r="B229" s="235" t="str">
        <f>+IF(B228&gt;B218,"revisar","ok")</f>
        <v>revisar</v>
      </c>
      <c r="C229" s="224"/>
      <c r="D229" s="225"/>
    </row>
    <row r="230" spans="1:7" x14ac:dyDescent="0.15">
      <c r="A230" s="224"/>
      <c r="B230" s="146"/>
      <c r="C230" s="142"/>
      <c r="D230" s="225"/>
    </row>
    <row r="231" spans="1:7" ht="14" customHeight="1" x14ac:dyDescent="0.15">
      <c r="A231" s="156" t="s">
        <v>494</v>
      </c>
      <c r="B231" s="156"/>
      <c r="C231" s="156"/>
      <c r="D231" s="156"/>
      <c r="E231" s="156"/>
      <c r="F231" s="156"/>
      <c r="G231" s="156"/>
    </row>
    <row r="232" spans="1:7" ht="14" customHeight="1" x14ac:dyDescent="0.15">
      <c r="A232" s="156"/>
      <c r="B232" s="156"/>
      <c r="C232" s="156"/>
      <c r="D232" s="156"/>
      <c r="E232" s="156"/>
      <c r="F232" s="156"/>
      <c r="G232" s="156"/>
    </row>
    <row r="233" spans="1:7" ht="14" customHeight="1" x14ac:dyDescent="0.15">
      <c r="A233" s="225" t="s">
        <v>473</v>
      </c>
      <c r="B233" s="232"/>
      <c r="C233" s="232"/>
      <c r="D233" s="232"/>
      <c r="E233" s="242"/>
      <c r="F233" s="242"/>
      <c r="G233" s="242"/>
    </row>
    <row r="234" spans="1:7" ht="14" customHeight="1" x14ac:dyDescent="0.15">
      <c r="A234" s="229" t="s">
        <v>200</v>
      </c>
      <c r="B234" s="232">
        <f>+RESISTENCIA!B219</f>
        <v>4.2</v>
      </c>
      <c r="C234" s="232" t="s">
        <v>0</v>
      </c>
      <c r="D234" s="231" t="s">
        <v>453</v>
      </c>
      <c r="E234" s="242"/>
      <c r="F234" s="242"/>
      <c r="G234" s="242"/>
    </row>
    <row r="235" spans="1:7" ht="14" customHeight="1" x14ac:dyDescent="0.15">
      <c r="A235" s="229" t="s">
        <v>461</v>
      </c>
      <c r="B235" s="244">
        <f>+B234/6</f>
        <v>0.70000000000000007</v>
      </c>
      <c r="C235" s="232" t="s">
        <v>0</v>
      </c>
      <c r="D235" s="231" t="s">
        <v>498</v>
      </c>
      <c r="E235" s="242"/>
      <c r="F235" s="242"/>
      <c r="G235" s="242"/>
    </row>
    <row r="236" spans="1:7" ht="14" customHeight="1" x14ac:dyDescent="0.15">
      <c r="A236" s="229" t="s">
        <v>464</v>
      </c>
      <c r="B236" s="232">
        <f>+E189+0.5*E190+E191</f>
        <v>55.890466798518936</v>
      </c>
      <c r="C236" s="232" t="s">
        <v>3</v>
      </c>
      <c r="D236" s="229" t="s">
        <v>509</v>
      </c>
      <c r="E236" s="242"/>
      <c r="F236" s="242"/>
      <c r="G236" s="242"/>
    </row>
    <row r="237" spans="1:7" ht="14" customHeight="1" x14ac:dyDescent="0.15">
      <c r="A237" s="229" t="s">
        <v>463</v>
      </c>
      <c r="B237" s="232">
        <f>+RESISTENCIA!B222</f>
        <v>102.8605214162597</v>
      </c>
      <c r="C237" s="232" t="s">
        <v>3</v>
      </c>
      <c r="D237" s="229" t="s">
        <v>492</v>
      </c>
      <c r="E237" s="242"/>
      <c r="F237" s="242"/>
      <c r="G237" s="242"/>
    </row>
    <row r="238" spans="1:7" ht="14" customHeight="1" thickBot="1" x14ac:dyDescent="0.2">
      <c r="A238" s="229" t="s">
        <v>113</v>
      </c>
      <c r="B238" s="232">
        <f>+RESISTENCIA!B223</f>
        <v>39.416688135593226</v>
      </c>
      <c r="C238" s="232" t="s">
        <v>2</v>
      </c>
      <c r="D238" s="231" t="str">
        <f>+D237</f>
        <v>0.90*DC+1.0*EV</v>
      </c>
      <c r="E238" s="242"/>
      <c r="F238" s="242"/>
      <c r="G238" s="242"/>
    </row>
    <row r="239" spans="1:7" ht="14" customHeight="1" thickBot="1" x14ac:dyDescent="0.2">
      <c r="A239" s="229" t="s">
        <v>454</v>
      </c>
      <c r="B239" s="232">
        <f>+(B237-B236)/B238</f>
        <v>1.1916286435878121</v>
      </c>
      <c r="C239" s="232" t="s">
        <v>0</v>
      </c>
      <c r="D239" s="229" t="s">
        <v>493</v>
      </c>
      <c r="E239" s="242"/>
      <c r="F239" s="250" t="s">
        <v>502</v>
      </c>
      <c r="G239" s="242"/>
    </row>
    <row r="240" spans="1:7" ht="14" customHeight="1" thickBot="1" x14ac:dyDescent="0.2">
      <c r="A240" s="246" t="s">
        <v>455</v>
      </c>
      <c r="B240" s="247">
        <f>+B234/2-B239</f>
        <v>0.90837135641218802</v>
      </c>
      <c r="C240" s="248" t="s">
        <v>0</v>
      </c>
      <c r="D240" s="246" t="s">
        <v>459</v>
      </c>
      <c r="E240" s="249" t="str">
        <f>+IF(B240&gt;B235,"Revisar","ok")</f>
        <v>Revisar</v>
      </c>
      <c r="F240" s="250" t="s">
        <v>503</v>
      </c>
      <c r="G240" s="242"/>
    </row>
    <row r="241" spans="1:7" ht="14" customHeight="1" x14ac:dyDescent="0.15">
      <c r="A241" s="229"/>
      <c r="B241" s="244"/>
      <c r="C241" s="232"/>
      <c r="D241" s="229"/>
      <c r="E241" s="245"/>
      <c r="F241" s="242"/>
      <c r="G241" s="242"/>
    </row>
    <row r="242" spans="1:7" ht="14" customHeight="1" x14ac:dyDescent="0.15">
      <c r="A242" s="156" t="s">
        <v>495</v>
      </c>
      <c r="B242" s="244"/>
      <c r="C242" s="232"/>
      <c r="D242" s="229"/>
      <c r="E242" s="245"/>
      <c r="F242" s="242"/>
      <c r="G242" s="242"/>
    </row>
    <row r="243" spans="1:7" ht="14" customHeight="1" x14ac:dyDescent="0.15">
      <c r="A243" s="229"/>
      <c r="B243" s="244"/>
      <c r="C243" s="232"/>
      <c r="D243" s="229"/>
      <c r="E243" s="245"/>
      <c r="F243" s="242"/>
      <c r="G243" s="242"/>
    </row>
    <row r="244" spans="1:7" ht="14" customHeight="1" x14ac:dyDescent="0.15">
      <c r="A244" s="229" t="s">
        <v>216</v>
      </c>
      <c r="B244" s="232">
        <f>+RESISTENCIA!B229</f>
        <v>48.4</v>
      </c>
      <c r="C244" s="232" t="s">
        <v>457</v>
      </c>
      <c r="D244" s="229"/>
      <c r="E244" s="245"/>
      <c r="F244" s="242"/>
      <c r="G244" s="242"/>
    </row>
    <row r="245" spans="1:7" ht="14" customHeight="1" x14ac:dyDescent="0.15">
      <c r="A245" s="229" t="s">
        <v>200</v>
      </c>
      <c r="B245" s="232">
        <f>+B234</f>
        <v>4.2</v>
      </c>
      <c r="C245" s="232" t="s">
        <v>0</v>
      </c>
      <c r="D245" s="231" t="s">
        <v>453</v>
      </c>
      <c r="E245" s="242"/>
      <c r="G245" s="242"/>
    </row>
    <row r="246" spans="1:7" ht="14" customHeight="1" x14ac:dyDescent="0.15">
      <c r="A246" s="229" t="s">
        <v>464</v>
      </c>
      <c r="B246" s="232">
        <f>+B236</f>
        <v>55.890466798518936</v>
      </c>
      <c r="C246" s="232" t="s">
        <v>3</v>
      </c>
      <c r="D246" s="229" t="str">
        <f>+D236</f>
        <v>PAE+0.50*PIR+LS</v>
      </c>
      <c r="E246" s="242"/>
      <c r="G246" s="242"/>
    </row>
    <row r="247" spans="1:7" ht="14" customHeight="1" x14ac:dyDescent="0.15">
      <c r="A247" s="229" t="s">
        <v>463</v>
      </c>
      <c r="B247" s="232">
        <f>+E200*1.25+1.35*E204</f>
        <v>139.60421141195062</v>
      </c>
      <c r="C247" s="232" t="s">
        <v>3</v>
      </c>
      <c r="D247" s="229" t="s">
        <v>510</v>
      </c>
      <c r="E247" s="242"/>
      <c r="G247" s="242"/>
    </row>
    <row r="248" spans="1:7" ht="14" customHeight="1" thickBot="1" x14ac:dyDescent="0.2">
      <c r="A248" s="229" t="s">
        <v>113</v>
      </c>
      <c r="B248" s="232">
        <f>1.25*C200+1.35*C204</f>
        <v>53.634838983050855</v>
      </c>
      <c r="C248" s="232" t="s">
        <v>2</v>
      </c>
      <c r="D248" s="231" t="str">
        <f>+D247</f>
        <v>1.25*DC+1.35EV</v>
      </c>
      <c r="E248" s="242"/>
      <c r="G248" s="242"/>
    </row>
    <row r="249" spans="1:7" ht="14" customHeight="1" thickBot="1" x14ac:dyDescent="0.2">
      <c r="A249" s="229" t="s">
        <v>454</v>
      </c>
      <c r="B249" s="232">
        <f>+(B247-B246)/B248</f>
        <v>1.5608090972340956</v>
      </c>
      <c r="C249" s="232" t="s">
        <v>0</v>
      </c>
      <c r="D249" s="229" t="s">
        <v>458</v>
      </c>
      <c r="E249" s="242"/>
      <c r="F249" s="250" t="s">
        <v>502</v>
      </c>
      <c r="G249" s="242"/>
    </row>
    <row r="250" spans="1:7" ht="14" customHeight="1" thickBot="1" x14ac:dyDescent="0.2">
      <c r="A250" s="229" t="s">
        <v>455</v>
      </c>
      <c r="B250" s="232">
        <f>+B245/2-B249</f>
        <v>0.53919090276590453</v>
      </c>
      <c r="C250" s="232" t="s">
        <v>0</v>
      </c>
      <c r="D250" s="229" t="s">
        <v>459</v>
      </c>
      <c r="E250" s="242"/>
      <c r="F250" s="250" t="s">
        <v>503</v>
      </c>
      <c r="G250" s="242"/>
    </row>
    <row r="251" spans="1:7" ht="14" customHeight="1" thickBot="1" x14ac:dyDescent="0.2">
      <c r="A251" s="246" t="s">
        <v>456</v>
      </c>
      <c r="B251" s="248">
        <f>+B248/(B245-2*B250)</f>
        <v>17.18174217400993</v>
      </c>
      <c r="C251" s="248" t="s">
        <v>457</v>
      </c>
      <c r="D251" s="246" t="s">
        <v>460</v>
      </c>
      <c r="E251" s="249" t="str">
        <f>+IF(B251&gt;B244,"Revisar","ok")</f>
        <v>ok</v>
      </c>
      <c r="F251" s="250" t="s">
        <v>501</v>
      </c>
      <c r="G251" s="242"/>
    </row>
    <row r="252" spans="1:7" ht="14" customHeight="1" x14ac:dyDescent="0.15">
      <c r="A252" s="229"/>
      <c r="B252" s="244"/>
      <c r="C252" s="232"/>
      <c r="D252" s="229"/>
      <c r="E252" s="245"/>
      <c r="F252" s="242"/>
      <c r="G252" s="242"/>
    </row>
    <row r="253" spans="1:7" ht="14" customHeight="1" x14ac:dyDescent="0.15">
      <c r="A253" s="156" t="s">
        <v>500</v>
      </c>
      <c r="B253" s="244"/>
      <c r="C253" s="232"/>
      <c r="D253" s="229"/>
      <c r="E253" s="245"/>
      <c r="F253" s="242"/>
      <c r="G253" s="242"/>
    </row>
    <row r="254" spans="1:7" ht="14" customHeight="1" thickBot="1" x14ac:dyDescent="0.2"/>
    <row r="255" spans="1:7" ht="14" customHeight="1" thickBot="1" x14ac:dyDescent="0.2">
      <c r="F255" s="168" t="s">
        <v>15</v>
      </c>
      <c r="G255" s="168" t="s">
        <v>16</v>
      </c>
    </row>
    <row r="256" spans="1:7" ht="14" customHeight="1" thickBot="1" x14ac:dyDescent="0.2">
      <c r="A256" s="168" t="s">
        <v>468</v>
      </c>
      <c r="B256" s="168" t="s">
        <v>467</v>
      </c>
      <c r="C256" s="168" t="s">
        <v>466</v>
      </c>
      <c r="D256" s="168" t="s">
        <v>469</v>
      </c>
      <c r="E256" s="168" t="s">
        <v>73</v>
      </c>
      <c r="F256" s="168" t="s">
        <v>74</v>
      </c>
      <c r="G256" s="168" t="s">
        <v>75</v>
      </c>
    </row>
    <row r="257" spans="1:7" ht="14" customHeight="1" x14ac:dyDescent="0.15">
      <c r="A257" s="188">
        <f>+B236</f>
        <v>55.890466798518936</v>
      </c>
      <c r="B257" s="188">
        <f>+B237</f>
        <v>102.8605214162597</v>
      </c>
      <c r="C257" s="188">
        <f>+B238</f>
        <v>39.416688135593226</v>
      </c>
      <c r="D257" s="188">
        <f>+(B257-A257)/C257</f>
        <v>1.1916286435878121</v>
      </c>
      <c r="E257" s="188">
        <f>-B240</f>
        <v>-0.90837135641218802</v>
      </c>
      <c r="F257" s="189">
        <f>+C257/B234*(1-6*E257/B234)</f>
        <v>21.563493932625942</v>
      </c>
      <c r="G257" s="189">
        <f>+C257/B234*(1+6*E257/B234)</f>
        <v>-2.793642439486312</v>
      </c>
    </row>
  </sheetData>
  <mergeCells count="9">
    <mergeCell ref="A193:G193"/>
    <mergeCell ref="A194:G194"/>
    <mergeCell ref="A1:G1"/>
    <mergeCell ref="A41:G41"/>
    <mergeCell ref="A122:C122"/>
    <mergeCell ref="A166:G166"/>
    <mergeCell ref="A167:G167"/>
    <mergeCell ref="A185:G185"/>
    <mergeCell ref="A186:G186"/>
  </mergeCells>
  <printOptions horizontalCentered="1"/>
  <pageMargins left="0.78740157480314965" right="0.78740157480314965" top="0.78740157480314965" bottom="0.78740157480314965" header="0.31496062992125984" footer="0.31496062992125984"/>
  <pageSetup scale="85" orientation="portrait" r:id="rId1"/>
  <headerFooter alignWithMargins="0">
    <oddHeader>&amp;C&amp;F</oddHeader>
    <oddFooter>&amp;C&amp;P</oddFooter>
  </headerFooter>
  <rowBreaks count="5" manualBreakCount="5">
    <brk id="40" max="6" man="1"/>
    <brk id="88" max="6" man="1"/>
    <brk id="136" max="6" man="1"/>
    <brk id="183" max="6" man="1"/>
    <brk id="229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view="pageBreakPreview" topLeftCell="A88" zoomScale="118" zoomScaleNormal="173" zoomScaleSheetLayoutView="85" zoomScalePageLayoutView="173" workbookViewId="0">
      <selection activeCell="A107" sqref="A107:G107"/>
    </sheetView>
  </sheetViews>
  <sheetFormatPr baseColWidth="10" defaultColWidth="11.5" defaultRowHeight="14" x14ac:dyDescent="0.15"/>
  <cols>
    <col min="1" max="1" width="12.5" style="140" customWidth="1"/>
    <col min="2" max="2" width="13.5" style="140" customWidth="1"/>
    <col min="3" max="3" width="13.16406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16384" width="11.5" style="140"/>
  </cols>
  <sheetData>
    <row r="1" spans="1:7" ht="33" customHeight="1" x14ac:dyDescent="0.15">
      <c r="A1" s="348" t="s">
        <v>545</v>
      </c>
      <c r="B1" s="348"/>
      <c r="C1" s="348"/>
      <c r="D1" s="348"/>
      <c r="E1" s="348"/>
      <c r="F1" s="348"/>
      <c r="G1" s="348"/>
    </row>
    <row r="2" spans="1:7" x14ac:dyDescent="0.15">
      <c r="A2" s="141"/>
      <c r="B2" s="141"/>
      <c r="C2" s="141"/>
      <c r="D2" s="141"/>
      <c r="E2" s="141"/>
      <c r="F2" s="141"/>
      <c r="G2" s="141"/>
    </row>
    <row r="3" spans="1:7" x14ac:dyDescent="0.15">
      <c r="A3" s="141"/>
      <c r="B3" s="141"/>
      <c r="C3" s="141"/>
      <c r="D3" s="141"/>
      <c r="E3" s="141"/>
      <c r="F3" s="141"/>
      <c r="G3" s="141"/>
    </row>
    <row r="5" spans="1:7" x14ac:dyDescent="0.15">
      <c r="D5" s="142"/>
    </row>
    <row r="6" spans="1:7" x14ac:dyDescent="0.15">
      <c r="D6" s="143">
        <f>+MURO!D14</f>
        <v>0.35</v>
      </c>
    </row>
    <row r="7" spans="1:7" x14ac:dyDescent="0.15">
      <c r="C7" s="144" t="s">
        <v>286</v>
      </c>
      <c r="D7" s="145">
        <f>+MURO!D89</f>
        <v>0.15000000000000002</v>
      </c>
    </row>
    <row r="8" spans="1:7" x14ac:dyDescent="0.15">
      <c r="C8" s="142"/>
      <c r="E8" s="146">
        <f>+MURO!D11</f>
        <v>0.3</v>
      </c>
    </row>
    <row r="9" spans="1:7" x14ac:dyDescent="0.15">
      <c r="C9" s="144"/>
      <c r="D9" s="145"/>
    </row>
    <row r="10" spans="1:7" x14ac:dyDescent="0.15">
      <c r="E10" s="147"/>
    </row>
    <row r="11" spans="1:7" x14ac:dyDescent="0.15">
      <c r="B11" s="147"/>
      <c r="D11" s="142"/>
    </row>
    <row r="12" spans="1:7" x14ac:dyDescent="0.15">
      <c r="B12" s="39"/>
    </row>
    <row r="13" spans="1:7" x14ac:dyDescent="0.15">
      <c r="B13" s="144"/>
    </row>
    <row r="14" spans="1:7" x14ac:dyDescent="0.15">
      <c r="D14" s="145"/>
    </row>
    <row r="15" spans="1:7" x14ac:dyDescent="0.15">
      <c r="C15" s="39"/>
    </row>
    <row r="18" spans="1:7" x14ac:dyDescent="0.15">
      <c r="C18" s="39"/>
      <c r="F18" s="144" t="s">
        <v>223</v>
      </c>
      <c r="G18" s="147">
        <f>+MURO!D85</f>
        <v>5.9</v>
      </c>
    </row>
    <row r="19" spans="1:7" x14ac:dyDescent="0.15">
      <c r="C19" s="142"/>
    </row>
    <row r="20" spans="1:7" x14ac:dyDescent="0.15">
      <c r="B20" s="147"/>
    </row>
    <row r="21" spans="1:7" x14ac:dyDescent="0.15">
      <c r="A21" s="147"/>
      <c r="D21" s="148">
        <v>2</v>
      </c>
    </row>
    <row r="22" spans="1:7" x14ac:dyDescent="0.15">
      <c r="E22" s="147">
        <f>+MURO!D86</f>
        <v>5.6000000000000005</v>
      </c>
    </row>
    <row r="23" spans="1:7" x14ac:dyDescent="0.15">
      <c r="C23" s="39"/>
      <c r="E23" s="39" t="s">
        <v>234</v>
      </c>
    </row>
    <row r="24" spans="1:7" x14ac:dyDescent="0.15">
      <c r="A24" s="149"/>
    </row>
    <row r="25" spans="1:7" x14ac:dyDescent="0.15">
      <c r="D25" s="142"/>
    </row>
    <row r="26" spans="1:7" x14ac:dyDescent="0.15">
      <c r="B26" s="147"/>
    </row>
    <row r="27" spans="1:7" x14ac:dyDescent="0.15">
      <c r="B27" s="39"/>
    </row>
    <row r="30" spans="1:7" x14ac:dyDescent="0.15">
      <c r="C30" s="147"/>
      <c r="D30" s="142">
        <v>3</v>
      </c>
    </row>
    <row r="31" spans="1:7" x14ac:dyDescent="0.15">
      <c r="C31" s="39"/>
    </row>
    <row r="32" spans="1:7" x14ac:dyDescent="0.15">
      <c r="C32" s="145"/>
      <c r="D32" s="150">
        <f>+MURO!D15</f>
        <v>0.5</v>
      </c>
      <c r="F32" s="151"/>
    </row>
    <row r="33" spans="1:7" x14ac:dyDescent="0.15">
      <c r="D33" s="141"/>
    </row>
    <row r="35" spans="1:7" x14ac:dyDescent="0.15">
      <c r="B35" s="140" t="s">
        <v>5</v>
      </c>
      <c r="C35" s="152"/>
      <c r="D35" s="39"/>
      <c r="F35" s="140" t="s">
        <v>6</v>
      </c>
      <c r="G35" s="147">
        <f>+MURO!D13</f>
        <v>0.6</v>
      </c>
    </row>
    <row r="38" spans="1:7" x14ac:dyDescent="0.15">
      <c r="D38" s="147">
        <f>+MURO!D84</f>
        <v>4.2</v>
      </c>
    </row>
    <row r="39" spans="1:7" x14ac:dyDescent="0.15">
      <c r="D39" s="147"/>
    </row>
    <row r="40" spans="1:7" x14ac:dyDescent="0.15">
      <c r="A40" s="153"/>
      <c r="B40" s="153"/>
      <c r="C40" s="142"/>
      <c r="D40" s="141"/>
      <c r="E40" s="141"/>
      <c r="F40" s="141"/>
      <c r="G40" s="141"/>
    </row>
    <row r="41" spans="1:7" x14ac:dyDescent="0.15">
      <c r="C41" s="154"/>
      <c r="G41" s="154"/>
    </row>
    <row r="42" spans="1:7" x14ac:dyDescent="0.15">
      <c r="A42" s="155" t="s">
        <v>20</v>
      </c>
      <c r="C42" s="154"/>
      <c r="G42" s="154"/>
    </row>
    <row r="43" spans="1:7" ht="16" x14ac:dyDescent="0.15">
      <c r="A43" s="156"/>
      <c r="C43" s="154"/>
      <c r="G43" s="154"/>
    </row>
    <row r="44" spans="1:7" x14ac:dyDescent="0.15">
      <c r="A44" s="140" t="s">
        <v>116</v>
      </c>
      <c r="C44" s="154"/>
      <c r="G44" s="154"/>
    </row>
    <row r="45" spans="1:7" x14ac:dyDescent="0.15">
      <c r="C45" s="154"/>
      <c r="G45" s="154"/>
    </row>
    <row r="46" spans="1:7" x14ac:dyDescent="0.15">
      <c r="C46" s="154"/>
      <c r="G46" s="154"/>
    </row>
    <row r="47" spans="1:7" x14ac:dyDescent="0.15">
      <c r="C47" s="154"/>
      <c r="G47" s="154"/>
    </row>
    <row r="48" spans="1:7" x14ac:dyDescent="0.15">
      <c r="C48" s="154"/>
      <c r="G48" s="154"/>
    </row>
    <row r="49" spans="1:7" ht="16" x14ac:dyDescent="0.15">
      <c r="A49" s="157" t="s">
        <v>114</v>
      </c>
      <c r="B49" s="147">
        <f>+TAN(RADIANS(45-MURO!D29/2))^2</f>
        <v>0.33333333333333331</v>
      </c>
      <c r="C49" s="154"/>
      <c r="G49" s="154"/>
    </row>
    <row r="50" spans="1:7" ht="16" x14ac:dyDescent="0.15">
      <c r="A50" s="137"/>
      <c r="B50" s="147"/>
      <c r="C50" s="154"/>
      <c r="G50" s="154"/>
    </row>
    <row r="51" spans="1:7" x14ac:dyDescent="0.15">
      <c r="A51" s="140" t="s">
        <v>117</v>
      </c>
      <c r="B51" s="147"/>
      <c r="C51" s="154"/>
      <c r="G51" s="158"/>
    </row>
    <row r="52" spans="1:7" x14ac:dyDescent="0.15">
      <c r="B52" s="147"/>
      <c r="C52" s="154"/>
      <c r="G52" s="158"/>
    </row>
    <row r="53" spans="1:7" x14ac:dyDescent="0.15">
      <c r="A53" s="158"/>
      <c r="B53" s="147"/>
      <c r="C53" s="154"/>
      <c r="G53" s="158"/>
    </row>
    <row r="54" spans="1:7" x14ac:dyDescent="0.15">
      <c r="B54" s="147"/>
      <c r="C54" s="154"/>
      <c r="G54" s="158"/>
    </row>
    <row r="55" spans="1:7" x14ac:dyDescent="0.15">
      <c r="B55" s="147"/>
      <c r="C55" s="154"/>
      <c r="G55" s="158"/>
    </row>
    <row r="56" spans="1:7" ht="16" x14ac:dyDescent="0.15">
      <c r="A56" s="157" t="s">
        <v>115</v>
      </c>
      <c r="B56" s="147">
        <f>+RESISTENCIA!B53</f>
        <v>2.9999999999999991</v>
      </c>
      <c r="C56" s="154"/>
      <c r="G56" s="154"/>
    </row>
    <row r="57" spans="1:7" ht="16" x14ac:dyDescent="0.15">
      <c r="A57" s="156"/>
      <c r="C57" s="154"/>
      <c r="G57" s="154"/>
    </row>
    <row r="58" spans="1:7" x14ac:dyDescent="0.15">
      <c r="A58" s="155" t="s">
        <v>118</v>
      </c>
      <c r="B58" s="159"/>
      <c r="C58" s="159"/>
      <c r="D58" s="159"/>
      <c r="E58" s="159"/>
      <c r="F58" s="159"/>
      <c r="G58" s="159"/>
    </row>
    <row r="59" spans="1:7" x14ac:dyDescent="0.15">
      <c r="C59" s="159"/>
      <c r="G59" s="159"/>
    </row>
    <row r="60" spans="1:7" x14ac:dyDescent="0.15">
      <c r="A60" s="140" t="s">
        <v>307</v>
      </c>
      <c r="E60" s="159"/>
      <c r="G60" s="159"/>
    </row>
    <row r="61" spans="1:7" x14ac:dyDescent="0.15">
      <c r="E61" s="159"/>
      <c r="G61" s="159"/>
    </row>
    <row r="62" spans="1:7" x14ac:dyDescent="0.15">
      <c r="A62" s="158"/>
      <c r="B62" s="146"/>
      <c r="C62" s="39"/>
      <c r="E62" s="159"/>
      <c r="G62" s="159"/>
    </row>
    <row r="63" spans="1:7" x14ac:dyDescent="0.15">
      <c r="A63" s="39"/>
      <c r="B63" s="146"/>
      <c r="C63" s="39"/>
      <c r="E63" s="159"/>
      <c r="G63" s="159"/>
    </row>
    <row r="64" spans="1:7" x14ac:dyDescent="0.15">
      <c r="A64" s="140" t="s">
        <v>308</v>
      </c>
      <c r="E64" s="159"/>
      <c r="G64" s="159"/>
    </row>
    <row r="65" spans="1:7" x14ac:dyDescent="0.15">
      <c r="A65" s="158"/>
      <c r="E65" s="159"/>
      <c r="G65" s="159"/>
    </row>
    <row r="66" spans="1:7" x14ac:dyDescent="0.15">
      <c r="A66" s="158"/>
      <c r="E66" s="159"/>
      <c r="G66" s="159"/>
    </row>
    <row r="67" spans="1:7" x14ac:dyDescent="0.15">
      <c r="E67" s="159"/>
      <c r="G67" s="159"/>
    </row>
    <row r="68" spans="1:7" x14ac:dyDescent="0.15">
      <c r="A68" s="39"/>
      <c r="B68" s="146"/>
      <c r="C68" s="39"/>
      <c r="E68" s="159"/>
      <c r="F68" s="147" t="s">
        <v>306</v>
      </c>
      <c r="G68" s="159"/>
    </row>
    <row r="69" spans="1:7" x14ac:dyDescent="0.15">
      <c r="A69" s="140" t="s">
        <v>309</v>
      </c>
      <c r="E69" s="159" t="s">
        <v>142</v>
      </c>
      <c r="G69" s="159"/>
    </row>
    <row r="70" spans="1:7" x14ac:dyDescent="0.15">
      <c r="A70" s="158"/>
      <c r="E70" s="159"/>
      <c r="G70" s="159"/>
    </row>
    <row r="71" spans="1:7" x14ac:dyDescent="0.15">
      <c r="A71" s="158"/>
      <c r="E71" s="159"/>
      <c r="G71" s="159"/>
    </row>
    <row r="72" spans="1:7" x14ac:dyDescent="0.15">
      <c r="A72" s="158"/>
      <c r="E72" s="160" t="s">
        <v>310</v>
      </c>
      <c r="G72" s="159"/>
    </row>
    <row r="73" spans="1:7" x14ac:dyDescent="0.15">
      <c r="A73" s="158"/>
      <c r="B73" s="146"/>
      <c r="C73" s="39"/>
      <c r="E73" s="159"/>
      <c r="G73" s="159"/>
    </row>
    <row r="74" spans="1:7" x14ac:dyDescent="0.15">
      <c r="E74" s="159"/>
      <c r="G74" s="159"/>
    </row>
    <row r="75" spans="1:7" x14ac:dyDescent="0.15">
      <c r="D75" s="161"/>
      <c r="E75" s="159"/>
      <c r="G75" s="159"/>
    </row>
    <row r="76" spans="1:7" ht="16" x14ac:dyDescent="0.15">
      <c r="A76" s="157"/>
      <c r="B76" s="147"/>
      <c r="C76" s="39"/>
      <c r="D76" s="140" t="s">
        <v>81</v>
      </c>
      <c r="G76" s="159"/>
    </row>
    <row r="77" spans="1:7" x14ac:dyDescent="0.15">
      <c r="G77" s="154"/>
    </row>
    <row r="78" spans="1:7" x14ac:dyDescent="0.15">
      <c r="A78" s="162" t="s">
        <v>298</v>
      </c>
    </row>
    <row r="80" spans="1:7" x14ac:dyDescent="0.15">
      <c r="A80" s="140" t="s">
        <v>299</v>
      </c>
    </row>
    <row r="82" spans="1:7" x14ac:dyDescent="0.15">
      <c r="A82" s="158"/>
    </row>
    <row r="84" spans="1:7" x14ac:dyDescent="0.15">
      <c r="A84" s="140" t="s">
        <v>300</v>
      </c>
      <c r="B84" s="147"/>
      <c r="C84" s="39"/>
    </row>
    <row r="85" spans="1:7" x14ac:dyDescent="0.15">
      <c r="G85" s="147" t="str">
        <f>+F68</f>
        <v>H</v>
      </c>
    </row>
    <row r="88" spans="1:7" x14ac:dyDescent="0.15">
      <c r="A88" s="140" t="s">
        <v>301</v>
      </c>
      <c r="F88" s="39" t="s">
        <v>305</v>
      </c>
    </row>
    <row r="90" spans="1:7" ht="16" x14ac:dyDescent="0.15">
      <c r="A90" s="157"/>
      <c r="B90" s="147"/>
      <c r="C90" s="39"/>
    </row>
    <row r="93" spans="1:7" x14ac:dyDescent="0.15">
      <c r="E93" s="140" t="s">
        <v>304</v>
      </c>
    </row>
    <row r="95" spans="1:7" ht="16" x14ac:dyDescent="0.15">
      <c r="A95" s="345" t="s">
        <v>587</v>
      </c>
      <c r="B95" s="345"/>
      <c r="C95" s="345"/>
      <c r="D95" s="345"/>
      <c r="E95" s="345"/>
      <c r="F95" s="345"/>
      <c r="G95" s="345"/>
    </row>
    <row r="96" spans="1:7" ht="16" x14ac:dyDescent="0.15">
      <c r="A96" s="345" t="s">
        <v>312</v>
      </c>
      <c r="B96" s="345"/>
      <c r="C96" s="345"/>
      <c r="D96" s="345"/>
      <c r="E96" s="345"/>
      <c r="F96" s="345"/>
      <c r="G96" s="345"/>
    </row>
    <row r="97" spans="1:7" ht="15" thickBot="1" x14ac:dyDescent="0.2"/>
    <row r="98" spans="1:7" ht="16.25" customHeight="1" thickBot="1" x14ac:dyDescent="0.2">
      <c r="A98" s="168" t="s">
        <v>311</v>
      </c>
      <c r="B98" s="168" t="s">
        <v>313</v>
      </c>
      <c r="C98" s="168" t="s">
        <v>314</v>
      </c>
      <c r="D98" s="168" t="s">
        <v>534</v>
      </c>
      <c r="E98" s="168" t="s">
        <v>533</v>
      </c>
    </row>
    <row r="99" spans="1:7" x14ac:dyDescent="0.15">
      <c r="A99" s="177">
        <v>0</v>
      </c>
      <c r="B99" s="177">
        <v>0</v>
      </c>
      <c r="C99" s="177">
        <v>0</v>
      </c>
      <c r="D99" s="177">
        <f>+B99+C99</f>
        <v>0</v>
      </c>
      <c r="E99" s="177">
        <f>1.5*B99+1.75*C99</f>
        <v>0</v>
      </c>
    </row>
    <row r="100" spans="1:7" x14ac:dyDescent="0.15">
      <c r="A100" s="180">
        <f>+A103/4</f>
        <v>1.4750000000000001</v>
      </c>
      <c r="B100" s="180">
        <f>+(A100-MURO!$D$11)^2*$B$49*MURO!$D$28/2</f>
        <v>0.46020833333333339</v>
      </c>
      <c r="C100" s="180">
        <f>+(A100-MURO!$D$11)*MURO!$D$28*MURO!$D$83*$B$49</f>
        <v>0.47</v>
      </c>
      <c r="D100" s="180">
        <f t="shared" ref="D100:D103" si="0">+B100+C100</f>
        <v>0.9302083333333333</v>
      </c>
      <c r="E100" s="180">
        <f t="shared" ref="E100:E103" si="1">1.5*B100+1.75*C100</f>
        <v>1.5128125000000001</v>
      </c>
    </row>
    <row r="101" spans="1:7" x14ac:dyDescent="0.15">
      <c r="A101" s="180">
        <f>+A100*2</f>
        <v>2.95</v>
      </c>
      <c r="B101" s="180">
        <f>+(A101-MURO!$D$11)^2*$B$49*MURO!$D$28/2</f>
        <v>2.3408333333333338</v>
      </c>
      <c r="C101" s="180">
        <f>+(A101-MURO!$D$11)*MURO!$D$28*MURO!$D$83*$B$49</f>
        <v>1.06</v>
      </c>
      <c r="D101" s="180">
        <f t="shared" si="0"/>
        <v>3.4008333333333338</v>
      </c>
      <c r="E101" s="180">
        <f t="shared" si="1"/>
        <v>5.3662500000000009</v>
      </c>
    </row>
    <row r="102" spans="1:7" x14ac:dyDescent="0.15">
      <c r="A102" s="180">
        <f>+A100*3</f>
        <v>4.4250000000000007</v>
      </c>
      <c r="B102" s="180">
        <f>+(A102-MURO!$D$11)^2*$B$49*MURO!$D$28/2</f>
        <v>5.6718750000000018</v>
      </c>
      <c r="C102" s="180">
        <f>+(A102-MURO!$D$11)*MURO!$D$28*MURO!$D$83*$B$49</f>
        <v>1.6500000000000004</v>
      </c>
      <c r="D102" s="180">
        <f t="shared" si="0"/>
        <v>7.3218750000000021</v>
      </c>
      <c r="E102" s="180">
        <f t="shared" si="1"/>
        <v>11.395312500000005</v>
      </c>
    </row>
    <row r="103" spans="1:7" ht="15" thickBot="1" x14ac:dyDescent="0.2">
      <c r="A103" s="190">
        <f>+G18</f>
        <v>5.9</v>
      </c>
      <c r="B103" s="190">
        <f>+(A103-MURO!$D$11)^2*$B$49*MURO!$D$28/2</f>
        <v>10.453333333333335</v>
      </c>
      <c r="C103" s="190">
        <f>+(A103-MURO!$D$11)*MURO!$D$28*MURO!$D$83*$B$49</f>
        <v>2.2400000000000002</v>
      </c>
      <c r="D103" s="190">
        <f t="shared" si="0"/>
        <v>12.693333333333335</v>
      </c>
      <c r="E103" s="190">
        <f t="shared" si="1"/>
        <v>19.600000000000005</v>
      </c>
    </row>
    <row r="104" spans="1:7" x14ac:dyDescent="0.15">
      <c r="A104" s="193"/>
      <c r="B104" s="193"/>
      <c r="C104" s="193"/>
      <c r="D104" s="193"/>
      <c r="E104" s="193"/>
      <c r="F104" s="193"/>
    </row>
    <row r="106" spans="1:7" ht="16" x14ac:dyDescent="0.15">
      <c r="A106" s="345" t="s">
        <v>361</v>
      </c>
      <c r="B106" s="345"/>
      <c r="C106" s="345"/>
      <c r="D106" s="345"/>
      <c r="E106" s="345"/>
      <c r="F106" s="345"/>
      <c r="G106" s="345"/>
    </row>
    <row r="107" spans="1:7" ht="16" x14ac:dyDescent="0.15">
      <c r="A107" s="345" t="s">
        <v>315</v>
      </c>
      <c r="B107" s="345"/>
      <c r="C107" s="345"/>
      <c r="D107" s="345"/>
      <c r="E107" s="345"/>
      <c r="F107" s="345"/>
      <c r="G107" s="345"/>
    </row>
    <row r="108" spans="1:7" ht="15" thickBot="1" x14ac:dyDescent="0.2"/>
    <row r="109" spans="1:7" ht="19.25" customHeight="1" thickBot="1" x14ac:dyDescent="0.2">
      <c r="A109" s="168" t="s">
        <v>311</v>
      </c>
      <c r="B109" s="168" t="s">
        <v>316</v>
      </c>
      <c r="C109" s="168" t="s">
        <v>317</v>
      </c>
      <c r="D109" s="168" t="s">
        <v>535</v>
      </c>
      <c r="E109" s="168" t="s">
        <v>536</v>
      </c>
    </row>
    <row r="110" spans="1:7" x14ac:dyDescent="0.15">
      <c r="A110" s="177">
        <f>+A99</f>
        <v>0</v>
      </c>
      <c r="B110" s="177">
        <f>+B99*(A110-MURO!$D$11)/3</f>
        <v>0</v>
      </c>
      <c r="C110" s="177">
        <f>+C99*(A110-MURO!$D$11)/2</f>
        <v>0</v>
      </c>
      <c r="D110" s="177">
        <f>+B110+C110</f>
        <v>0</v>
      </c>
      <c r="E110" s="177">
        <f>1.5*B110+1.75*C110</f>
        <v>0</v>
      </c>
    </row>
    <row r="111" spans="1:7" x14ac:dyDescent="0.15">
      <c r="A111" s="180">
        <f t="shared" ref="A111:A114" si="2">+A100</f>
        <v>1.4750000000000001</v>
      </c>
      <c r="B111" s="180">
        <f>+B100*(A111-MURO!$D$11)/3</f>
        <v>0.18024826388888893</v>
      </c>
      <c r="C111" s="180">
        <f>+C100*(A111-MURO!$D$11)/2</f>
        <v>0.27612500000000001</v>
      </c>
      <c r="D111" s="180">
        <f t="shared" ref="D111:D114" si="3">+B111+C111</f>
        <v>0.45637326388888894</v>
      </c>
      <c r="E111" s="180">
        <f t="shared" ref="E111:E114" si="4">1.5*B111+1.75*C111</f>
        <v>0.75359114583333342</v>
      </c>
    </row>
    <row r="112" spans="1:7" x14ac:dyDescent="0.15">
      <c r="A112" s="180">
        <f t="shared" si="2"/>
        <v>2.95</v>
      </c>
      <c r="B112" s="180">
        <f>+B101*(A112-MURO!$D$11)/3</f>
        <v>2.0677361111111119</v>
      </c>
      <c r="C112" s="180">
        <f>+C101*(A112-MURO!$D$11)/2</f>
        <v>1.4045000000000003</v>
      </c>
      <c r="D112" s="180">
        <f t="shared" si="3"/>
        <v>3.472236111111112</v>
      </c>
      <c r="E112" s="180">
        <f t="shared" si="4"/>
        <v>5.5594791666666685</v>
      </c>
    </row>
    <row r="113" spans="1:7" x14ac:dyDescent="0.15">
      <c r="A113" s="180">
        <f t="shared" si="2"/>
        <v>4.4250000000000007</v>
      </c>
      <c r="B113" s="180">
        <f>+B102*(A113-MURO!$D$11)/3</f>
        <v>7.7988281250000036</v>
      </c>
      <c r="C113" s="180">
        <f>+C102*(A113-MURO!$D$11)/2</f>
        <v>3.4031250000000015</v>
      </c>
      <c r="D113" s="180">
        <f t="shared" si="3"/>
        <v>11.201953125000005</v>
      </c>
      <c r="E113" s="180">
        <f t="shared" si="4"/>
        <v>17.653710937500009</v>
      </c>
    </row>
    <row r="114" spans="1:7" ht="15" thickBot="1" x14ac:dyDescent="0.2">
      <c r="A114" s="190">
        <f t="shared" si="2"/>
        <v>5.9</v>
      </c>
      <c r="B114" s="190">
        <f>+B103*(A114-MURO!$D$11)/3</f>
        <v>19.512888888888892</v>
      </c>
      <c r="C114" s="190">
        <f>+C103*(A114-MURO!$D$11)/2</f>
        <v>6.2720000000000011</v>
      </c>
      <c r="D114" s="190">
        <f t="shared" si="3"/>
        <v>25.784888888888894</v>
      </c>
      <c r="E114" s="190">
        <f t="shared" si="4"/>
        <v>40.245333333333335</v>
      </c>
    </row>
    <row r="116" spans="1:7" ht="16" x14ac:dyDescent="0.15">
      <c r="A116" s="345" t="s">
        <v>362</v>
      </c>
      <c r="B116" s="345"/>
      <c r="C116" s="345"/>
      <c r="D116" s="345"/>
      <c r="E116" s="345"/>
      <c r="F116" s="345"/>
      <c r="G116" s="345"/>
    </row>
    <row r="117" spans="1:7" ht="16" x14ac:dyDescent="0.15">
      <c r="A117" s="345" t="s">
        <v>541</v>
      </c>
      <c r="B117" s="345"/>
      <c r="C117" s="345"/>
      <c r="D117" s="345"/>
      <c r="E117" s="345"/>
      <c r="F117" s="345"/>
      <c r="G117" s="345"/>
    </row>
    <row r="118" spans="1:7" ht="15" thickBot="1" x14ac:dyDescent="0.2">
      <c r="A118" s="167"/>
      <c r="B118" s="167"/>
      <c r="C118" s="167"/>
      <c r="D118" s="167"/>
      <c r="E118" s="167"/>
      <c r="F118" s="167"/>
      <c r="G118" s="167"/>
    </row>
    <row r="119" spans="1:7" ht="15" thickBot="1" x14ac:dyDescent="0.2">
      <c r="B119" s="351" t="s">
        <v>526</v>
      </c>
      <c r="C119" s="352"/>
      <c r="D119" s="351" t="s">
        <v>527</v>
      </c>
      <c r="E119" s="352"/>
      <c r="F119" s="351" t="s">
        <v>318</v>
      </c>
      <c r="G119" s="352"/>
    </row>
    <row r="120" spans="1:7" ht="17" customHeight="1" thickBot="1" x14ac:dyDescent="0.2">
      <c r="A120" s="168" t="s">
        <v>311</v>
      </c>
      <c r="B120" s="168" t="s">
        <v>533</v>
      </c>
      <c r="C120" s="168" t="s">
        <v>536</v>
      </c>
      <c r="D120" s="168" t="s">
        <v>539</v>
      </c>
      <c r="E120" s="168" t="s">
        <v>538</v>
      </c>
      <c r="F120" s="168" t="s">
        <v>542</v>
      </c>
      <c r="G120" s="168" t="s">
        <v>543</v>
      </c>
    </row>
    <row r="121" spans="1:7" x14ac:dyDescent="0.15">
      <c r="A121" s="177">
        <f>+A110</f>
        <v>0</v>
      </c>
      <c r="B121" s="177">
        <f>+E99</f>
        <v>0</v>
      </c>
      <c r="C121" s="177">
        <f>+E110</f>
        <v>0</v>
      </c>
      <c r="D121" s="177">
        <f>+'VASTAGO EVENTO EXTREMO'!E169</f>
        <v>0</v>
      </c>
      <c r="E121" s="177">
        <f>+'VASTAGO EVENTO EXTREMO'!E180</f>
        <v>0</v>
      </c>
      <c r="F121" s="177">
        <f>+MAX(B121,D121)</f>
        <v>0</v>
      </c>
      <c r="G121" s="177">
        <f>+MAX(C121,E121)</f>
        <v>0</v>
      </c>
    </row>
    <row r="122" spans="1:7" x14ac:dyDescent="0.15">
      <c r="A122" s="180">
        <f t="shared" ref="A122:A125" si="5">+A111</f>
        <v>1.4750000000000001</v>
      </c>
      <c r="B122" s="180">
        <f>+E100</f>
        <v>1.5128125000000001</v>
      </c>
      <c r="C122" s="180">
        <f>+E111</f>
        <v>0.75359114583333342</v>
      </c>
      <c r="D122" s="180">
        <f>+'VASTAGO EVENTO EXTREMO'!E170</f>
        <v>0.76000333967130485</v>
      </c>
      <c r="E122" s="180">
        <f>+'VASTAGO EVENTO EXTREMO'!E181</f>
        <v>0.36241341239381719</v>
      </c>
      <c r="F122" s="180">
        <f t="shared" ref="F122:F125" si="6">+MAX(B122,D122)</f>
        <v>1.5128125000000001</v>
      </c>
      <c r="G122" s="180">
        <f t="shared" ref="G122:G125" si="7">+MAX(C122,E122)</f>
        <v>0.75359114583333342</v>
      </c>
    </row>
    <row r="123" spans="1:7" x14ac:dyDescent="0.15">
      <c r="A123" s="180">
        <f t="shared" si="5"/>
        <v>2.95</v>
      </c>
      <c r="B123" s="180">
        <f>+E101</f>
        <v>5.3662500000000009</v>
      </c>
      <c r="C123" s="180">
        <f>+E112</f>
        <v>5.5594791666666685</v>
      </c>
      <c r="D123" s="180">
        <f>+'VASTAGO EVENTO EXTREMO'!E171</f>
        <v>3.3056449692380183</v>
      </c>
      <c r="E123" s="180">
        <f>+'VASTAGO EVENTO EXTREMO'!E182</f>
        <v>3.1597561612252067</v>
      </c>
      <c r="F123" s="180">
        <f t="shared" si="6"/>
        <v>5.3662500000000009</v>
      </c>
      <c r="G123" s="180">
        <f t="shared" si="7"/>
        <v>5.5594791666666685</v>
      </c>
    </row>
    <row r="124" spans="1:7" x14ac:dyDescent="0.15">
      <c r="A124" s="180">
        <f t="shared" si="5"/>
        <v>4.4250000000000007</v>
      </c>
      <c r="B124" s="180">
        <f>+E102</f>
        <v>11.395312500000005</v>
      </c>
      <c r="C124" s="180">
        <f>+E113</f>
        <v>17.653710937500009</v>
      </c>
      <c r="D124" s="180">
        <f>+'VASTAGO EVENTO EXTREMO'!E172</f>
        <v>7.6742355353333087</v>
      </c>
      <c r="E124" s="180">
        <f>+'VASTAGO EVENTO EXTREMO'!E183</f>
        <v>11.103177207457779</v>
      </c>
      <c r="F124" s="180">
        <f t="shared" si="6"/>
        <v>11.395312500000005</v>
      </c>
      <c r="G124" s="180">
        <f t="shared" si="7"/>
        <v>17.653710937500009</v>
      </c>
    </row>
    <row r="125" spans="1:7" ht="15" thickBot="1" x14ac:dyDescent="0.2">
      <c r="A125" s="190">
        <f t="shared" si="5"/>
        <v>5.9</v>
      </c>
      <c r="B125" s="190">
        <f>+E103</f>
        <v>19.600000000000005</v>
      </c>
      <c r="C125" s="190">
        <f>+E114</f>
        <v>40.245333333333335</v>
      </c>
      <c r="D125" s="190">
        <f>+'VASTAGO EVENTO EXTREMO'!E173</f>
        <v>13.865775037957173</v>
      </c>
      <c r="E125" s="190">
        <f>+'VASTAGO EVENTO EXTREMO'!E184</f>
        <v>26.907593129951614</v>
      </c>
      <c r="F125" s="190">
        <f t="shared" si="6"/>
        <v>19.600000000000005</v>
      </c>
      <c r="G125" s="190">
        <f t="shared" si="7"/>
        <v>40.245333333333335</v>
      </c>
    </row>
  </sheetData>
  <mergeCells count="10">
    <mergeCell ref="A107:G107"/>
    <mergeCell ref="A1:G1"/>
    <mergeCell ref="A95:G95"/>
    <mergeCell ref="A96:G96"/>
    <mergeCell ref="A106:G106"/>
    <mergeCell ref="A116:G116"/>
    <mergeCell ref="A117:G117"/>
    <mergeCell ref="D119:E119"/>
    <mergeCell ref="F119:G119"/>
    <mergeCell ref="B119:C119"/>
  </mergeCells>
  <printOptions horizontalCentered="1"/>
  <pageMargins left="0.78740157480314965" right="0.78740157480314965" top="0.78740157480314965" bottom="0.78740157480314965" header="0.31496062992125984" footer="0.31496062992125984"/>
  <pageSetup scale="80" orientation="portrait" r:id="rId1"/>
  <headerFooter alignWithMargins="0">
    <oddHeader>&amp;C&amp;F</oddHeader>
    <oddFooter>&amp;C&amp;P</oddFooter>
  </headerFooter>
  <rowBreaks count="3" manualBreakCount="3">
    <brk id="40" max="6" man="1"/>
    <brk id="93" max="8" man="1"/>
    <brk id="125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view="pageBreakPreview" zoomScaleNormal="173" zoomScaleSheetLayoutView="85" zoomScalePageLayoutView="173" workbookViewId="0">
      <selection activeCell="H29" sqref="H29"/>
    </sheetView>
  </sheetViews>
  <sheetFormatPr baseColWidth="10" defaultColWidth="11.5" defaultRowHeight="14" x14ac:dyDescent="0.15"/>
  <cols>
    <col min="1" max="1" width="12.5" style="140" customWidth="1"/>
    <col min="2" max="2" width="13.5" style="140" customWidth="1"/>
    <col min="3" max="3" width="13.16406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16384" width="11.5" style="140"/>
  </cols>
  <sheetData>
    <row r="1" spans="1:7" ht="34.5" customHeight="1" x14ac:dyDescent="0.15">
      <c r="A1" s="348" t="s">
        <v>537</v>
      </c>
      <c r="B1" s="348"/>
      <c r="C1" s="348"/>
      <c r="D1" s="348"/>
      <c r="E1" s="348"/>
      <c r="F1" s="348"/>
      <c r="G1" s="348"/>
    </row>
    <row r="2" spans="1:7" x14ac:dyDescent="0.15">
      <c r="A2" s="141"/>
      <c r="B2" s="141"/>
      <c r="C2" s="141"/>
      <c r="D2" s="141"/>
      <c r="E2" s="141"/>
      <c r="F2" s="141"/>
      <c r="G2" s="141"/>
    </row>
    <row r="3" spans="1:7" x14ac:dyDescent="0.15">
      <c r="A3" s="141"/>
      <c r="B3" s="141"/>
      <c r="C3" s="141"/>
      <c r="D3" s="141"/>
      <c r="E3" s="141"/>
      <c r="F3" s="141"/>
      <c r="G3" s="141"/>
    </row>
    <row r="5" spans="1:7" x14ac:dyDescent="0.15">
      <c r="D5" s="142"/>
    </row>
    <row r="6" spans="1:7" x14ac:dyDescent="0.15">
      <c r="D6" s="143">
        <f>+MURO!D14</f>
        <v>0.35</v>
      </c>
    </row>
    <row r="7" spans="1:7" x14ac:dyDescent="0.15">
      <c r="C7" s="144" t="s">
        <v>286</v>
      </c>
      <c r="D7" s="145">
        <f>+MURO!D89</f>
        <v>0.15000000000000002</v>
      </c>
    </row>
    <row r="8" spans="1:7" x14ac:dyDescent="0.15">
      <c r="C8" s="142"/>
      <c r="E8" s="146">
        <f>+MURO!D11</f>
        <v>0.3</v>
      </c>
    </row>
    <row r="9" spans="1:7" x14ac:dyDescent="0.15">
      <c r="C9" s="144"/>
      <c r="D9" s="145"/>
    </row>
    <row r="10" spans="1:7" x14ac:dyDescent="0.15">
      <c r="E10" s="147"/>
    </row>
    <row r="11" spans="1:7" x14ac:dyDescent="0.15">
      <c r="B11" s="147"/>
      <c r="D11" s="142"/>
    </row>
    <row r="12" spans="1:7" x14ac:dyDescent="0.15">
      <c r="B12" s="39"/>
    </row>
    <row r="13" spans="1:7" x14ac:dyDescent="0.15">
      <c r="B13" s="144"/>
    </row>
    <row r="14" spans="1:7" x14ac:dyDescent="0.15">
      <c r="D14" s="145"/>
    </row>
    <row r="15" spans="1:7" x14ac:dyDescent="0.15">
      <c r="C15" s="39"/>
    </row>
    <row r="18" spans="1:7" x14ac:dyDescent="0.15">
      <c r="C18" s="39"/>
      <c r="F18" s="144" t="s">
        <v>223</v>
      </c>
      <c r="G18" s="147">
        <f>+MURO!D85</f>
        <v>5.9</v>
      </c>
    </row>
    <row r="19" spans="1:7" x14ac:dyDescent="0.15">
      <c r="C19" s="142"/>
    </row>
    <row r="20" spans="1:7" x14ac:dyDescent="0.15">
      <c r="B20" s="147"/>
    </row>
    <row r="21" spans="1:7" x14ac:dyDescent="0.15">
      <c r="A21" s="147"/>
      <c r="D21" s="148">
        <v>2</v>
      </c>
    </row>
    <row r="22" spans="1:7" x14ac:dyDescent="0.15">
      <c r="E22" s="147">
        <f>+MURO!D86</f>
        <v>5.6000000000000005</v>
      </c>
    </row>
    <row r="23" spans="1:7" x14ac:dyDescent="0.15">
      <c r="C23" s="39"/>
      <c r="E23" s="39" t="s">
        <v>234</v>
      </c>
    </row>
    <row r="24" spans="1:7" x14ac:dyDescent="0.15">
      <c r="A24" s="149"/>
    </row>
    <row r="25" spans="1:7" x14ac:dyDescent="0.15">
      <c r="D25" s="142"/>
    </row>
    <row r="26" spans="1:7" x14ac:dyDescent="0.15">
      <c r="B26" s="147"/>
    </row>
    <row r="27" spans="1:7" x14ac:dyDescent="0.15">
      <c r="B27" s="39"/>
    </row>
    <row r="30" spans="1:7" x14ac:dyDescent="0.15">
      <c r="C30" s="147"/>
      <c r="D30" s="142">
        <v>3</v>
      </c>
    </row>
    <row r="31" spans="1:7" x14ac:dyDescent="0.15">
      <c r="C31" s="39"/>
    </row>
    <row r="32" spans="1:7" x14ac:dyDescent="0.15">
      <c r="C32" s="145"/>
      <c r="D32" s="150">
        <f>+MURO!D15</f>
        <v>0.5</v>
      </c>
      <c r="F32" s="151"/>
    </row>
    <row r="33" spans="1:7" x14ac:dyDescent="0.15">
      <c r="D33" s="141"/>
    </row>
    <row r="35" spans="1:7" x14ac:dyDescent="0.15">
      <c r="B35" s="140" t="s">
        <v>5</v>
      </c>
      <c r="C35" s="152"/>
      <c r="D35" s="39"/>
      <c r="F35" s="140" t="s">
        <v>6</v>
      </c>
      <c r="G35" s="147"/>
    </row>
    <row r="38" spans="1:7" x14ac:dyDescent="0.15">
      <c r="D38" s="147"/>
    </row>
    <row r="39" spans="1:7" ht="16" x14ac:dyDescent="0.15">
      <c r="A39" s="156" t="s">
        <v>8</v>
      </c>
    </row>
    <row r="40" spans="1:7" x14ac:dyDescent="0.15">
      <c r="C40" s="154"/>
      <c r="G40" s="154"/>
    </row>
    <row r="41" spans="1:7" x14ac:dyDescent="0.15">
      <c r="A41" s="155" t="s">
        <v>20</v>
      </c>
      <c r="C41" s="154"/>
      <c r="G41" s="154"/>
    </row>
    <row r="42" spans="1:7" ht="16" x14ac:dyDescent="0.15">
      <c r="A42" s="156"/>
      <c r="C42" s="154"/>
      <c r="G42" s="154"/>
    </row>
    <row r="43" spans="1:7" x14ac:dyDescent="0.15">
      <c r="A43" s="140" t="s">
        <v>116</v>
      </c>
      <c r="C43" s="154"/>
      <c r="G43" s="154"/>
    </row>
    <row r="44" spans="1:7" x14ac:dyDescent="0.15">
      <c r="C44" s="154"/>
      <c r="G44" s="154"/>
    </row>
    <row r="45" spans="1:7" x14ac:dyDescent="0.15">
      <c r="C45" s="154"/>
      <c r="G45" s="154"/>
    </row>
    <row r="46" spans="1:7" x14ac:dyDescent="0.15">
      <c r="C46" s="154"/>
      <c r="G46" s="154"/>
    </row>
    <row r="47" spans="1:7" ht="16" x14ac:dyDescent="0.15">
      <c r="A47" s="157" t="s">
        <v>114</v>
      </c>
      <c r="B47" s="147">
        <f>+TAN(RADIANS(45-MURO!D29/2))^2</f>
        <v>0.33333333333333331</v>
      </c>
      <c r="C47" s="154"/>
      <c r="G47" s="154"/>
    </row>
    <row r="48" spans="1:7" ht="16" x14ac:dyDescent="0.15">
      <c r="A48" s="137"/>
      <c r="B48" s="147"/>
      <c r="C48" s="154"/>
      <c r="G48" s="154"/>
    </row>
    <row r="49" spans="1:8" x14ac:dyDescent="0.15">
      <c r="A49" s="140" t="s">
        <v>117</v>
      </c>
      <c r="B49" s="147"/>
      <c r="C49" s="154"/>
      <c r="G49" s="158"/>
    </row>
    <row r="50" spans="1:8" x14ac:dyDescent="0.15">
      <c r="B50" s="147"/>
      <c r="C50" s="154"/>
      <c r="G50" s="158"/>
    </row>
    <row r="51" spans="1:8" x14ac:dyDescent="0.15">
      <c r="A51" s="158"/>
      <c r="B51" s="147"/>
      <c r="C51" s="154"/>
      <c r="G51" s="158"/>
    </row>
    <row r="52" spans="1:8" x14ac:dyDescent="0.15">
      <c r="B52" s="147"/>
      <c r="C52" s="154"/>
      <c r="G52" s="158"/>
    </row>
    <row r="53" spans="1:8" ht="16" x14ac:dyDescent="0.15">
      <c r="A53" s="157" t="s">
        <v>115</v>
      </c>
      <c r="B53" s="147">
        <f>+RESISTENCIA!B53</f>
        <v>2.9999999999999991</v>
      </c>
      <c r="C53" s="154"/>
      <c r="G53" s="154"/>
    </row>
    <row r="54" spans="1:8" ht="16" x14ac:dyDescent="0.15">
      <c r="A54" s="156"/>
      <c r="C54" s="154"/>
      <c r="G54" s="154"/>
    </row>
    <row r="55" spans="1:8" ht="18" x14ac:dyDescent="0.15">
      <c r="A55" s="155" t="s">
        <v>118</v>
      </c>
      <c r="B55" s="159"/>
      <c r="C55" s="159"/>
      <c r="D55" s="159"/>
      <c r="E55" s="159"/>
      <c r="F55" s="159"/>
      <c r="G55" s="159"/>
      <c r="H55" s="138"/>
    </row>
    <row r="56" spans="1:8" x14ac:dyDescent="0.15">
      <c r="E56" s="159"/>
      <c r="G56" s="159"/>
    </row>
    <row r="57" spans="1:8" x14ac:dyDescent="0.15">
      <c r="A57" s="140" t="s">
        <v>307</v>
      </c>
      <c r="E57" s="159"/>
      <c r="G57" s="159"/>
    </row>
    <row r="58" spans="1:8" x14ac:dyDescent="0.15">
      <c r="C58" s="39"/>
      <c r="E58" s="159"/>
      <c r="G58" s="159"/>
    </row>
    <row r="59" spans="1:8" x14ac:dyDescent="0.15">
      <c r="A59" s="158"/>
      <c r="B59" s="146"/>
      <c r="E59" s="159"/>
      <c r="G59" s="159"/>
    </row>
    <row r="60" spans="1:8" x14ac:dyDescent="0.15">
      <c r="A60" s="39"/>
      <c r="B60" s="146"/>
      <c r="E60" s="159"/>
      <c r="G60" s="159"/>
    </row>
    <row r="61" spans="1:8" x14ac:dyDescent="0.15">
      <c r="A61" s="140" t="s">
        <v>308</v>
      </c>
      <c r="E61" s="159"/>
      <c r="G61" s="159"/>
    </row>
    <row r="62" spans="1:8" x14ac:dyDescent="0.15">
      <c r="A62" s="158"/>
      <c r="E62" s="159"/>
      <c r="G62" s="159"/>
    </row>
    <row r="63" spans="1:8" x14ac:dyDescent="0.15">
      <c r="A63" s="158"/>
      <c r="C63" s="39"/>
      <c r="E63" s="159"/>
      <c r="F63" s="147" t="s">
        <v>306</v>
      </c>
      <c r="G63" s="159"/>
    </row>
    <row r="64" spans="1:8" x14ac:dyDescent="0.15">
      <c r="E64" s="159" t="s">
        <v>142</v>
      </c>
      <c r="G64" s="159"/>
    </row>
    <row r="65" spans="1:7" x14ac:dyDescent="0.15">
      <c r="A65" s="39"/>
      <c r="B65" s="146"/>
      <c r="E65" s="159"/>
      <c r="G65" s="159"/>
    </row>
    <row r="66" spans="1:7" x14ac:dyDescent="0.15">
      <c r="A66" s="140" t="s">
        <v>309</v>
      </c>
      <c r="E66" s="159"/>
      <c r="G66" s="159"/>
    </row>
    <row r="67" spans="1:7" x14ac:dyDescent="0.15">
      <c r="A67" s="158"/>
      <c r="E67" s="160" t="s">
        <v>143</v>
      </c>
      <c r="G67" s="159"/>
    </row>
    <row r="68" spans="1:7" x14ac:dyDescent="0.15">
      <c r="A68" s="158"/>
      <c r="C68" s="39"/>
      <c r="E68" s="159"/>
      <c r="G68" s="159"/>
    </row>
    <row r="69" spans="1:7" x14ac:dyDescent="0.15">
      <c r="A69" s="158"/>
      <c r="E69" s="159"/>
      <c r="G69" s="159"/>
    </row>
    <row r="70" spans="1:7" ht="16" x14ac:dyDescent="0.15">
      <c r="A70" s="157"/>
      <c r="B70" s="147"/>
      <c r="C70" s="39"/>
      <c r="D70" s="140" t="s">
        <v>81</v>
      </c>
      <c r="G70" s="159"/>
    </row>
    <row r="71" spans="1:7" x14ac:dyDescent="0.15">
      <c r="G71" s="154"/>
    </row>
    <row r="72" spans="1:7" x14ac:dyDescent="0.15">
      <c r="A72" s="162" t="s">
        <v>140</v>
      </c>
      <c r="C72" s="171"/>
      <c r="G72" s="154"/>
    </row>
    <row r="73" spans="1:7" x14ac:dyDescent="0.15">
      <c r="D73" s="163"/>
      <c r="E73" s="163"/>
      <c r="G73" s="154"/>
    </row>
    <row r="74" spans="1:7" x14ac:dyDescent="0.15">
      <c r="C74" s="39"/>
      <c r="D74" s="39"/>
      <c r="E74" s="39"/>
      <c r="G74" s="159"/>
    </row>
    <row r="75" spans="1:7" x14ac:dyDescent="0.15">
      <c r="A75" s="162" t="s">
        <v>138</v>
      </c>
      <c r="C75" s="39"/>
      <c r="D75" s="39"/>
      <c r="E75" s="39"/>
      <c r="G75" s="159"/>
    </row>
    <row r="76" spans="1:7" x14ac:dyDescent="0.15">
      <c r="C76" s="39"/>
      <c r="D76" s="39"/>
      <c r="E76" s="39"/>
      <c r="G76" s="159"/>
    </row>
    <row r="77" spans="1:7" ht="16" x14ac:dyDescent="0.15">
      <c r="A77" s="164" t="s">
        <v>83</v>
      </c>
      <c r="B77" s="212">
        <f>+'EXTREMO I'!B118</f>
        <v>0.41456274036853225</v>
      </c>
      <c r="C77" s="39"/>
      <c r="D77" s="39"/>
      <c r="E77" s="39"/>
      <c r="G77" s="159"/>
    </row>
    <row r="78" spans="1:7" x14ac:dyDescent="0.15">
      <c r="C78" s="39"/>
      <c r="D78" s="39"/>
      <c r="E78" s="39"/>
      <c r="G78" s="159"/>
    </row>
    <row r="79" spans="1:7" x14ac:dyDescent="0.15">
      <c r="A79" s="162" t="s">
        <v>148</v>
      </c>
      <c r="E79" s="39"/>
      <c r="G79" s="159"/>
    </row>
    <row r="80" spans="1:7" x14ac:dyDescent="0.15">
      <c r="E80" s="39"/>
      <c r="G80" s="159"/>
    </row>
    <row r="81" spans="1:7" ht="15" x14ac:dyDescent="0.15">
      <c r="A81" s="350" t="s">
        <v>139</v>
      </c>
      <c r="B81" s="350"/>
      <c r="C81" s="350"/>
      <c r="D81" s="39"/>
      <c r="E81" s="39"/>
      <c r="G81" s="159"/>
    </row>
    <row r="82" spans="1:7" x14ac:dyDescent="0.15">
      <c r="A82" s="39"/>
      <c r="B82" s="161"/>
      <c r="C82" s="39"/>
      <c r="D82" s="39"/>
      <c r="E82" s="140" t="s">
        <v>307</v>
      </c>
      <c r="G82" s="159"/>
    </row>
    <row r="83" spans="1:7" x14ac:dyDescent="0.15">
      <c r="D83" s="39"/>
      <c r="G83" s="159"/>
    </row>
    <row r="84" spans="1:7" x14ac:dyDescent="0.15">
      <c r="C84" s="140" t="s">
        <v>146</v>
      </c>
      <c r="E84" s="158"/>
      <c r="F84" s="146"/>
      <c r="G84" s="159"/>
    </row>
    <row r="85" spans="1:7" x14ac:dyDescent="0.15">
      <c r="A85" s="158"/>
      <c r="D85" s="158"/>
      <c r="E85" s="39"/>
      <c r="F85" s="146"/>
      <c r="G85" s="159"/>
    </row>
    <row r="86" spans="1:7" x14ac:dyDescent="0.15">
      <c r="A86" s="158"/>
      <c r="E86" s="140" t="s">
        <v>308</v>
      </c>
      <c r="G86" s="159"/>
    </row>
    <row r="87" spans="1:7" x14ac:dyDescent="0.15">
      <c r="A87" s="191" t="str">
        <f>+F63</f>
        <v>H</v>
      </c>
      <c r="D87" s="39"/>
      <c r="E87" s="158"/>
      <c r="G87" s="159"/>
    </row>
    <row r="88" spans="1:7" x14ac:dyDescent="0.15">
      <c r="E88" s="158"/>
      <c r="G88" s="159"/>
    </row>
    <row r="89" spans="1:7" x14ac:dyDescent="0.15">
      <c r="A89" s="158"/>
      <c r="C89" s="39" t="s">
        <v>544</v>
      </c>
      <c r="D89" s="158"/>
      <c r="G89" s="159"/>
    </row>
    <row r="90" spans="1:7" x14ac:dyDescent="0.15">
      <c r="E90" s="39"/>
      <c r="F90" s="146"/>
      <c r="G90" s="159"/>
    </row>
    <row r="91" spans="1:7" x14ac:dyDescent="0.15">
      <c r="D91" s="39"/>
      <c r="E91" s="140" t="s">
        <v>309</v>
      </c>
      <c r="G91" s="159"/>
    </row>
    <row r="92" spans="1:7" x14ac:dyDescent="0.15">
      <c r="E92" s="158"/>
      <c r="G92" s="159"/>
    </row>
    <row r="93" spans="1:7" x14ac:dyDescent="0.15">
      <c r="C93" s="39"/>
      <c r="D93" s="158"/>
      <c r="E93" s="158"/>
      <c r="G93" s="159"/>
    </row>
    <row r="94" spans="1:7" x14ac:dyDescent="0.15">
      <c r="C94" s="39"/>
      <c r="D94" s="39"/>
      <c r="E94" s="158"/>
      <c r="G94" s="159"/>
    </row>
    <row r="95" spans="1:7" x14ac:dyDescent="0.15">
      <c r="C95" s="39"/>
      <c r="D95" s="39"/>
      <c r="E95" s="158"/>
      <c r="G95" s="159"/>
    </row>
    <row r="96" spans="1:7" x14ac:dyDescent="0.15">
      <c r="A96" s="162" t="s">
        <v>338</v>
      </c>
      <c r="C96" s="39"/>
      <c r="D96" s="39"/>
      <c r="E96" s="39"/>
      <c r="G96" s="159"/>
    </row>
    <row r="97" spans="1:7" x14ac:dyDescent="0.15">
      <c r="A97" s="162"/>
      <c r="C97" s="39"/>
      <c r="D97" s="39"/>
      <c r="E97" s="39"/>
      <c r="G97" s="159"/>
    </row>
    <row r="98" spans="1:7" x14ac:dyDescent="0.15">
      <c r="A98" s="162"/>
      <c r="C98" s="39" t="s">
        <v>203</v>
      </c>
      <c r="D98" s="39"/>
      <c r="E98" s="39"/>
      <c r="G98" s="159"/>
    </row>
    <row r="99" spans="1:7" x14ac:dyDescent="0.15">
      <c r="A99" s="162"/>
      <c r="C99" s="39"/>
      <c r="D99" s="39"/>
      <c r="E99" s="39"/>
      <c r="G99" s="159"/>
    </row>
    <row r="100" spans="1:7" x14ac:dyDescent="0.15">
      <c r="A100" s="162"/>
      <c r="C100" s="39"/>
      <c r="D100" s="39"/>
      <c r="E100" s="39"/>
      <c r="G100" s="159"/>
    </row>
    <row r="101" spans="1:7" x14ac:dyDescent="0.15">
      <c r="A101" s="162"/>
      <c r="C101" s="39"/>
      <c r="D101" s="39"/>
      <c r="E101" s="39"/>
      <c r="G101" s="159"/>
    </row>
    <row r="102" spans="1:7" x14ac:dyDescent="0.15">
      <c r="A102" s="162"/>
      <c r="C102" s="39"/>
      <c r="D102" s="39"/>
      <c r="E102" s="39" t="s">
        <v>86</v>
      </c>
      <c r="G102" s="159"/>
    </row>
    <row r="103" spans="1:7" x14ac:dyDescent="0.15">
      <c r="A103" s="162"/>
      <c r="C103" s="39" t="s">
        <v>323</v>
      </c>
      <c r="D103" s="39" t="s">
        <v>306</v>
      </c>
      <c r="E103" s="39"/>
      <c r="G103" s="159"/>
    </row>
    <row r="104" spans="1:7" x14ac:dyDescent="0.15">
      <c r="A104" s="144" t="s">
        <v>87</v>
      </c>
      <c r="C104" s="39"/>
      <c r="D104" s="39"/>
      <c r="E104" s="142" t="s">
        <v>325</v>
      </c>
      <c r="G104" s="159"/>
    </row>
    <row r="105" spans="1:7" x14ac:dyDescent="0.15">
      <c r="A105" s="39" t="s">
        <v>326</v>
      </c>
      <c r="C105" s="39"/>
      <c r="D105" s="39"/>
      <c r="E105" s="39"/>
      <c r="G105" s="159"/>
    </row>
    <row r="106" spans="1:7" x14ac:dyDescent="0.15">
      <c r="A106" s="162"/>
      <c r="B106" s="39" t="s">
        <v>324</v>
      </c>
      <c r="C106" s="39"/>
      <c r="D106" s="39"/>
      <c r="E106" s="39"/>
      <c r="G106" s="159"/>
    </row>
    <row r="107" spans="1:7" x14ac:dyDescent="0.15">
      <c r="A107" s="162"/>
      <c r="C107" s="39"/>
      <c r="D107" s="39"/>
      <c r="E107" s="39"/>
      <c r="G107" s="159"/>
    </row>
    <row r="108" spans="1:7" x14ac:dyDescent="0.15">
      <c r="A108" s="162"/>
      <c r="B108" s="350" t="s">
        <v>84</v>
      </c>
      <c r="C108" s="350"/>
      <c r="D108" s="39"/>
      <c r="E108" s="39"/>
      <c r="G108" s="159"/>
    </row>
    <row r="109" spans="1:7" x14ac:dyDescent="0.15">
      <c r="A109" s="140" t="s">
        <v>327</v>
      </c>
      <c r="C109" s="39"/>
      <c r="D109" s="39"/>
      <c r="E109" s="39"/>
      <c r="G109" s="159"/>
    </row>
    <row r="110" spans="1:7" x14ac:dyDescent="0.15">
      <c r="A110" s="162"/>
      <c r="C110" s="39"/>
      <c r="D110" s="39"/>
      <c r="E110" s="39"/>
      <c r="G110" s="159"/>
    </row>
    <row r="111" spans="1:7" x14ac:dyDescent="0.15">
      <c r="A111" s="158"/>
      <c r="C111" s="39"/>
      <c r="D111" s="39"/>
      <c r="E111" s="158"/>
      <c r="G111" s="159"/>
    </row>
    <row r="112" spans="1:7" x14ac:dyDescent="0.15">
      <c r="A112" s="162"/>
      <c r="C112" s="39"/>
      <c r="D112" s="39"/>
      <c r="E112" s="39"/>
      <c r="G112" s="159"/>
    </row>
    <row r="113" spans="1:7" x14ac:dyDescent="0.15">
      <c r="A113" s="162"/>
      <c r="C113" s="39"/>
      <c r="D113" s="39"/>
      <c r="E113" s="39"/>
      <c r="G113" s="159"/>
    </row>
    <row r="114" spans="1:7" x14ac:dyDescent="0.15">
      <c r="A114" s="39" t="s">
        <v>328</v>
      </c>
      <c r="B114" s="194">
        <f>+(MURO!D15-MURO!D14)/MURO!D85</f>
        <v>2.5423728813559324E-2</v>
      </c>
      <c r="C114" s="39"/>
      <c r="D114" s="39"/>
      <c r="E114" s="39"/>
      <c r="G114" s="159"/>
    </row>
    <row r="115" spans="1:7" x14ac:dyDescent="0.15">
      <c r="A115" s="39"/>
      <c r="B115" s="194"/>
      <c r="C115" s="39"/>
      <c r="D115" s="39"/>
      <c r="E115" s="39"/>
      <c r="G115" s="159"/>
    </row>
    <row r="116" spans="1:7" x14ac:dyDescent="0.15">
      <c r="A116" s="140" t="s">
        <v>330</v>
      </c>
      <c r="B116" s="194"/>
      <c r="C116" s="39"/>
      <c r="D116" s="39"/>
      <c r="E116" s="39"/>
      <c r="G116" s="159"/>
    </row>
    <row r="117" spans="1:7" x14ac:dyDescent="0.15">
      <c r="A117" s="39"/>
      <c r="B117" s="194"/>
      <c r="C117" s="39"/>
      <c r="D117" s="39"/>
      <c r="E117" s="39"/>
      <c r="G117" s="159"/>
    </row>
    <row r="118" spans="1:7" x14ac:dyDescent="0.15">
      <c r="A118" s="158"/>
      <c r="B118" s="194"/>
      <c r="C118" s="39"/>
      <c r="D118" s="39"/>
      <c r="E118" s="39"/>
      <c r="G118" s="159"/>
    </row>
    <row r="119" spans="1:7" x14ac:dyDescent="0.15">
      <c r="A119" s="39"/>
      <c r="B119" s="194"/>
      <c r="C119" s="39"/>
      <c r="D119" s="39"/>
      <c r="E119" s="39"/>
      <c r="G119" s="159"/>
    </row>
    <row r="120" spans="1:7" x14ac:dyDescent="0.15">
      <c r="A120" s="140" t="s">
        <v>332</v>
      </c>
      <c r="B120" s="194"/>
      <c r="C120" s="39"/>
      <c r="D120" s="39"/>
      <c r="E120" s="39"/>
      <c r="G120" s="159"/>
    </row>
    <row r="121" spans="1:7" x14ac:dyDescent="0.15">
      <c r="A121" s="39"/>
      <c r="B121" s="194"/>
      <c r="C121" s="39"/>
      <c r="D121" s="39"/>
      <c r="E121" s="39"/>
      <c r="G121" s="159"/>
    </row>
    <row r="122" spans="1:7" x14ac:dyDescent="0.15">
      <c r="A122" s="39"/>
      <c r="B122" s="194"/>
      <c r="C122" s="39"/>
      <c r="D122" s="39"/>
      <c r="E122" s="39"/>
      <c r="G122" s="159"/>
    </row>
    <row r="123" spans="1:7" x14ac:dyDescent="0.15">
      <c r="A123" s="39"/>
      <c r="B123" s="194"/>
      <c r="C123" s="39"/>
      <c r="D123" s="39"/>
      <c r="E123" s="39"/>
      <c r="G123" s="159"/>
    </row>
    <row r="124" spans="1:7" x14ac:dyDescent="0.15">
      <c r="A124" s="140" t="s">
        <v>331</v>
      </c>
      <c r="B124" s="194"/>
      <c r="C124" s="39"/>
      <c r="D124" s="39"/>
      <c r="E124" s="39"/>
      <c r="G124" s="159"/>
    </row>
    <row r="125" spans="1:7" x14ac:dyDescent="0.15">
      <c r="A125" s="39"/>
      <c r="B125" s="194"/>
      <c r="C125" s="39"/>
      <c r="D125" s="39"/>
      <c r="E125" s="39"/>
      <c r="G125" s="159"/>
    </row>
    <row r="126" spans="1:7" x14ac:dyDescent="0.15">
      <c r="A126" s="158"/>
      <c r="B126" s="194"/>
      <c r="C126" s="39"/>
      <c r="D126" s="39"/>
      <c r="E126" s="39"/>
      <c r="G126" s="159"/>
    </row>
    <row r="127" spans="1:7" x14ac:dyDescent="0.15">
      <c r="A127" s="39"/>
      <c r="B127" s="194"/>
      <c r="C127" s="39"/>
      <c r="D127" s="39"/>
      <c r="E127" s="39"/>
      <c r="G127" s="159"/>
    </row>
    <row r="128" spans="1:7" x14ac:dyDescent="0.15">
      <c r="A128" s="39"/>
      <c r="B128" s="194"/>
      <c r="C128" s="39"/>
      <c r="D128" s="39"/>
      <c r="E128" s="39"/>
      <c r="G128" s="159"/>
    </row>
    <row r="129" spans="1:7" x14ac:dyDescent="0.15">
      <c r="A129" s="140" t="s">
        <v>335</v>
      </c>
      <c r="B129" s="194"/>
      <c r="C129" s="39"/>
      <c r="D129" s="39"/>
      <c r="E129" s="39"/>
      <c r="G129" s="159"/>
    </row>
    <row r="130" spans="1:7" x14ac:dyDescent="0.15">
      <c r="A130" s="39"/>
      <c r="B130" s="194"/>
      <c r="C130" s="39"/>
      <c r="D130" s="39"/>
      <c r="E130" s="39"/>
      <c r="G130" s="159"/>
    </row>
    <row r="131" spans="1:7" x14ac:dyDescent="0.15">
      <c r="A131" s="158"/>
      <c r="B131" s="194"/>
      <c r="C131" s="39"/>
      <c r="D131" s="39"/>
      <c r="E131" s="39"/>
      <c r="G131" s="159"/>
    </row>
    <row r="132" spans="1:7" x14ac:dyDescent="0.15">
      <c r="A132" s="39"/>
      <c r="B132" s="194"/>
      <c r="C132" s="39"/>
      <c r="D132" s="39"/>
      <c r="E132" s="39"/>
      <c r="G132" s="159"/>
    </row>
    <row r="133" spans="1:7" ht="16" x14ac:dyDescent="0.15">
      <c r="A133" s="345" t="s">
        <v>363</v>
      </c>
      <c r="B133" s="345"/>
      <c r="C133" s="345"/>
      <c r="D133" s="345"/>
      <c r="E133" s="345"/>
      <c r="F133" s="345"/>
      <c r="G133" s="345"/>
    </row>
    <row r="134" spans="1:7" ht="16" x14ac:dyDescent="0.15">
      <c r="A134" s="345" t="s">
        <v>337</v>
      </c>
      <c r="B134" s="345"/>
      <c r="C134" s="345"/>
      <c r="D134" s="345"/>
      <c r="E134" s="345"/>
      <c r="F134" s="345"/>
      <c r="G134" s="345"/>
    </row>
    <row r="135" spans="1:7" ht="15" thickBot="1" x14ac:dyDescent="0.2">
      <c r="A135" s="162"/>
      <c r="C135" s="39"/>
      <c r="D135" s="39"/>
      <c r="E135" s="39"/>
      <c r="G135" s="159"/>
    </row>
    <row r="136" spans="1:7" ht="18" customHeight="1" thickBot="1" x14ac:dyDescent="0.2">
      <c r="B136" s="168" t="s">
        <v>311</v>
      </c>
      <c r="C136" s="168" t="s">
        <v>329</v>
      </c>
      <c r="D136" s="168" t="s">
        <v>333</v>
      </c>
      <c r="E136" s="168" t="s">
        <v>336</v>
      </c>
      <c r="F136" s="168" t="s">
        <v>334</v>
      </c>
      <c r="G136" s="159"/>
    </row>
    <row r="137" spans="1:7" x14ac:dyDescent="0.15">
      <c r="B137" s="177">
        <f>+'VASTAGO RESISTENCIA'!A99</f>
        <v>0</v>
      </c>
      <c r="C137" s="177">
        <f>+D6</f>
        <v>0.35</v>
      </c>
      <c r="D137" s="177">
        <f>+$D$6*B137*MURO!$D$27*'EXTREMO I'!$B$80</f>
        <v>0</v>
      </c>
      <c r="E137" s="177">
        <f>+(C137-$D$6)*0.5*B137*'EXTREMO I'!$B$80*MURO!$D$27</f>
        <v>0</v>
      </c>
      <c r="F137" s="177">
        <f>+D137+E137</f>
        <v>0</v>
      </c>
      <c r="G137" s="159"/>
    </row>
    <row r="138" spans="1:7" x14ac:dyDescent="0.15">
      <c r="B138" s="180">
        <f>+'VASTAGO RESISTENCIA'!A100</f>
        <v>1.4750000000000001</v>
      </c>
      <c r="C138" s="180">
        <f>+$C$137+B138*$B$114</f>
        <v>0.38749999999999996</v>
      </c>
      <c r="D138" s="180">
        <f>+$D$6*B138*MURO!$D$27*'EXTREMO I'!$B$80</f>
        <v>0.17810624999999997</v>
      </c>
      <c r="E138" s="180">
        <f>+(C138-$D$6)*0.5*B138*'EXTREMO I'!$B$80*MURO!$D$27</f>
        <v>9.5414062499999952E-3</v>
      </c>
      <c r="F138" s="180">
        <f t="shared" ref="F138:F141" si="0">+D138+E138</f>
        <v>0.18764765624999996</v>
      </c>
      <c r="G138" s="159"/>
    </row>
    <row r="139" spans="1:7" x14ac:dyDescent="0.15">
      <c r="B139" s="180">
        <f>+'VASTAGO RESISTENCIA'!A101</f>
        <v>2.95</v>
      </c>
      <c r="C139" s="180">
        <f>+$C$137+B139*$B$114</f>
        <v>0.42499999999999999</v>
      </c>
      <c r="D139" s="180">
        <f>+$D$6*B139*MURO!$D$27*'EXTREMO I'!$B$80</f>
        <v>0.35621249999999993</v>
      </c>
      <c r="E139" s="180">
        <f>+(C139-$D$6)*0.5*B139*'EXTREMO I'!$B$80*MURO!$D$27</f>
        <v>3.8165625000000002E-2</v>
      </c>
      <c r="F139" s="180">
        <f t="shared" si="0"/>
        <v>0.39437812499999991</v>
      </c>
      <c r="G139" s="159"/>
    </row>
    <row r="140" spans="1:7" x14ac:dyDescent="0.15">
      <c r="B140" s="180">
        <f>+'VASTAGO RESISTENCIA'!A102</f>
        <v>4.4250000000000007</v>
      </c>
      <c r="C140" s="180">
        <f>+$C$137+B140*$B$114</f>
        <v>0.46250000000000002</v>
      </c>
      <c r="D140" s="180">
        <f>+$D$6*B140*MURO!$D$27*'EXTREMO I'!$B$80</f>
        <v>0.53431874999999995</v>
      </c>
      <c r="E140" s="180">
        <f>+(C140-$D$6)*0.5*B140*'EXTREMO I'!$B$80*MURO!$D$27</f>
        <v>8.587265625000004E-2</v>
      </c>
      <c r="F140" s="180">
        <f t="shared" si="0"/>
        <v>0.62019140625000002</v>
      </c>
      <c r="G140" s="159"/>
    </row>
    <row r="141" spans="1:7" ht="15" thickBot="1" x14ac:dyDescent="0.2">
      <c r="B141" s="190">
        <f>+'VASTAGO RESISTENCIA'!A103</f>
        <v>5.9</v>
      </c>
      <c r="C141" s="190">
        <f>+$C$137+B141*$B$114</f>
        <v>0.5</v>
      </c>
      <c r="D141" s="190">
        <f>+$D$6*B141*MURO!$D$27*'EXTREMO I'!$B$80</f>
        <v>0.71242499999999986</v>
      </c>
      <c r="E141" s="190">
        <f>+(C141-$D$6)*0.5*B141*'EXTREMO I'!$B$80*MURO!$D$27</f>
        <v>0.15266250000000001</v>
      </c>
      <c r="F141" s="190">
        <f t="shared" si="0"/>
        <v>0.8650874999999999</v>
      </c>
      <c r="G141" s="159"/>
    </row>
    <row r="142" spans="1:7" x14ac:dyDescent="0.15">
      <c r="A142" s="162"/>
      <c r="C142" s="39"/>
      <c r="D142" s="39"/>
      <c r="E142" s="39"/>
      <c r="G142" s="159"/>
    </row>
    <row r="143" spans="1:7" x14ac:dyDescent="0.15">
      <c r="A143" s="140" t="s">
        <v>339</v>
      </c>
      <c r="C143" s="39"/>
      <c r="D143" s="39"/>
      <c r="E143" s="39"/>
      <c r="G143" s="159"/>
    </row>
    <row r="144" spans="1:7" x14ac:dyDescent="0.15">
      <c r="A144" s="162"/>
      <c r="C144" s="39"/>
      <c r="D144" s="39"/>
      <c r="E144" s="158"/>
      <c r="G144" s="159"/>
    </row>
    <row r="145" spans="1:7" x14ac:dyDescent="0.15">
      <c r="A145" s="158"/>
      <c r="C145" s="39"/>
      <c r="D145" s="39"/>
      <c r="E145" s="39"/>
      <c r="G145" s="159"/>
    </row>
    <row r="146" spans="1:7" x14ac:dyDescent="0.15">
      <c r="A146" s="162"/>
      <c r="C146" s="39"/>
      <c r="D146" s="39"/>
      <c r="E146" s="39"/>
      <c r="G146" s="159"/>
    </row>
    <row r="147" spans="1:7" x14ac:dyDescent="0.15">
      <c r="A147" s="162"/>
      <c r="C147" s="39"/>
      <c r="D147" s="39"/>
      <c r="E147" s="39"/>
      <c r="G147" s="159"/>
    </row>
    <row r="148" spans="1:7" x14ac:dyDescent="0.15">
      <c r="A148" s="140" t="s">
        <v>340</v>
      </c>
      <c r="C148" s="39"/>
      <c r="D148" s="39"/>
      <c r="E148" s="39"/>
      <c r="G148" s="159"/>
    </row>
    <row r="149" spans="1:7" x14ac:dyDescent="0.15">
      <c r="A149" s="162"/>
      <c r="C149" s="39"/>
      <c r="D149" s="39"/>
      <c r="E149" s="39"/>
      <c r="G149" s="159"/>
    </row>
    <row r="150" spans="1:7" x14ac:dyDescent="0.15">
      <c r="A150" s="162"/>
      <c r="C150" s="39"/>
      <c r="D150" s="39"/>
      <c r="E150" s="39"/>
      <c r="G150" s="159"/>
    </row>
    <row r="151" spans="1:7" x14ac:dyDescent="0.15">
      <c r="A151" s="162"/>
      <c r="C151" s="39"/>
      <c r="D151" s="39"/>
      <c r="E151" s="39"/>
      <c r="G151" s="159"/>
    </row>
    <row r="152" spans="1:7" x14ac:dyDescent="0.15">
      <c r="A152" s="140" t="s">
        <v>540</v>
      </c>
      <c r="C152" s="39"/>
      <c r="D152" s="39"/>
      <c r="E152" s="39"/>
      <c r="G152" s="159"/>
    </row>
    <row r="153" spans="1:7" x14ac:dyDescent="0.15">
      <c r="C153" s="39"/>
      <c r="D153" s="39"/>
      <c r="E153" s="39"/>
      <c r="G153" s="159"/>
    </row>
    <row r="154" spans="1:7" x14ac:dyDescent="0.15">
      <c r="G154" s="159"/>
    </row>
    <row r="156" spans="1:7" x14ac:dyDescent="0.15">
      <c r="A156" s="140" t="s">
        <v>341</v>
      </c>
    </row>
    <row r="158" spans="1:7" x14ac:dyDescent="0.15">
      <c r="A158" s="158"/>
    </row>
    <row r="160" spans="1:7" x14ac:dyDescent="0.15">
      <c r="A160" s="140" t="s">
        <v>342</v>
      </c>
    </row>
    <row r="161" spans="1:7" x14ac:dyDescent="0.15">
      <c r="A161" s="158"/>
    </row>
    <row r="162" spans="1:7" x14ac:dyDescent="0.15">
      <c r="A162" s="158"/>
    </row>
    <row r="163" spans="1:7" x14ac:dyDescent="0.15">
      <c r="A163" s="158"/>
    </row>
    <row r="164" spans="1:7" x14ac:dyDescent="0.15">
      <c r="A164" s="158"/>
    </row>
    <row r="165" spans="1:7" ht="16" x14ac:dyDescent="0.15">
      <c r="A165" s="345" t="s">
        <v>588</v>
      </c>
      <c r="B165" s="345"/>
      <c r="C165" s="345"/>
      <c r="D165" s="345"/>
      <c r="E165" s="345"/>
      <c r="F165" s="345"/>
      <c r="G165" s="345"/>
    </row>
    <row r="166" spans="1:7" ht="16" x14ac:dyDescent="0.15">
      <c r="A166" s="345" t="s">
        <v>312</v>
      </c>
      <c r="B166" s="345"/>
      <c r="C166" s="345"/>
      <c r="D166" s="345"/>
      <c r="E166" s="345"/>
      <c r="F166" s="345"/>
      <c r="G166" s="345"/>
    </row>
    <row r="167" spans="1:7" ht="15" thickBot="1" x14ac:dyDescent="0.2"/>
    <row r="168" spans="1:7" ht="20" customHeight="1" thickBot="1" x14ac:dyDescent="0.2">
      <c r="A168" s="168" t="s">
        <v>311</v>
      </c>
      <c r="B168" s="168" t="s">
        <v>313</v>
      </c>
      <c r="C168" s="168" t="s">
        <v>319</v>
      </c>
      <c r="D168" s="168" t="s">
        <v>320</v>
      </c>
      <c r="E168" s="168" t="s">
        <v>539</v>
      </c>
    </row>
    <row r="169" spans="1:7" x14ac:dyDescent="0.15">
      <c r="A169" s="177">
        <f>+'VASTAGO RESISTENCIA'!A99</f>
        <v>0</v>
      </c>
      <c r="B169" s="177">
        <f>+'VASTAGO RESISTENCIA'!B99</f>
        <v>0</v>
      </c>
      <c r="C169" s="177">
        <v>0</v>
      </c>
      <c r="D169" s="177">
        <f>+F137</f>
        <v>0</v>
      </c>
      <c r="E169" s="177">
        <f>+B169+C169+D169</f>
        <v>0</v>
      </c>
    </row>
    <row r="170" spans="1:7" x14ac:dyDescent="0.15">
      <c r="A170" s="180">
        <f>+'VASTAGO RESISTENCIA'!A100</f>
        <v>1.4750000000000001</v>
      </c>
      <c r="B170" s="180">
        <f>+'VASTAGO RESISTENCIA'!B100</f>
        <v>0.46020833333333339</v>
      </c>
      <c r="C170" s="180">
        <f>+($B$77-$B$47)*(A170-MURO!$D$11)^2*MURO!$D$28/2</f>
        <v>0.11214735008797154</v>
      </c>
      <c r="D170" s="180">
        <f>+F138</f>
        <v>0.18764765624999996</v>
      </c>
      <c r="E170" s="180">
        <f t="shared" ref="E170:E173" si="1">+B170+C170+D170</f>
        <v>0.76000333967130485</v>
      </c>
    </row>
    <row r="171" spans="1:7" x14ac:dyDescent="0.15">
      <c r="A171" s="180">
        <f>+'VASTAGO RESISTENCIA'!A101</f>
        <v>2.95</v>
      </c>
      <c r="B171" s="180">
        <f>+'VASTAGO RESISTENCIA'!B101</f>
        <v>2.3408333333333338</v>
      </c>
      <c r="C171" s="180">
        <f>+($B$77-$B$47)*(A171-MURO!$D$11)^2*MURO!$D$28/2</f>
        <v>0.57043351090468464</v>
      </c>
      <c r="D171" s="180">
        <f>+F139</f>
        <v>0.39437812499999991</v>
      </c>
      <c r="E171" s="180">
        <f t="shared" si="1"/>
        <v>3.3056449692380183</v>
      </c>
    </row>
    <row r="172" spans="1:7" x14ac:dyDescent="0.15">
      <c r="A172" s="180">
        <f>+'VASTAGO RESISTENCIA'!A102</f>
        <v>4.4250000000000007</v>
      </c>
      <c r="B172" s="180">
        <f>+'VASTAGO RESISTENCIA'!B102</f>
        <v>5.6718750000000018</v>
      </c>
      <c r="C172" s="180">
        <f>+($B$77-$B$47)*(A172-MURO!$D$11)^2*MURO!$D$28/2</f>
        <v>1.3821691290833074</v>
      </c>
      <c r="D172" s="180">
        <f>+F140</f>
        <v>0.62019140625000002</v>
      </c>
      <c r="E172" s="180">
        <f t="shared" si="1"/>
        <v>7.6742355353333087</v>
      </c>
    </row>
    <row r="173" spans="1:7" ht="15" thickBot="1" x14ac:dyDescent="0.2">
      <c r="A173" s="190">
        <f>+'VASTAGO RESISTENCIA'!A103</f>
        <v>5.9</v>
      </c>
      <c r="B173" s="190">
        <f>+'VASTAGO RESISTENCIA'!B103</f>
        <v>10.453333333333335</v>
      </c>
      <c r="C173" s="190">
        <f>+($B$77-$B$47)*(A173-MURO!$D$11)^2*MURO!$D$28/2</f>
        <v>2.5473542046238391</v>
      </c>
      <c r="D173" s="190">
        <f>+F141</f>
        <v>0.8650874999999999</v>
      </c>
      <c r="E173" s="190">
        <f t="shared" si="1"/>
        <v>13.865775037957173</v>
      </c>
    </row>
    <row r="176" spans="1:7" ht="16" x14ac:dyDescent="0.15">
      <c r="A176" s="345" t="s">
        <v>364</v>
      </c>
      <c r="B176" s="345"/>
      <c r="C176" s="345"/>
      <c r="D176" s="345"/>
      <c r="E176" s="345"/>
      <c r="F176" s="345"/>
      <c r="G176" s="345"/>
    </row>
    <row r="177" spans="1:7" ht="16" x14ac:dyDescent="0.15">
      <c r="A177" s="345" t="s">
        <v>315</v>
      </c>
      <c r="B177" s="345"/>
      <c r="C177" s="345"/>
      <c r="D177" s="345"/>
      <c r="E177" s="345"/>
      <c r="F177" s="345"/>
      <c r="G177" s="345"/>
    </row>
    <row r="178" spans="1:7" ht="15" thickBot="1" x14ac:dyDescent="0.2"/>
    <row r="179" spans="1:7" ht="17" customHeight="1" thickBot="1" x14ac:dyDescent="0.2">
      <c r="A179" s="168" t="s">
        <v>311</v>
      </c>
      <c r="B179" s="168" t="s">
        <v>316</v>
      </c>
      <c r="C179" s="168" t="s">
        <v>321</v>
      </c>
      <c r="D179" s="168" t="s">
        <v>322</v>
      </c>
      <c r="E179" s="168" t="s">
        <v>538</v>
      </c>
    </row>
    <row r="180" spans="1:7" x14ac:dyDescent="0.15">
      <c r="A180" s="177">
        <f>+A169</f>
        <v>0</v>
      </c>
      <c r="B180" s="177">
        <f>+'VASTAGO RESISTENCIA'!B110</f>
        <v>0</v>
      </c>
      <c r="C180" s="177">
        <f>+C169*(A180-MURO!$D$11)*0.35</f>
        <v>0</v>
      </c>
      <c r="D180" s="177">
        <f>+(D137*A180/2+E137*A180/3)</f>
        <v>0</v>
      </c>
      <c r="E180" s="177">
        <f>+B180+C180+D180</f>
        <v>0</v>
      </c>
    </row>
    <row r="181" spans="1:7" x14ac:dyDescent="0.15">
      <c r="A181" s="180">
        <f t="shared" ref="A181:A184" si="2">+A170</f>
        <v>1.4750000000000001</v>
      </c>
      <c r="B181" s="180">
        <f>+'VASTAGO RESISTENCIA'!B111</f>
        <v>0.18024826388888893</v>
      </c>
      <c r="C181" s="180">
        <f>+C170*(A181-MURO!$D$11)*0.35</f>
        <v>4.6120597723678297E-2</v>
      </c>
      <c r="D181" s="180">
        <f>+(D138*A181/2+E138*A181/3)</f>
        <v>0.13604455078124997</v>
      </c>
      <c r="E181" s="180">
        <f t="shared" ref="E181:E184" si="3">+B181+C181+D181</f>
        <v>0.36241341239381719</v>
      </c>
    </row>
    <row r="182" spans="1:7" x14ac:dyDescent="0.15">
      <c r="A182" s="180">
        <f t="shared" si="2"/>
        <v>2.95</v>
      </c>
      <c r="B182" s="180">
        <f>+'VASTAGO RESISTENCIA'!B112</f>
        <v>2.0677361111111119</v>
      </c>
      <c r="C182" s="180">
        <f>+C171*(A182-MURO!$D$11)*0.35</f>
        <v>0.52907708136409504</v>
      </c>
      <c r="D182" s="180">
        <f>+(D139*A182/2+E139*A182/3)</f>
        <v>0.56294296874999994</v>
      </c>
      <c r="E182" s="180">
        <f t="shared" si="3"/>
        <v>3.1597561612252067</v>
      </c>
    </row>
    <row r="183" spans="1:7" x14ac:dyDescent="0.15">
      <c r="A183" s="180">
        <f t="shared" si="2"/>
        <v>4.4250000000000007</v>
      </c>
      <c r="B183" s="180">
        <f>+'VASTAGO RESISTENCIA'!B113</f>
        <v>7.7988281250000036</v>
      </c>
      <c r="C183" s="180">
        <f>+C172*(A183-MURO!$D$11)*0.35</f>
        <v>1.9955066801140253</v>
      </c>
      <c r="D183" s="180">
        <f>+(D140*A183/2+E140*A183/3)</f>
        <v>1.3088424023437502</v>
      </c>
      <c r="E183" s="180">
        <f t="shared" si="3"/>
        <v>11.103177207457779</v>
      </c>
    </row>
    <row r="184" spans="1:7" ht="15" thickBot="1" x14ac:dyDescent="0.2">
      <c r="A184" s="190">
        <f t="shared" si="2"/>
        <v>5.9</v>
      </c>
      <c r="B184" s="190">
        <f>+'VASTAGO RESISTENCIA'!B114</f>
        <v>19.512888888888892</v>
      </c>
      <c r="C184" s="190">
        <f>+C173*(A184-MURO!$D$11)*0.35</f>
        <v>4.9928142410627245</v>
      </c>
      <c r="D184" s="190">
        <f>+(D141*A184/2+E141*A184/3)</f>
        <v>2.4018899999999999</v>
      </c>
      <c r="E184" s="190">
        <f t="shared" si="3"/>
        <v>26.907593129951614</v>
      </c>
    </row>
  </sheetData>
  <mergeCells count="9">
    <mergeCell ref="A177:G177"/>
    <mergeCell ref="B108:C108"/>
    <mergeCell ref="A133:G133"/>
    <mergeCell ref="A134:G134"/>
    <mergeCell ref="A1:G1"/>
    <mergeCell ref="A81:C81"/>
    <mergeCell ref="A165:G165"/>
    <mergeCell ref="A166:G166"/>
    <mergeCell ref="A176:G176"/>
  </mergeCells>
  <printOptions horizontalCentered="1"/>
  <pageMargins left="0.78740157480314965" right="0.78740157480314965" top="0.78740157480314965" bottom="0.78740157480314965" header="0.31496062992125984" footer="0.31496062992125984"/>
  <pageSetup scale="80" orientation="portrait" r:id="rId1"/>
  <headerFooter alignWithMargins="0">
    <oddHeader>&amp;C&amp;F</oddHeader>
    <oddFooter>&amp;C&amp;P</oddFooter>
  </headerFooter>
  <rowBreaks count="3" manualBreakCount="3">
    <brk id="38" max="6" man="1"/>
    <brk id="94" max="6" man="1"/>
    <brk id="141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view="pageBreakPreview" topLeftCell="A192" zoomScale="167" zoomScaleNormal="173" zoomScaleSheetLayoutView="85" zoomScalePageLayoutView="173" workbookViewId="0">
      <selection activeCell="D209" sqref="D209"/>
    </sheetView>
  </sheetViews>
  <sheetFormatPr baseColWidth="10" defaultColWidth="11.5" defaultRowHeight="14" x14ac:dyDescent="0.15"/>
  <cols>
    <col min="1" max="1" width="16.1640625" style="140" customWidth="1"/>
    <col min="2" max="2" width="10.1640625" style="140" customWidth="1"/>
    <col min="3" max="3" width="11.332031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16384" width="11.5" style="140"/>
  </cols>
  <sheetData>
    <row r="1" spans="1:8" ht="45" customHeight="1" x14ac:dyDescent="0.15">
      <c r="A1" s="353" t="s">
        <v>520</v>
      </c>
      <c r="B1" s="353"/>
      <c r="C1" s="353"/>
      <c r="D1" s="353"/>
      <c r="E1" s="353"/>
      <c r="F1" s="353"/>
      <c r="G1" s="353"/>
      <c r="H1" s="137"/>
    </row>
    <row r="2" spans="1:8" ht="14.25" customHeight="1" x14ac:dyDescent="0.15">
      <c r="A2" s="137"/>
      <c r="B2" s="137"/>
      <c r="C2" s="137"/>
      <c r="D2" s="137"/>
      <c r="E2" s="137"/>
      <c r="F2" s="137"/>
      <c r="G2" s="137"/>
      <c r="H2" s="137"/>
    </row>
    <row r="3" spans="1:8" x14ac:dyDescent="0.15">
      <c r="B3" s="163"/>
      <c r="C3" s="39"/>
    </row>
    <row r="4" spans="1:8" x14ac:dyDescent="0.15">
      <c r="B4" s="163"/>
      <c r="C4" s="39"/>
    </row>
    <row r="5" spans="1:8" ht="19.5" customHeight="1" x14ac:dyDescent="0.15">
      <c r="A5" s="149"/>
      <c r="B5" s="39"/>
    </row>
    <row r="6" spans="1:8" ht="9" customHeight="1" x14ac:dyDescent="0.15">
      <c r="E6" s="141"/>
    </row>
    <row r="7" spans="1:8" x14ac:dyDescent="0.15">
      <c r="A7" s="144" t="s">
        <v>102</v>
      </c>
      <c r="B7" s="166">
        <f>+B25</f>
        <v>11.200000000000001</v>
      </c>
      <c r="C7" s="166" t="s">
        <v>25</v>
      </c>
      <c r="E7" s="166"/>
    </row>
    <row r="8" spans="1:8" x14ac:dyDescent="0.15">
      <c r="B8" s="166">
        <f>+MURO!D17</f>
        <v>2.5</v>
      </c>
      <c r="D8" s="195">
        <f>+MURO!D15</f>
        <v>0.5</v>
      </c>
      <c r="E8" s="166">
        <f>+MURO!D18</f>
        <v>1.2</v>
      </c>
    </row>
    <row r="9" spans="1:8" ht="9.75" customHeight="1" x14ac:dyDescent="0.15"/>
    <row r="10" spans="1:8" x14ac:dyDescent="0.15">
      <c r="B10" s="162" t="s">
        <v>5</v>
      </c>
      <c r="E10" s="141"/>
      <c r="F10" s="162" t="s">
        <v>6</v>
      </c>
      <c r="G10" s="196">
        <f>+MURO!D13</f>
        <v>0.6</v>
      </c>
    </row>
    <row r="11" spans="1:8" ht="10.5" customHeight="1" x14ac:dyDescent="0.15"/>
    <row r="12" spans="1:8" ht="9.75" customHeight="1" x14ac:dyDescent="0.15"/>
    <row r="13" spans="1:8" x14ac:dyDescent="0.15">
      <c r="D13" s="166">
        <f>+MURO!D84</f>
        <v>4.2</v>
      </c>
    </row>
    <row r="14" spans="1:8" x14ac:dyDescent="0.15">
      <c r="C14" s="144" t="s">
        <v>84</v>
      </c>
      <c r="D14" s="166"/>
      <c r="E14" s="140" t="s">
        <v>61</v>
      </c>
    </row>
    <row r="15" spans="1:8" x14ac:dyDescent="0.15">
      <c r="A15" s="166">
        <f>+RESISTENCIA!G244</f>
        <v>-2.6443435174829606</v>
      </c>
      <c r="E15" s="39" t="s">
        <v>85</v>
      </c>
    </row>
    <row r="16" spans="1:8" x14ac:dyDescent="0.15">
      <c r="B16" s="144"/>
    </row>
    <row r="17" spans="1:7" x14ac:dyDescent="0.15">
      <c r="B17" s="144" t="s">
        <v>89</v>
      </c>
      <c r="G17" s="197">
        <f>+'EXTREMO I'!F257</f>
        <v>21.563493932625942</v>
      </c>
    </row>
    <row r="18" spans="1:7" x14ac:dyDescent="0.15">
      <c r="C18" s="39" t="s">
        <v>88</v>
      </c>
    </row>
    <row r="19" spans="1:7" x14ac:dyDescent="0.15">
      <c r="E19" s="144" t="s">
        <v>87</v>
      </c>
      <c r="F19" s="39" t="s">
        <v>86</v>
      </c>
    </row>
    <row r="20" spans="1:7" x14ac:dyDescent="0.15">
      <c r="E20" s="144"/>
      <c r="F20" s="39"/>
    </row>
    <row r="21" spans="1:7" x14ac:dyDescent="0.15">
      <c r="A21" s="162" t="s">
        <v>98</v>
      </c>
      <c r="E21" s="144"/>
      <c r="F21" s="39"/>
    </row>
    <row r="22" spans="1:7" x14ac:dyDescent="0.15">
      <c r="E22" s="144"/>
      <c r="F22" s="39"/>
    </row>
    <row r="23" spans="1:7" x14ac:dyDescent="0.15">
      <c r="A23" s="158"/>
      <c r="E23" s="144"/>
      <c r="F23" s="39"/>
    </row>
    <row r="24" spans="1:7" x14ac:dyDescent="0.15">
      <c r="A24" s="158"/>
      <c r="E24" s="144"/>
      <c r="F24" s="39"/>
    </row>
    <row r="25" spans="1:7" x14ac:dyDescent="0.15">
      <c r="A25" s="39" t="s">
        <v>102</v>
      </c>
      <c r="B25" s="195">
        <f>+MURO!D86*MURO!D28</f>
        <v>11.200000000000001</v>
      </c>
      <c r="C25" s="39" t="s">
        <v>25</v>
      </c>
      <c r="E25" s="144"/>
      <c r="F25" s="39"/>
    </row>
    <row r="26" spans="1:7" x14ac:dyDescent="0.15">
      <c r="B26" s="166"/>
      <c r="E26" s="144"/>
      <c r="F26" s="39"/>
    </row>
    <row r="27" spans="1:7" x14ac:dyDescent="0.15">
      <c r="A27" s="162" t="s">
        <v>162</v>
      </c>
      <c r="B27" s="166"/>
      <c r="E27" s="158"/>
      <c r="F27" s="39"/>
    </row>
    <row r="28" spans="1:7" x14ac:dyDescent="0.15">
      <c r="E28" s="144"/>
      <c r="F28" s="39"/>
    </row>
    <row r="29" spans="1:7" x14ac:dyDescent="0.15">
      <c r="A29" s="39" t="s">
        <v>22</v>
      </c>
      <c r="B29" s="195">
        <f>+'ZAPATA EVENTO EXTREMO 1'!B29</f>
        <v>0.52500000000000002</v>
      </c>
      <c r="C29" s="39" t="s">
        <v>0</v>
      </c>
      <c r="E29" s="144"/>
      <c r="F29" s="39"/>
    </row>
    <row r="30" spans="1:7" x14ac:dyDescent="0.15">
      <c r="A30" s="39"/>
      <c r="B30" s="195"/>
      <c r="C30" s="39"/>
      <c r="E30" s="144"/>
      <c r="F30" s="39"/>
    </row>
    <row r="31" spans="1:7" x14ac:dyDescent="0.15">
      <c r="A31" s="162" t="s">
        <v>159</v>
      </c>
      <c r="E31" s="144"/>
      <c r="F31" s="39"/>
    </row>
    <row r="32" spans="1:7" x14ac:dyDescent="0.15">
      <c r="A32" s="162"/>
      <c r="E32" s="144"/>
      <c r="F32" s="39"/>
    </row>
    <row r="33" spans="1:6" x14ac:dyDescent="0.15">
      <c r="A33" s="140" t="s">
        <v>160</v>
      </c>
      <c r="E33" s="144"/>
      <c r="F33" s="39"/>
    </row>
    <row r="34" spans="1:6" ht="15" x14ac:dyDescent="0.15">
      <c r="A34" s="39" t="s">
        <v>95</v>
      </c>
      <c r="B34" s="195">
        <f>+G17</f>
        <v>21.563493932625942</v>
      </c>
      <c r="C34" s="39" t="s">
        <v>57</v>
      </c>
      <c r="E34" s="144"/>
      <c r="F34" s="39"/>
    </row>
    <row r="35" spans="1:6" x14ac:dyDescent="0.15">
      <c r="A35" s="39"/>
      <c r="B35" s="195"/>
      <c r="C35" s="39"/>
      <c r="E35" s="144"/>
      <c r="F35" s="39"/>
    </row>
    <row r="36" spans="1:6" x14ac:dyDescent="0.15">
      <c r="A36" s="140" t="s">
        <v>161</v>
      </c>
      <c r="B36" s="195"/>
      <c r="C36" s="39"/>
      <c r="E36" s="144"/>
      <c r="F36" s="39"/>
    </row>
    <row r="37" spans="1:6" ht="15" x14ac:dyDescent="0.15">
      <c r="A37" s="39" t="s">
        <v>96</v>
      </c>
      <c r="B37" s="195">
        <f>+A15</f>
        <v>-2.6443435174829606</v>
      </c>
      <c r="C37" s="39" t="s">
        <v>57</v>
      </c>
      <c r="E37" s="144"/>
      <c r="F37" s="39"/>
    </row>
    <row r="38" spans="1:6" x14ac:dyDescent="0.15">
      <c r="E38" s="144"/>
      <c r="F38" s="39"/>
    </row>
    <row r="39" spans="1:6" x14ac:dyDescent="0.15">
      <c r="A39" s="140" t="s">
        <v>97</v>
      </c>
      <c r="E39" s="144"/>
      <c r="F39" s="39"/>
    </row>
    <row r="40" spans="1:6" x14ac:dyDescent="0.15">
      <c r="A40" s="158"/>
      <c r="E40" s="144"/>
      <c r="F40" s="39"/>
    </row>
    <row r="41" spans="1:6" x14ac:dyDescent="0.15">
      <c r="E41" s="144"/>
      <c r="F41" s="39"/>
    </row>
    <row r="42" spans="1:6" x14ac:dyDescent="0.15">
      <c r="E42" s="144"/>
      <c r="F42" s="39"/>
    </row>
    <row r="43" spans="1:6" x14ac:dyDescent="0.15">
      <c r="A43" s="39" t="s">
        <v>91</v>
      </c>
      <c r="B43" s="195">
        <f>+(G17-A15)/D13</f>
        <v>5.7637708214545009</v>
      </c>
      <c r="C43" s="39" t="s">
        <v>25</v>
      </c>
      <c r="E43" s="144"/>
      <c r="F43" s="39"/>
    </row>
    <row r="44" spans="1:6" x14ac:dyDescent="0.15">
      <c r="A44" s="39"/>
      <c r="B44" s="195"/>
      <c r="C44" s="39"/>
      <c r="E44" s="144"/>
      <c r="F44" s="39"/>
    </row>
    <row r="45" spans="1:6" x14ac:dyDescent="0.15">
      <c r="A45" s="140" t="s">
        <v>99</v>
      </c>
      <c r="E45" s="144"/>
      <c r="F45" s="39"/>
    </row>
    <row r="46" spans="1:6" x14ac:dyDescent="0.15">
      <c r="E46" s="144"/>
      <c r="F46" s="39"/>
    </row>
    <row r="47" spans="1:6" x14ac:dyDescent="0.15">
      <c r="A47" s="158"/>
      <c r="C47" s="39"/>
      <c r="E47" s="144"/>
      <c r="F47" s="39"/>
    </row>
    <row r="48" spans="1:6" x14ac:dyDescent="0.15">
      <c r="A48" s="39"/>
      <c r="B48" s="195"/>
      <c r="C48" s="39"/>
      <c r="E48" s="144"/>
      <c r="F48" s="39"/>
    </row>
    <row r="49" spans="1:6" ht="15" x14ac:dyDescent="0.15">
      <c r="A49" s="39" t="s">
        <v>92</v>
      </c>
      <c r="B49" s="195">
        <f>+B43*B8+A15</f>
        <v>11.765083536153291</v>
      </c>
      <c r="C49" s="39" t="s">
        <v>57</v>
      </c>
      <c r="E49" s="144"/>
      <c r="F49" s="39"/>
    </row>
    <row r="50" spans="1:6" x14ac:dyDescent="0.15">
      <c r="A50" s="39"/>
      <c r="B50" s="195"/>
      <c r="C50" s="39"/>
      <c r="E50" s="144"/>
      <c r="F50" s="39"/>
    </row>
    <row r="51" spans="1:6" x14ac:dyDescent="0.15">
      <c r="A51" s="140" t="s">
        <v>100</v>
      </c>
      <c r="E51" s="144"/>
      <c r="F51" s="39"/>
    </row>
    <row r="52" spans="1:6" x14ac:dyDescent="0.15">
      <c r="E52" s="144"/>
      <c r="F52" s="39"/>
    </row>
    <row r="53" spans="1:6" x14ac:dyDescent="0.15">
      <c r="A53" s="158"/>
      <c r="C53" s="39"/>
      <c r="E53" s="144"/>
      <c r="F53" s="39"/>
    </row>
    <row r="54" spans="1:6" x14ac:dyDescent="0.15">
      <c r="A54" s="39"/>
      <c r="B54" s="195"/>
      <c r="C54" s="39"/>
      <c r="E54" s="144"/>
      <c r="F54" s="39"/>
    </row>
    <row r="55" spans="1:6" ht="15" x14ac:dyDescent="0.15">
      <c r="A55" s="39" t="s">
        <v>93</v>
      </c>
      <c r="B55" s="147">
        <f>+B43*(D8+B8)+A15</f>
        <v>14.646968946880543</v>
      </c>
      <c r="C55" s="39" t="s">
        <v>57</v>
      </c>
      <c r="E55" s="144"/>
      <c r="F55" s="39"/>
    </row>
    <row r="56" spans="1:6" x14ac:dyDescent="0.15">
      <c r="A56" s="39"/>
      <c r="B56" s="195"/>
      <c r="C56" s="39"/>
      <c r="E56" s="144"/>
      <c r="F56" s="39"/>
    </row>
    <row r="57" spans="1:6" x14ac:dyDescent="0.15">
      <c r="A57" s="140" t="s">
        <v>101</v>
      </c>
      <c r="E57" s="144"/>
      <c r="F57" s="39"/>
    </row>
    <row r="58" spans="1:6" x14ac:dyDescent="0.15">
      <c r="E58" s="144"/>
      <c r="F58" s="39"/>
    </row>
    <row r="59" spans="1:6" x14ac:dyDescent="0.15">
      <c r="A59" s="158"/>
      <c r="C59" s="39"/>
      <c r="E59" s="144"/>
      <c r="F59" s="39"/>
    </row>
    <row r="60" spans="1:6" x14ac:dyDescent="0.15">
      <c r="A60" s="39"/>
      <c r="B60" s="195"/>
      <c r="C60" s="39"/>
      <c r="E60" s="144"/>
      <c r="F60" s="39"/>
    </row>
    <row r="61" spans="1:6" ht="15" x14ac:dyDescent="0.15">
      <c r="A61" s="39" t="s">
        <v>94</v>
      </c>
      <c r="B61" s="195">
        <f>+A15+B43*(B8+D8+B29)</f>
        <v>17.672948628144155</v>
      </c>
      <c r="C61" s="39" t="s">
        <v>57</v>
      </c>
      <c r="E61" s="144"/>
      <c r="F61" s="39"/>
    </row>
    <row r="62" spans="1:6" x14ac:dyDescent="0.15">
      <c r="E62" s="144"/>
      <c r="F62" s="39"/>
    </row>
    <row r="63" spans="1:6" ht="18" x14ac:dyDescent="0.15">
      <c r="A63" s="271" t="s">
        <v>169</v>
      </c>
    </row>
    <row r="64" spans="1:6" x14ac:dyDescent="0.15">
      <c r="A64" s="162"/>
    </row>
    <row r="65" spans="1:7" x14ac:dyDescent="0.15">
      <c r="A65" s="162"/>
    </row>
    <row r="66" spans="1:7" ht="16" x14ac:dyDescent="0.15">
      <c r="A66" s="336" t="s">
        <v>365</v>
      </c>
      <c r="B66" s="336"/>
      <c r="C66" s="336"/>
      <c r="D66" s="336"/>
      <c r="E66" s="336"/>
      <c r="F66" s="336"/>
      <c r="G66" s="336"/>
    </row>
    <row r="67" spans="1:7" ht="16" x14ac:dyDescent="0.15">
      <c r="A67" s="336" t="s">
        <v>167</v>
      </c>
      <c r="B67" s="336"/>
      <c r="C67" s="336"/>
      <c r="D67" s="336"/>
      <c r="E67" s="336"/>
      <c r="F67" s="336"/>
      <c r="G67" s="336"/>
    </row>
    <row r="68" spans="1:7" ht="15" thickBot="1" x14ac:dyDescent="0.2">
      <c r="A68" s="141"/>
      <c r="B68" s="141"/>
      <c r="C68" s="141"/>
      <c r="D68" s="141"/>
      <c r="E68" s="141"/>
      <c r="F68" s="141"/>
      <c r="G68" s="141"/>
    </row>
    <row r="69" spans="1:7" ht="15.5" customHeight="1" thickBot="1" x14ac:dyDescent="0.2">
      <c r="A69" s="168" t="s">
        <v>4</v>
      </c>
      <c r="B69" s="168" t="s">
        <v>37</v>
      </c>
      <c r="C69" s="168" t="s">
        <v>40</v>
      </c>
    </row>
    <row r="70" spans="1:7" x14ac:dyDescent="0.15">
      <c r="A70" s="198" t="s">
        <v>164</v>
      </c>
      <c r="B70" s="199" t="s">
        <v>86</v>
      </c>
      <c r="C70" s="200">
        <f>+(G17-B61)*(E8-B29)/2</f>
        <v>1.313059040262603</v>
      </c>
    </row>
    <row r="71" spans="1:7" x14ac:dyDescent="0.15">
      <c r="A71" s="218" t="s">
        <v>165</v>
      </c>
      <c r="B71" s="208" t="s">
        <v>87</v>
      </c>
      <c r="C71" s="209">
        <f>+B61*(E8-B29)</f>
        <v>11.929240323997304</v>
      </c>
    </row>
    <row r="72" spans="1:7" ht="15" thickBot="1" x14ac:dyDescent="0.2">
      <c r="A72" s="201" t="s">
        <v>21</v>
      </c>
      <c r="B72" s="202" t="s">
        <v>88</v>
      </c>
      <c r="C72" s="203">
        <f>-(E8-B29)*MURO!D28*MURO!D40</f>
        <v>0.13499999999999995</v>
      </c>
    </row>
    <row r="73" spans="1:7" ht="15" thickBot="1" x14ac:dyDescent="0.2">
      <c r="B73" s="204" t="s">
        <v>108</v>
      </c>
      <c r="C73" s="205">
        <f>SUM(C70:C71)</f>
        <v>13.242299364259907</v>
      </c>
    </row>
    <row r="75" spans="1:7" x14ac:dyDescent="0.15">
      <c r="A75" s="140" t="s">
        <v>163</v>
      </c>
    </row>
    <row r="80" spans="1:7" x14ac:dyDescent="0.15">
      <c r="A80" s="39" t="s">
        <v>86</v>
      </c>
      <c r="B80" s="195">
        <f>+C70</f>
        <v>1.313059040262603</v>
      </c>
      <c r="C80" s="39" t="s">
        <v>2</v>
      </c>
    </row>
    <row r="82" spans="1:7" x14ac:dyDescent="0.15">
      <c r="A82" s="140" t="s">
        <v>166</v>
      </c>
    </row>
    <row r="86" spans="1:7" x14ac:dyDescent="0.15">
      <c r="A86" s="39" t="s">
        <v>86</v>
      </c>
      <c r="B86" s="195">
        <f>+C71</f>
        <v>11.929240323997304</v>
      </c>
      <c r="C86" s="39" t="s">
        <v>2</v>
      </c>
    </row>
    <row r="87" spans="1:7" x14ac:dyDescent="0.15">
      <c r="A87" s="162"/>
      <c r="B87" s="153"/>
    </row>
    <row r="88" spans="1:7" x14ac:dyDescent="0.15">
      <c r="A88" s="140" t="s">
        <v>172</v>
      </c>
      <c r="B88" s="153"/>
    </row>
    <row r="89" spans="1:7" x14ac:dyDescent="0.15">
      <c r="A89" s="162"/>
      <c r="B89" s="153"/>
    </row>
    <row r="90" spans="1:7" x14ac:dyDescent="0.15">
      <c r="A90" s="162"/>
      <c r="B90" s="153"/>
    </row>
    <row r="91" spans="1:7" x14ac:dyDescent="0.15">
      <c r="A91" s="162"/>
      <c r="B91" s="153"/>
    </row>
    <row r="92" spans="1:7" x14ac:dyDescent="0.15">
      <c r="A92" s="39" t="s">
        <v>108</v>
      </c>
      <c r="B92" s="195">
        <f>+C73</f>
        <v>13.242299364259907</v>
      </c>
      <c r="C92" s="39" t="s">
        <v>2</v>
      </c>
    </row>
    <row r="93" spans="1:7" x14ac:dyDescent="0.15">
      <c r="A93" s="162"/>
      <c r="B93" s="153"/>
    </row>
    <row r="94" spans="1:7" x14ac:dyDescent="0.15">
      <c r="A94" s="162"/>
      <c r="B94" s="153"/>
    </row>
    <row r="95" spans="1:7" ht="16" x14ac:dyDescent="0.15">
      <c r="A95" s="336" t="s">
        <v>366</v>
      </c>
      <c r="B95" s="336"/>
      <c r="C95" s="336"/>
      <c r="D95" s="336"/>
      <c r="E95" s="336"/>
      <c r="F95" s="336"/>
      <c r="G95" s="336"/>
    </row>
    <row r="96" spans="1:7" ht="16" x14ac:dyDescent="0.15">
      <c r="A96" s="336" t="s">
        <v>168</v>
      </c>
      <c r="B96" s="336"/>
      <c r="C96" s="336"/>
      <c r="D96" s="336"/>
      <c r="E96" s="336"/>
      <c r="F96" s="336"/>
      <c r="G96" s="336"/>
    </row>
    <row r="97" spans="1:5" ht="15" thickBot="1" x14ac:dyDescent="0.2">
      <c r="A97" s="141"/>
      <c r="B97" s="141"/>
      <c r="C97" s="141"/>
      <c r="D97" s="141"/>
      <c r="E97" s="141"/>
    </row>
    <row r="98" spans="1:5" ht="17" customHeight="1" thickBot="1" x14ac:dyDescent="0.2">
      <c r="A98" s="168" t="s">
        <v>4</v>
      </c>
      <c r="B98" s="168" t="s">
        <v>37</v>
      </c>
      <c r="C98" s="168" t="s">
        <v>105</v>
      </c>
      <c r="D98" s="168" t="s">
        <v>106</v>
      </c>
      <c r="E98" s="168" t="s">
        <v>107</v>
      </c>
    </row>
    <row r="99" spans="1:5" x14ac:dyDescent="0.15">
      <c r="A99" s="198" t="s">
        <v>164</v>
      </c>
      <c r="B99" s="199" t="s">
        <v>103</v>
      </c>
      <c r="C99" s="200">
        <f>+(G17-B55)*E8/2</f>
        <v>4.1499149914472389</v>
      </c>
      <c r="D99" s="200">
        <f>+E8*0.666666666666667</f>
        <v>0.80000000000000038</v>
      </c>
      <c r="E99" s="200">
        <f>+C99*D99</f>
        <v>3.3199319931577929</v>
      </c>
    </row>
    <row r="100" spans="1:5" x14ac:dyDescent="0.15">
      <c r="A100" s="218" t="s">
        <v>165</v>
      </c>
      <c r="B100" s="208" t="s">
        <v>104</v>
      </c>
      <c r="C100" s="209">
        <f>+B55*E8</f>
        <v>17.576362736256652</v>
      </c>
      <c r="D100" s="209">
        <f>+E8/2</f>
        <v>0.6</v>
      </c>
      <c r="E100" s="209">
        <f>+C100*D100</f>
        <v>10.54581764175399</v>
      </c>
    </row>
    <row r="101" spans="1:5" ht="15" thickBot="1" x14ac:dyDescent="0.2">
      <c r="A101" s="201" t="s">
        <v>21</v>
      </c>
      <c r="B101" s="202" t="s">
        <v>417</v>
      </c>
      <c r="C101" s="203">
        <f>-E8*MURO!D40*MURO!D28</f>
        <v>0.23999999999999994</v>
      </c>
      <c r="D101" s="203">
        <f>+D100</f>
        <v>0.6</v>
      </c>
      <c r="E101" s="203">
        <f>+C101*D101</f>
        <v>0.14399999999999996</v>
      </c>
    </row>
    <row r="102" spans="1:5" ht="15" thickBot="1" x14ac:dyDescent="0.2">
      <c r="D102" s="204" t="s">
        <v>109</v>
      </c>
      <c r="E102" s="205">
        <f>SUM(E99:E100)</f>
        <v>13.865749634911783</v>
      </c>
    </row>
    <row r="103" spans="1:5" x14ac:dyDescent="0.15">
      <c r="A103" s="140" t="s">
        <v>163</v>
      </c>
    </row>
    <row r="104" spans="1:5" x14ac:dyDescent="0.15">
      <c r="A104" s="162"/>
    </row>
    <row r="105" spans="1:5" x14ac:dyDescent="0.15">
      <c r="A105" s="162"/>
    </row>
    <row r="106" spans="1:5" x14ac:dyDescent="0.15">
      <c r="A106" s="162"/>
    </row>
    <row r="107" spans="1:5" x14ac:dyDescent="0.15">
      <c r="A107" s="162"/>
    </row>
    <row r="108" spans="1:5" x14ac:dyDescent="0.15">
      <c r="A108" s="39" t="s">
        <v>103</v>
      </c>
      <c r="B108" s="195">
        <f>+C99</f>
        <v>4.1499149914472389</v>
      </c>
      <c r="C108" s="39" t="s">
        <v>2</v>
      </c>
    </row>
    <row r="109" spans="1:5" x14ac:dyDescent="0.15">
      <c r="A109" s="162"/>
    </row>
    <row r="110" spans="1:5" x14ac:dyDescent="0.15">
      <c r="A110" s="162"/>
    </row>
    <row r="111" spans="1:5" x14ac:dyDescent="0.15">
      <c r="A111" s="162"/>
    </row>
    <row r="112" spans="1:5" x14ac:dyDescent="0.15">
      <c r="A112" s="162"/>
    </row>
    <row r="113" spans="1:3" x14ac:dyDescent="0.15">
      <c r="A113" s="39" t="s">
        <v>170</v>
      </c>
      <c r="B113" s="195">
        <f>+D99</f>
        <v>0.80000000000000038</v>
      </c>
      <c r="C113" s="39" t="s">
        <v>0</v>
      </c>
    </row>
    <row r="114" spans="1:3" x14ac:dyDescent="0.15">
      <c r="A114" s="162"/>
    </row>
    <row r="115" spans="1:3" x14ac:dyDescent="0.15">
      <c r="A115" s="140" t="s">
        <v>166</v>
      </c>
    </row>
    <row r="116" spans="1:3" x14ac:dyDescent="0.15">
      <c r="A116" s="162"/>
    </row>
    <row r="117" spans="1:3" x14ac:dyDescent="0.15">
      <c r="A117" s="162"/>
    </row>
    <row r="118" spans="1:3" x14ac:dyDescent="0.15">
      <c r="A118" s="162"/>
    </row>
    <row r="119" spans="1:3" x14ac:dyDescent="0.15">
      <c r="A119" s="39" t="s">
        <v>104</v>
      </c>
      <c r="B119" s="195">
        <f>+C100</f>
        <v>17.576362736256652</v>
      </c>
      <c r="C119" s="39" t="s">
        <v>2</v>
      </c>
    </row>
    <row r="120" spans="1:3" x14ac:dyDescent="0.15">
      <c r="A120" s="39"/>
      <c r="B120" s="195"/>
      <c r="C120" s="39"/>
    </row>
    <row r="121" spans="1:3" x14ac:dyDescent="0.15">
      <c r="A121" s="39"/>
      <c r="B121" s="195"/>
      <c r="C121" s="39"/>
    </row>
    <row r="122" spans="1:3" x14ac:dyDescent="0.15">
      <c r="A122" s="39"/>
      <c r="B122" s="195"/>
      <c r="C122" s="39"/>
    </row>
    <row r="123" spans="1:3" x14ac:dyDescent="0.15">
      <c r="A123" s="162"/>
    </row>
    <row r="124" spans="1:3" x14ac:dyDescent="0.15">
      <c r="A124" s="39" t="s">
        <v>171</v>
      </c>
      <c r="B124" s="195">
        <f>+D100</f>
        <v>0.6</v>
      </c>
      <c r="C124" s="39" t="s">
        <v>0</v>
      </c>
    </row>
    <row r="125" spans="1:3" x14ac:dyDescent="0.15">
      <c r="A125" s="162"/>
    </row>
    <row r="126" spans="1:3" x14ac:dyDescent="0.15">
      <c r="A126" s="162"/>
    </row>
    <row r="127" spans="1:3" x14ac:dyDescent="0.15">
      <c r="A127" s="140" t="s">
        <v>173</v>
      </c>
    </row>
    <row r="128" spans="1:3" x14ac:dyDescent="0.15">
      <c r="A128" s="162"/>
    </row>
    <row r="129" spans="1:7" x14ac:dyDescent="0.15">
      <c r="A129" s="162"/>
    </row>
    <row r="130" spans="1:7" x14ac:dyDescent="0.15">
      <c r="A130" s="162"/>
    </row>
    <row r="131" spans="1:7" x14ac:dyDescent="0.15">
      <c r="A131" s="162"/>
    </row>
    <row r="132" spans="1:7" x14ac:dyDescent="0.15">
      <c r="A132" s="162"/>
    </row>
    <row r="133" spans="1:7" x14ac:dyDescent="0.15">
      <c r="A133" s="39" t="s">
        <v>109</v>
      </c>
      <c r="B133" s="195">
        <f>+E102</f>
        <v>13.865749634911783</v>
      </c>
      <c r="C133" s="39" t="s">
        <v>3</v>
      </c>
    </row>
    <row r="134" spans="1:7" x14ac:dyDescent="0.15">
      <c r="A134" s="162"/>
    </row>
    <row r="135" spans="1:7" ht="18" x14ac:dyDescent="0.15">
      <c r="A135" s="271" t="s">
        <v>174</v>
      </c>
    </row>
    <row r="136" spans="1:7" x14ac:dyDescent="0.15">
      <c r="A136" s="162"/>
      <c r="C136" s="155"/>
      <c r="D136" s="162"/>
    </row>
    <row r="137" spans="1:7" x14ac:dyDescent="0.15">
      <c r="A137" s="162"/>
      <c r="C137" s="155"/>
      <c r="D137" s="162"/>
    </row>
    <row r="138" spans="1:7" ht="16" x14ac:dyDescent="0.15">
      <c r="A138" s="336" t="s">
        <v>367</v>
      </c>
      <c r="B138" s="336"/>
      <c r="C138" s="336"/>
      <c r="D138" s="336"/>
      <c r="E138" s="336"/>
      <c r="F138" s="336"/>
      <c r="G138" s="336"/>
    </row>
    <row r="139" spans="1:7" ht="16" x14ac:dyDescent="0.15">
      <c r="A139" s="336" t="s">
        <v>176</v>
      </c>
      <c r="B139" s="336"/>
      <c r="C139" s="336"/>
      <c r="D139" s="336"/>
      <c r="E139" s="336"/>
      <c r="F139" s="336"/>
      <c r="G139" s="336"/>
    </row>
    <row r="140" spans="1:7" ht="15" thickBot="1" x14ac:dyDescent="0.2">
      <c r="A140" s="141"/>
      <c r="B140" s="141"/>
      <c r="C140" s="141"/>
      <c r="D140" s="141"/>
      <c r="E140" s="141"/>
    </row>
    <row r="141" spans="1:7" ht="17" customHeight="1" thickBot="1" x14ac:dyDescent="0.2">
      <c r="A141" s="168" t="s">
        <v>4</v>
      </c>
      <c r="B141" s="168" t="s">
        <v>37</v>
      </c>
      <c r="C141" s="168" t="s">
        <v>112</v>
      </c>
      <c r="D141" s="168" t="s">
        <v>106</v>
      </c>
      <c r="E141" s="168" t="s">
        <v>107</v>
      </c>
    </row>
    <row r="142" spans="1:7" x14ac:dyDescent="0.15">
      <c r="A142" s="206" t="s">
        <v>164</v>
      </c>
      <c r="B142" s="199" t="s">
        <v>88</v>
      </c>
      <c r="C142" s="200">
        <f>(A15-B49)*B8/2</f>
        <v>-18.011783817045316</v>
      </c>
      <c r="D142" s="200">
        <f>+B8/3</f>
        <v>0.83333333333333337</v>
      </c>
      <c r="E142" s="200">
        <f>+C142*D142</f>
        <v>-15.009819847537765</v>
      </c>
    </row>
    <row r="143" spans="1:7" x14ac:dyDescent="0.15">
      <c r="A143" s="207" t="s">
        <v>165</v>
      </c>
      <c r="B143" s="208" t="s">
        <v>89</v>
      </c>
      <c r="C143" s="209">
        <f>-A15*B8</f>
        <v>6.6108587937074015</v>
      </c>
      <c r="D143" s="209">
        <f>+B8/2</f>
        <v>1.25</v>
      </c>
      <c r="E143" s="209">
        <f>+C143*D143</f>
        <v>8.2635734921342525</v>
      </c>
    </row>
    <row r="144" spans="1:7" ht="15" thickBot="1" x14ac:dyDescent="0.2">
      <c r="A144" s="207" t="s">
        <v>175</v>
      </c>
      <c r="B144" s="208" t="s">
        <v>90</v>
      </c>
      <c r="C144" s="209">
        <f>+B7*B8</f>
        <v>28.000000000000004</v>
      </c>
      <c r="D144" s="209">
        <f>+B8/2</f>
        <v>1.25</v>
      </c>
      <c r="E144" s="209">
        <f>+C144*D144</f>
        <v>35.000000000000007</v>
      </c>
    </row>
    <row r="145" spans="1:5" ht="15" thickBot="1" x14ac:dyDescent="0.2">
      <c r="B145" s="204" t="s">
        <v>110</v>
      </c>
      <c r="C145" s="205">
        <f>SUM(C142:C144)</f>
        <v>16.599074976662088</v>
      </c>
      <c r="D145" s="204" t="s">
        <v>111</v>
      </c>
      <c r="E145" s="205">
        <f>SUM(E142:E144)</f>
        <v>28.253753644596493</v>
      </c>
    </row>
    <row r="146" spans="1:5" x14ac:dyDescent="0.15">
      <c r="C146" s="153"/>
    </row>
    <row r="147" spans="1:5" x14ac:dyDescent="0.15">
      <c r="A147" s="140" t="s">
        <v>163</v>
      </c>
      <c r="C147" s="153"/>
    </row>
    <row r="148" spans="1:5" x14ac:dyDescent="0.15">
      <c r="C148" s="153"/>
    </row>
    <row r="149" spans="1:5" x14ac:dyDescent="0.15">
      <c r="A149" s="158"/>
      <c r="C149" s="153"/>
      <c r="D149" s="39" t="s">
        <v>177</v>
      </c>
    </row>
    <row r="150" spans="1:5" x14ac:dyDescent="0.15">
      <c r="C150" s="153"/>
    </row>
    <row r="151" spans="1:5" x14ac:dyDescent="0.15">
      <c r="C151" s="153"/>
    </row>
    <row r="152" spans="1:5" x14ac:dyDescent="0.15">
      <c r="A152" s="39" t="s">
        <v>88</v>
      </c>
      <c r="B152" s="195">
        <f>+C142</f>
        <v>-18.011783817045316</v>
      </c>
      <c r="C152" s="39" t="s">
        <v>2</v>
      </c>
    </row>
    <row r="153" spans="1:5" x14ac:dyDescent="0.15">
      <c r="C153" s="153"/>
    </row>
    <row r="154" spans="1:5" x14ac:dyDescent="0.15">
      <c r="C154" s="153"/>
    </row>
    <row r="155" spans="1:5" x14ac:dyDescent="0.15">
      <c r="C155" s="153"/>
    </row>
    <row r="156" spans="1:5" x14ac:dyDescent="0.15">
      <c r="C156" s="153"/>
    </row>
    <row r="157" spans="1:5" x14ac:dyDescent="0.15">
      <c r="A157" s="39" t="s">
        <v>178</v>
      </c>
      <c r="B157" s="195">
        <f>+D142</f>
        <v>0.83333333333333337</v>
      </c>
      <c r="C157" s="39" t="s">
        <v>0</v>
      </c>
    </row>
    <row r="158" spans="1:5" x14ac:dyDescent="0.15">
      <c r="C158" s="153"/>
    </row>
    <row r="159" spans="1:5" x14ac:dyDescent="0.15">
      <c r="A159" s="140" t="s">
        <v>166</v>
      </c>
      <c r="C159" s="153"/>
    </row>
    <row r="160" spans="1:5" x14ac:dyDescent="0.15">
      <c r="C160" s="153"/>
    </row>
    <row r="161" spans="1:3" x14ac:dyDescent="0.15">
      <c r="A161" s="158"/>
      <c r="C161" s="153"/>
    </row>
    <row r="162" spans="1:3" x14ac:dyDescent="0.15">
      <c r="C162" s="153"/>
    </row>
    <row r="163" spans="1:3" x14ac:dyDescent="0.15">
      <c r="A163" s="39" t="s">
        <v>89</v>
      </c>
      <c r="B163" s="195">
        <f>+C143</f>
        <v>6.6108587937074015</v>
      </c>
      <c r="C163" s="39" t="s">
        <v>2</v>
      </c>
    </row>
    <row r="164" spans="1:3" x14ac:dyDescent="0.15">
      <c r="C164" s="153"/>
    </row>
    <row r="165" spans="1:3" x14ac:dyDescent="0.15">
      <c r="C165" s="153"/>
    </row>
    <row r="166" spans="1:3" x14ac:dyDescent="0.15">
      <c r="C166" s="153"/>
    </row>
    <row r="167" spans="1:3" x14ac:dyDescent="0.15">
      <c r="C167" s="153"/>
    </row>
    <row r="168" spans="1:3" x14ac:dyDescent="0.15">
      <c r="A168" s="39" t="s">
        <v>179</v>
      </c>
      <c r="B168" s="195">
        <f>+D143</f>
        <v>1.25</v>
      </c>
      <c r="C168" s="39" t="s">
        <v>0</v>
      </c>
    </row>
    <row r="169" spans="1:3" x14ac:dyDescent="0.15">
      <c r="C169" s="153"/>
    </row>
    <row r="170" spans="1:3" x14ac:dyDescent="0.15">
      <c r="A170" s="140" t="s">
        <v>180</v>
      </c>
      <c r="C170" s="153"/>
    </row>
    <row r="171" spans="1:3" x14ac:dyDescent="0.15">
      <c r="C171" s="153"/>
    </row>
    <row r="172" spans="1:3" x14ac:dyDescent="0.15">
      <c r="A172" s="158"/>
      <c r="C172" s="153"/>
    </row>
    <row r="173" spans="1:3" x14ac:dyDescent="0.15">
      <c r="C173" s="153"/>
    </row>
    <row r="174" spans="1:3" x14ac:dyDescent="0.15">
      <c r="A174" s="39" t="s">
        <v>90</v>
      </c>
      <c r="B174" s="195">
        <f>+C144</f>
        <v>28.000000000000004</v>
      </c>
      <c r="C174" s="39" t="s">
        <v>2</v>
      </c>
    </row>
    <row r="175" spans="1:3" x14ac:dyDescent="0.15">
      <c r="C175" s="153"/>
    </row>
    <row r="176" spans="1:3" x14ac:dyDescent="0.15">
      <c r="C176" s="153"/>
    </row>
    <row r="177" spans="1:3" x14ac:dyDescent="0.15">
      <c r="C177" s="153"/>
    </row>
    <row r="178" spans="1:3" x14ac:dyDescent="0.15">
      <c r="C178" s="153"/>
    </row>
    <row r="179" spans="1:3" x14ac:dyDescent="0.15">
      <c r="A179" s="39" t="s">
        <v>181</v>
      </c>
      <c r="B179" s="195">
        <f>+D144</f>
        <v>1.25</v>
      </c>
      <c r="C179" s="39" t="s">
        <v>0</v>
      </c>
    </row>
    <row r="180" spans="1:3" x14ac:dyDescent="0.15">
      <c r="A180" s="39"/>
      <c r="B180" s="195"/>
      <c r="C180" s="39"/>
    </row>
    <row r="181" spans="1:3" x14ac:dyDescent="0.15">
      <c r="A181" s="39"/>
      <c r="B181" s="195"/>
      <c r="C181" s="39"/>
    </row>
    <row r="182" spans="1:3" x14ac:dyDescent="0.15">
      <c r="A182" s="142" t="s">
        <v>182</v>
      </c>
      <c r="B182" s="195"/>
      <c r="C182" s="39"/>
    </row>
    <row r="183" spans="1:3" x14ac:dyDescent="0.15">
      <c r="A183" s="39"/>
      <c r="B183" s="195"/>
      <c r="C183" s="39"/>
    </row>
    <row r="184" spans="1:3" x14ac:dyDescent="0.15">
      <c r="A184" s="39"/>
      <c r="B184" s="195"/>
      <c r="C184" s="39"/>
    </row>
    <row r="185" spans="1:3" x14ac:dyDescent="0.15">
      <c r="A185" s="39"/>
      <c r="B185" s="195"/>
      <c r="C185" s="39"/>
    </row>
    <row r="186" spans="1:3" x14ac:dyDescent="0.15">
      <c r="A186" s="39" t="s">
        <v>110</v>
      </c>
      <c r="B186" s="195">
        <f>+C145</f>
        <v>16.599074976662088</v>
      </c>
      <c r="C186" s="39" t="s">
        <v>2</v>
      </c>
    </row>
    <row r="187" spans="1:3" x14ac:dyDescent="0.15">
      <c r="A187" s="39"/>
      <c r="B187" s="195"/>
      <c r="C187" s="39"/>
    </row>
    <row r="188" spans="1:3" x14ac:dyDescent="0.15">
      <c r="A188" s="142" t="s">
        <v>183</v>
      </c>
      <c r="B188" s="195"/>
      <c r="C188" s="39"/>
    </row>
    <row r="189" spans="1:3" x14ac:dyDescent="0.15">
      <c r="A189" s="39"/>
      <c r="B189" s="195"/>
      <c r="C189" s="39"/>
    </row>
    <row r="190" spans="1:3" x14ac:dyDescent="0.15">
      <c r="A190" s="39"/>
      <c r="B190" s="195"/>
      <c r="C190" s="39"/>
    </row>
    <row r="191" spans="1:3" x14ac:dyDescent="0.15">
      <c r="A191" s="39"/>
      <c r="B191" s="195"/>
      <c r="C191" s="39"/>
    </row>
    <row r="192" spans="1:3" x14ac:dyDescent="0.15">
      <c r="A192" s="39"/>
      <c r="B192" s="195"/>
      <c r="C192" s="39"/>
    </row>
    <row r="193" spans="1:7" x14ac:dyDescent="0.15">
      <c r="A193" s="39"/>
      <c r="B193" s="195"/>
      <c r="C193" s="39"/>
    </row>
    <row r="194" spans="1:7" x14ac:dyDescent="0.15">
      <c r="A194" s="39" t="s">
        <v>111</v>
      </c>
      <c r="B194" s="195">
        <f>+E145</f>
        <v>28.253753644596493</v>
      </c>
      <c r="C194" s="39" t="s">
        <v>3</v>
      </c>
    </row>
    <row r="195" spans="1:7" x14ac:dyDescent="0.15">
      <c r="A195" s="39"/>
      <c r="B195" s="195"/>
      <c r="C195" s="39"/>
    </row>
    <row r="196" spans="1:7" x14ac:dyDescent="0.15">
      <c r="A196" s="39"/>
      <c r="B196" s="195"/>
      <c r="C196" s="39"/>
    </row>
    <row r="197" spans="1:7" ht="16" x14ac:dyDescent="0.15">
      <c r="A197" s="345" t="s">
        <v>368</v>
      </c>
      <c r="B197" s="345"/>
      <c r="C197" s="345"/>
      <c r="D197" s="345"/>
      <c r="E197" s="345"/>
      <c r="F197" s="345"/>
      <c r="G197" s="345"/>
    </row>
    <row r="198" spans="1:7" ht="16" x14ac:dyDescent="0.15">
      <c r="A198" s="345" t="s">
        <v>594</v>
      </c>
      <c r="B198" s="345"/>
      <c r="C198" s="345"/>
      <c r="D198" s="345"/>
      <c r="E198" s="345"/>
      <c r="F198" s="345"/>
      <c r="G198" s="345"/>
    </row>
    <row r="199" spans="1:7" ht="15" thickBot="1" x14ac:dyDescent="0.2">
      <c r="A199" s="167"/>
      <c r="B199" s="167"/>
      <c r="C199" s="167"/>
      <c r="D199" s="167"/>
      <c r="E199" s="167"/>
      <c r="F199" s="167"/>
      <c r="G199" s="167"/>
    </row>
    <row r="200" spans="1:7" ht="15" thickBot="1" x14ac:dyDescent="0.2">
      <c r="B200" s="351" t="s">
        <v>526</v>
      </c>
      <c r="C200" s="352"/>
      <c r="D200" s="351" t="s">
        <v>527</v>
      </c>
      <c r="E200" s="352"/>
      <c r="F200" s="351" t="s">
        <v>528</v>
      </c>
      <c r="G200" s="352"/>
    </row>
    <row r="201" spans="1:7" ht="17" customHeight="1" thickBot="1" x14ac:dyDescent="0.2">
      <c r="A201" s="168" t="s">
        <v>13</v>
      </c>
      <c r="B201" s="168" t="s">
        <v>343</v>
      </c>
      <c r="C201" s="168" t="s">
        <v>344</v>
      </c>
      <c r="D201" s="168" t="s">
        <v>345</v>
      </c>
      <c r="E201" s="168" t="s">
        <v>346</v>
      </c>
      <c r="F201" s="168" t="s">
        <v>193</v>
      </c>
      <c r="G201" s="168" t="s">
        <v>60</v>
      </c>
    </row>
    <row r="202" spans="1:7" x14ac:dyDescent="0.15">
      <c r="A202" s="177" t="s">
        <v>15</v>
      </c>
      <c r="B202" s="177">
        <f>+C73</f>
        <v>13.242299364259907</v>
      </c>
      <c r="C202" s="177">
        <f>+E102</f>
        <v>13.865749634911783</v>
      </c>
      <c r="D202" s="177">
        <f>+'ZAPATA EVENTO EXTREMO 1'!C73</f>
        <v>17.965159656828952</v>
      </c>
      <c r="E202" s="177">
        <f>+'ZAPATA EVENTO EXTREMO 1'!E102</f>
        <v>18.820211408648067</v>
      </c>
      <c r="F202" s="177">
        <f>+MAX(B202,D202)</f>
        <v>17.965159656828952</v>
      </c>
      <c r="G202" s="177">
        <f>+MAX(C202,E202)</f>
        <v>18.820211408648067</v>
      </c>
    </row>
    <row r="203" spans="1:7" x14ac:dyDescent="0.15">
      <c r="A203" s="180" t="s">
        <v>16</v>
      </c>
      <c r="B203" s="180">
        <f>+C145</f>
        <v>16.599074976662088</v>
      </c>
      <c r="C203" s="180">
        <f>+E145</f>
        <v>28.253753644596493</v>
      </c>
      <c r="D203" s="180">
        <f>+'ZAPATA EVENTO EXTREMO 1'!C145</f>
        <v>11.190664526760596</v>
      </c>
      <c r="E203" s="180">
        <f>+'ZAPATA EVENTO EXTREMO 1'!E145</f>
        <v>23.90226464676541</v>
      </c>
      <c r="F203" s="180">
        <f t="shared" ref="F203:G203" si="0">+MAX(B203,D203)</f>
        <v>16.599074976662088</v>
      </c>
      <c r="G203" s="180">
        <f t="shared" si="0"/>
        <v>28.253753644596493</v>
      </c>
    </row>
    <row r="204" spans="1:7" x14ac:dyDescent="0.15">
      <c r="A204" s="39"/>
      <c r="B204" s="195"/>
      <c r="C204" s="39"/>
    </row>
  </sheetData>
  <mergeCells count="12">
    <mergeCell ref="A138:G138"/>
    <mergeCell ref="A139:G139"/>
    <mergeCell ref="A197:G197"/>
    <mergeCell ref="A198:G198"/>
    <mergeCell ref="B200:C200"/>
    <mergeCell ref="D200:E200"/>
    <mergeCell ref="F200:G200"/>
    <mergeCell ref="A1:G1"/>
    <mergeCell ref="A66:G66"/>
    <mergeCell ref="A67:G67"/>
    <mergeCell ref="A95:G95"/>
    <mergeCell ref="A96:G96"/>
  </mergeCells>
  <phoneticPr fontId="0" type="noConversion"/>
  <printOptions horizontalCentered="1"/>
  <pageMargins left="0.78740157480314965" right="0.78740157480314965" top="0.78740157480314965" bottom="0.78740157480314965" header="0.31496062992125984" footer="0.31496062992125984"/>
  <pageSetup scale="85" orientation="portrait" r:id="rId1"/>
  <headerFooter alignWithMargins="0">
    <oddHeader>&amp;C&amp;F</oddHeader>
    <oddFooter>&amp;C&amp;P</oddFooter>
  </headerFooter>
  <rowBreaks count="4" manualBreakCount="4">
    <brk id="49" max="6" man="1"/>
    <brk id="93" max="6" man="1"/>
    <brk id="133" max="6" man="1"/>
    <brk id="180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view="pageBreakPreview" topLeftCell="A89" zoomScale="173" zoomScaleNormal="173" zoomScaleSheetLayoutView="85" zoomScalePageLayoutView="173" workbookViewId="0">
      <selection activeCell="D8" sqref="D8"/>
    </sheetView>
  </sheetViews>
  <sheetFormatPr baseColWidth="10" defaultColWidth="11.5" defaultRowHeight="14" x14ac:dyDescent="0.15"/>
  <cols>
    <col min="1" max="1" width="16.1640625" style="140" customWidth="1"/>
    <col min="2" max="2" width="10.1640625" style="140" customWidth="1"/>
    <col min="3" max="3" width="11.332031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16384" width="11.5" style="140"/>
  </cols>
  <sheetData>
    <row r="1" spans="1:8" ht="45" customHeight="1" x14ac:dyDescent="0.15">
      <c r="A1" s="353" t="s">
        <v>519</v>
      </c>
      <c r="B1" s="353"/>
      <c r="C1" s="353"/>
      <c r="D1" s="353"/>
      <c r="E1" s="353"/>
      <c r="F1" s="353"/>
      <c r="G1" s="353"/>
      <c r="H1" s="137"/>
    </row>
    <row r="2" spans="1:8" ht="14.25" customHeight="1" x14ac:dyDescent="0.15">
      <c r="A2" s="137"/>
      <c r="B2" s="137"/>
      <c r="C2" s="137"/>
      <c r="D2" s="137"/>
      <c r="E2" s="137"/>
      <c r="F2" s="137"/>
      <c r="G2" s="137"/>
      <c r="H2" s="137"/>
    </row>
    <row r="3" spans="1:8" x14ac:dyDescent="0.15">
      <c r="B3" s="163"/>
      <c r="C3" s="39"/>
    </row>
    <row r="4" spans="1:8" x14ac:dyDescent="0.15">
      <c r="B4" s="163"/>
      <c r="C4" s="39"/>
    </row>
    <row r="5" spans="1:8" ht="19.5" customHeight="1" x14ac:dyDescent="0.15">
      <c r="A5" s="149"/>
      <c r="B5" s="39"/>
    </row>
    <row r="6" spans="1:8" x14ac:dyDescent="0.15">
      <c r="E6" s="141"/>
    </row>
    <row r="7" spans="1:8" x14ac:dyDescent="0.15">
      <c r="A7" s="144" t="s">
        <v>102</v>
      </c>
      <c r="B7" s="166">
        <f>+B25</f>
        <v>11.200000000000001</v>
      </c>
      <c r="C7" s="166" t="s">
        <v>25</v>
      </c>
      <c r="E7" s="166"/>
    </row>
    <row r="8" spans="1:8" x14ac:dyDescent="0.15">
      <c r="B8" s="166">
        <f>+MURO!D17</f>
        <v>2.5</v>
      </c>
      <c r="D8" s="195">
        <f>+MURO!D15</f>
        <v>0.5</v>
      </c>
      <c r="E8" s="166">
        <f>+MURO!D18</f>
        <v>1.2</v>
      </c>
    </row>
    <row r="9" spans="1:8" ht="9.75" customHeight="1" x14ac:dyDescent="0.15"/>
    <row r="10" spans="1:8" x14ac:dyDescent="0.15">
      <c r="B10" s="162" t="s">
        <v>5</v>
      </c>
      <c r="E10" s="141"/>
      <c r="F10" s="162" t="s">
        <v>6</v>
      </c>
      <c r="G10" s="196">
        <f>+MURO!D13</f>
        <v>0.6</v>
      </c>
    </row>
    <row r="11" spans="1:8" ht="10.5" customHeight="1" x14ac:dyDescent="0.15"/>
    <row r="12" spans="1:8" ht="9.75" customHeight="1" x14ac:dyDescent="0.15"/>
    <row r="13" spans="1:8" x14ac:dyDescent="0.15">
      <c r="D13" s="166">
        <f>+MURO!D84</f>
        <v>4.2</v>
      </c>
    </row>
    <row r="14" spans="1:8" x14ac:dyDescent="0.15">
      <c r="C14" s="144" t="s">
        <v>84</v>
      </c>
      <c r="D14" s="166"/>
      <c r="E14" s="140" t="s">
        <v>61</v>
      </c>
    </row>
    <row r="15" spans="1:8" x14ac:dyDescent="0.15">
      <c r="A15" s="166">
        <f>+'EXTREMO I'!G257</f>
        <v>-2.793642439486312</v>
      </c>
      <c r="E15" s="39" t="s">
        <v>85</v>
      </c>
    </row>
    <row r="16" spans="1:8" x14ac:dyDescent="0.15">
      <c r="B16" s="144"/>
    </row>
    <row r="17" spans="1:7" x14ac:dyDescent="0.15">
      <c r="B17" s="144" t="s">
        <v>89</v>
      </c>
      <c r="G17" s="197">
        <f>+RESISTENCIA!F244</f>
        <v>29.184743033221466</v>
      </c>
    </row>
    <row r="18" spans="1:7" x14ac:dyDescent="0.15">
      <c r="C18" s="39" t="s">
        <v>88</v>
      </c>
    </row>
    <row r="19" spans="1:7" x14ac:dyDescent="0.15">
      <c r="E19" s="144" t="s">
        <v>87</v>
      </c>
      <c r="F19" s="39" t="s">
        <v>86</v>
      </c>
    </row>
    <row r="20" spans="1:7" x14ac:dyDescent="0.15">
      <c r="E20" s="144"/>
      <c r="F20" s="39"/>
    </row>
    <row r="21" spans="1:7" x14ac:dyDescent="0.15">
      <c r="A21" s="162" t="s">
        <v>98</v>
      </c>
      <c r="E21" s="144"/>
      <c r="F21" s="39"/>
    </row>
    <row r="22" spans="1:7" x14ac:dyDescent="0.15">
      <c r="E22" s="144"/>
      <c r="F22" s="39"/>
    </row>
    <row r="23" spans="1:7" x14ac:dyDescent="0.15">
      <c r="A23" s="158"/>
      <c r="E23" s="144"/>
      <c r="F23" s="39"/>
    </row>
    <row r="24" spans="1:7" x14ac:dyDescent="0.15">
      <c r="A24" s="158"/>
      <c r="E24" s="144"/>
      <c r="F24" s="39"/>
    </row>
    <row r="25" spans="1:7" x14ac:dyDescent="0.15">
      <c r="A25" s="39" t="s">
        <v>102</v>
      </c>
      <c r="B25" s="195">
        <f>+'ZAPATA RESISTENCIA'!B25</f>
        <v>11.200000000000001</v>
      </c>
      <c r="C25" s="39" t="s">
        <v>25</v>
      </c>
      <c r="E25" s="144"/>
      <c r="F25" s="39"/>
    </row>
    <row r="26" spans="1:7" x14ac:dyDescent="0.15">
      <c r="B26" s="166"/>
      <c r="E26" s="144"/>
      <c r="F26" s="39"/>
    </row>
    <row r="27" spans="1:7" x14ac:dyDescent="0.15">
      <c r="A27" s="162" t="s">
        <v>162</v>
      </c>
      <c r="B27" s="166"/>
      <c r="E27" s="144"/>
      <c r="F27" s="39"/>
    </row>
    <row r="28" spans="1:7" x14ac:dyDescent="0.15">
      <c r="E28" s="144"/>
      <c r="F28" s="39"/>
    </row>
    <row r="29" spans="1:7" x14ac:dyDescent="0.15">
      <c r="A29" s="39" t="s">
        <v>22</v>
      </c>
      <c r="B29" s="195">
        <f>+MURO!D135/100</f>
        <v>0.52500000000000002</v>
      </c>
      <c r="C29" s="39" t="s">
        <v>0</v>
      </c>
      <c r="E29" s="144"/>
      <c r="F29" s="39"/>
    </row>
    <row r="30" spans="1:7" x14ac:dyDescent="0.15">
      <c r="A30" s="39"/>
      <c r="B30" s="195"/>
      <c r="C30" s="39"/>
      <c r="E30" s="144"/>
      <c r="F30" s="39"/>
    </row>
    <row r="31" spans="1:7" x14ac:dyDescent="0.15">
      <c r="A31" s="162" t="s">
        <v>159</v>
      </c>
      <c r="E31" s="144"/>
      <c r="F31" s="39"/>
    </row>
    <row r="32" spans="1:7" x14ac:dyDescent="0.15">
      <c r="A32" s="162"/>
      <c r="E32" s="144"/>
      <c r="F32" s="39"/>
    </row>
    <row r="33" spans="1:6" x14ac:dyDescent="0.15">
      <c r="A33" s="140" t="s">
        <v>160</v>
      </c>
      <c r="E33" s="144"/>
      <c r="F33" s="39"/>
    </row>
    <row r="34" spans="1:6" ht="15" x14ac:dyDescent="0.15">
      <c r="A34" s="39" t="s">
        <v>95</v>
      </c>
      <c r="B34" s="195">
        <f>+G17</f>
        <v>29.184743033221466</v>
      </c>
      <c r="C34" s="39" t="s">
        <v>57</v>
      </c>
      <c r="E34" s="144"/>
      <c r="F34" s="39"/>
    </row>
    <row r="35" spans="1:6" x14ac:dyDescent="0.15">
      <c r="A35" s="39"/>
      <c r="B35" s="195"/>
      <c r="C35" s="39"/>
      <c r="E35" s="144"/>
      <c r="F35" s="39"/>
    </row>
    <row r="36" spans="1:6" x14ac:dyDescent="0.15">
      <c r="A36" s="140" t="s">
        <v>161</v>
      </c>
      <c r="B36" s="195"/>
      <c r="C36" s="39"/>
      <c r="E36" s="144"/>
      <c r="F36" s="39"/>
    </row>
    <row r="37" spans="1:6" ht="15" x14ac:dyDescent="0.15">
      <c r="A37" s="39" t="s">
        <v>96</v>
      </c>
      <c r="B37" s="195">
        <f>+A15</f>
        <v>-2.793642439486312</v>
      </c>
      <c r="C37" s="39" t="s">
        <v>57</v>
      </c>
      <c r="E37" s="144"/>
      <c r="F37" s="39"/>
    </row>
    <row r="38" spans="1:6" x14ac:dyDescent="0.15">
      <c r="E38" s="144"/>
      <c r="F38" s="39"/>
    </row>
    <row r="39" spans="1:6" x14ac:dyDescent="0.15">
      <c r="A39" s="140" t="s">
        <v>97</v>
      </c>
      <c r="E39" s="144"/>
      <c r="F39" s="39"/>
    </row>
    <row r="40" spans="1:6" x14ac:dyDescent="0.15">
      <c r="A40" s="158"/>
      <c r="E40" s="144"/>
      <c r="F40" s="39"/>
    </row>
    <row r="41" spans="1:6" x14ac:dyDescent="0.15">
      <c r="E41" s="144"/>
      <c r="F41" s="39"/>
    </row>
    <row r="42" spans="1:6" x14ac:dyDescent="0.15">
      <c r="E42" s="144"/>
      <c r="F42" s="39"/>
    </row>
    <row r="43" spans="1:6" x14ac:dyDescent="0.15">
      <c r="A43" s="39" t="s">
        <v>91</v>
      </c>
      <c r="B43" s="195">
        <f>+(G17-A15)/D13</f>
        <v>7.6139013030256608</v>
      </c>
      <c r="C43" s="39" t="s">
        <v>25</v>
      </c>
      <c r="E43" s="144"/>
      <c r="F43" s="39"/>
    </row>
    <row r="44" spans="1:6" x14ac:dyDescent="0.15">
      <c r="A44" s="39"/>
      <c r="B44" s="195"/>
      <c r="C44" s="39"/>
      <c r="E44" s="144"/>
      <c r="F44" s="39"/>
    </row>
    <row r="45" spans="1:6" x14ac:dyDescent="0.15">
      <c r="A45" s="140" t="s">
        <v>99</v>
      </c>
      <c r="E45" s="144"/>
      <c r="F45" s="39"/>
    </row>
    <row r="46" spans="1:6" x14ac:dyDescent="0.15">
      <c r="E46" s="144"/>
      <c r="F46" s="39"/>
    </row>
    <row r="47" spans="1:6" x14ac:dyDescent="0.15">
      <c r="A47" s="158"/>
      <c r="C47" s="39"/>
      <c r="E47" s="144"/>
      <c r="F47" s="39"/>
    </row>
    <row r="48" spans="1:6" x14ac:dyDescent="0.15">
      <c r="A48" s="39"/>
      <c r="B48" s="195"/>
      <c r="C48" s="39"/>
      <c r="E48" s="144"/>
      <c r="F48" s="39"/>
    </row>
    <row r="49" spans="1:6" ht="15" x14ac:dyDescent="0.15">
      <c r="A49" s="39" t="s">
        <v>92</v>
      </c>
      <c r="B49" s="195">
        <f>+B43*B8+A15</f>
        <v>16.241110818077839</v>
      </c>
      <c r="C49" s="39" t="s">
        <v>57</v>
      </c>
      <c r="E49" s="144"/>
      <c r="F49" s="39"/>
    </row>
    <row r="50" spans="1:6" x14ac:dyDescent="0.15">
      <c r="A50" s="39"/>
      <c r="B50" s="195"/>
      <c r="C50" s="39"/>
      <c r="E50" s="144"/>
      <c r="F50" s="39"/>
    </row>
    <row r="51" spans="1:6" x14ac:dyDescent="0.15">
      <c r="A51" s="140" t="s">
        <v>100</v>
      </c>
      <c r="E51" s="144"/>
      <c r="F51" s="39"/>
    </row>
    <row r="52" spans="1:6" x14ac:dyDescent="0.15">
      <c r="E52" s="144"/>
      <c r="F52" s="39"/>
    </row>
    <row r="53" spans="1:6" x14ac:dyDescent="0.15">
      <c r="A53" s="158"/>
      <c r="C53" s="39"/>
      <c r="E53" s="144"/>
      <c r="F53" s="39"/>
    </row>
    <row r="54" spans="1:6" x14ac:dyDescent="0.15">
      <c r="A54" s="39"/>
      <c r="B54" s="195"/>
      <c r="C54" s="39"/>
      <c r="E54" s="144"/>
      <c r="F54" s="39"/>
    </row>
    <row r="55" spans="1:6" ht="15" x14ac:dyDescent="0.15">
      <c r="A55" s="39" t="s">
        <v>93</v>
      </c>
      <c r="B55" s="147">
        <f>+B43*(D8+B8)+A15</f>
        <v>20.048061469590671</v>
      </c>
      <c r="C55" s="39" t="s">
        <v>57</v>
      </c>
      <c r="E55" s="144"/>
      <c r="F55" s="39"/>
    </row>
    <row r="56" spans="1:6" x14ac:dyDescent="0.15">
      <c r="A56" s="39"/>
      <c r="B56" s="195"/>
      <c r="C56" s="39"/>
      <c r="E56" s="144"/>
      <c r="F56" s="39"/>
    </row>
    <row r="57" spans="1:6" x14ac:dyDescent="0.15">
      <c r="A57" s="140" t="s">
        <v>101</v>
      </c>
      <c r="E57" s="144"/>
      <c r="F57" s="39"/>
    </row>
    <row r="58" spans="1:6" x14ac:dyDescent="0.15">
      <c r="E58" s="144"/>
      <c r="F58" s="39"/>
    </row>
    <row r="59" spans="1:6" x14ac:dyDescent="0.15">
      <c r="A59" s="158"/>
      <c r="C59" s="39"/>
      <c r="E59" s="144"/>
      <c r="F59" s="39"/>
    </row>
    <row r="60" spans="1:6" x14ac:dyDescent="0.15">
      <c r="A60" s="39"/>
      <c r="B60" s="195"/>
      <c r="C60" s="39"/>
      <c r="E60" s="144"/>
      <c r="F60" s="39"/>
    </row>
    <row r="61" spans="1:6" ht="15" x14ac:dyDescent="0.15">
      <c r="A61" s="39" t="s">
        <v>94</v>
      </c>
      <c r="B61" s="195">
        <f>+A15+B43*(B8+D8+B29)</f>
        <v>24.045359653679142</v>
      </c>
      <c r="C61" s="39" t="s">
        <v>57</v>
      </c>
      <c r="E61" s="144"/>
      <c r="F61" s="39"/>
    </row>
    <row r="62" spans="1:6" x14ac:dyDescent="0.15">
      <c r="E62" s="144"/>
      <c r="F62" s="39"/>
    </row>
    <row r="63" spans="1:6" ht="18" x14ac:dyDescent="0.15">
      <c r="A63" s="271" t="s">
        <v>525</v>
      </c>
    </row>
    <row r="64" spans="1:6" x14ac:dyDescent="0.15">
      <c r="A64" s="162"/>
    </row>
    <row r="65" spans="1:7" x14ac:dyDescent="0.15">
      <c r="A65" s="162"/>
    </row>
    <row r="66" spans="1:7" ht="16" x14ac:dyDescent="0.15">
      <c r="A66" s="336" t="s">
        <v>369</v>
      </c>
      <c r="B66" s="336"/>
      <c r="C66" s="336"/>
      <c r="D66" s="336"/>
      <c r="E66" s="336"/>
      <c r="F66" s="336"/>
      <c r="G66" s="336"/>
    </row>
    <row r="67" spans="1:7" ht="16" x14ac:dyDescent="0.15">
      <c r="A67" s="336" t="s">
        <v>167</v>
      </c>
      <c r="B67" s="336"/>
      <c r="C67" s="336"/>
      <c r="D67" s="336"/>
      <c r="E67" s="336"/>
      <c r="F67" s="336"/>
      <c r="G67" s="336"/>
    </row>
    <row r="68" spans="1:7" ht="15" thickBot="1" x14ac:dyDescent="0.2">
      <c r="A68" s="162"/>
    </row>
    <row r="69" spans="1:7" ht="18" customHeight="1" thickBot="1" x14ac:dyDescent="0.2">
      <c r="A69" s="168" t="s">
        <v>4</v>
      </c>
      <c r="B69" s="168" t="s">
        <v>37</v>
      </c>
      <c r="C69" s="168" t="s">
        <v>40</v>
      </c>
    </row>
    <row r="70" spans="1:7" x14ac:dyDescent="0.15">
      <c r="A70" s="198" t="s">
        <v>164</v>
      </c>
      <c r="B70" s="199" t="s">
        <v>86</v>
      </c>
      <c r="C70" s="200">
        <f>+(G17-B61)*(E8-B29)/2</f>
        <v>1.7345418905955339</v>
      </c>
    </row>
    <row r="71" spans="1:7" x14ac:dyDescent="0.15">
      <c r="A71" s="218" t="s">
        <v>165</v>
      </c>
      <c r="B71" s="208" t="s">
        <v>87</v>
      </c>
      <c r="C71" s="209">
        <f>+B61*(E8-B29)</f>
        <v>16.230617766233419</v>
      </c>
    </row>
    <row r="72" spans="1:7" ht="15" thickBot="1" x14ac:dyDescent="0.2">
      <c r="A72" s="201" t="s">
        <v>21</v>
      </c>
      <c r="B72" s="202" t="s">
        <v>88</v>
      </c>
      <c r="C72" s="203">
        <f>-(E8-B29)*MURO!D40*MURO!D28</f>
        <v>0.13499999999999995</v>
      </c>
    </row>
    <row r="73" spans="1:7" ht="15" thickBot="1" x14ac:dyDescent="0.2">
      <c r="B73" s="204" t="s">
        <v>184</v>
      </c>
      <c r="C73" s="205">
        <f>SUM(C70:C71)</f>
        <v>17.965159656828952</v>
      </c>
    </row>
    <row r="75" spans="1:7" x14ac:dyDescent="0.15">
      <c r="A75" s="140" t="s">
        <v>163</v>
      </c>
    </row>
    <row r="80" spans="1:7" x14ac:dyDescent="0.15">
      <c r="A80" s="39" t="s">
        <v>86</v>
      </c>
      <c r="B80" s="195">
        <f>+C70</f>
        <v>1.7345418905955339</v>
      </c>
      <c r="C80" s="39" t="s">
        <v>2</v>
      </c>
    </row>
    <row r="82" spans="1:7" x14ac:dyDescent="0.15">
      <c r="A82" s="140" t="s">
        <v>166</v>
      </c>
    </row>
    <row r="86" spans="1:7" x14ac:dyDescent="0.15">
      <c r="A86" s="39" t="s">
        <v>86</v>
      </c>
      <c r="B86" s="195">
        <f>+C71</f>
        <v>16.230617766233419</v>
      </c>
      <c r="C86" s="39" t="s">
        <v>2</v>
      </c>
    </row>
    <row r="87" spans="1:7" x14ac:dyDescent="0.15">
      <c r="A87" s="162"/>
      <c r="B87" s="153"/>
    </row>
    <row r="88" spans="1:7" x14ac:dyDescent="0.15">
      <c r="A88" s="140" t="s">
        <v>172</v>
      </c>
      <c r="B88" s="153"/>
    </row>
    <row r="89" spans="1:7" x14ac:dyDescent="0.15">
      <c r="A89" s="162"/>
      <c r="B89" s="153"/>
    </row>
    <row r="90" spans="1:7" x14ac:dyDescent="0.15">
      <c r="A90" s="162"/>
      <c r="B90" s="153"/>
    </row>
    <row r="91" spans="1:7" x14ac:dyDescent="0.15">
      <c r="A91" s="162"/>
      <c r="B91" s="153"/>
    </row>
    <row r="92" spans="1:7" x14ac:dyDescent="0.15">
      <c r="A92" s="39" t="s">
        <v>184</v>
      </c>
      <c r="B92" s="195">
        <f>+C73</f>
        <v>17.965159656828952</v>
      </c>
      <c r="C92" s="39" t="s">
        <v>2</v>
      </c>
    </row>
    <row r="93" spans="1:7" x14ac:dyDescent="0.15">
      <c r="A93" s="162"/>
      <c r="B93" s="153"/>
    </row>
    <row r="94" spans="1:7" x14ac:dyDescent="0.15">
      <c r="A94" s="162"/>
      <c r="B94" s="153"/>
    </row>
    <row r="95" spans="1:7" ht="16" x14ac:dyDescent="0.15">
      <c r="A95" s="336" t="s">
        <v>370</v>
      </c>
      <c r="B95" s="336"/>
      <c r="C95" s="336"/>
      <c r="D95" s="336"/>
      <c r="E95" s="336"/>
      <c r="F95" s="336"/>
      <c r="G95" s="336"/>
    </row>
    <row r="96" spans="1:7" ht="16" x14ac:dyDescent="0.15">
      <c r="A96" s="336" t="s">
        <v>168</v>
      </c>
      <c r="B96" s="336"/>
      <c r="C96" s="336"/>
      <c r="D96" s="336"/>
      <c r="E96" s="336"/>
      <c r="F96" s="336"/>
      <c r="G96" s="336"/>
    </row>
    <row r="97" spans="1:5" ht="15" thickBot="1" x14ac:dyDescent="0.2">
      <c r="A97" s="141"/>
      <c r="B97" s="141"/>
      <c r="C97" s="141"/>
      <c r="D97" s="141"/>
      <c r="E97" s="141"/>
    </row>
    <row r="98" spans="1:5" ht="18" customHeight="1" thickBot="1" x14ac:dyDescent="0.2">
      <c r="A98" s="168" t="s">
        <v>4</v>
      </c>
      <c r="B98" s="168" t="s">
        <v>37</v>
      </c>
      <c r="C98" s="168" t="s">
        <v>105</v>
      </c>
      <c r="D98" s="168" t="s">
        <v>106</v>
      </c>
      <c r="E98" s="168" t="s">
        <v>107</v>
      </c>
    </row>
    <row r="99" spans="1:5" x14ac:dyDescent="0.15">
      <c r="A99" s="198" t="s">
        <v>164</v>
      </c>
      <c r="B99" s="199" t="s">
        <v>103</v>
      </c>
      <c r="C99" s="200">
        <f>+(G17-B55)*E8/2</f>
        <v>5.4820089381784767</v>
      </c>
      <c r="D99" s="200">
        <f>+E8*0.666666666666667</f>
        <v>0.80000000000000038</v>
      </c>
      <c r="E99" s="200">
        <f>+C99*D99</f>
        <v>4.3856071505427838</v>
      </c>
    </row>
    <row r="100" spans="1:5" x14ac:dyDescent="0.15">
      <c r="A100" s="218" t="s">
        <v>165</v>
      </c>
      <c r="B100" s="208" t="s">
        <v>104</v>
      </c>
      <c r="C100" s="209">
        <f>+B55*E8</f>
        <v>24.057673763508806</v>
      </c>
      <c r="D100" s="209">
        <f>+E8/2</f>
        <v>0.6</v>
      </c>
      <c r="E100" s="209">
        <f>+C100*D100</f>
        <v>14.434604258105283</v>
      </c>
    </row>
    <row r="101" spans="1:5" ht="15" thickBot="1" x14ac:dyDescent="0.2">
      <c r="A101" s="201" t="s">
        <v>21</v>
      </c>
      <c r="B101" s="202" t="s">
        <v>417</v>
      </c>
      <c r="C101" s="203">
        <f>-E8*MURO!D40*MURO!D28</f>
        <v>0.23999999999999994</v>
      </c>
      <c r="D101" s="203">
        <f>+D100</f>
        <v>0.6</v>
      </c>
      <c r="E101" s="203">
        <f>+C101*D101</f>
        <v>0.14399999999999996</v>
      </c>
    </row>
    <row r="102" spans="1:5" ht="15" thickBot="1" x14ac:dyDescent="0.2">
      <c r="D102" s="204" t="s">
        <v>586</v>
      </c>
      <c r="E102" s="205">
        <f>SUM(E99:E100)</f>
        <v>18.820211408648067</v>
      </c>
    </row>
    <row r="103" spans="1:5" x14ac:dyDescent="0.15">
      <c r="A103" s="140" t="s">
        <v>163</v>
      </c>
    </row>
    <row r="104" spans="1:5" x14ac:dyDescent="0.15">
      <c r="A104" s="162"/>
    </row>
    <row r="105" spans="1:5" x14ac:dyDescent="0.15">
      <c r="A105" s="162"/>
    </row>
    <row r="106" spans="1:5" x14ac:dyDescent="0.15">
      <c r="A106" s="162"/>
    </row>
    <row r="107" spans="1:5" x14ac:dyDescent="0.15">
      <c r="A107" s="162"/>
    </row>
    <row r="108" spans="1:5" x14ac:dyDescent="0.15">
      <c r="A108" s="39" t="s">
        <v>103</v>
      </c>
      <c r="B108" s="195">
        <f>+C99</f>
        <v>5.4820089381784767</v>
      </c>
      <c r="C108" s="39" t="s">
        <v>2</v>
      </c>
    </row>
    <row r="109" spans="1:5" x14ac:dyDescent="0.15">
      <c r="A109" s="162"/>
    </row>
    <row r="110" spans="1:5" x14ac:dyDescent="0.15">
      <c r="A110" s="162"/>
    </row>
    <row r="111" spans="1:5" x14ac:dyDescent="0.15">
      <c r="A111" s="162"/>
    </row>
    <row r="112" spans="1:5" x14ac:dyDescent="0.15">
      <c r="A112" s="162"/>
    </row>
    <row r="113" spans="1:3" x14ac:dyDescent="0.15">
      <c r="A113" s="39" t="s">
        <v>170</v>
      </c>
      <c r="B113" s="195">
        <f>+D99</f>
        <v>0.80000000000000038</v>
      </c>
      <c r="C113" s="39" t="s">
        <v>0</v>
      </c>
    </row>
    <row r="114" spans="1:3" x14ac:dyDescent="0.15">
      <c r="A114" s="162"/>
    </row>
    <row r="115" spans="1:3" x14ac:dyDescent="0.15">
      <c r="A115" s="140" t="s">
        <v>166</v>
      </c>
    </row>
    <row r="116" spans="1:3" x14ac:dyDescent="0.15">
      <c r="A116" s="162"/>
    </row>
    <row r="117" spans="1:3" x14ac:dyDescent="0.15">
      <c r="A117" s="162"/>
    </row>
    <row r="118" spans="1:3" x14ac:dyDescent="0.15">
      <c r="A118" s="162"/>
    </row>
    <row r="119" spans="1:3" x14ac:dyDescent="0.15">
      <c r="A119" s="39" t="s">
        <v>104</v>
      </c>
      <c r="B119" s="195">
        <f>+C100</f>
        <v>24.057673763508806</v>
      </c>
      <c r="C119" s="39" t="s">
        <v>2</v>
      </c>
    </row>
    <row r="120" spans="1:3" x14ac:dyDescent="0.15">
      <c r="A120" s="39"/>
      <c r="B120" s="195"/>
      <c r="C120" s="39"/>
    </row>
    <row r="121" spans="1:3" x14ac:dyDescent="0.15">
      <c r="A121" s="39"/>
      <c r="B121" s="195"/>
      <c r="C121" s="39"/>
    </row>
    <row r="122" spans="1:3" x14ac:dyDescent="0.15">
      <c r="A122" s="39"/>
      <c r="B122" s="195"/>
      <c r="C122" s="39"/>
    </row>
    <row r="123" spans="1:3" x14ac:dyDescent="0.15">
      <c r="A123" s="162"/>
    </row>
    <row r="124" spans="1:3" x14ac:dyDescent="0.15">
      <c r="A124" s="39" t="s">
        <v>171</v>
      </c>
      <c r="B124" s="195">
        <f>+D100</f>
        <v>0.6</v>
      </c>
      <c r="C124" s="39" t="s">
        <v>0</v>
      </c>
    </row>
    <row r="125" spans="1:3" x14ac:dyDescent="0.15">
      <c r="A125" s="162"/>
    </row>
    <row r="126" spans="1:3" x14ac:dyDescent="0.15">
      <c r="A126" s="162"/>
    </row>
    <row r="127" spans="1:3" x14ac:dyDescent="0.15">
      <c r="A127" s="140" t="s">
        <v>173</v>
      </c>
    </row>
    <row r="128" spans="1:3" x14ac:dyDescent="0.15">
      <c r="A128" s="162"/>
    </row>
    <row r="129" spans="1:7" x14ac:dyDescent="0.15">
      <c r="A129" s="162"/>
    </row>
    <row r="130" spans="1:7" x14ac:dyDescent="0.15">
      <c r="A130" s="162"/>
    </row>
    <row r="131" spans="1:7" x14ac:dyDescent="0.15">
      <c r="A131" s="162"/>
    </row>
    <row r="132" spans="1:7" x14ac:dyDescent="0.15">
      <c r="A132" s="162"/>
    </row>
    <row r="133" spans="1:7" x14ac:dyDescent="0.15">
      <c r="A133" s="39" t="s">
        <v>185</v>
      </c>
      <c r="B133" s="195">
        <f>+E102</f>
        <v>18.820211408648067</v>
      </c>
      <c r="C133" s="39" t="s">
        <v>3</v>
      </c>
    </row>
    <row r="134" spans="1:7" x14ac:dyDescent="0.15">
      <c r="A134" s="162"/>
    </row>
    <row r="135" spans="1:7" ht="18" x14ac:dyDescent="0.15">
      <c r="A135" s="271" t="s">
        <v>524</v>
      </c>
    </row>
    <row r="136" spans="1:7" x14ac:dyDescent="0.15">
      <c r="A136" s="162"/>
      <c r="C136" s="155"/>
      <c r="D136" s="162"/>
    </row>
    <row r="137" spans="1:7" x14ac:dyDescent="0.15">
      <c r="A137" s="162"/>
      <c r="C137" s="155"/>
      <c r="D137" s="162"/>
    </row>
    <row r="138" spans="1:7" ht="16" x14ac:dyDescent="0.15">
      <c r="A138" s="336" t="s">
        <v>371</v>
      </c>
      <c r="B138" s="336"/>
      <c r="C138" s="336"/>
      <c r="D138" s="336"/>
      <c r="E138" s="336"/>
      <c r="F138" s="336"/>
      <c r="G138" s="336"/>
    </row>
    <row r="139" spans="1:7" ht="16" x14ac:dyDescent="0.15">
      <c r="A139" s="336" t="s">
        <v>176</v>
      </c>
      <c r="B139" s="336"/>
      <c r="C139" s="336"/>
      <c r="D139" s="336"/>
      <c r="E139" s="336"/>
      <c r="F139" s="336"/>
      <c r="G139" s="336"/>
    </row>
    <row r="140" spans="1:7" ht="15" thickBot="1" x14ac:dyDescent="0.2">
      <c r="A140" s="141"/>
      <c r="B140" s="141"/>
      <c r="C140" s="141"/>
      <c r="D140" s="141"/>
      <c r="E140" s="141"/>
    </row>
    <row r="141" spans="1:7" ht="21" customHeight="1" thickBot="1" x14ac:dyDescent="0.2">
      <c r="A141" s="168" t="s">
        <v>4</v>
      </c>
      <c r="B141" s="168" t="s">
        <v>37</v>
      </c>
      <c r="C141" s="168" t="s">
        <v>112</v>
      </c>
      <c r="D141" s="168" t="s">
        <v>106</v>
      </c>
      <c r="E141" s="168" t="s">
        <v>107</v>
      </c>
    </row>
    <row r="142" spans="1:7" x14ac:dyDescent="0.15">
      <c r="A142" s="206" t="s">
        <v>164</v>
      </c>
      <c r="B142" s="199" t="s">
        <v>88</v>
      </c>
      <c r="C142" s="200">
        <f>(A15-B49)*B8/2</f>
        <v>-23.793441571955189</v>
      </c>
      <c r="D142" s="200">
        <f>+B8/3</f>
        <v>0.83333333333333337</v>
      </c>
      <c r="E142" s="200">
        <f>+C142*D142</f>
        <v>-19.827867976629324</v>
      </c>
    </row>
    <row r="143" spans="1:7" x14ac:dyDescent="0.15">
      <c r="A143" s="207" t="s">
        <v>165</v>
      </c>
      <c r="B143" s="208" t="s">
        <v>89</v>
      </c>
      <c r="C143" s="209">
        <f>-A15*B8</f>
        <v>6.9841060987157801</v>
      </c>
      <c r="D143" s="209">
        <f>+B8/2</f>
        <v>1.25</v>
      </c>
      <c r="E143" s="209">
        <f>+C143*D143</f>
        <v>8.7301326233947254</v>
      </c>
    </row>
    <row r="144" spans="1:7" ht="15" thickBot="1" x14ac:dyDescent="0.2">
      <c r="A144" s="207" t="s">
        <v>175</v>
      </c>
      <c r="B144" s="208" t="s">
        <v>90</v>
      </c>
      <c r="C144" s="209">
        <f>+B7*B8</f>
        <v>28.000000000000004</v>
      </c>
      <c r="D144" s="209">
        <f>+B8/2</f>
        <v>1.25</v>
      </c>
      <c r="E144" s="209">
        <f>+C144*D144</f>
        <v>35.000000000000007</v>
      </c>
    </row>
    <row r="145" spans="1:5" ht="15" thickBot="1" x14ac:dyDescent="0.2">
      <c r="B145" s="204" t="s">
        <v>585</v>
      </c>
      <c r="C145" s="205">
        <f>SUM(C142:C144)</f>
        <v>11.190664526760596</v>
      </c>
      <c r="D145" s="204" t="s">
        <v>189</v>
      </c>
      <c r="E145" s="205">
        <f>SUM(E142:E144)</f>
        <v>23.90226464676541</v>
      </c>
    </row>
    <row r="146" spans="1:5" x14ac:dyDescent="0.15">
      <c r="C146" s="153"/>
    </row>
    <row r="147" spans="1:5" x14ac:dyDescent="0.15">
      <c r="A147" s="140" t="s">
        <v>163</v>
      </c>
      <c r="C147" s="153"/>
    </row>
    <row r="148" spans="1:5" x14ac:dyDescent="0.15">
      <c r="C148" s="153"/>
    </row>
    <row r="149" spans="1:5" x14ac:dyDescent="0.15">
      <c r="C149" s="153"/>
      <c r="D149" s="39" t="s">
        <v>177</v>
      </c>
    </row>
    <row r="150" spans="1:5" x14ac:dyDescent="0.15">
      <c r="C150" s="153"/>
    </row>
    <row r="151" spans="1:5" x14ac:dyDescent="0.15">
      <c r="C151" s="153"/>
    </row>
    <row r="152" spans="1:5" x14ac:dyDescent="0.15">
      <c r="A152" s="39" t="s">
        <v>88</v>
      </c>
      <c r="B152" s="195">
        <f>+C142</f>
        <v>-23.793441571955189</v>
      </c>
      <c r="C152" s="39" t="s">
        <v>2</v>
      </c>
    </row>
    <row r="153" spans="1:5" x14ac:dyDescent="0.15">
      <c r="C153" s="153"/>
    </row>
    <row r="154" spans="1:5" x14ac:dyDescent="0.15">
      <c r="C154" s="153"/>
    </row>
    <row r="155" spans="1:5" x14ac:dyDescent="0.15">
      <c r="C155" s="153"/>
    </row>
    <row r="156" spans="1:5" x14ac:dyDescent="0.15">
      <c r="C156" s="153"/>
    </row>
    <row r="157" spans="1:5" x14ac:dyDescent="0.15">
      <c r="A157" s="39" t="s">
        <v>178</v>
      </c>
      <c r="B157" s="195">
        <f>+D142</f>
        <v>0.83333333333333337</v>
      </c>
      <c r="C157" s="39" t="s">
        <v>0</v>
      </c>
    </row>
    <row r="158" spans="1:5" x14ac:dyDescent="0.15">
      <c r="C158" s="153"/>
    </row>
    <row r="159" spans="1:5" x14ac:dyDescent="0.15">
      <c r="A159" s="140" t="s">
        <v>166</v>
      </c>
      <c r="C159" s="153"/>
    </row>
    <row r="160" spans="1:5" x14ac:dyDescent="0.15">
      <c r="C160" s="153"/>
    </row>
    <row r="161" spans="1:3" x14ac:dyDescent="0.15">
      <c r="C161" s="153"/>
    </row>
    <row r="162" spans="1:3" x14ac:dyDescent="0.15">
      <c r="C162" s="153"/>
    </row>
    <row r="163" spans="1:3" x14ac:dyDescent="0.15">
      <c r="A163" s="39" t="s">
        <v>89</v>
      </c>
      <c r="B163" s="195">
        <f>+C143</f>
        <v>6.9841060987157801</v>
      </c>
      <c r="C163" s="39" t="s">
        <v>2</v>
      </c>
    </row>
    <row r="164" spans="1:3" x14ac:dyDescent="0.15">
      <c r="C164" s="153"/>
    </row>
    <row r="165" spans="1:3" x14ac:dyDescent="0.15">
      <c r="C165" s="153"/>
    </row>
    <row r="166" spans="1:3" x14ac:dyDescent="0.15">
      <c r="C166" s="153"/>
    </row>
    <row r="167" spans="1:3" x14ac:dyDescent="0.15">
      <c r="C167" s="153"/>
    </row>
    <row r="168" spans="1:3" x14ac:dyDescent="0.15">
      <c r="A168" s="39" t="s">
        <v>179</v>
      </c>
      <c r="B168" s="195">
        <f>+D143</f>
        <v>1.25</v>
      </c>
      <c r="C168" s="39" t="s">
        <v>0</v>
      </c>
    </row>
    <row r="169" spans="1:3" x14ac:dyDescent="0.15">
      <c r="C169" s="153"/>
    </row>
    <row r="170" spans="1:3" x14ac:dyDescent="0.15">
      <c r="A170" s="140" t="s">
        <v>180</v>
      </c>
      <c r="C170" s="153"/>
    </row>
    <row r="171" spans="1:3" x14ac:dyDescent="0.15">
      <c r="C171" s="153"/>
    </row>
    <row r="172" spans="1:3" x14ac:dyDescent="0.15">
      <c r="C172" s="153"/>
    </row>
    <row r="173" spans="1:3" x14ac:dyDescent="0.15">
      <c r="C173" s="153"/>
    </row>
    <row r="174" spans="1:3" x14ac:dyDescent="0.15">
      <c r="A174" s="39" t="s">
        <v>90</v>
      </c>
      <c r="B174" s="195">
        <f>+C144</f>
        <v>28.000000000000004</v>
      </c>
      <c r="C174" s="39" t="s">
        <v>2</v>
      </c>
    </row>
    <row r="175" spans="1:3" x14ac:dyDescent="0.15">
      <c r="C175" s="153"/>
    </row>
    <row r="176" spans="1:3" x14ac:dyDescent="0.15">
      <c r="C176" s="153"/>
    </row>
    <row r="177" spans="1:3" x14ac:dyDescent="0.15">
      <c r="C177" s="153"/>
    </row>
    <row r="178" spans="1:3" x14ac:dyDescent="0.15">
      <c r="C178" s="153"/>
    </row>
    <row r="179" spans="1:3" x14ac:dyDescent="0.15">
      <c r="A179" s="39" t="s">
        <v>181</v>
      </c>
      <c r="B179" s="195">
        <f>+D144</f>
        <v>1.25</v>
      </c>
      <c r="C179" s="39" t="s">
        <v>0</v>
      </c>
    </row>
    <row r="180" spans="1:3" x14ac:dyDescent="0.15">
      <c r="A180" s="39"/>
      <c r="B180" s="195"/>
      <c r="C180" s="39"/>
    </row>
    <row r="181" spans="1:3" x14ac:dyDescent="0.15">
      <c r="A181" s="39"/>
      <c r="B181" s="195"/>
      <c r="C181" s="39"/>
    </row>
    <row r="182" spans="1:3" x14ac:dyDescent="0.15">
      <c r="A182" s="142" t="s">
        <v>186</v>
      </c>
      <c r="B182" s="195"/>
      <c r="C182" s="39"/>
    </row>
    <row r="183" spans="1:3" x14ac:dyDescent="0.15">
      <c r="A183" s="39"/>
      <c r="B183" s="195"/>
      <c r="C183" s="39"/>
    </row>
    <row r="184" spans="1:3" x14ac:dyDescent="0.15">
      <c r="A184" s="39"/>
      <c r="B184" s="195"/>
      <c r="C184" s="39"/>
    </row>
    <row r="185" spans="1:3" x14ac:dyDescent="0.15">
      <c r="A185" s="39"/>
      <c r="B185" s="195"/>
      <c r="C185" s="39"/>
    </row>
    <row r="186" spans="1:3" x14ac:dyDescent="0.15">
      <c r="A186" s="39" t="s">
        <v>187</v>
      </c>
      <c r="B186" s="195">
        <f>+C145</f>
        <v>11.190664526760596</v>
      </c>
      <c r="C186" s="39" t="s">
        <v>2</v>
      </c>
    </row>
    <row r="187" spans="1:3" x14ac:dyDescent="0.15">
      <c r="A187" s="39"/>
      <c r="B187" s="195"/>
      <c r="C187" s="39"/>
    </row>
    <row r="188" spans="1:3" x14ac:dyDescent="0.15">
      <c r="A188" s="142" t="s">
        <v>188</v>
      </c>
      <c r="B188" s="195"/>
      <c r="C188" s="39"/>
    </row>
    <row r="189" spans="1:3" x14ac:dyDescent="0.15">
      <c r="A189" s="39"/>
      <c r="B189" s="195"/>
      <c r="C189" s="39"/>
    </row>
    <row r="190" spans="1:3" x14ac:dyDescent="0.15">
      <c r="A190" s="39"/>
      <c r="B190" s="195"/>
      <c r="C190" s="39"/>
    </row>
    <row r="191" spans="1:3" x14ac:dyDescent="0.15">
      <c r="A191" s="39"/>
      <c r="B191" s="195"/>
      <c r="C191" s="39"/>
    </row>
    <row r="192" spans="1:3" x14ac:dyDescent="0.15">
      <c r="A192" s="39"/>
      <c r="B192" s="195"/>
      <c r="C192" s="39"/>
    </row>
    <row r="193" spans="1:3" x14ac:dyDescent="0.15">
      <c r="A193" s="39" t="s">
        <v>189</v>
      </c>
      <c r="B193" s="195">
        <f>+E145</f>
        <v>23.90226464676541</v>
      </c>
      <c r="C193" s="39" t="s">
        <v>3</v>
      </c>
    </row>
    <row r="194" spans="1:3" x14ac:dyDescent="0.15">
      <c r="A194" s="39"/>
      <c r="B194" s="195"/>
      <c r="C194" s="39"/>
    </row>
  </sheetData>
  <mergeCells count="7">
    <mergeCell ref="A138:G138"/>
    <mergeCell ref="A139:G139"/>
    <mergeCell ref="A1:G1"/>
    <mergeCell ref="A66:G66"/>
    <mergeCell ref="A67:G67"/>
    <mergeCell ref="A95:G95"/>
    <mergeCell ref="A96:G96"/>
  </mergeCells>
  <printOptions horizontalCentered="1"/>
  <pageMargins left="0.78740157480314965" right="0.78740157480314965" top="0.78740157480314965" bottom="0.78740157480314965" header="0.31496062992125984" footer="0.31496062992125984"/>
  <pageSetup scale="85" orientation="portrait" r:id="rId1"/>
  <headerFooter alignWithMargins="0">
    <oddHeader>&amp;C&amp;F</oddHeader>
    <oddFooter>&amp;C&amp;P</oddFooter>
  </headerFooter>
  <rowBreaks count="4" manualBreakCount="4">
    <brk id="49" max="6" man="1"/>
    <brk id="93" max="6" man="1"/>
    <brk id="133" max="6" man="1"/>
    <brk id="180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view="pageBreakPreview" topLeftCell="A180" zoomScale="173" zoomScaleNormal="173" zoomScaleSheetLayoutView="85" zoomScalePageLayoutView="173" workbookViewId="0">
      <selection activeCell="F98" sqref="F98"/>
    </sheetView>
  </sheetViews>
  <sheetFormatPr baseColWidth="10" defaultColWidth="11.5" defaultRowHeight="14" x14ac:dyDescent="0.15"/>
  <cols>
    <col min="1" max="1" width="16.1640625" style="140" customWidth="1"/>
    <col min="2" max="2" width="10.1640625" style="140" customWidth="1"/>
    <col min="3" max="3" width="11.33203125" style="140" customWidth="1"/>
    <col min="4" max="4" width="15.33203125" style="140" customWidth="1"/>
    <col min="5" max="5" width="13.6640625" style="140" bestFit="1" customWidth="1"/>
    <col min="6" max="6" width="13.1640625" style="140" customWidth="1"/>
    <col min="7" max="7" width="13.6640625" style="140" bestFit="1" customWidth="1"/>
    <col min="8" max="16384" width="11.5" style="140"/>
  </cols>
  <sheetData>
    <row r="1" spans="1:8" ht="45" customHeight="1" x14ac:dyDescent="0.15">
      <c r="A1" s="353" t="s">
        <v>521</v>
      </c>
      <c r="B1" s="353"/>
      <c r="C1" s="353"/>
      <c r="D1" s="353"/>
      <c r="E1" s="353"/>
      <c r="F1" s="353"/>
      <c r="G1" s="353"/>
      <c r="H1" s="251"/>
    </row>
    <row r="2" spans="1:8" ht="14.25" customHeight="1" x14ac:dyDescent="0.15">
      <c r="A2" s="251"/>
      <c r="B2" s="251"/>
      <c r="C2" s="251"/>
      <c r="D2" s="251"/>
      <c r="E2" s="251"/>
      <c r="F2" s="251"/>
      <c r="G2" s="251"/>
      <c r="H2" s="251"/>
    </row>
    <row r="3" spans="1:8" x14ac:dyDescent="0.15">
      <c r="B3" s="163"/>
      <c r="C3" s="253"/>
    </row>
    <row r="4" spans="1:8" x14ac:dyDescent="0.15">
      <c r="B4" s="163"/>
      <c r="C4" s="253"/>
    </row>
    <row r="5" spans="1:8" ht="19.5" customHeight="1" x14ac:dyDescent="0.15">
      <c r="A5" s="149"/>
      <c r="B5" s="253"/>
    </row>
    <row r="6" spans="1:8" ht="9" customHeight="1" x14ac:dyDescent="0.15">
      <c r="E6" s="141"/>
    </row>
    <row r="7" spans="1:8" x14ac:dyDescent="0.15">
      <c r="A7" s="144" t="s">
        <v>102</v>
      </c>
      <c r="B7" s="166">
        <f>+B25</f>
        <v>11.200000000000001</v>
      </c>
      <c r="C7" s="166" t="s">
        <v>25</v>
      </c>
      <c r="E7" s="166"/>
    </row>
    <row r="8" spans="1:8" x14ac:dyDescent="0.15">
      <c r="B8" s="166">
        <f>+MURO!D17</f>
        <v>2.5</v>
      </c>
      <c r="D8" s="195">
        <f>+MURO!D15</f>
        <v>0.5</v>
      </c>
      <c r="E8" s="166">
        <f>+MURO!D18</f>
        <v>1.2</v>
      </c>
    </row>
    <row r="9" spans="1:8" ht="9.75" customHeight="1" x14ac:dyDescent="0.15"/>
    <row r="10" spans="1:8" x14ac:dyDescent="0.15">
      <c r="B10" s="162" t="s">
        <v>5</v>
      </c>
      <c r="E10" s="141"/>
      <c r="F10" s="162" t="s">
        <v>6</v>
      </c>
      <c r="G10" s="196">
        <f>+MURO!D13</f>
        <v>0.6</v>
      </c>
    </row>
    <row r="11" spans="1:8" ht="10.5" customHeight="1" x14ac:dyDescent="0.15"/>
    <row r="12" spans="1:8" ht="9.75" customHeight="1" x14ac:dyDescent="0.15"/>
    <row r="13" spans="1:8" x14ac:dyDescent="0.15">
      <c r="D13" s="166">
        <f>+MURO!D84</f>
        <v>4.2</v>
      </c>
    </row>
    <row r="14" spans="1:8" x14ac:dyDescent="0.15">
      <c r="C14" s="144" t="s">
        <v>84</v>
      </c>
      <c r="D14" s="166"/>
      <c r="E14" s="140" t="s">
        <v>61</v>
      </c>
    </row>
    <row r="15" spans="1:8" x14ac:dyDescent="0.15">
      <c r="A15" s="166">
        <f>+RESISTENCIA!G245</f>
        <v>14.541538861323213</v>
      </c>
      <c r="E15" s="253" t="s">
        <v>85</v>
      </c>
    </row>
    <row r="16" spans="1:8" x14ac:dyDescent="0.15">
      <c r="B16" s="144"/>
    </row>
    <row r="17" spans="1:7" x14ac:dyDescent="0.15">
      <c r="B17" s="144" t="s">
        <v>89</v>
      </c>
      <c r="G17" s="197">
        <f>+RESISTENCIA!F245</f>
        <v>5.374312631816422</v>
      </c>
    </row>
    <row r="18" spans="1:7" x14ac:dyDescent="0.15">
      <c r="C18" s="253" t="s">
        <v>88</v>
      </c>
    </row>
    <row r="19" spans="1:7" x14ac:dyDescent="0.15">
      <c r="E19" s="144" t="s">
        <v>87</v>
      </c>
      <c r="F19" s="253" t="s">
        <v>86</v>
      </c>
    </row>
    <row r="20" spans="1:7" x14ac:dyDescent="0.15">
      <c r="E20" s="144"/>
      <c r="F20" s="253"/>
    </row>
    <row r="21" spans="1:7" x14ac:dyDescent="0.15">
      <c r="A21" s="162" t="s">
        <v>98</v>
      </c>
      <c r="E21" s="144"/>
      <c r="F21" s="253"/>
    </row>
    <row r="22" spans="1:7" x14ac:dyDescent="0.15">
      <c r="E22" s="144"/>
      <c r="F22" s="253"/>
    </row>
    <row r="23" spans="1:7" x14ac:dyDescent="0.15">
      <c r="A23" s="158"/>
      <c r="E23" s="144"/>
      <c r="F23" s="253"/>
    </row>
    <row r="24" spans="1:7" x14ac:dyDescent="0.15">
      <c r="A24" s="158"/>
      <c r="E24" s="144"/>
      <c r="F24" s="253"/>
    </row>
    <row r="25" spans="1:7" x14ac:dyDescent="0.15">
      <c r="A25" s="253" t="s">
        <v>102</v>
      </c>
      <c r="B25" s="195">
        <f>+MURO!D86*MURO!D28</f>
        <v>11.200000000000001</v>
      </c>
      <c r="C25" s="253" t="s">
        <v>25</v>
      </c>
      <c r="E25" s="144"/>
      <c r="F25" s="253"/>
    </row>
    <row r="26" spans="1:7" x14ac:dyDescent="0.15">
      <c r="B26" s="166"/>
      <c r="E26" s="144"/>
      <c r="F26" s="253"/>
    </row>
    <row r="27" spans="1:7" x14ac:dyDescent="0.15">
      <c r="A27" s="162" t="s">
        <v>162</v>
      </c>
      <c r="B27" s="166"/>
      <c r="E27" s="158"/>
      <c r="F27" s="253"/>
    </row>
    <row r="28" spans="1:7" x14ac:dyDescent="0.15">
      <c r="E28" s="144"/>
      <c r="F28" s="253"/>
    </row>
    <row r="29" spans="1:7" x14ac:dyDescent="0.15">
      <c r="A29" s="253" t="s">
        <v>22</v>
      </c>
      <c r="B29" s="195">
        <f>+'ZAPATA EVENTO EXTREMO 1'!B29</f>
        <v>0.52500000000000002</v>
      </c>
      <c r="C29" s="253" t="s">
        <v>0</v>
      </c>
      <c r="E29" s="144"/>
      <c r="F29" s="253"/>
    </row>
    <row r="30" spans="1:7" x14ac:dyDescent="0.15">
      <c r="A30" s="253"/>
      <c r="B30" s="195"/>
      <c r="C30" s="253"/>
      <c r="E30" s="144"/>
      <c r="F30" s="253"/>
    </row>
    <row r="31" spans="1:7" x14ac:dyDescent="0.15">
      <c r="A31" s="162" t="s">
        <v>159</v>
      </c>
      <c r="E31" s="144"/>
      <c r="F31" s="253"/>
    </row>
    <row r="32" spans="1:7" x14ac:dyDescent="0.15">
      <c r="A32" s="162"/>
      <c r="E32" s="144"/>
      <c r="F32" s="253"/>
    </row>
    <row r="33" spans="1:6" x14ac:dyDescent="0.15">
      <c r="A33" s="140" t="s">
        <v>160</v>
      </c>
      <c r="E33" s="144"/>
      <c r="F33" s="253"/>
    </row>
    <row r="34" spans="1:6" ht="15" x14ac:dyDescent="0.15">
      <c r="A34" s="253" t="s">
        <v>95</v>
      </c>
      <c r="B34" s="195">
        <f>+G17</f>
        <v>5.374312631816422</v>
      </c>
      <c r="C34" s="253" t="s">
        <v>57</v>
      </c>
      <c r="E34" s="144"/>
      <c r="F34" s="253"/>
    </row>
    <row r="35" spans="1:6" x14ac:dyDescent="0.15">
      <c r="A35" s="253"/>
      <c r="B35" s="195"/>
      <c r="C35" s="253"/>
      <c r="E35" s="144"/>
      <c r="F35" s="253"/>
    </row>
    <row r="36" spans="1:6" x14ac:dyDescent="0.15">
      <c r="A36" s="140" t="s">
        <v>161</v>
      </c>
      <c r="B36" s="195"/>
      <c r="C36" s="253"/>
      <c r="E36" s="144"/>
      <c r="F36" s="253"/>
    </row>
    <row r="37" spans="1:6" ht="15" x14ac:dyDescent="0.15">
      <c r="A37" s="253" t="s">
        <v>96</v>
      </c>
      <c r="B37" s="195">
        <f>+A15</f>
        <v>14.541538861323213</v>
      </c>
      <c r="C37" s="253" t="s">
        <v>57</v>
      </c>
      <c r="E37" s="144"/>
      <c r="F37" s="253"/>
    </row>
    <row r="38" spans="1:6" x14ac:dyDescent="0.15">
      <c r="E38" s="144"/>
      <c r="F38" s="253"/>
    </row>
    <row r="39" spans="1:6" x14ac:dyDescent="0.15">
      <c r="A39" s="140" t="s">
        <v>97</v>
      </c>
      <c r="E39" s="144"/>
      <c r="F39" s="253"/>
    </row>
    <row r="40" spans="1:6" x14ac:dyDescent="0.15">
      <c r="A40" s="158"/>
      <c r="E40" s="144"/>
      <c r="F40" s="253"/>
    </row>
    <row r="41" spans="1:6" x14ac:dyDescent="0.15">
      <c r="E41" s="144"/>
      <c r="F41" s="253"/>
    </row>
    <row r="42" spans="1:6" x14ac:dyDescent="0.15">
      <c r="E42" s="144"/>
      <c r="F42" s="253"/>
    </row>
    <row r="43" spans="1:6" x14ac:dyDescent="0.15">
      <c r="A43" s="253" t="s">
        <v>91</v>
      </c>
      <c r="B43" s="195">
        <f>+(G17-A15)/D13</f>
        <v>-2.1826729117873311</v>
      </c>
      <c r="C43" s="253" t="s">
        <v>25</v>
      </c>
      <c r="E43" s="144"/>
      <c r="F43" s="253"/>
    </row>
    <row r="44" spans="1:6" x14ac:dyDescent="0.15">
      <c r="A44" s="253"/>
      <c r="B44" s="195"/>
      <c r="C44" s="253"/>
      <c r="E44" s="144"/>
      <c r="F44" s="253"/>
    </row>
    <row r="45" spans="1:6" x14ac:dyDescent="0.15">
      <c r="A45" s="140" t="s">
        <v>99</v>
      </c>
      <c r="E45" s="144"/>
      <c r="F45" s="253"/>
    </row>
    <row r="46" spans="1:6" x14ac:dyDescent="0.15">
      <c r="E46" s="144"/>
      <c r="F46" s="253"/>
    </row>
    <row r="47" spans="1:6" x14ac:dyDescent="0.15">
      <c r="A47" s="158"/>
      <c r="C47" s="253"/>
      <c r="E47" s="144"/>
      <c r="F47" s="253"/>
    </row>
    <row r="48" spans="1:6" x14ac:dyDescent="0.15">
      <c r="A48" s="253"/>
      <c r="B48" s="195"/>
      <c r="C48" s="253"/>
      <c r="E48" s="144"/>
      <c r="F48" s="253"/>
    </row>
    <row r="49" spans="1:6" ht="15" x14ac:dyDescent="0.15">
      <c r="A49" s="253" t="s">
        <v>92</v>
      </c>
      <c r="B49" s="195">
        <f>+B43*B8+A15</f>
        <v>9.0848565818548845</v>
      </c>
      <c r="C49" s="253" t="s">
        <v>57</v>
      </c>
      <c r="E49" s="144"/>
      <c r="F49" s="253"/>
    </row>
    <row r="50" spans="1:6" x14ac:dyDescent="0.15">
      <c r="A50" s="253"/>
      <c r="B50" s="195"/>
      <c r="C50" s="253"/>
      <c r="E50" s="144"/>
      <c r="F50" s="253"/>
    </row>
    <row r="51" spans="1:6" x14ac:dyDescent="0.15">
      <c r="A51" s="140" t="s">
        <v>100</v>
      </c>
      <c r="E51" s="144"/>
      <c r="F51" s="253"/>
    </row>
    <row r="52" spans="1:6" x14ac:dyDescent="0.15">
      <c r="E52" s="144"/>
      <c r="F52" s="253"/>
    </row>
    <row r="53" spans="1:6" x14ac:dyDescent="0.15">
      <c r="A53" s="158"/>
      <c r="C53" s="253"/>
      <c r="E53" s="144"/>
      <c r="F53" s="253"/>
    </row>
    <row r="54" spans="1:6" x14ac:dyDescent="0.15">
      <c r="A54" s="253"/>
      <c r="B54" s="195"/>
      <c r="C54" s="253"/>
      <c r="E54" s="144"/>
      <c r="F54" s="253"/>
    </row>
    <row r="55" spans="1:6" ht="15" x14ac:dyDescent="0.15">
      <c r="A55" s="253" t="s">
        <v>93</v>
      </c>
      <c r="B55" s="147">
        <f>+B43*(D8+B8)+A15</f>
        <v>7.9935201259612194</v>
      </c>
      <c r="C55" s="253" t="s">
        <v>57</v>
      </c>
      <c r="E55" s="144"/>
      <c r="F55" s="253"/>
    </row>
    <row r="56" spans="1:6" x14ac:dyDescent="0.15">
      <c r="A56" s="253"/>
      <c r="B56" s="195"/>
      <c r="C56" s="253"/>
      <c r="E56" s="144"/>
      <c r="F56" s="253"/>
    </row>
    <row r="57" spans="1:6" x14ac:dyDescent="0.15">
      <c r="A57" s="140" t="s">
        <v>101</v>
      </c>
      <c r="E57" s="144"/>
      <c r="F57" s="253"/>
    </row>
    <row r="58" spans="1:6" x14ac:dyDescent="0.15">
      <c r="E58" s="144"/>
      <c r="F58" s="253"/>
    </row>
    <row r="59" spans="1:6" x14ac:dyDescent="0.15">
      <c r="A59" s="158"/>
      <c r="C59" s="253"/>
      <c r="E59" s="144"/>
      <c r="F59" s="253"/>
    </row>
    <row r="60" spans="1:6" x14ac:dyDescent="0.15">
      <c r="A60" s="253"/>
      <c r="B60" s="195"/>
      <c r="C60" s="253"/>
      <c r="E60" s="144"/>
      <c r="F60" s="253"/>
    </row>
    <row r="61" spans="1:6" ht="15" x14ac:dyDescent="0.15">
      <c r="A61" s="253" t="s">
        <v>94</v>
      </c>
      <c r="B61" s="195">
        <f>+A15+B43*(B8+D8+B29)</f>
        <v>6.8476168472728709</v>
      </c>
      <c r="C61" s="253" t="s">
        <v>57</v>
      </c>
      <c r="E61" s="144"/>
      <c r="F61" s="253"/>
    </row>
    <row r="62" spans="1:6" x14ac:dyDescent="0.15">
      <c r="E62" s="144"/>
      <c r="F62" s="253"/>
    </row>
    <row r="63" spans="1:6" ht="18" x14ac:dyDescent="0.15">
      <c r="A63" s="271" t="s">
        <v>525</v>
      </c>
    </row>
    <row r="64" spans="1:6" x14ac:dyDescent="0.15">
      <c r="A64" s="162"/>
    </row>
    <row r="65" spans="1:7" x14ac:dyDescent="0.15">
      <c r="A65" s="162"/>
    </row>
    <row r="66" spans="1:7" ht="16" x14ac:dyDescent="0.15">
      <c r="A66" s="336" t="s">
        <v>402</v>
      </c>
      <c r="B66" s="336"/>
      <c r="C66" s="336"/>
      <c r="D66" s="336"/>
      <c r="E66" s="336"/>
      <c r="F66" s="336"/>
      <c r="G66" s="336"/>
    </row>
    <row r="67" spans="1:7" ht="16" x14ac:dyDescent="0.15">
      <c r="A67" s="336" t="s">
        <v>167</v>
      </c>
      <c r="B67" s="336"/>
      <c r="C67" s="336"/>
      <c r="D67" s="336"/>
      <c r="E67" s="336"/>
      <c r="F67" s="336"/>
      <c r="G67" s="336"/>
    </row>
    <row r="68" spans="1:7" ht="15" thickBot="1" x14ac:dyDescent="0.2">
      <c r="A68" s="141"/>
      <c r="B68" s="141"/>
      <c r="C68" s="141"/>
      <c r="D68" s="141"/>
      <c r="E68" s="141"/>
      <c r="F68" s="141"/>
      <c r="G68" s="141"/>
    </row>
    <row r="69" spans="1:7" ht="15.5" customHeight="1" thickBot="1" x14ac:dyDescent="0.2">
      <c r="A69" s="168" t="s">
        <v>4</v>
      </c>
      <c r="B69" s="168" t="s">
        <v>37</v>
      </c>
      <c r="C69" s="168" t="s">
        <v>40</v>
      </c>
    </row>
    <row r="70" spans="1:7" x14ac:dyDescent="0.15">
      <c r="A70" s="198" t="s">
        <v>164</v>
      </c>
      <c r="B70" s="199" t="s">
        <v>86</v>
      </c>
      <c r="C70" s="200">
        <f>+(G17-B61)*(E8-B29)/2</f>
        <v>-0.49724017271655147</v>
      </c>
    </row>
    <row r="71" spans="1:7" x14ac:dyDescent="0.15">
      <c r="A71" s="218" t="s">
        <v>165</v>
      </c>
      <c r="B71" s="208" t="s">
        <v>87</v>
      </c>
      <c r="C71" s="209">
        <f>+B61*(E8-B29)</f>
        <v>4.6221413719091871</v>
      </c>
    </row>
    <row r="72" spans="1:7" ht="15" thickBot="1" x14ac:dyDescent="0.2">
      <c r="A72" s="201" t="s">
        <v>21</v>
      </c>
      <c r="B72" s="202" t="s">
        <v>88</v>
      </c>
      <c r="C72" s="203">
        <f>-(E8-B29)*MURO!D28*MURO!D40</f>
        <v>0.13499999999999995</v>
      </c>
    </row>
    <row r="73" spans="1:7" ht="15" thickBot="1" x14ac:dyDescent="0.2">
      <c r="B73" s="204" t="s">
        <v>108</v>
      </c>
      <c r="C73" s="205">
        <f>SUM(C70:C71)</f>
        <v>4.1249011991926352</v>
      </c>
    </row>
    <row r="75" spans="1:7" x14ac:dyDescent="0.15">
      <c r="A75" s="140" t="s">
        <v>163</v>
      </c>
    </row>
    <row r="80" spans="1:7" x14ac:dyDescent="0.15">
      <c r="A80" s="253" t="s">
        <v>86</v>
      </c>
      <c r="B80" s="195">
        <f>+C70</f>
        <v>-0.49724017271655147</v>
      </c>
      <c r="C80" s="253" t="s">
        <v>2</v>
      </c>
    </row>
    <row r="82" spans="1:7" x14ac:dyDescent="0.15">
      <c r="A82" s="140" t="s">
        <v>166</v>
      </c>
    </row>
    <row r="86" spans="1:7" x14ac:dyDescent="0.15">
      <c r="A86" s="253" t="s">
        <v>86</v>
      </c>
      <c r="B86" s="195">
        <f>+C71</f>
        <v>4.6221413719091871</v>
      </c>
      <c r="C86" s="253" t="s">
        <v>2</v>
      </c>
    </row>
    <row r="87" spans="1:7" x14ac:dyDescent="0.15">
      <c r="A87" s="162"/>
      <c r="B87" s="153"/>
    </row>
    <row r="88" spans="1:7" x14ac:dyDescent="0.15">
      <c r="A88" s="140" t="s">
        <v>172</v>
      </c>
      <c r="B88" s="153"/>
    </row>
    <row r="89" spans="1:7" x14ac:dyDescent="0.15">
      <c r="A89" s="162"/>
      <c r="B89" s="153"/>
    </row>
    <row r="90" spans="1:7" x14ac:dyDescent="0.15">
      <c r="A90" s="162"/>
      <c r="B90" s="153"/>
    </row>
    <row r="91" spans="1:7" x14ac:dyDescent="0.15">
      <c r="A91" s="162"/>
      <c r="B91" s="153"/>
    </row>
    <row r="92" spans="1:7" x14ac:dyDescent="0.15">
      <c r="A92" s="253" t="s">
        <v>108</v>
      </c>
      <c r="B92" s="195">
        <f>+C73</f>
        <v>4.1249011991926352</v>
      </c>
      <c r="C92" s="253" t="s">
        <v>2</v>
      </c>
    </row>
    <row r="93" spans="1:7" x14ac:dyDescent="0.15">
      <c r="A93" s="162"/>
      <c r="B93" s="153"/>
    </row>
    <row r="94" spans="1:7" x14ac:dyDescent="0.15">
      <c r="A94" s="162"/>
      <c r="B94" s="153"/>
    </row>
    <row r="95" spans="1:7" ht="16" x14ac:dyDescent="0.15">
      <c r="A95" s="336" t="s">
        <v>589</v>
      </c>
      <c r="B95" s="336"/>
      <c r="C95" s="336"/>
      <c r="D95" s="336"/>
      <c r="E95" s="336"/>
      <c r="F95" s="336"/>
      <c r="G95" s="336"/>
    </row>
    <row r="96" spans="1:7" ht="16" x14ac:dyDescent="0.15">
      <c r="A96" s="336" t="s">
        <v>168</v>
      </c>
      <c r="B96" s="336"/>
      <c r="C96" s="336"/>
      <c r="D96" s="336"/>
      <c r="E96" s="336"/>
      <c r="F96" s="336"/>
      <c r="G96" s="336"/>
    </row>
    <row r="97" spans="1:5" ht="15" thickBot="1" x14ac:dyDescent="0.2">
      <c r="A97" s="141"/>
      <c r="B97" s="141"/>
      <c r="C97" s="141"/>
      <c r="D97" s="141"/>
      <c r="E97" s="141"/>
    </row>
    <row r="98" spans="1:5" ht="17" customHeight="1" thickBot="1" x14ac:dyDescent="0.2">
      <c r="A98" s="168" t="s">
        <v>4</v>
      </c>
      <c r="B98" s="168" t="s">
        <v>37</v>
      </c>
      <c r="C98" s="168" t="s">
        <v>105</v>
      </c>
      <c r="D98" s="168" t="s">
        <v>106</v>
      </c>
      <c r="E98" s="168" t="s">
        <v>107</v>
      </c>
    </row>
    <row r="99" spans="1:5" x14ac:dyDescent="0.15">
      <c r="A99" s="198" t="s">
        <v>164</v>
      </c>
      <c r="B99" s="199" t="s">
        <v>103</v>
      </c>
      <c r="C99" s="200">
        <f>+(G17-B55)*E8/2</f>
        <v>-1.5715244964868784</v>
      </c>
      <c r="D99" s="200">
        <f>+E8*0.666666666666667</f>
        <v>0.80000000000000038</v>
      </c>
      <c r="E99" s="200">
        <f>+C99*D99</f>
        <v>-1.2572195971895033</v>
      </c>
    </row>
    <row r="100" spans="1:5" x14ac:dyDescent="0.15">
      <c r="A100" s="218" t="s">
        <v>165</v>
      </c>
      <c r="B100" s="208" t="s">
        <v>104</v>
      </c>
      <c r="C100" s="209">
        <f>+B55*E8</f>
        <v>9.5922241511534629</v>
      </c>
      <c r="D100" s="209">
        <f>+E8/2</f>
        <v>0.6</v>
      </c>
      <c r="E100" s="209">
        <f>+C100*D100</f>
        <v>5.7553344906920776</v>
      </c>
    </row>
    <row r="101" spans="1:5" ht="15" thickBot="1" x14ac:dyDescent="0.2">
      <c r="A101" s="201" t="s">
        <v>21</v>
      </c>
      <c r="B101" s="202" t="s">
        <v>417</v>
      </c>
      <c r="C101" s="203">
        <f>-E8*MURO!D40*MURO!D28</f>
        <v>0.23999999999999994</v>
      </c>
      <c r="D101" s="203">
        <f>+D100</f>
        <v>0.6</v>
      </c>
      <c r="E101" s="203">
        <f>+C101*D101</f>
        <v>0.14399999999999996</v>
      </c>
    </row>
    <row r="102" spans="1:5" ht="15" thickBot="1" x14ac:dyDescent="0.2">
      <c r="D102" s="204" t="s">
        <v>109</v>
      </c>
      <c r="E102" s="205">
        <f>SUM(E99:E100)</f>
        <v>4.4981148935025743</v>
      </c>
    </row>
    <row r="103" spans="1:5" x14ac:dyDescent="0.15">
      <c r="A103" s="140" t="s">
        <v>163</v>
      </c>
    </row>
    <row r="104" spans="1:5" x14ac:dyDescent="0.15">
      <c r="A104" s="162"/>
    </row>
    <row r="105" spans="1:5" x14ac:dyDescent="0.15">
      <c r="A105" s="162"/>
    </row>
    <row r="106" spans="1:5" x14ac:dyDescent="0.15">
      <c r="A106" s="162"/>
    </row>
    <row r="107" spans="1:5" x14ac:dyDescent="0.15">
      <c r="A107" s="162"/>
    </row>
    <row r="108" spans="1:5" x14ac:dyDescent="0.15">
      <c r="A108" s="253" t="s">
        <v>103</v>
      </c>
      <c r="B108" s="195">
        <f>+C99</f>
        <v>-1.5715244964868784</v>
      </c>
      <c r="C108" s="253" t="s">
        <v>2</v>
      </c>
    </row>
    <row r="109" spans="1:5" x14ac:dyDescent="0.15">
      <c r="A109" s="162"/>
    </row>
    <row r="110" spans="1:5" x14ac:dyDescent="0.15">
      <c r="A110" s="162"/>
    </row>
    <row r="111" spans="1:5" x14ac:dyDescent="0.15">
      <c r="A111" s="162"/>
    </row>
    <row r="112" spans="1:5" x14ac:dyDescent="0.15">
      <c r="A112" s="162"/>
    </row>
    <row r="113" spans="1:3" x14ac:dyDescent="0.15">
      <c r="A113" s="253" t="s">
        <v>170</v>
      </c>
      <c r="B113" s="195">
        <f>+D99</f>
        <v>0.80000000000000038</v>
      </c>
      <c r="C113" s="253" t="s">
        <v>0</v>
      </c>
    </row>
    <row r="114" spans="1:3" x14ac:dyDescent="0.15">
      <c r="A114" s="162"/>
    </row>
    <row r="115" spans="1:3" x14ac:dyDescent="0.15">
      <c r="A115" s="140" t="s">
        <v>166</v>
      </c>
    </row>
    <row r="116" spans="1:3" x14ac:dyDescent="0.15">
      <c r="A116" s="162"/>
    </row>
    <row r="117" spans="1:3" x14ac:dyDescent="0.15">
      <c r="A117" s="162"/>
    </row>
    <row r="118" spans="1:3" x14ac:dyDescent="0.15">
      <c r="A118" s="162"/>
    </row>
    <row r="119" spans="1:3" x14ac:dyDescent="0.15">
      <c r="A119" s="253" t="s">
        <v>104</v>
      </c>
      <c r="B119" s="195">
        <f>+C100</f>
        <v>9.5922241511534629</v>
      </c>
      <c r="C119" s="253" t="s">
        <v>2</v>
      </c>
    </row>
    <row r="120" spans="1:3" x14ac:dyDescent="0.15">
      <c r="A120" s="253"/>
      <c r="B120" s="195"/>
      <c r="C120" s="253"/>
    </row>
    <row r="121" spans="1:3" x14ac:dyDescent="0.15">
      <c r="A121" s="253"/>
      <c r="B121" s="195"/>
      <c r="C121" s="253"/>
    </row>
    <row r="122" spans="1:3" x14ac:dyDescent="0.15">
      <c r="A122" s="253"/>
      <c r="B122" s="195"/>
      <c r="C122" s="253"/>
    </row>
    <row r="123" spans="1:3" x14ac:dyDescent="0.15">
      <c r="A123" s="162"/>
    </row>
    <row r="124" spans="1:3" x14ac:dyDescent="0.15">
      <c r="A124" s="253" t="s">
        <v>171</v>
      </c>
      <c r="B124" s="195">
        <f>+D100</f>
        <v>0.6</v>
      </c>
      <c r="C124" s="253" t="s">
        <v>0</v>
      </c>
    </row>
    <row r="125" spans="1:3" x14ac:dyDescent="0.15">
      <c r="A125" s="162"/>
    </row>
    <row r="126" spans="1:3" x14ac:dyDescent="0.15">
      <c r="A126" s="162"/>
    </row>
    <row r="127" spans="1:3" x14ac:dyDescent="0.15">
      <c r="A127" s="140" t="s">
        <v>173</v>
      </c>
    </row>
    <row r="128" spans="1:3" x14ac:dyDescent="0.15">
      <c r="A128" s="162"/>
    </row>
    <row r="129" spans="1:7" x14ac:dyDescent="0.15">
      <c r="A129" s="162"/>
    </row>
    <row r="130" spans="1:7" x14ac:dyDescent="0.15">
      <c r="A130" s="162"/>
    </row>
    <row r="131" spans="1:7" x14ac:dyDescent="0.15">
      <c r="A131" s="162"/>
    </row>
    <row r="132" spans="1:7" x14ac:dyDescent="0.15">
      <c r="A132" s="162"/>
    </row>
    <row r="133" spans="1:7" x14ac:dyDescent="0.15">
      <c r="A133" s="253" t="s">
        <v>109</v>
      </c>
      <c r="B133" s="195">
        <f>+E102</f>
        <v>4.4981148935025743</v>
      </c>
      <c r="C133" s="253" t="s">
        <v>3</v>
      </c>
    </row>
    <row r="134" spans="1:7" x14ac:dyDescent="0.15">
      <c r="A134" s="162"/>
    </row>
    <row r="135" spans="1:7" ht="18" x14ac:dyDescent="0.15">
      <c r="A135" s="271" t="s">
        <v>524</v>
      </c>
    </row>
    <row r="136" spans="1:7" x14ac:dyDescent="0.15">
      <c r="A136" s="162"/>
      <c r="C136" s="155"/>
      <c r="D136" s="162"/>
    </row>
    <row r="137" spans="1:7" x14ac:dyDescent="0.15">
      <c r="A137" s="162"/>
      <c r="C137" s="155"/>
      <c r="D137" s="162"/>
    </row>
    <row r="138" spans="1:7" ht="16" x14ac:dyDescent="0.15">
      <c r="A138" s="336" t="s">
        <v>590</v>
      </c>
      <c r="B138" s="336"/>
      <c r="C138" s="336"/>
      <c r="D138" s="336"/>
      <c r="E138" s="336"/>
      <c r="F138" s="336"/>
      <c r="G138" s="336"/>
    </row>
    <row r="139" spans="1:7" ht="16" x14ac:dyDescent="0.15">
      <c r="A139" s="336" t="s">
        <v>176</v>
      </c>
      <c r="B139" s="336"/>
      <c r="C139" s="336"/>
      <c r="D139" s="336"/>
      <c r="E139" s="336"/>
      <c r="F139" s="336"/>
      <c r="G139" s="336"/>
    </row>
    <row r="140" spans="1:7" ht="15" thickBot="1" x14ac:dyDescent="0.2">
      <c r="A140" s="141"/>
      <c r="B140" s="141"/>
      <c r="C140" s="141"/>
      <c r="D140" s="141"/>
      <c r="E140" s="141"/>
    </row>
    <row r="141" spans="1:7" ht="17" customHeight="1" thickBot="1" x14ac:dyDescent="0.2">
      <c r="A141" s="168" t="s">
        <v>4</v>
      </c>
      <c r="B141" s="168" t="s">
        <v>37</v>
      </c>
      <c r="C141" s="168" t="s">
        <v>112</v>
      </c>
      <c r="D141" s="168" t="s">
        <v>106</v>
      </c>
      <c r="E141" s="168" t="s">
        <v>107</v>
      </c>
    </row>
    <row r="142" spans="1:7" x14ac:dyDescent="0.15">
      <c r="A142" s="206" t="s">
        <v>164</v>
      </c>
      <c r="B142" s="199" t="s">
        <v>88</v>
      </c>
      <c r="C142" s="200">
        <f>(A15-B49)*B8/2</f>
        <v>6.8208528493354104</v>
      </c>
      <c r="D142" s="200">
        <f>+B8/3</f>
        <v>0.83333333333333337</v>
      </c>
      <c r="E142" s="200">
        <f>+C142*D142</f>
        <v>5.6840440411128421</v>
      </c>
    </row>
    <row r="143" spans="1:7" x14ac:dyDescent="0.15">
      <c r="A143" s="207" t="s">
        <v>165</v>
      </c>
      <c r="B143" s="208" t="s">
        <v>89</v>
      </c>
      <c r="C143" s="209">
        <f>-A15*B8</f>
        <v>-36.353847153308031</v>
      </c>
      <c r="D143" s="209">
        <f>+B8/2</f>
        <v>1.25</v>
      </c>
      <c r="E143" s="209">
        <f>+C143*D143</f>
        <v>-45.442308941635041</v>
      </c>
    </row>
    <row r="144" spans="1:7" ht="15" thickBot="1" x14ac:dyDescent="0.2">
      <c r="A144" s="207" t="s">
        <v>175</v>
      </c>
      <c r="B144" s="208" t="s">
        <v>90</v>
      </c>
      <c r="C144" s="209">
        <f>+B7*B8</f>
        <v>28.000000000000004</v>
      </c>
      <c r="D144" s="209">
        <f>+B8/2</f>
        <v>1.25</v>
      </c>
      <c r="E144" s="209">
        <f>+C144*D144</f>
        <v>35.000000000000007</v>
      </c>
    </row>
    <row r="145" spans="1:5" ht="15" thickBot="1" x14ac:dyDescent="0.2">
      <c r="B145" s="204" t="s">
        <v>110</v>
      </c>
      <c r="C145" s="205">
        <f>SUM(C142:C144)</f>
        <v>-1.5329943039726182</v>
      </c>
      <c r="D145" s="204" t="s">
        <v>111</v>
      </c>
      <c r="E145" s="205">
        <f>SUM(E142:E144)</f>
        <v>-4.7582649005221924</v>
      </c>
    </row>
    <row r="146" spans="1:5" x14ac:dyDescent="0.15">
      <c r="C146" s="153"/>
    </row>
    <row r="147" spans="1:5" x14ac:dyDescent="0.15">
      <c r="A147" s="140" t="s">
        <v>163</v>
      </c>
      <c r="C147" s="153"/>
    </row>
    <row r="148" spans="1:5" x14ac:dyDescent="0.15">
      <c r="C148" s="153"/>
    </row>
    <row r="149" spans="1:5" x14ac:dyDescent="0.15">
      <c r="A149" s="158"/>
      <c r="C149" s="153"/>
      <c r="D149" s="253" t="s">
        <v>177</v>
      </c>
    </row>
    <row r="150" spans="1:5" x14ac:dyDescent="0.15">
      <c r="C150" s="153"/>
    </row>
    <row r="151" spans="1:5" x14ac:dyDescent="0.15">
      <c r="C151" s="153"/>
    </row>
    <row r="152" spans="1:5" x14ac:dyDescent="0.15">
      <c r="A152" s="253" t="s">
        <v>88</v>
      </c>
      <c r="B152" s="195">
        <f>+C142</f>
        <v>6.8208528493354104</v>
      </c>
      <c r="C152" s="253" t="s">
        <v>2</v>
      </c>
    </row>
    <row r="153" spans="1:5" x14ac:dyDescent="0.15">
      <c r="C153" s="153"/>
    </row>
    <row r="154" spans="1:5" x14ac:dyDescent="0.15">
      <c r="C154" s="153"/>
    </row>
    <row r="155" spans="1:5" x14ac:dyDescent="0.15">
      <c r="C155" s="153"/>
    </row>
    <row r="156" spans="1:5" x14ac:dyDescent="0.15">
      <c r="C156" s="153"/>
    </row>
    <row r="157" spans="1:5" x14ac:dyDescent="0.15">
      <c r="A157" s="253" t="s">
        <v>178</v>
      </c>
      <c r="B157" s="195">
        <f>+D142</f>
        <v>0.83333333333333337</v>
      </c>
      <c r="C157" s="253" t="s">
        <v>0</v>
      </c>
    </row>
    <row r="158" spans="1:5" x14ac:dyDescent="0.15">
      <c r="C158" s="153"/>
    </row>
    <row r="159" spans="1:5" x14ac:dyDescent="0.15">
      <c r="A159" s="140" t="s">
        <v>166</v>
      </c>
      <c r="C159" s="153"/>
    </row>
    <row r="160" spans="1:5" x14ac:dyDescent="0.15">
      <c r="C160" s="153"/>
    </row>
    <row r="161" spans="1:3" x14ac:dyDescent="0.15">
      <c r="A161" s="158"/>
      <c r="C161" s="153"/>
    </row>
    <row r="162" spans="1:3" x14ac:dyDescent="0.15">
      <c r="C162" s="153"/>
    </row>
    <row r="163" spans="1:3" x14ac:dyDescent="0.15">
      <c r="A163" s="253" t="s">
        <v>89</v>
      </c>
      <c r="B163" s="195">
        <f>+C143</f>
        <v>-36.353847153308031</v>
      </c>
      <c r="C163" s="253" t="s">
        <v>2</v>
      </c>
    </row>
    <row r="164" spans="1:3" x14ac:dyDescent="0.15">
      <c r="C164" s="153"/>
    </row>
    <row r="165" spans="1:3" x14ac:dyDescent="0.15">
      <c r="C165" s="153"/>
    </row>
    <row r="166" spans="1:3" x14ac:dyDescent="0.15">
      <c r="C166" s="153"/>
    </row>
    <row r="167" spans="1:3" x14ac:dyDescent="0.15">
      <c r="C167" s="153"/>
    </row>
    <row r="168" spans="1:3" x14ac:dyDescent="0.15">
      <c r="A168" s="253" t="s">
        <v>179</v>
      </c>
      <c r="B168" s="195">
        <f>+D143</f>
        <v>1.25</v>
      </c>
      <c r="C168" s="253" t="s">
        <v>0</v>
      </c>
    </row>
    <row r="169" spans="1:3" x14ac:dyDescent="0.15">
      <c r="C169" s="153"/>
    </row>
    <row r="170" spans="1:3" x14ac:dyDescent="0.15">
      <c r="A170" s="140" t="s">
        <v>180</v>
      </c>
      <c r="C170" s="153"/>
    </row>
    <row r="171" spans="1:3" x14ac:dyDescent="0.15">
      <c r="C171" s="153"/>
    </row>
    <row r="172" spans="1:3" x14ac:dyDescent="0.15">
      <c r="A172" s="158"/>
      <c r="C172" s="153"/>
    </row>
    <row r="173" spans="1:3" x14ac:dyDescent="0.15">
      <c r="C173" s="153"/>
    </row>
    <row r="174" spans="1:3" x14ac:dyDescent="0.15">
      <c r="A174" s="253" t="s">
        <v>90</v>
      </c>
      <c r="B174" s="195">
        <f>+C144</f>
        <v>28.000000000000004</v>
      </c>
      <c r="C174" s="253" t="s">
        <v>2</v>
      </c>
    </row>
    <row r="175" spans="1:3" x14ac:dyDescent="0.15">
      <c r="C175" s="153"/>
    </row>
    <row r="176" spans="1:3" x14ac:dyDescent="0.15">
      <c r="C176" s="153"/>
    </row>
    <row r="177" spans="1:3" x14ac:dyDescent="0.15">
      <c r="C177" s="153"/>
    </row>
    <row r="178" spans="1:3" x14ac:dyDescent="0.15">
      <c r="C178" s="153"/>
    </row>
    <row r="179" spans="1:3" x14ac:dyDescent="0.15">
      <c r="A179" s="253" t="s">
        <v>181</v>
      </c>
      <c r="B179" s="195">
        <f>+D144</f>
        <v>1.25</v>
      </c>
      <c r="C179" s="253" t="s">
        <v>0</v>
      </c>
    </row>
    <row r="180" spans="1:3" x14ac:dyDescent="0.15">
      <c r="A180" s="253"/>
      <c r="B180" s="195"/>
      <c r="C180" s="253"/>
    </row>
    <row r="181" spans="1:3" x14ac:dyDescent="0.15">
      <c r="A181" s="253"/>
      <c r="B181" s="195"/>
      <c r="C181" s="253"/>
    </row>
    <row r="182" spans="1:3" x14ac:dyDescent="0.15">
      <c r="A182" s="142" t="s">
        <v>182</v>
      </c>
      <c r="B182" s="195"/>
      <c r="C182" s="253"/>
    </row>
    <row r="183" spans="1:3" x14ac:dyDescent="0.15">
      <c r="A183" s="253"/>
      <c r="B183" s="195"/>
      <c r="C183" s="253"/>
    </row>
    <row r="184" spans="1:3" x14ac:dyDescent="0.15">
      <c r="A184" s="253"/>
      <c r="B184" s="195"/>
      <c r="C184" s="253"/>
    </row>
    <row r="185" spans="1:3" x14ac:dyDescent="0.15">
      <c r="A185" s="253"/>
      <c r="B185" s="195"/>
      <c r="C185" s="253"/>
    </row>
    <row r="186" spans="1:3" x14ac:dyDescent="0.15">
      <c r="A186" s="253" t="s">
        <v>110</v>
      </c>
      <c r="B186" s="195">
        <f>+C145</f>
        <v>-1.5329943039726182</v>
      </c>
      <c r="C186" s="253" t="s">
        <v>2</v>
      </c>
    </row>
    <row r="187" spans="1:3" x14ac:dyDescent="0.15">
      <c r="A187" s="253"/>
      <c r="B187" s="195"/>
      <c r="C187" s="253"/>
    </row>
    <row r="188" spans="1:3" x14ac:dyDescent="0.15">
      <c r="A188" s="142" t="s">
        <v>183</v>
      </c>
      <c r="B188" s="195"/>
      <c r="C188" s="253"/>
    </row>
    <row r="189" spans="1:3" x14ac:dyDescent="0.15">
      <c r="A189" s="253"/>
      <c r="B189" s="195"/>
      <c r="C189" s="253"/>
    </row>
    <row r="190" spans="1:3" x14ac:dyDescent="0.15">
      <c r="A190" s="253"/>
      <c r="B190" s="195"/>
      <c r="C190" s="253"/>
    </row>
    <row r="191" spans="1:3" x14ac:dyDescent="0.15">
      <c r="A191" s="253"/>
      <c r="B191" s="195"/>
      <c r="C191" s="253"/>
    </row>
    <row r="192" spans="1:3" x14ac:dyDescent="0.15">
      <c r="A192" s="253"/>
      <c r="B192" s="195"/>
      <c r="C192" s="253"/>
    </row>
    <row r="193" spans="1:7" x14ac:dyDescent="0.15">
      <c r="A193" s="253"/>
      <c r="B193" s="195"/>
      <c r="C193" s="253"/>
    </row>
    <row r="194" spans="1:7" x14ac:dyDescent="0.15">
      <c r="A194" s="253" t="s">
        <v>111</v>
      </c>
      <c r="B194" s="195">
        <f>+E145</f>
        <v>-4.7582649005221924</v>
      </c>
      <c r="C194" s="253" t="s">
        <v>3</v>
      </c>
    </row>
    <row r="195" spans="1:7" x14ac:dyDescent="0.15">
      <c r="A195" s="253"/>
      <c r="B195" s="195"/>
      <c r="C195" s="253"/>
    </row>
    <row r="196" spans="1:7" x14ac:dyDescent="0.15">
      <c r="A196" s="253"/>
      <c r="B196" s="195"/>
      <c r="C196" s="253"/>
    </row>
    <row r="197" spans="1:7" ht="16" x14ac:dyDescent="0.15">
      <c r="A197" s="336" t="s">
        <v>591</v>
      </c>
      <c r="B197" s="336"/>
      <c r="C197" s="336"/>
      <c r="D197" s="336"/>
      <c r="E197" s="336"/>
      <c r="F197" s="336"/>
      <c r="G197" s="336"/>
    </row>
    <row r="198" spans="1:7" ht="16" x14ac:dyDescent="0.15">
      <c r="A198" s="336" t="s">
        <v>530</v>
      </c>
      <c r="B198" s="336"/>
      <c r="C198" s="336"/>
      <c r="D198" s="336"/>
      <c r="E198" s="336"/>
      <c r="F198" s="336"/>
      <c r="G198" s="336"/>
    </row>
    <row r="199" spans="1:7" ht="15" thickBot="1" x14ac:dyDescent="0.2">
      <c r="A199" s="167"/>
      <c r="B199" s="167"/>
      <c r="C199" s="167"/>
      <c r="D199" s="167"/>
      <c r="E199" s="167"/>
      <c r="F199" s="167"/>
      <c r="G199" s="167"/>
    </row>
    <row r="200" spans="1:7" ht="15" thickBot="1" x14ac:dyDescent="0.2">
      <c r="B200" s="351" t="s">
        <v>529</v>
      </c>
      <c r="C200" s="352"/>
    </row>
    <row r="201" spans="1:7" ht="17" customHeight="1" thickBot="1" x14ac:dyDescent="0.2">
      <c r="A201" s="168" t="s">
        <v>13</v>
      </c>
      <c r="B201" s="168" t="s">
        <v>531</v>
      </c>
      <c r="C201" s="168" t="s">
        <v>532</v>
      </c>
    </row>
    <row r="202" spans="1:7" x14ac:dyDescent="0.15">
      <c r="A202" s="177" t="s">
        <v>15</v>
      </c>
      <c r="B202" s="177">
        <f>+C73</f>
        <v>4.1249011991926352</v>
      </c>
      <c r="C202" s="177">
        <f>+E102</f>
        <v>4.4981148935025743</v>
      </c>
    </row>
    <row r="203" spans="1:7" x14ac:dyDescent="0.15">
      <c r="A203" s="180" t="s">
        <v>16</v>
      </c>
      <c r="B203" s="180">
        <f>+C145</f>
        <v>-1.5329943039726182</v>
      </c>
      <c r="C203" s="180">
        <f>+E145</f>
        <v>-4.7582649005221924</v>
      </c>
    </row>
    <row r="204" spans="1:7" x14ac:dyDescent="0.15">
      <c r="A204" s="253"/>
      <c r="B204" s="195"/>
      <c r="C204" s="253"/>
    </row>
  </sheetData>
  <mergeCells count="10">
    <mergeCell ref="A139:G139"/>
    <mergeCell ref="A197:G197"/>
    <mergeCell ref="A198:G198"/>
    <mergeCell ref="B200:C200"/>
    <mergeCell ref="A1:G1"/>
    <mergeCell ref="A66:G66"/>
    <mergeCell ref="A67:G67"/>
    <mergeCell ref="A95:G95"/>
    <mergeCell ref="A96:G96"/>
    <mergeCell ref="A138:G138"/>
  </mergeCells>
  <printOptions horizontalCentered="1"/>
  <pageMargins left="0.78740157480314965" right="0.78740157480314965" top="0.78740157480314965" bottom="0.78740157480314965" header="0.31496062992125984" footer="0.31496062992125984"/>
  <pageSetup scale="85" orientation="portrait" r:id="rId1"/>
  <headerFooter alignWithMargins="0">
    <oddHeader>&amp;C&amp;F</oddHeader>
    <oddFooter>&amp;C&amp;P</oddFooter>
  </headerFooter>
  <rowBreaks count="4" manualBreakCount="4">
    <brk id="49" max="6" man="1"/>
    <brk id="93" max="6" man="1"/>
    <brk id="133" max="6" man="1"/>
    <brk id="180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view="pageBreakPreview" zoomScale="173" zoomScaleNormal="173" zoomScaleSheetLayoutView="85" zoomScalePageLayoutView="173" workbookViewId="0">
      <selection activeCell="D8" sqref="D8"/>
    </sheetView>
  </sheetViews>
  <sheetFormatPr baseColWidth="10" defaultColWidth="11.5" defaultRowHeight="14" x14ac:dyDescent="0.15"/>
  <cols>
    <col min="1" max="1" width="13.83203125" style="140" customWidth="1"/>
    <col min="2" max="2" width="11.33203125" style="140" customWidth="1"/>
    <col min="3" max="3" width="15.33203125" style="140" customWidth="1"/>
    <col min="4" max="4" width="15.5" style="140" customWidth="1"/>
    <col min="5" max="6" width="13.6640625" style="140" bestFit="1" customWidth="1"/>
    <col min="7" max="16384" width="11.5" style="140"/>
  </cols>
  <sheetData>
    <row r="1" spans="1:8" ht="20" x14ac:dyDescent="0.15">
      <c r="A1" s="349" t="s">
        <v>244</v>
      </c>
      <c r="B1" s="349"/>
      <c r="C1" s="349"/>
      <c r="D1" s="349"/>
      <c r="E1" s="349"/>
      <c r="F1" s="210"/>
      <c r="G1" s="210"/>
      <c r="H1" s="210"/>
    </row>
    <row r="2" spans="1:8" ht="16" x14ac:dyDescent="0.15">
      <c r="A2" s="336"/>
      <c r="B2" s="336"/>
      <c r="C2" s="336"/>
      <c r="D2" s="336"/>
      <c r="E2" s="336"/>
      <c r="F2" s="156"/>
      <c r="G2" s="156"/>
      <c r="H2" s="156"/>
    </row>
    <row r="3" spans="1:8" x14ac:dyDescent="0.15">
      <c r="A3" s="39"/>
      <c r="B3" s="195"/>
      <c r="C3" s="39"/>
      <c r="F3" s="39"/>
      <c r="G3" s="39"/>
    </row>
    <row r="4" spans="1:8" x14ac:dyDescent="0.15">
      <c r="A4" s="162" t="s">
        <v>192</v>
      </c>
    </row>
    <row r="5" spans="1:8" x14ac:dyDescent="0.15">
      <c r="C5" s="147">
        <f>+RESISTENCIA!D109/RESISTENCIA!F102*MURO!D12</f>
        <v>3.5999999999999988</v>
      </c>
      <c r="E5" s="211"/>
    </row>
    <row r="6" spans="1:8" x14ac:dyDescent="0.15">
      <c r="E6" s="211"/>
    </row>
    <row r="7" spans="1:8" x14ac:dyDescent="0.15">
      <c r="B7" s="259">
        <v>2</v>
      </c>
      <c r="E7" s="211"/>
    </row>
    <row r="8" spans="1:8" x14ac:dyDescent="0.15">
      <c r="D8" s="140">
        <v>1</v>
      </c>
      <c r="E8" s="147">
        <f>+MURO!D39</f>
        <v>1</v>
      </c>
    </row>
    <row r="9" spans="1:8" x14ac:dyDescent="0.15">
      <c r="E9" s="211"/>
    </row>
    <row r="10" spans="1:8" x14ac:dyDescent="0.15">
      <c r="E10" s="211"/>
    </row>
    <row r="11" spans="1:8" x14ac:dyDescent="0.15">
      <c r="C11" s="147">
        <f>+C5</f>
        <v>3.5999999999999988</v>
      </c>
      <c r="D11" s="146">
        <f>+RESISTENCIA!D109-DENTELLON!C11</f>
        <v>2.3999999999999995</v>
      </c>
      <c r="E11" s="211"/>
    </row>
    <row r="12" spans="1:8" ht="15" thickBot="1" x14ac:dyDescent="0.2">
      <c r="E12" s="211"/>
    </row>
    <row r="13" spans="1:8" ht="15" thickBot="1" x14ac:dyDescent="0.2">
      <c r="A13" s="168" t="s">
        <v>580</v>
      </c>
      <c r="B13" s="168" t="s">
        <v>581</v>
      </c>
      <c r="C13" s="168" t="s">
        <v>582</v>
      </c>
      <c r="D13" s="168" t="s">
        <v>583</v>
      </c>
      <c r="E13" s="211"/>
    </row>
    <row r="14" spans="1:8" x14ac:dyDescent="0.15">
      <c r="A14" s="177">
        <v>1</v>
      </c>
      <c r="B14" s="177">
        <f>+C11*E8</f>
        <v>3.5999999999999988</v>
      </c>
      <c r="C14" s="177">
        <f>+E8/2</f>
        <v>0.5</v>
      </c>
      <c r="D14" s="177">
        <f>+C14*B14</f>
        <v>1.7999999999999994</v>
      </c>
      <c r="E14" s="211"/>
    </row>
    <row r="15" spans="1:8" ht="15" thickBot="1" x14ac:dyDescent="0.2">
      <c r="A15" s="190">
        <v>2</v>
      </c>
      <c r="B15" s="190">
        <f>+D11*E8/2</f>
        <v>1.1999999999999997</v>
      </c>
      <c r="C15" s="190">
        <f>2*E8/3</f>
        <v>0.66666666666666663</v>
      </c>
      <c r="D15" s="190">
        <f>+C15*B15</f>
        <v>0.79999999999999982</v>
      </c>
      <c r="E15" s="211"/>
    </row>
    <row r="16" spans="1:8" x14ac:dyDescent="0.15">
      <c r="A16" s="267" t="s">
        <v>584</v>
      </c>
      <c r="B16" s="170">
        <f>SUM(B14:B15)</f>
        <v>4.7999999999999989</v>
      </c>
      <c r="C16" s="170"/>
      <c r="D16" s="170">
        <f>SUM(D14:D15)</f>
        <v>2.5999999999999992</v>
      </c>
      <c r="E16" s="211"/>
    </row>
    <row r="17" spans="1:5" x14ac:dyDescent="0.15">
      <c r="E17" s="211"/>
    </row>
    <row r="18" spans="1:5" x14ac:dyDescent="0.15">
      <c r="A18" s="221" t="s">
        <v>471</v>
      </c>
      <c r="B18" s="195">
        <f>+MURO!D39</f>
        <v>1</v>
      </c>
      <c r="C18" s="221" t="s">
        <v>0</v>
      </c>
    </row>
    <row r="20" spans="1:5" x14ac:dyDescent="0.15">
      <c r="A20" s="162" t="s">
        <v>227</v>
      </c>
    </row>
    <row r="21" spans="1:5" x14ac:dyDescent="0.15">
      <c r="A21" s="162"/>
    </row>
    <row r="22" spans="1:5" x14ac:dyDescent="0.15">
      <c r="A22" s="140" t="s">
        <v>68</v>
      </c>
    </row>
    <row r="24" spans="1:5" x14ac:dyDescent="0.15">
      <c r="A24" s="158"/>
    </row>
    <row r="26" spans="1:5" ht="15" x14ac:dyDescent="0.15">
      <c r="A26" s="39" t="s">
        <v>228</v>
      </c>
      <c r="B26" s="195">
        <f>0.53*SQRT(MURO!D24)</f>
        <v>8.8685962812612011</v>
      </c>
      <c r="C26" s="39" t="s">
        <v>52</v>
      </c>
    </row>
    <row r="28" spans="1:5" x14ac:dyDescent="0.15">
      <c r="A28" s="140" t="s">
        <v>230</v>
      </c>
    </row>
    <row r="30" spans="1:5" ht="15" x14ac:dyDescent="0.15">
      <c r="A30" s="39" t="s">
        <v>229</v>
      </c>
      <c r="B30" s="195">
        <v>0.9</v>
      </c>
    </row>
    <row r="32" spans="1:5" x14ac:dyDescent="0.15">
      <c r="A32" s="158"/>
    </row>
    <row r="35" spans="1:3" x14ac:dyDescent="0.15">
      <c r="A35" s="39" t="s">
        <v>22</v>
      </c>
      <c r="B35" s="195">
        <f>10*B16/(B30*B26*MURO!D7)</f>
        <v>6.0137288519969472</v>
      </c>
      <c r="C35" s="39" t="s">
        <v>7</v>
      </c>
    </row>
    <row r="37" spans="1:3" x14ac:dyDescent="0.15">
      <c r="A37" s="140" t="s">
        <v>232</v>
      </c>
    </row>
    <row r="39" spans="1:3" x14ac:dyDescent="0.15">
      <c r="A39" s="158"/>
    </row>
    <row r="41" spans="1:3" x14ac:dyDescent="0.15">
      <c r="A41" s="39" t="s">
        <v>233</v>
      </c>
      <c r="B41" s="195">
        <f>+B35+MURO!D19*100</f>
        <v>13.513728851996948</v>
      </c>
      <c r="C41" s="39" t="s">
        <v>7</v>
      </c>
    </row>
    <row r="43" spans="1:3" x14ac:dyDescent="0.15">
      <c r="A43" s="39" t="s">
        <v>233</v>
      </c>
      <c r="B43" s="195">
        <f>+IF(B16=0,0,MAX(MURO!D15*100,B41,MURO!D15*100+10)/100)</f>
        <v>0.6</v>
      </c>
      <c r="C43" s="39" t="s">
        <v>0</v>
      </c>
    </row>
  </sheetData>
  <mergeCells count="2">
    <mergeCell ref="A1:E1"/>
    <mergeCell ref="A2:E2"/>
  </mergeCells>
  <printOptions horizontalCentered="1"/>
  <pageMargins left="0.78740157480314965" right="0.78740157480314965" top="0.78740157480314965" bottom="0.78740157480314965" header="0.31496062992125984" footer="0.31496062992125984"/>
  <pageSetup scale="85" orientation="portrait" r:id="rId1"/>
  <headerFooter alignWithMargins="0">
    <oddHeader>&amp;C&amp;F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MURO</vt:lpstr>
      <vt:lpstr>RESISTENCIA</vt:lpstr>
      <vt:lpstr>EXTREMO I</vt:lpstr>
      <vt:lpstr>VASTAGO RESISTENCIA</vt:lpstr>
      <vt:lpstr>VASTAGO EVENTO EXTREMO</vt:lpstr>
      <vt:lpstr>ZAPATA RESISTENCIA</vt:lpstr>
      <vt:lpstr>ZAPATA EVENTO EXTREMO 1</vt:lpstr>
      <vt:lpstr>ZAPATA SERVICIO</vt:lpstr>
      <vt:lpstr>DENTELLON</vt:lpstr>
    </vt:vector>
  </TitlesOfParts>
  <Company>RAFAEL ZAFRA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ZAFRA</dc:creator>
  <cp:lastModifiedBy>Usuario de Microsoft Office</cp:lastModifiedBy>
  <cp:lastPrinted>2017-12-29T01:23:12Z</cp:lastPrinted>
  <dcterms:created xsi:type="dcterms:W3CDTF">1998-07-22T19:47:19Z</dcterms:created>
  <dcterms:modified xsi:type="dcterms:W3CDTF">2021-01-16T16:20:33Z</dcterms:modified>
</cp:coreProperties>
</file>