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OVEVA\Documents\GENOVEVA\MBA-MATERIAL DE ESTUDIO\1ER SEMESTRE\TALLER DE APLICACION 1\"/>
    </mc:Choice>
  </mc:AlternateContent>
  <xr:revisionPtr revIDLastSave="0" documentId="8_{71B5376C-5AC5-4568-AF2B-845482F5133C}" xr6:coauthVersionLast="47" xr6:coauthVersionMax="47" xr10:uidLastSave="{00000000-0000-0000-0000-000000000000}"/>
  <bookViews>
    <workbookView xWindow="-108" yWindow="-108" windowWidth="23256" windowHeight="12456" xr2:uid="{2BF25311-1107-4C0D-99A7-2D40053A217F}"/>
  </bookViews>
  <sheets>
    <sheet name="MO" sheetId="1" r:id="rId1"/>
  </sheets>
  <externalReferences>
    <externalReference r:id="rId2"/>
  </externalReferences>
  <definedNames>
    <definedName name="_Ref359940617" localSheetId="0">'[1]CIF - Gas Adm y Vent - KTO'!$B$6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F14" i="1" s="1"/>
  <c r="E13" i="1"/>
  <c r="M13" i="1" s="1"/>
  <c r="E12" i="1"/>
  <c r="I12" i="1" s="1"/>
  <c r="E11" i="1"/>
  <c r="H11" i="1" s="1"/>
  <c r="H10" i="1"/>
  <c r="O14" i="1" l="1"/>
  <c r="G14" i="1"/>
  <c r="N14" i="1"/>
  <c r="L14" i="1"/>
  <c r="J14" i="1"/>
  <c r="K14" i="1" s="1"/>
  <c r="P14" i="1"/>
  <c r="I11" i="1"/>
  <c r="F13" i="1"/>
  <c r="H14" i="1"/>
  <c r="M11" i="1"/>
  <c r="M15" i="1" s="1"/>
  <c r="I13" i="1"/>
  <c r="E15" i="1"/>
  <c r="F12" i="1"/>
  <c r="H13" i="1"/>
  <c r="F11" i="1"/>
  <c r="H12" i="1"/>
  <c r="H15" i="1" s="1"/>
  <c r="M14" i="1"/>
  <c r="M12" i="1"/>
  <c r="I14" i="1"/>
  <c r="J12" i="1" l="1"/>
  <c r="K12" i="1" s="1"/>
  <c r="P12" i="1"/>
  <c r="N12" i="1"/>
  <c r="O12" i="1"/>
  <c r="G12" i="1"/>
  <c r="Q12" i="1" s="1"/>
  <c r="T12" i="1" s="1"/>
  <c r="L12" i="1"/>
  <c r="L13" i="1"/>
  <c r="Q13" i="1" s="1"/>
  <c r="T13" i="1" s="1"/>
  <c r="O13" i="1"/>
  <c r="G13" i="1"/>
  <c r="J13" i="1"/>
  <c r="K13" i="1" s="1"/>
  <c r="P13" i="1"/>
  <c r="N13" i="1"/>
  <c r="Q14" i="1"/>
  <c r="T14" i="1" s="1"/>
  <c r="P11" i="1"/>
  <c r="P15" i="1" s="1"/>
  <c r="O11" i="1"/>
  <c r="G11" i="1"/>
  <c r="F15" i="1"/>
  <c r="N11" i="1"/>
  <c r="L11" i="1"/>
  <c r="J11" i="1"/>
  <c r="I15" i="1"/>
  <c r="L15" i="1" l="1"/>
  <c r="N15" i="1"/>
  <c r="K11" i="1"/>
  <c r="J15" i="1"/>
  <c r="G15" i="1"/>
  <c r="O15" i="1"/>
  <c r="K15" i="1" l="1"/>
  <c r="Q11" i="1"/>
  <c r="T11" i="1" s="1"/>
  <c r="T15" i="1" s="1"/>
</calcChain>
</file>

<file path=xl/sharedStrings.xml><?xml version="1.0" encoding="utf-8"?>
<sst xmlns="http://schemas.openxmlformats.org/spreadsheetml/2006/main" count="38" uniqueCount="35">
  <si>
    <t>smmlv=</t>
  </si>
  <si>
    <t>Salario convencional</t>
  </si>
  <si>
    <t>Auxilio Transporte/mes  =</t>
  </si>
  <si>
    <t>ley 1607/12</t>
  </si>
  <si>
    <t>Cargo</t>
  </si>
  <si>
    <t>Cantidad</t>
  </si>
  <si>
    <t>Tipo de riesgo</t>
  </si>
  <si>
    <t>Sueldo Básico Mensual año 2</t>
  </si>
  <si>
    <t>Salario anual</t>
  </si>
  <si>
    <t>Caja Compensación</t>
  </si>
  <si>
    <t>Auxilio transporte</t>
  </si>
  <si>
    <t>Vacaciones</t>
  </si>
  <si>
    <r>
      <rPr>
        <b/>
        <sz val="12"/>
        <color rgb="FFFF0000"/>
        <rFont val="Times New Roman"/>
        <family val="1"/>
      </rPr>
      <t>CESANTIAS</t>
    </r>
    <r>
      <rPr>
        <sz val="12"/>
        <color theme="1"/>
        <rFont val="Times New Roman"/>
        <family val="2"/>
      </rPr>
      <t xml:space="preserve"> (Sueldo y Auxilio trasporte)</t>
    </r>
  </si>
  <si>
    <t>Intereses Cesantias</t>
  </si>
  <si>
    <t>Prima servicios (sueldo + auxilio)</t>
  </si>
  <si>
    <t>Dotación 3 veces año</t>
  </si>
  <si>
    <t xml:space="preserve">Salud </t>
  </si>
  <si>
    <t>Pensión</t>
  </si>
  <si>
    <t>Riesgos Profesionales</t>
  </si>
  <si>
    <t>Nomina para el año 2 proyecto</t>
  </si>
  <si>
    <t>Gastos de MO Anual</t>
  </si>
  <si>
    <t>Factor Prestacional</t>
  </si>
  <si>
    <t xml:space="preserve"> Empleados</t>
  </si>
  <si>
    <t>15 dias</t>
  </si>
  <si>
    <t>1 mes</t>
  </si>
  <si>
    <t>FP</t>
  </si>
  <si>
    <t>Administrador</t>
  </si>
  <si>
    <t>I</t>
  </si>
  <si>
    <t>Administrador: G-A</t>
  </si>
  <si>
    <t>Auxiliar administrativo</t>
  </si>
  <si>
    <t>Auxiliar: G-A</t>
  </si>
  <si>
    <t>Operarios de planta</t>
  </si>
  <si>
    <t>MOD</t>
  </si>
  <si>
    <t>Contador</t>
  </si>
  <si>
    <t>Contador: G-A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</si>
</sst>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\ #,##0;[Red]\-&quot;$&quot;\ #,##0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00%"/>
    <numFmt numFmtId="167" formatCode="_(&quot;$&quot;\ * #,##0.00000_);_(&quot;$&quot;\ * \(#,##0.00000\);_(&quot;$&quot;\ * &quot;-&quot;??_);_(@_)"/>
    <numFmt numFmtId="168" formatCode="_-&quot;$&quot;* #,##0_-;\-&quot;$&quot;* #,##0_-;_-&quot;$&quot;* &quot;-&quot;??_-;_-@_-"/>
    <numFmt numFmtId="169" formatCode="&quot;$&quot;\ #,##0_);[Red]\(&quot;$&quot;\ #,##0\)"/>
    <numFmt numFmtId="170" formatCode="_(* #,##0.00_);_(* \(#,##0.00\);_(* &quot;-&quot;??_);_(@_)"/>
    <numFmt numFmtId="171" formatCode="_-* #,##0_-;\-* #,##0_-;_-* &quot;-&quot;??_-;_-@_-"/>
    <numFmt numFmtId="172" formatCode="_(&quot;$&quot;\ * #,##0.000_);_(&quot;$&quot;\ * \(#,##0.000\);_(&quot;$&quot;\ * &quot;-&quot;??_);_(@_)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FF"/>
      <name val="Calibri"/>
      <family val="2"/>
      <scheme val="minor"/>
    </font>
    <font>
      <b/>
      <sz val="12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7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165" fontId="0" fillId="2" borderId="0" xfId="2" applyNumberFormat="1" applyFont="1" applyFill="1"/>
    <xf numFmtId="166" fontId="0" fillId="0" borderId="0" xfId="3" applyNumberFormat="1" applyFont="1"/>
    <xf numFmtId="165" fontId="0" fillId="2" borderId="1" xfId="2" applyNumberFormat="1" applyFont="1" applyFill="1" applyBorder="1"/>
    <xf numFmtId="165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/>
    <xf numFmtId="0" fontId="0" fillId="2" borderId="2" xfId="0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/>
    <xf numFmtId="9" fontId="0" fillId="0" borderId="9" xfId="0" applyNumberFormat="1" applyBorder="1"/>
    <xf numFmtId="168" fontId="0" fillId="0" borderId="9" xfId="2" applyNumberFormat="1" applyFont="1" applyBorder="1" applyAlignment="1">
      <alignment horizontal="center"/>
    </xf>
    <xf numFmtId="0" fontId="0" fillId="0" borderId="9" xfId="0" applyBorder="1"/>
    <xf numFmtId="168" fontId="0" fillId="2" borderId="9" xfId="2" applyNumberFormat="1" applyFont="1" applyFill="1" applyBorder="1"/>
    <xf numFmtId="10" fontId="0" fillId="0" borderId="9" xfId="0" applyNumberFormat="1" applyBorder="1"/>
    <xf numFmtId="166" fontId="0" fillId="0" borderId="7" xfId="0" applyNumberFormat="1" applyBorder="1"/>
    <xf numFmtId="0" fontId="0" fillId="0" borderId="6" xfId="0" applyBorder="1"/>
    <xf numFmtId="0" fontId="0" fillId="2" borderId="6" xfId="0" applyFill="1" applyBorder="1"/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vertical="center"/>
    </xf>
    <xf numFmtId="169" fontId="0" fillId="0" borderId="4" xfId="0" applyNumberFormat="1" applyBorder="1"/>
    <xf numFmtId="171" fontId="0" fillId="0" borderId="5" xfId="1" applyNumberFormat="1" applyFont="1" applyBorder="1"/>
    <xf numFmtId="171" fontId="0" fillId="0" borderId="3" xfId="1" applyNumberFormat="1" applyFont="1" applyBorder="1"/>
    <xf numFmtId="171" fontId="5" fillId="0" borderId="2" xfId="1" applyNumberFormat="1" applyFont="1" applyBorder="1"/>
    <xf numFmtId="0" fontId="9" fillId="0" borderId="2" xfId="0" applyFont="1" applyBorder="1" applyAlignment="1">
      <alignment horizontal="left"/>
    </xf>
    <xf numFmtId="171" fontId="10" fillId="2" borderId="2" xfId="1" applyNumberFormat="1" applyFont="1" applyFill="1" applyBorder="1"/>
    <xf numFmtId="10" fontId="0" fillId="0" borderId="0" xfId="3" applyNumberFormat="1" applyFont="1"/>
    <xf numFmtId="171" fontId="0" fillId="0" borderId="0" xfId="0" applyNumberFormat="1"/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left"/>
    </xf>
    <xf numFmtId="171" fontId="10" fillId="2" borderId="10" xfId="1" applyNumberFormat="1" applyFont="1" applyFill="1" applyBorder="1"/>
    <xf numFmtId="171" fontId="5" fillId="3" borderId="2" xfId="1" applyNumberFormat="1" applyFont="1" applyFill="1" applyBorder="1"/>
    <xf numFmtId="169" fontId="10" fillId="0" borderId="0" xfId="0" applyNumberFormat="1" applyFont="1"/>
    <xf numFmtId="171" fontId="10" fillId="0" borderId="0" xfId="0" applyNumberFormat="1" applyFont="1"/>
    <xf numFmtId="10" fontId="5" fillId="0" borderId="0" xfId="0" applyNumberFormat="1" applyFont="1"/>
    <xf numFmtId="169" fontId="0" fillId="0" borderId="0" xfId="0" applyNumberFormat="1"/>
    <xf numFmtId="0" fontId="6" fillId="0" borderId="0" xfId="0" applyFont="1" applyAlignment="1">
      <alignment horizontal="left" vertical="center"/>
    </xf>
    <xf numFmtId="6" fontId="0" fillId="0" borderId="0" xfId="0" applyNumberFormat="1"/>
    <xf numFmtId="172" fontId="0" fillId="0" borderId="0" xfId="0" applyNumberFormat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NOVEVA\Documents\GENOVEVA\MBA-MATERIAL%20DE%20ESTUDIO\1ER%20SEMESTRE\TALLER%20DE%20APLICACION%201\Analisis%20financiero%20-%20Planta%20de%20prefabricados.xlsx" TargetMode="External"/><Relationship Id="rId1" Type="http://schemas.openxmlformats.org/officeDocument/2006/relationships/externalLinkPath" Target="Analisis%20financiero%20-%20Planta%20de%20prefabric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val Fin"/>
      <sheetName val="Pendiente"/>
      <sheetName val="Est Fin"/>
      <sheetName val="MO"/>
      <sheetName val="Maquinaria"/>
      <sheetName val="Inversion inicial"/>
      <sheetName val="CIF - Gas Adm y Vent - KTO"/>
      <sheetName val="Depre - Dif"/>
      <sheetName val="CREDITO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B6" t="str">
            <v>Tabla 5. Prorrateo de los gastos (Seguros y mantenimiento)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DCDA-0BF0-4680-99D4-1CA903CA6AB4}">
  <dimension ref="B1:U24"/>
  <sheetViews>
    <sheetView tabSelected="1" zoomScaleNormal="100" workbookViewId="0">
      <selection activeCell="B4" sqref="B4"/>
    </sheetView>
  </sheetViews>
  <sheetFormatPr baseColWidth="10" defaultRowHeight="15.6" x14ac:dyDescent="0.3"/>
  <cols>
    <col min="1" max="1" width="2.09765625" customWidth="1"/>
    <col min="2" max="2" width="25.19921875" bestFit="1" customWidth="1"/>
    <col min="4" max="4" width="9.09765625" customWidth="1"/>
    <col min="5" max="5" width="13.19921875" bestFit="1" customWidth="1"/>
    <col min="6" max="6" width="13.59765625" bestFit="1" customWidth="1"/>
    <col min="7" max="7" width="12.5" bestFit="1" customWidth="1"/>
    <col min="8" max="8" width="14" customWidth="1"/>
    <col min="9" max="9" width="12.8984375" customWidth="1"/>
    <col min="10" max="10" width="12.19921875" customWidth="1"/>
    <col min="11" max="11" width="11.5" customWidth="1"/>
    <col min="12" max="12" width="13.59765625" customWidth="1"/>
    <col min="14" max="14" width="12.19921875" customWidth="1"/>
    <col min="15" max="15" width="12.69921875" customWidth="1"/>
    <col min="17" max="17" width="22.8984375" bestFit="1" customWidth="1"/>
    <col min="18" max="18" width="14.69921875" customWidth="1"/>
    <col min="19" max="19" width="12.8984375" bestFit="1" customWidth="1"/>
    <col min="20" max="20" width="16.09765625" bestFit="1" customWidth="1"/>
    <col min="21" max="21" width="14" customWidth="1"/>
  </cols>
  <sheetData>
    <row r="1" spans="2:21" x14ac:dyDescent="0.3">
      <c r="B1" s="1"/>
    </row>
    <row r="2" spans="2:21" x14ac:dyDescent="0.3">
      <c r="B2" s="1"/>
    </row>
    <row r="3" spans="2:21" x14ac:dyDescent="0.3">
      <c r="B3" s="1"/>
    </row>
    <row r="4" spans="2:21" ht="16.2" thickBot="1" x14ac:dyDescent="0.35">
      <c r="E4" t="s">
        <v>0</v>
      </c>
      <c r="G4" s="2">
        <v>1750905</v>
      </c>
    </row>
    <row r="5" spans="2:21" ht="16.2" thickBot="1" x14ac:dyDescent="0.35">
      <c r="D5" s="3"/>
      <c r="E5" t="s">
        <v>1</v>
      </c>
      <c r="G5" s="4">
        <v>2000000</v>
      </c>
      <c r="H5" s="5"/>
    </row>
    <row r="6" spans="2:21" x14ac:dyDescent="0.3">
      <c r="D6" s="3"/>
    </row>
    <row r="7" spans="2:21" x14ac:dyDescent="0.3">
      <c r="G7" s="6"/>
      <c r="H7" t="s">
        <v>2</v>
      </c>
      <c r="J7" s="2">
        <v>249095</v>
      </c>
    </row>
    <row r="8" spans="2:21" ht="16.2" thickBot="1" x14ac:dyDescent="0.35">
      <c r="H8" s="7"/>
      <c r="N8" t="s">
        <v>3</v>
      </c>
    </row>
    <row r="9" spans="2:21" ht="62.4" x14ac:dyDescent="0.3">
      <c r="B9" s="8" t="s">
        <v>4</v>
      </c>
      <c r="C9" s="9" t="s">
        <v>5</v>
      </c>
      <c r="D9" s="8" t="s">
        <v>6</v>
      </c>
      <c r="E9" s="8" t="s">
        <v>7</v>
      </c>
      <c r="F9" s="10" t="s">
        <v>8</v>
      </c>
      <c r="G9" s="11" t="s">
        <v>9</v>
      </c>
      <c r="H9" s="11" t="s">
        <v>10</v>
      </c>
      <c r="I9" s="11" t="s">
        <v>11</v>
      </c>
      <c r="J9" s="12" t="s">
        <v>12</v>
      </c>
      <c r="K9" s="11" t="s">
        <v>13</v>
      </c>
      <c r="L9" s="11" t="s">
        <v>14</v>
      </c>
      <c r="M9" s="11" t="s">
        <v>15</v>
      </c>
      <c r="N9" s="11" t="s">
        <v>16</v>
      </c>
      <c r="O9" s="11" t="s">
        <v>17</v>
      </c>
      <c r="P9" s="13" t="s">
        <v>18</v>
      </c>
      <c r="Q9" s="13" t="s">
        <v>19</v>
      </c>
      <c r="R9" s="14"/>
      <c r="S9" s="15" t="s">
        <v>20</v>
      </c>
      <c r="T9" s="16" t="s">
        <v>21</v>
      </c>
    </row>
    <row r="10" spans="2:21" ht="16.2" thickBot="1" x14ac:dyDescent="0.35">
      <c r="B10" s="17"/>
      <c r="C10" s="18" t="s">
        <v>22</v>
      </c>
      <c r="D10" s="17"/>
      <c r="E10" s="17"/>
      <c r="F10" s="19"/>
      <c r="G10" s="20">
        <v>0.04</v>
      </c>
      <c r="H10" s="21">
        <f>J7*12</f>
        <v>2989140</v>
      </c>
      <c r="I10" s="22" t="s">
        <v>23</v>
      </c>
      <c r="J10" s="22" t="s">
        <v>24</v>
      </c>
      <c r="K10" s="20">
        <v>0.12</v>
      </c>
      <c r="L10" s="22"/>
      <c r="M10" s="23">
        <v>70000</v>
      </c>
      <c r="N10" s="24">
        <v>8.5000000000000006E-2</v>
      </c>
      <c r="O10" s="20">
        <v>0.12</v>
      </c>
      <c r="P10" s="25">
        <v>5.2199999999999998E-3</v>
      </c>
      <c r="Q10" s="25"/>
      <c r="R10" s="26"/>
      <c r="S10" s="27"/>
      <c r="T10" t="s">
        <v>25</v>
      </c>
    </row>
    <row r="11" spans="2:21" ht="16.2" thickBot="1" x14ac:dyDescent="0.35">
      <c r="B11" s="28" t="s">
        <v>26</v>
      </c>
      <c r="C11" s="29">
        <v>1</v>
      </c>
      <c r="D11" s="30" t="s">
        <v>27</v>
      </c>
      <c r="E11" s="31">
        <f>2.5*G4</f>
        <v>4377262.5</v>
      </c>
      <c r="F11" s="32">
        <f>E11*C11*12</f>
        <v>52527150</v>
      </c>
      <c r="G11" s="33">
        <f>$G$10*F11</f>
        <v>2101086</v>
      </c>
      <c r="H11" s="33">
        <f>IF(E11&lt;=2*$G$4,$H$10*C11,0)</f>
        <v>0</v>
      </c>
      <c r="I11" s="33">
        <f>+E11/2*C11</f>
        <v>2188631.25</v>
      </c>
      <c r="J11" s="33">
        <f>(F11+H11)/12</f>
        <v>4377262.5</v>
      </c>
      <c r="K11" s="33">
        <f>J11*$K$10</f>
        <v>525271.5</v>
      </c>
      <c r="L11" s="33">
        <f>(F11+H11)/12</f>
        <v>4377262.5</v>
      </c>
      <c r="M11" s="33">
        <f>IF(E11&lt;=2*$G$4,$M$10*C11,0)</f>
        <v>0</v>
      </c>
      <c r="N11" s="33">
        <f>$N$10*F11</f>
        <v>4464807.75</v>
      </c>
      <c r="O11" s="33">
        <f>$O$10*F11</f>
        <v>6303258</v>
      </c>
      <c r="P11" s="34">
        <f>$P$10*F11</f>
        <v>274191.723</v>
      </c>
      <c r="Q11" s="35">
        <f>SUM(F11:P11)</f>
        <v>77138921.223000005</v>
      </c>
      <c r="R11" s="36" t="s">
        <v>28</v>
      </c>
      <c r="S11" s="37"/>
      <c r="T11" s="38">
        <f>+(Q11-F11)/F11</f>
        <v>0.46855333333333343</v>
      </c>
      <c r="U11" s="39"/>
    </row>
    <row r="12" spans="2:21" ht="16.2" thickBot="1" x14ac:dyDescent="0.35">
      <c r="B12" s="28" t="s">
        <v>29</v>
      </c>
      <c r="C12" s="40">
        <v>1</v>
      </c>
      <c r="D12" s="41" t="s">
        <v>27</v>
      </c>
      <c r="E12" s="42">
        <f>+G4</f>
        <v>1750905</v>
      </c>
      <c r="F12" s="32">
        <f t="shared" ref="F12:F14" si="0">E12*C12*12</f>
        <v>21010860</v>
      </c>
      <c r="G12" s="33">
        <f t="shared" ref="G12:G14" si="1">$G$10*F12</f>
        <v>840434.4</v>
      </c>
      <c r="H12" s="33">
        <f t="shared" ref="H12:H14" si="2">IF(E12&lt;=2*$G$4,$H$10*C12,0)</f>
        <v>2989140</v>
      </c>
      <c r="I12" s="33">
        <f t="shared" ref="I12:I14" si="3">+E12/2*C12</f>
        <v>875452.5</v>
      </c>
      <c r="J12" s="33">
        <f t="shared" ref="J12:J14" si="4">(F12+H12)/12</f>
        <v>2000000</v>
      </c>
      <c r="K12" s="33">
        <f t="shared" ref="K12:K14" si="5">J12*$K$10</f>
        <v>240000</v>
      </c>
      <c r="L12" s="33">
        <f t="shared" ref="L12:L14" si="6">(F12+H12)/12</f>
        <v>2000000</v>
      </c>
      <c r="M12" s="33">
        <f>IF(E12&lt;=2*$G$4,$M$10*3*C12,0)</f>
        <v>210000</v>
      </c>
      <c r="N12" s="33">
        <f t="shared" ref="N12:N14" si="7">$N$10*F12</f>
        <v>1785923.1</v>
      </c>
      <c r="O12" s="33">
        <f t="shared" ref="O12:O14" si="8">$O$10*F12</f>
        <v>2521303.1999999997</v>
      </c>
      <c r="P12" s="34">
        <f t="shared" ref="P12:P14" si="9">$P$10*F12</f>
        <v>109676.68919999999</v>
      </c>
      <c r="Q12" s="35">
        <f t="shared" ref="Q12:Q14" si="10">SUM(F12:P12)</f>
        <v>34582789.889200002</v>
      </c>
      <c r="R12" s="43" t="s">
        <v>30</v>
      </c>
      <c r="S12" s="44"/>
      <c r="T12" s="38">
        <f>+(Q12-F12)/F12</f>
        <v>0.64594832811222391</v>
      </c>
      <c r="U12" s="39"/>
    </row>
    <row r="13" spans="2:21" ht="16.2" thickBot="1" x14ac:dyDescent="0.35">
      <c r="B13" s="28" t="s">
        <v>31</v>
      </c>
      <c r="C13" s="40">
        <v>2</v>
      </c>
      <c r="D13" s="41" t="s">
        <v>27</v>
      </c>
      <c r="E13" s="42">
        <f>+$G$4</f>
        <v>1750905</v>
      </c>
      <c r="F13" s="32">
        <f>E13*C13*12</f>
        <v>42021720</v>
      </c>
      <c r="G13" s="33">
        <f t="shared" si="1"/>
        <v>1680868.8</v>
      </c>
      <c r="H13" s="33">
        <f t="shared" si="2"/>
        <v>5978280</v>
      </c>
      <c r="I13" s="33">
        <f t="shared" si="3"/>
        <v>1750905</v>
      </c>
      <c r="J13" s="33">
        <f t="shared" si="4"/>
        <v>4000000</v>
      </c>
      <c r="K13" s="33">
        <f t="shared" si="5"/>
        <v>480000</v>
      </c>
      <c r="L13" s="33">
        <f t="shared" si="6"/>
        <v>4000000</v>
      </c>
      <c r="M13" s="33">
        <f t="shared" ref="M13:M14" si="11">IF(E13&lt;=2*$G$4,$M$10*3*C13,0)</f>
        <v>420000</v>
      </c>
      <c r="N13" s="33">
        <f t="shared" si="7"/>
        <v>3571846.2</v>
      </c>
      <c r="O13" s="33">
        <f t="shared" si="8"/>
        <v>5042606.3999999994</v>
      </c>
      <c r="P13" s="34">
        <f t="shared" si="9"/>
        <v>219353.37839999999</v>
      </c>
      <c r="Q13" s="45">
        <f t="shared" si="10"/>
        <v>69165579.778400004</v>
      </c>
      <c r="R13" s="43" t="s">
        <v>32</v>
      </c>
      <c r="S13" s="44"/>
      <c r="T13" s="38">
        <f t="shared" ref="T13:T14" si="12">+(Q13-F13)/F13</f>
        <v>0.64594832811222391</v>
      </c>
      <c r="U13" s="39"/>
    </row>
    <row r="14" spans="2:21" ht="16.2" thickBot="1" x14ac:dyDescent="0.35">
      <c r="B14" s="28" t="s">
        <v>33</v>
      </c>
      <c r="C14" s="40">
        <v>1</v>
      </c>
      <c r="D14" s="41" t="s">
        <v>27</v>
      </c>
      <c r="E14" s="42">
        <f>+$G$5</f>
        <v>2000000</v>
      </c>
      <c r="F14" s="32">
        <f t="shared" si="0"/>
        <v>24000000</v>
      </c>
      <c r="G14" s="33">
        <f t="shared" si="1"/>
        <v>960000</v>
      </c>
      <c r="H14" s="33">
        <f t="shared" si="2"/>
        <v>2989140</v>
      </c>
      <c r="I14" s="33">
        <f t="shared" si="3"/>
        <v>1000000</v>
      </c>
      <c r="J14" s="33">
        <f t="shared" si="4"/>
        <v>2249095</v>
      </c>
      <c r="K14" s="33">
        <f t="shared" si="5"/>
        <v>269891.39999999997</v>
      </c>
      <c r="L14" s="33">
        <f t="shared" si="6"/>
        <v>2249095</v>
      </c>
      <c r="M14" s="33">
        <f t="shared" si="11"/>
        <v>210000</v>
      </c>
      <c r="N14" s="33">
        <f t="shared" si="7"/>
        <v>2040000.0000000002</v>
      </c>
      <c r="O14" s="33">
        <f t="shared" si="8"/>
        <v>2880000</v>
      </c>
      <c r="P14" s="34">
        <f t="shared" si="9"/>
        <v>125280</v>
      </c>
      <c r="Q14" s="35">
        <f t="shared" si="10"/>
        <v>38972501.399999999</v>
      </c>
      <c r="R14" s="43" t="s">
        <v>34</v>
      </c>
      <c r="S14" s="44"/>
      <c r="T14" s="38">
        <f t="shared" si="12"/>
        <v>0.62385422499999998</v>
      </c>
      <c r="U14" s="39"/>
    </row>
    <row r="15" spans="2:21" x14ac:dyDescent="0.3">
      <c r="E15" s="5">
        <f t="shared" ref="E15:P15" si="13">SUM(E11:E14)</f>
        <v>9879072.5</v>
      </c>
      <c r="F15" s="46">
        <f t="shared" si="13"/>
        <v>139559730</v>
      </c>
      <c r="G15" s="46">
        <f t="shared" si="13"/>
        <v>5582389.2000000002</v>
      </c>
      <c r="H15" s="46">
        <f t="shared" si="13"/>
        <v>11956560</v>
      </c>
      <c r="I15" s="46">
        <f t="shared" si="13"/>
        <v>5814988.75</v>
      </c>
      <c r="J15" s="46">
        <f t="shared" si="13"/>
        <v>12626357.5</v>
      </c>
      <c r="K15" s="46">
        <f t="shared" si="13"/>
        <v>1515162.9</v>
      </c>
      <c r="L15" s="46">
        <f t="shared" si="13"/>
        <v>12626357.5</v>
      </c>
      <c r="M15" s="46">
        <f t="shared" si="13"/>
        <v>840000</v>
      </c>
      <c r="N15" s="46">
        <f t="shared" si="13"/>
        <v>11862577.050000001</v>
      </c>
      <c r="O15" s="46">
        <f t="shared" si="13"/>
        <v>16747167.599999998</v>
      </c>
      <c r="P15" s="46">
        <f t="shared" si="13"/>
        <v>728501.79059999995</v>
      </c>
      <c r="Q15" s="47"/>
      <c r="S15" s="39"/>
      <c r="T15" s="48">
        <f>+AVERAGE(T11:T14)</f>
        <v>0.59607605363944538</v>
      </c>
    </row>
    <row r="16" spans="2:21" x14ac:dyDescent="0.3">
      <c r="G16" s="49"/>
    </row>
    <row r="17" spans="2:4" x14ac:dyDescent="0.3">
      <c r="B17" s="50"/>
      <c r="C17" s="51"/>
      <c r="D17" s="52"/>
    </row>
    <row r="18" spans="2:4" x14ac:dyDescent="0.3">
      <c r="B18" s="50"/>
      <c r="C18" s="51"/>
      <c r="D18" s="52"/>
    </row>
    <row r="19" spans="2:4" x14ac:dyDescent="0.3">
      <c r="B19" s="50"/>
      <c r="C19" s="51"/>
      <c r="D19" s="52"/>
    </row>
    <row r="20" spans="2:4" x14ac:dyDescent="0.3">
      <c r="B20" s="50"/>
      <c r="C20" s="51"/>
      <c r="D20" s="52"/>
    </row>
    <row r="21" spans="2:4" x14ac:dyDescent="0.3">
      <c r="B21" s="50"/>
      <c r="C21" s="51"/>
      <c r="D21" s="52"/>
    </row>
    <row r="22" spans="2:4" x14ac:dyDescent="0.3">
      <c r="B22" s="50"/>
      <c r="C22" s="51"/>
      <c r="D22" s="52"/>
    </row>
    <row r="23" spans="2:4" x14ac:dyDescent="0.3">
      <c r="B23" s="50"/>
      <c r="C23" s="51"/>
      <c r="D23" s="52"/>
    </row>
    <row r="24" spans="2:4" x14ac:dyDescent="0.3">
      <c r="B24" s="50"/>
      <c r="C24" s="51"/>
      <c r="D24" s="52"/>
    </row>
  </sheetData>
  <mergeCells count="3">
    <mergeCell ref="B9:B10"/>
    <mergeCell ref="D9:D10"/>
    <mergeCell ref="E9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Genoveva Contreras</dc:creator>
  <cp:lastModifiedBy>Genoveva Contreras</cp:lastModifiedBy>
  <dcterms:created xsi:type="dcterms:W3CDTF">2026-05-14T16:59:11Z</dcterms:created>
  <dcterms:modified xsi:type="dcterms:W3CDTF">2026-05-14T16:59:59Z</dcterms:modified>
</cp:coreProperties>
</file>