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MBA\Creación Ventaja Competitiva\"/>
    </mc:Choice>
  </mc:AlternateContent>
  <xr:revisionPtr revIDLastSave="0" documentId="13_ncr:1_{C50C3DC4-FB52-4359-AF7F-2AC42AECCE0E}" xr6:coauthVersionLast="47" xr6:coauthVersionMax="47" xr10:uidLastSave="{00000000-0000-0000-0000-000000000000}"/>
  <bookViews>
    <workbookView xWindow="-108" yWindow="-108" windowWidth="23256" windowHeight="12456" firstSheet="2" activeTab="6" xr2:uid="{00000000-000D-0000-FFFF-FFFF00000000}"/>
  </bookViews>
  <sheets>
    <sheet name="Estructura salarial " sheetId="25" r:id="rId1"/>
    <sheet name="Equipos y muebles" sheetId="19" r:id="rId2"/>
    <sheet name="INVERSIONES " sheetId="1" r:id="rId3"/>
    <sheet name="COSTOS Y GASTOS" sheetId="14" r:id="rId4"/>
    <sheet name="CRÉDITO" sheetId="15" r:id="rId5"/>
    <sheet name="COSTOS RESUMEN" sheetId="17" r:id="rId6"/>
    <sheet name="PROYECCIONES" sheetId="16" r:id="rId7"/>
    <sheet name="EVALUACIÓN" sheetId="18" r:id="rId8"/>
  </sheets>
  <definedNames>
    <definedName name="Gastos_Financiero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7" i="18" l="1"/>
  <c r="F19" i="16"/>
  <c r="D19" i="16"/>
  <c r="F59" i="16"/>
  <c r="H99" i="18"/>
  <c r="D118" i="18" l="1"/>
  <c r="D117" i="18"/>
  <c r="G36" i="17"/>
  <c r="G38" i="17" s="1"/>
  <c r="G35" i="17"/>
  <c r="G100" i="16"/>
  <c r="H37" i="16"/>
  <c r="I37" i="16"/>
  <c r="J37" i="16"/>
  <c r="G37" i="16"/>
  <c r="I35" i="16"/>
  <c r="J35" i="16" s="1"/>
  <c r="H35" i="16"/>
  <c r="G35" i="16"/>
  <c r="F35" i="16"/>
  <c r="J30" i="16"/>
  <c r="I30" i="16"/>
  <c r="H30" i="16"/>
  <c r="G30" i="16"/>
  <c r="F30" i="16"/>
  <c r="F10" i="16"/>
  <c r="F18" i="16"/>
  <c r="G18" i="16" s="1"/>
  <c r="H18" i="16" s="1"/>
  <c r="I18" i="16" s="1"/>
  <c r="F11" i="16" l="1"/>
  <c r="D17" i="16" s="1"/>
  <c r="F17" i="16" s="1"/>
  <c r="E152" i="14"/>
  <c r="E75" i="14"/>
  <c r="E110" i="14"/>
  <c r="E17" i="1"/>
  <c r="H17" i="16" l="1"/>
  <c r="I17" i="16" s="1"/>
  <c r="G17" i="16"/>
  <c r="F21" i="14" l="1"/>
  <c r="E21" i="14"/>
  <c r="F5" i="15"/>
  <c r="E40" i="14"/>
  <c r="D23" i="1"/>
  <c r="E23" i="1" s="1"/>
  <c r="B23" i="1"/>
  <c r="D29" i="1"/>
  <c r="E29" i="1" s="1"/>
  <c r="B29" i="1"/>
  <c r="D30" i="1"/>
  <c r="E30" i="1" s="1"/>
  <c r="B30" i="1"/>
  <c r="E36" i="1"/>
  <c r="H7" i="19"/>
  <c r="C10" i="25" l="1"/>
  <c r="C9" i="25"/>
  <c r="C8" i="25"/>
  <c r="E3" i="25" l="1"/>
  <c r="G11" i="16" l="1"/>
  <c r="G10" i="16"/>
  <c r="H10" i="16" s="1"/>
  <c r="I10" i="16" s="1"/>
  <c r="J10" i="16" s="1"/>
  <c r="H11" i="16" l="1"/>
  <c r="I11" i="16" s="1"/>
  <c r="J11" i="16" s="1"/>
  <c r="F31" i="16"/>
  <c r="E151" i="14"/>
  <c r="E8" i="25"/>
  <c r="E9" i="25"/>
  <c r="D36" i="25"/>
  <c r="K18" i="25"/>
  <c r="K19" i="25"/>
  <c r="B27" i="25" a="1"/>
  <c r="B27" i="25" s="1"/>
  <c r="B34" i="25" s="1" a="1"/>
  <c r="B34" i="25" s="1"/>
  <c r="F33" i="25"/>
  <c r="D34" i="25"/>
  <c r="D35" i="25"/>
  <c r="H9" i="25" l="1"/>
  <c r="E35" i="25" s="1"/>
  <c r="F9" i="25"/>
  <c r="H8" i="25"/>
  <c r="I8" i="25" s="1"/>
  <c r="J8" i="25" s="1"/>
  <c r="L8" i="25" s="1"/>
  <c r="F8" i="25"/>
  <c r="E10" i="25"/>
  <c r="D37" i="25"/>
  <c r="G27" i="25" l="1"/>
  <c r="I9" i="25"/>
  <c r="E34" i="25"/>
  <c r="H10" i="25"/>
  <c r="E36" i="25" s="1"/>
  <c r="F10" i="25"/>
  <c r="I10" i="25" s="1"/>
  <c r="K8" i="25"/>
  <c r="M8" i="25" s="1"/>
  <c r="N8" i="25" s="1"/>
  <c r="D27" i="25" s="1"/>
  <c r="E27" i="25"/>
  <c r="F12" i="25"/>
  <c r="F27" i="25"/>
  <c r="E12" i="25"/>
  <c r="E37" i="25"/>
  <c r="J9" i="25"/>
  <c r="G28" i="25"/>
  <c r="F35" i="25" s="1"/>
  <c r="F34" i="25"/>
  <c r="H12" i="25" l="1"/>
  <c r="I12" i="25"/>
  <c r="J10" i="25"/>
  <c r="C19" i="25" s="1"/>
  <c r="E19" i="25" s="1"/>
  <c r="O21" i="25"/>
  <c r="Q21" i="25" s="1"/>
  <c r="O20" i="25"/>
  <c r="O18" i="25"/>
  <c r="Q18" i="25" s="1"/>
  <c r="O17" i="25"/>
  <c r="Q17" i="25" s="1"/>
  <c r="O19" i="25"/>
  <c r="Q19" i="25" s="1"/>
  <c r="G29" i="25"/>
  <c r="F36" i="25" s="1"/>
  <c r="F37" i="25" s="1"/>
  <c r="K9" i="25"/>
  <c r="E28" i="25"/>
  <c r="L9" i="25"/>
  <c r="F28" i="25"/>
  <c r="H27" i="25"/>
  <c r="Q20" i="25"/>
  <c r="E29" i="25"/>
  <c r="L10" i="25"/>
  <c r="J12" i="25"/>
  <c r="F29" i="25" l="1"/>
  <c r="K10" i="25"/>
  <c r="Q22" i="25"/>
  <c r="C17" i="25"/>
  <c r="I17" i="25"/>
  <c r="K17" i="25" s="1"/>
  <c r="K20" i="25" s="1"/>
  <c r="M9" i="25"/>
  <c r="N9" i="25" s="1"/>
  <c r="D28" i="25" s="1"/>
  <c r="C18" i="25"/>
  <c r="E18" i="25" s="1"/>
  <c r="E17" i="25"/>
  <c r="L12" i="25"/>
  <c r="M10" i="25"/>
  <c r="K12" i="25"/>
  <c r="I27" i="25"/>
  <c r="G34" i="25"/>
  <c r="N10" i="25" l="1"/>
  <c r="M12" i="25"/>
  <c r="H28" i="25"/>
  <c r="I28" i="25" l="1"/>
  <c r="G35" i="25"/>
  <c r="D29" i="25"/>
  <c r="N12" i="25"/>
  <c r="H29" i="25" l="1"/>
  <c r="I29" i="25" l="1"/>
  <c r="G36" i="25"/>
  <c r="G37" i="25" s="1"/>
  <c r="E15" i="14" l="1"/>
  <c r="G21" i="14" s="1"/>
  <c r="H59" i="14" l="1"/>
  <c r="I59" i="14" s="1"/>
  <c r="J59" i="14" s="1"/>
  <c r="D23" i="14"/>
  <c r="H8" i="14" l="1"/>
  <c r="H5" i="19" l="1"/>
  <c r="H6" i="19"/>
  <c r="H8" i="19"/>
  <c r="H10" i="19" l="1"/>
  <c r="E18" i="1"/>
  <c r="G106" i="16" l="1"/>
  <c r="E116" i="18" l="1"/>
  <c r="F116" i="18"/>
  <c r="F10" i="15" l="1"/>
  <c r="H60" i="14" l="1"/>
  <c r="D46" i="18" l="1"/>
  <c r="G70" i="16" l="1"/>
  <c r="G72" i="16" s="1"/>
  <c r="I60" i="14"/>
  <c r="E120" i="14"/>
  <c r="E48" i="18"/>
  <c r="F73" i="18" s="1"/>
  <c r="F120" i="14"/>
  <c r="F95" i="14"/>
  <c r="E6" i="1"/>
  <c r="G136" i="16" s="1"/>
  <c r="H136" i="16" s="1"/>
  <c r="I136" i="16" s="1"/>
  <c r="J136" i="16" s="1"/>
  <c r="K136" i="16" s="1"/>
  <c r="G107" i="18"/>
  <c r="G26" i="18"/>
  <c r="F142" i="16"/>
  <c r="F69" i="16"/>
  <c r="F114" i="16"/>
  <c r="K106" i="16"/>
  <c r="J106" i="16"/>
  <c r="I106" i="16"/>
  <c r="H106" i="16"/>
  <c r="K98" i="16"/>
  <c r="J98" i="16"/>
  <c r="I98" i="16"/>
  <c r="H98" i="16"/>
  <c r="G98" i="16"/>
  <c r="D73" i="1"/>
  <c r="F76" i="14"/>
  <c r="D42" i="1"/>
  <c r="F136" i="16" s="1"/>
  <c r="D120" i="14"/>
  <c r="C31" i="14"/>
  <c r="C42" i="14" s="1"/>
  <c r="C32" i="14"/>
  <c r="C43" i="14" s="1"/>
  <c r="C33" i="14"/>
  <c r="C44" i="14" s="1"/>
  <c r="F176" i="16"/>
  <c r="F182" i="16" s="1"/>
  <c r="F188" i="16" s="1"/>
  <c r="F194" i="16" s="1"/>
  <c r="F200" i="16" s="1"/>
  <c r="G176" i="16"/>
  <c r="G182" i="16" s="1"/>
  <c r="G188" i="16" s="1"/>
  <c r="G194" i="16" s="1"/>
  <c r="G200" i="16" s="1"/>
  <c r="H176" i="16"/>
  <c r="H182" i="16" s="1"/>
  <c r="H188" i="16" s="1"/>
  <c r="H194" i="16" s="1"/>
  <c r="H200" i="16" s="1"/>
  <c r="I176" i="16"/>
  <c r="I182" i="16" s="1"/>
  <c r="I188" i="16" s="1"/>
  <c r="I194" i="16" s="1"/>
  <c r="I200" i="16" s="1"/>
  <c r="J176" i="16"/>
  <c r="J182" i="16" s="1"/>
  <c r="J188" i="16" s="1"/>
  <c r="J194" i="16" s="1"/>
  <c r="J200" i="16" s="1"/>
  <c r="E41" i="14"/>
  <c r="E42" i="14"/>
  <c r="E43" i="14"/>
  <c r="E44" i="14"/>
  <c r="D58" i="1"/>
  <c r="B43" i="1"/>
  <c r="C29" i="14" s="1"/>
  <c r="C40" i="14" s="1"/>
  <c r="B44" i="1"/>
  <c r="C30" i="14" s="1"/>
  <c r="C41" i="14" s="1"/>
  <c r="D95" i="14"/>
  <c r="D66" i="1"/>
  <c r="E73" i="1" s="1"/>
  <c r="K35" i="18"/>
  <c r="J35" i="18"/>
  <c r="I35" i="18"/>
  <c r="H35" i="18"/>
  <c r="G35" i="18"/>
  <c r="K12" i="15"/>
  <c r="C14" i="15"/>
  <c r="C15" i="15"/>
  <c r="C16" i="15" s="1"/>
  <c r="C17" i="15" s="1"/>
  <c r="C18" i="15" s="1"/>
  <c r="C19" i="15" s="1"/>
  <c r="C20" i="15" s="1"/>
  <c r="C21" i="15" s="1"/>
  <c r="E12" i="1"/>
  <c r="D43" i="1" s="1"/>
  <c r="F171" i="16"/>
  <c r="F177" i="16" s="1"/>
  <c r="G171" i="16"/>
  <c r="G177" i="16" s="1"/>
  <c r="H171" i="16"/>
  <c r="H183" i="16" s="1"/>
  <c r="H189" i="16" s="1"/>
  <c r="H195" i="16" s="1"/>
  <c r="H201" i="16" s="1"/>
  <c r="J171" i="16"/>
  <c r="J177" i="16" s="1"/>
  <c r="I171" i="16"/>
  <c r="I183" i="16" s="1"/>
  <c r="I189" i="16" s="1"/>
  <c r="I195" i="16" s="1"/>
  <c r="I201" i="16" s="1"/>
  <c r="J183" i="16" l="1"/>
  <c r="J189" i="16" s="1"/>
  <c r="J195" i="16" s="1"/>
  <c r="J201" i="16" s="1"/>
  <c r="I177" i="16"/>
  <c r="F110" i="14"/>
  <c r="F75" i="14"/>
  <c r="F109" i="14"/>
  <c r="F111" i="14"/>
  <c r="E24" i="1"/>
  <c r="D45" i="1" s="1"/>
  <c r="J139" i="16" s="1"/>
  <c r="D44" i="1"/>
  <c r="D11" i="17"/>
  <c r="F144" i="16"/>
  <c r="F146" i="16" s="1"/>
  <c r="E161" i="14"/>
  <c r="F96" i="16" s="1"/>
  <c r="F33" i="18" s="1"/>
  <c r="G144" i="16"/>
  <c r="H144" i="16" s="1"/>
  <c r="E37" i="1"/>
  <c r="D47" i="1" s="1"/>
  <c r="G141" i="16" s="1"/>
  <c r="H177" i="16"/>
  <c r="G56" i="18"/>
  <c r="H69" i="16"/>
  <c r="H6" i="18"/>
  <c r="F183" i="16"/>
  <c r="F189" i="16" s="1"/>
  <c r="F195" i="16" s="1"/>
  <c r="F201" i="16" s="1"/>
  <c r="G183" i="16"/>
  <c r="G189" i="16" s="1"/>
  <c r="G195" i="16" s="1"/>
  <c r="G201" i="16" s="1"/>
  <c r="H21" i="14"/>
  <c r="I21" i="14" s="1"/>
  <c r="J21" i="14" s="1"/>
  <c r="J60" i="14"/>
  <c r="G119" i="14"/>
  <c r="H119" i="14" s="1"/>
  <c r="I119" i="14" s="1"/>
  <c r="J119" i="14" s="1"/>
  <c r="G137" i="16"/>
  <c r="H137" i="16" s="1"/>
  <c r="I137" i="16" s="1"/>
  <c r="J137" i="16" s="1"/>
  <c r="K137" i="16" s="1"/>
  <c r="F137" i="16"/>
  <c r="E29" i="14"/>
  <c r="E31" i="1"/>
  <c r="H61" i="14" l="1"/>
  <c r="H75" i="16" s="1"/>
  <c r="H12" i="18" s="1"/>
  <c r="H141" i="16"/>
  <c r="E33" i="14"/>
  <c r="G33" i="14" s="1"/>
  <c r="H33" i="14" s="1"/>
  <c r="J33" i="14" s="1"/>
  <c r="D53" i="14" s="1"/>
  <c r="E53" i="14" s="1"/>
  <c r="D12" i="17"/>
  <c r="D27" i="17"/>
  <c r="F26" i="17" s="1"/>
  <c r="F37" i="16" s="1"/>
  <c r="J141" i="16"/>
  <c r="I141" i="16"/>
  <c r="F141" i="16"/>
  <c r="K141" i="16"/>
  <c r="D46" i="1"/>
  <c r="H140" i="16" s="1"/>
  <c r="J61" i="14"/>
  <c r="E85" i="14" s="1"/>
  <c r="G69" i="16"/>
  <c r="G6" i="18"/>
  <c r="H56" i="18"/>
  <c r="G57" i="18"/>
  <c r="G120" i="14"/>
  <c r="G139" i="16"/>
  <c r="F139" i="16"/>
  <c r="H139" i="16"/>
  <c r="E31" i="14"/>
  <c r="I139" i="16"/>
  <c r="K139" i="16"/>
  <c r="I144" i="16"/>
  <c r="E95" i="14"/>
  <c r="G95" i="14"/>
  <c r="H120" i="14"/>
  <c r="I23" i="14" l="1"/>
  <c r="E84" i="14" s="1"/>
  <c r="F84" i="14" s="1"/>
  <c r="F9" i="17" s="1"/>
  <c r="J23" i="14"/>
  <c r="F85" i="14"/>
  <c r="F25" i="17" s="1"/>
  <c r="F28" i="17" s="1"/>
  <c r="F36" i="17" s="1"/>
  <c r="G31" i="14"/>
  <c r="H31" i="14" s="1"/>
  <c r="J31" i="14" s="1"/>
  <c r="D51" i="14" s="1"/>
  <c r="I75" i="16"/>
  <c r="I12" i="18" s="1"/>
  <c r="G140" i="16"/>
  <c r="E32" i="14"/>
  <c r="F102" i="14" s="1"/>
  <c r="E102" i="14" s="1"/>
  <c r="F140" i="16"/>
  <c r="K140" i="16"/>
  <c r="I140" i="16"/>
  <c r="J140" i="16"/>
  <c r="I61" i="14"/>
  <c r="H57" i="18"/>
  <c r="G58" i="18"/>
  <c r="I6" i="18"/>
  <c r="I69" i="16"/>
  <c r="G75" i="16"/>
  <c r="G12" i="18" s="1"/>
  <c r="D49" i="14"/>
  <c r="E49" i="14" s="1"/>
  <c r="F70" i="14" s="1"/>
  <c r="E70" i="14" s="1"/>
  <c r="I33" i="14"/>
  <c r="G23" i="18"/>
  <c r="G145" i="16"/>
  <c r="H86" i="16"/>
  <c r="G79" i="16"/>
  <c r="G16" i="18" s="1"/>
  <c r="I79" i="16"/>
  <c r="I16" i="18" s="1"/>
  <c r="H79" i="16"/>
  <c r="H16" i="18" s="1"/>
  <c r="J144" i="16"/>
  <c r="J120" i="14"/>
  <c r="F128" i="14" s="1"/>
  <c r="I120" i="14"/>
  <c r="J79" i="16" l="1"/>
  <c r="J16" i="18" s="1"/>
  <c r="I31" i="14"/>
  <c r="F34" i="16"/>
  <c r="J75" i="16"/>
  <c r="J12" i="18" s="1"/>
  <c r="G32" i="14"/>
  <c r="H32" i="14" s="1"/>
  <c r="J32" i="14" s="1"/>
  <c r="D52" i="14" s="1"/>
  <c r="E52" i="14" s="1"/>
  <c r="G59" i="18"/>
  <c r="H58" i="18"/>
  <c r="K69" i="16"/>
  <c r="K6" i="18"/>
  <c r="J6" i="18"/>
  <c r="J69" i="16"/>
  <c r="F49" i="14"/>
  <c r="F104" i="14" s="1"/>
  <c r="E104" i="14" s="1"/>
  <c r="F74" i="14"/>
  <c r="E74" i="14" s="1"/>
  <c r="F53" i="14"/>
  <c r="F108" i="14" s="1"/>
  <c r="E108" i="14" s="1"/>
  <c r="H23" i="18"/>
  <c r="I86" i="16"/>
  <c r="H145" i="16"/>
  <c r="G146" i="16"/>
  <c r="K144" i="16"/>
  <c r="E51" i="14"/>
  <c r="F51" i="14"/>
  <c r="H95" i="14"/>
  <c r="E128" i="14"/>
  <c r="F44" i="16"/>
  <c r="G44" i="16" s="1"/>
  <c r="H44" i="16" s="1"/>
  <c r="F73" i="14" l="1"/>
  <c r="E73" i="14" s="1"/>
  <c r="G76" i="16"/>
  <c r="G13" i="18" s="1"/>
  <c r="F106" i="14"/>
  <c r="E106" i="14" s="1"/>
  <c r="F72" i="14"/>
  <c r="E72" i="14" s="1"/>
  <c r="G34" i="16"/>
  <c r="H34" i="16" s="1"/>
  <c r="I34" i="16" s="1"/>
  <c r="J34" i="16" s="1"/>
  <c r="K76" i="16" s="1"/>
  <c r="K13" i="18" s="1"/>
  <c r="F52" i="14"/>
  <c r="F107" i="14" s="1"/>
  <c r="E107" i="14" s="1"/>
  <c r="I32" i="14"/>
  <c r="I44" i="16"/>
  <c r="J44" i="16" s="1"/>
  <c r="K75" i="16"/>
  <c r="K12" i="18" s="1"/>
  <c r="K79" i="16"/>
  <c r="K16" i="18" s="1"/>
  <c r="E117" i="18"/>
  <c r="F117" i="18" s="1"/>
  <c r="G117" i="18" s="1"/>
  <c r="H117" i="18" s="1"/>
  <c r="G60" i="18"/>
  <c r="H59" i="18"/>
  <c r="J86" i="16"/>
  <c r="I23" i="18"/>
  <c r="I145" i="16"/>
  <c r="H146" i="16"/>
  <c r="J95" i="14"/>
  <c r="F127" i="14" s="1"/>
  <c r="E127" i="14" s="1"/>
  <c r="I95" i="14"/>
  <c r="G88" i="16"/>
  <c r="G25" i="18" s="1"/>
  <c r="H76" i="16" l="1"/>
  <c r="H13" i="18" s="1"/>
  <c r="I76" i="16"/>
  <c r="I13" i="18" s="1"/>
  <c r="J76" i="16"/>
  <c r="J13" i="18" s="1"/>
  <c r="G61" i="18"/>
  <c r="H61" i="18" s="1"/>
  <c r="H60" i="18"/>
  <c r="K86" i="16"/>
  <c r="K23" i="18" s="1"/>
  <c r="J23" i="18"/>
  <c r="J145" i="16"/>
  <c r="I146" i="16"/>
  <c r="F42" i="16"/>
  <c r="G42" i="16" s="1"/>
  <c r="H42" i="16" s="1"/>
  <c r="I42" i="16" s="1"/>
  <c r="J42" i="16" s="1"/>
  <c r="H88" i="16"/>
  <c r="H25" i="18" s="1"/>
  <c r="K145" i="16" l="1"/>
  <c r="K146" i="16" s="1"/>
  <c r="J146" i="16"/>
  <c r="I88" i="16"/>
  <c r="I25" i="18" s="1"/>
  <c r="J88" i="16" l="1"/>
  <c r="J25" i="18" s="1"/>
  <c r="K88" i="16"/>
  <c r="K25" i="18" s="1"/>
  <c r="D116" i="18" l="1"/>
  <c r="H70" i="16" l="1"/>
  <c r="G31" i="16"/>
  <c r="G50" i="16" l="1"/>
  <c r="H112" i="16" s="1"/>
  <c r="H72" i="16"/>
  <c r="H7" i="18"/>
  <c r="H9" i="18" s="1"/>
  <c r="I70" i="16"/>
  <c r="H31" i="16"/>
  <c r="G116" i="18"/>
  <c r="F50" i="16"/>
  <c r="G112" i="16" s="1"/>
  <c r="G7" i="18"/>
  <c r="G9" i="18" s="1"/>
  <c r="F151" i="14"/>
  <c r="H116" i="18" l="1"/>
  <c r="J70" i="16"/>
  <c r="I31" i="16"/>
  <c r="H50" i="16"/>
  <c r="I112" i="16" s="1"/>
  <c r="I72" i="16"/>
  <c r="I7" i="18"/>
  <c r="I9" i="18" s="1"/>
  <c r="I50" i="16" l="1"/>
  <c r="J112" i="16" s="1"/>
  <c r="J72" i="16"/>
  <c r="J7" i="18"/>
  <c r="J9" i="18" s="1"/>
  <c r="K70" i="16"/>
  <c r="J31" i="16"/>
  <c r="J50" i="16" l="1"/>
  <c r="K112" i="16" s="1"/>
  <c r="K7" i="18"/>
  <c r="K9" i="18" s="1"/>
  <c r="K72" i="16"/>
  <c r="K114" i="16" l="1"/>
  <c r="K116" i="16" s="1"/>
  <c r="J114" i="16" l="1"/>
  <c r="J116" i="16" s="1"/>
  <c r="F104" i="16" l="1"/>
  <c r="F8" i="15"/>
  <c r="D14" i="15" s="1"/>
  <c r="G13" i="15"/>
  <c r="E14" i="15" l="1"/>
  <c r="E137" i="14" s="1"/>
  <c r="D15" i="15"/>
  <c r="F14" i="15" l="1"/>
  <c r="D16" i="15"/>
  <c r="G14" i="15" l="1"/>
  <c r="E15" i="15" s="1"/>
  <c r="E138" i="14" s="1"/>
  <c r="F150" i="14" s="1"/>
  <c r="E150" i="14"/>
  <c r="D17" i="15"/>
  <c r="D18" i="15" l="1"/>
  <c r="F15" i="15"/>
  <c r="D19" i="15" l="1"/>
  <c r="G15" i="15"/>
  <c r="E16" i="15" l="1"/>
  <c r="E139" i="14" s="1"/>
  <c r="E140" i="14" s="1"/>
  <c r="D20" i="15"/>
  <c r="D21" i="15" l="1"/>
  <c r="F16" i="15"/>
  <c r="M14" i="15" l="1"/>
  <c r="G16" i="15"/>
  <c r="E17" i="15" l="1"/>
  <c r="F17" i="15" l="1"/>
  <c r="G17" i="15" l="1"/>
  <c r="E18" i="15" l="1"/>
  <c r="F18" i="15" s="1"/>
  <c r="G18" i="15" s="1"/>
  <c r="E19" i="15" l="1"/>
  <c r="F19" i="15" s="1"/>
  <c r="G19" i="15" s="1"/>
  <c r="E20" i="15" l="1"/>
  <c r="F20" i="15" s="1"/>
  <c r="G20" i="15" s="1"/>
  <c r="E21" i="15" l="1"/>
  <c r="F21" i="15" s="1"/>
  <c r="M15" i="15"/>
  <c r="G21" i="15" l="1"/>
  <c r="O14" i="15"/>
  <c r="P14" i="15" l="1"/>
  <c r="N14" i="15"/>
  <c r="F49" i="16" l="1"/>
  <c r="G111" i="16"/>
  <c r="F152" i="16" l="1"/>
  <c r="F149" i="16"/>
  <c r="F151" i="16" s="1"/>
  <c r="G110" i="16"/>
  <c r="G114" i="16" s="1"/>
  <c r="G116" i="16" s="1"/>
  <c r="F153" i="16" l="1"/>
  <c r="H114" i="16" l="1"/>
  <c r="H116" i="16" s="1"/>
  <c r="N15" i="15" l="1"/>
  <c r="I114" i="16" l="1"/>
  <c r="I116" i="16" s="1"/>
  <c r="O15" i="15"/>
  <c r="G138" i="16" l="1"/>
  <c r="E30" i="14" l="1"/>
  <c r="K138" i="16"/>
  <c r="F138" i="16"/>
  <c r="F143" i="16" s="1"/>
  <c r="J138" i="16"/>
  <c r="D48" i="1"/>
  <c r="E160" i="14" s="1"/>
  <c r="H138" i="16"/>
  <c r="I138" i="16"/>
  <c r="G30" i="14" l="1"/>
  <c r="H30" i="14" s="1"/>
  <c r="J30" i="14" s="1"/>
  <c r="F68" i="14"/>
  <c r="E68" i="14" s="1"/>
  <c r="F69" i="14"/>
  <c r="E69" i="14" s="1"/>
  <c r="F95" i="16"/>
  <c r="F32" i="18" s="1"/>
  <c r="F103" i="14"/>
  <c r="E103" i="14" s="1"/>
  <c r="I30" i="14" l="1"/>
  <c r="D50" i="14"/>
  <c r="D14" i="17"/>
  <c r="D15" i="17"/>
  <c r="H34" i="14"/>
  <c r="J34" i="14"/>
  <c r="I34" i="14"/>
  <c r="F50" i="14" l="1"/>
  <c r="F105" i="14" s="1"/>
  <c r="E50" i="14"/>
  <c r="F71" i="14" s="1"/>
  <c r="E71" i="14" s="1"/>
  <c r="D13" i="17" l="1"/>
  <c r="F10" i="17" s="1"/>
  <c r="E77" i="14"/>
  <c r="E86" i="14" s="1"/>
  <c r="F86" i="14" s="1"/>
  <c r="F77" i="14"/>
  <c r="G87" i="16"/>
  <c r="E105" i="14"/>
  <c r="F112" i="14"/>
  <c r="F129" i="14" s="1"/>
  <c r="G24" i="18" l="1"/>
  <c r="H87" i="16"/>
  <c r="E87" i="14"/>
  <c r="E148" i="14" s="1"/>
  <c r="F148" i="14" s="1"/>
  <c r="F87" i="14"/>
  <c r="F43" i="16"/>
  <c r="F152" i="14"/>
  <c r="E112" i="14"/>
  <c r="G78" i="16"/>
  <c r="F36" i="16" l="1"/>
  <c r="F38" i="16" s="1"/>
  <c r="F40" i="16" s="1"/>
  <c r="I87" i="16"/>
  <c r="H24" i="18"/>
  <c r="G43" i="16"/>
  <c r="F45" i="16"/>
  <c r="G85" i="16"/>
  <c r="G15" i="18"/>
  <c r="G142" i="16"/>
  <c r="H78" i="16"/>
  <c r="E129" i="14"/>
  <c r="E130" i="14" s="1"/>
  <c r="E149" i="14" s="1"/>
  <c r="F149" i="14" s="1"/>
  <c r="F130" i="14"/>
  <c r="F16" i="17" s="1"/>
  <c r="F18" i="17" s="1"/>
  <c r="F35" i="17" s="1"/>
  <c r="G77" i="16" l="1"/>
  <c r="G14" i="18" s="1"/>
  <c r="G17" i="18" s="1"/>
  <c r="G19" i="18" s="1"/>
  <c r="G36" i="16"/>
  <c r="H36" i="16" s="1"/>
  <c r="H15" i="18"/>
  <c r="I78" i="16"/>
  <c r="G90" i="16"/>
  <c r="G22" i="18"/>
  <c r="G27" i="18" s="1"/>
  <c r="G80" i="16"/>
  <c r="G82" i="16" s="1"/>
  <c r="E153" i="14"/>
  <c r="H142" i="16"/>
  <c r="G143" i="16"/>
  <c r="G38" i="16"/>
  <c r="G40" i="16" s="1"/>
  <c r="H43" i="16"/>
  <c r="H85" i="16"/>
  <c r="G45" i="16"/>
  <c r="F153" i="14"/>
  <c r="E162" i="14" s="1"/>
  <c r="D115" i="18"/>
  <c r="F38" i="17"/>
  <c r="F48" i="16"/>
  <c r="F53" i="16" s="1"/>
  <c r="F196" i="16"/>
  <c r="I24" i="18"/>
  <c r="J87" i="16"/>
  <c r="H77" i="16" l="1"/>
  <c r="H14" i="18" s="1"/>
  <c r="H17" i="18" s="1"/>
  <c r="H19" i="18" s="1"/>
  <c r="G122" i="16"/>
  <c r="E163" i="14"/>
  <c r="G92" i="16"/>
  <c r="G119" i="16" s="1"/>
  <c r="G121" i="16" s="1"/>
  <c r="F56" i="16"/>
  <c r="F97" i="16"/>
  <c r="F133" i="16"/>
  <c r="F134" i="16" s="1"/>
  <c r="F147" i="16" s="1"/>
  <c r="I142" i="16"/>
  <c r="H143" i="16"/>
  <c r="J24" i="18"/>
  <c r="K87" i="16"/>
  <c r="K24" i="18" s="1"/>
  <c r="E115" i="18"/>
  <c r="G48" i="16"/>
  <c r="G53" i="16" s="1"/>
  <c r="G196" i="16"/>
  <c r="H22" i="18"/>
  <c r="H80" i="16"/>
  <c r="H82" i="16" s="1"/>
  <c r="I15" i="18"/>
  <c r="J78" i="16"/>
  <c r="I43" i="16"/>
  <c r="H45" i="16"/>
  <c r="I85" i="16"/>
  <c r="I36" i="16"/>
  <c r="H38" i="16"/>
  <c r="H40" i="16" s="1"/>
  <c r="I77" i="16"/>
  <c r="G29" i="18"/>
  <c r="G37" i="18" s="1"/>
  <c r="F57" i="18" s="1"/>
  <c r="G124" i="16" l="1"/>
  <c r="G133" i="16" s="1"/>
  <c r="G134" i="16" s="1"/>
  <c r="D168" i="14"/>
  <c r="D169" i="14" s="1"/>
  <c r="E170" i="14"/>
  <c r="E169" i="14"/>
  <c r="H48" i="16"/>
  <c r="H53" i="16" s="1"/>
  <c r="H196" i="16"/>
  <c r="I22" i="18"/>
  <c r="F115" i="18"/>
  <c r="E118" i="18"/>
  <c r="J36" i="16"/>
  <c r="I38" i="16"/>
  <c r="I40" i="16" s="1"/>
  <c r="J77" i="16"/>
  <c r="J43" i="16"/>
  <c r="I45" i="16"/>
  <c r="J85" i="16"/>
  <c r="G56" i="16"/>
  <c r="G59" i="16" s="1"/>
  <c r="J142" i="16"/>
  <c r="I143" i="16"/>
  <c r="F61" i="16"/>
  <c r="G158" i="16" s="1"/>
  <c r="F202" i="16"/>
  <c r="I57" i="18"/>
  <c r="F67" i="18"/>
  <c r="I80" i="16"/>
  <c r="I82" i="16" s="1"/>
  <c r="I14" i="18"/>
  <c r="I17" i="18" s="1"/>
  <c r="I19" i="18" s="1"/>
  <c r="J15" i="18"/>
  <c r="K78" i="16"/>
  <c r="K15" i="18" s="1"/>
  <c r="F34" i="18"/>
  <c r="F35" i="18" s="1"/>
  <c r="F37" i="18" s="1"/>
  <c r="F56" i="18" s="1"/>
  <c r="F98" i="16"/>
  <c r="F100" i="16" s="1"/>
  <c r="G150" i="16"/>
  <c r="G151" i="16" s="1"/>
  <c r="G153" i="16" s="1"/>
  <c r="H89" i="16"/>
  <c r="H122" i="16" l="1"/>
  <c r="F62" i="16"/>
  <c r="G157" i="16" s="1"/>
  <c r="H156" i="16" s="1"/>
  <c r="G202" i="16"/>
  <c r="G61" i="16"/>
  <c r="H158" i="16" s="1"/>
  <c r="K142" i="16"/>
  <c r="K143" i="16" s="1"/>
  <c r="J143" i="16"/>
  <c r="F103" i="16"/>
  <c r="F106" i="16" s="1"/>
  <c r="F116" i="16" s="1"/>
  <c r="F119" i="16" s="1"/>
  <c r="F121" i="16" s="1"/>
  <c r="F124" i="16" s="1"/>
  <c r="F155" i="16"/>
  <c r="G115" i="18"/>
  <c r="F118" i="18"/>
  <c r="F82" i="18"/>
  <c r="E100" i="18" s="1"/>
  <c r="K77" i="16"/>
  <c r="J38" i="16"/>
  <c r="J40" i="16" s="1"/>
  <c r="F66" i="18"/>
  <c r="F81" i="18" s="1"/>
  <c r="I56" i="18"/>
  <c r="H150" i="16"/>
  <c r="H151" i="16" s="1"/>
  <c r="H153" i="16" s="1"/>
  <c r="I89" i="16"/>
  <c r="J45" i="16"/>
  <c r="K85" i="16"/>
  <c r="J14" i="18"/>
  <c r="J17" i="18" s="1"/>
  <c r="J19" i="18" s="1"/>
  <c r="J80" i="16"/>
  <c r="J82" i="16" s="1"/>
  <c r="J22" i="18"/>
  <c r="H26" i="18"/>
  <c r="H27" i="18" s="1"/>
  <c r="H29" i="18" s="1"/>
  <c r="H37" i="18" s="1"/>
  <c r="F58" i="18" s="1"/>
  <c r="H90" i="16"/>
  <c r="H92" i="16" s="1"/>
  <c r="I48" i="16"/>
  <c r="I53" i="16" s="1"/>
  <c r="I56" i="16" s="1"/>
  <c r="I196" i="16"/>
  <c r="H56" i="16"/>
  <c r="H100" i="16" l="1"/>
  <c r="H119" i="16" s="1"/>
  <c r="H121" i="16" s="1"/>
  <c r="H124" i="16" s="1"/>
  <c r="F178" i="16"/>
  <c r="F172" i="16"/>
  <c r="G147" i="16"/>
  <c r="F190" i="16" s="1"/>
  <c r="F68" i="18"/>
  <c r="I58" i="18"/>
  <c r="D99" i="18"/>
  <c r="F99" i="18"/>
  <c r="F100" i="18" s="1"/>
  <c r="K22" i="18"/>
  <c r="J196" i="16"/>
  <c r="J48" i="16"/>
  <c r="J53" i="16" s="1"/>
  <c r="G62" i="16"/>
  <c r="H157" i="16" s="1"/>
  <c r="I156" i="16" s="1"/>
  <c r="K14" i="18"/>
  <c r="K17" i="18" s="1"/>
  <c r="K19" i="18" s="1"/>
  <c r="K80" i="16"/>
  <c r="K82" i="16" s="1"/>
  <c r="H115" i="18"/>
  <c r="H118" i="18" s="1"/>
  <c r="G118" i="18"/>
  <c r="J89" i="16"/>
  <c r="I150" i="16"/>
  <c r="I151" i="16" s="1"/>
  <c r="I153" i="16" s="1"/>
  <c r="I59" i="16"/>
  <c r="K89" i="16"/>
  <c r="K26" i="18" s="1"/>
  <c r="J150" i="16"/>
  <c r="J151" i="16" s="1"/>
  <c r="J153" i="16" s="1"/>
  <c r="G19" i="16"/>
  <c r="H59" i="16"/>
  <c r="I26" i="18"/>
  <c r="I27" i="18" s="1"/>
  <c r="I29" i="18" s="1"/>
  <c r="I37" i="18" s="1"/>
  <c r="F59" i="18" s="1"/>
  <c r="I90" i="16"/>
  <c r="I92" i="16" s="1"/>
  <c r="I100" i="16" s="1"/>
  <c r="I119" i="16" s="1"/>
  <c r="I121" i="16" s="1"/>
  <c r="G155" i="16"/>
  <c r="F159" i="16"/>
  <c r="F160" i="16" s="1"/>
  <c r="F163" i="16" s="1"/>
  <c r="I122" i="16" l="1"/>
  <c r="H133" i="16"/>
  <c r="H134" i="16" s="1"/>
  <c r="G172" i="16" s="1"/>
  <c r="F184" i="16"/>
  <c r="I202" i="16"/>
  <c r="I61" i="16"/>
  <c r="I62" i="16" s="1"/>
  <c r="J157" i="16" s="1"/>
  <c r="H155" i="16"/>
  <c r="G159" i="16"/>
  <c r="G160" i="16" s="1"/>
  <c r="G163" i="16" s="1"/>
  <c r="G178" i="16"/>
  <c r="I19" i="16"/>
  <c r="H19" i="16"/>
  <c r="J26" i="18"/>
  <c r="J27" i="18" s="1"/>
  <c r="J29" i="18" s="1"/>
  <c r="J37" i="18" s="1"/>
  <c r="F60" i="18" s="1"/>
  <c r="J90" i="16"/>
  <c r="J92" i="16" s="1"/>
  <c r="J100" i="16" s="1"/>
  <c r="J119" i="16" s="1"/>
  <c r="J121" i="16" s="1"/>
  <c r="F69" i="18"/>
  <c r="I59" i="18"/>
  <c r="I124" i="16"/>
  <c r="H202" i="16"/>
  <c r="H61" i="16"/>
  <c r="I158" i="16" s="1"/>
  <c r="K27" i="18"/>
  <c r="K29" i="18" s="1"/>
  <c r="K37" i="18" s="1"/>
  <c r="F61" i="18" s="1"/>
  <c r="J56" i="16"/>
  <c r="K150" i="16" s="1"/>
  <c r="K151" i="16" s="1"/>
  <c r="K153" i="16" s="1"/>
  <c r="K90" i="16"/>
  <c r="K92" i="16" s="1"/>
  <c r="K100" i="16" s="1"/>
  <c r="K119" i="16" s="1"/>
  <c r="K121" i="16" s="1"/>
  <c r="F83" i="18"/>
  <c r="H147" i="16" l="1"/>
  <c r="F84" i="18"/>
  <c r="E101" i="18"/>
  <c r="F101" i="18" s="1"/>
  <c r="J158" i="16"/>
  <c r="I133" i="16"/>
  <c r="I134" i="16" s="1"/>
  <c r="J122" i="16"/>
  <c r="J124" i="16" s="1"/>
  <c r="H62" i="16"/>
  <c r="I157" i="16" s="1"/>
  <c r="J156" i="16" s="1"/>
  <c r="K156" i="16" s="1"/>
  <c r="F70" i="18"/>
  <c r="F75" i="18" s="1"/>
  <c r="I60" i="18"/>
  <c r="G190" i="16"/>
  <c r="G184" i="16"/>
  <c r="I155" i="16"/>
  <c r="H159" i="16"/>
  <c r="H160" i="16" s="1"/>
  <c r="H163" i="16" s="1"/>
  <c r="F71" i="18"/>
  <c r="F86" i="18" s="1"/>
  <c r="E104" i="18" s="1"/>
  <c r="I61" i="18"/>
  <c r="J59" i="16"/>
  <c r="E102" i="18" l="1"/>
  <c r="I62" i="18"/>
  <c r="J202" i="16"/>
  <c r="J61" i="16"/>
  <c r="J155" i="16"/>
  <c r="I159" i="16"/>
  <c r="I160" i="16" s="1"/>
  <c r="F85" i="18"/>
  <c r="F88" i="18" s="1"/>
  <c r="J133" i="16"/>
  <c r="J134" i="16" s="1"/>
  <c r="K122" i="16"/>
  <c r="K124" i="16" s="1"/>
  <c r="K133" i="16" s="1"/>
  <c r="K134" i="16" s="1"/>
  <c r="H178" i="16"/>
  <c r="H172" i="16"/>
  <c r="I147" i="16"/>
  <c r="F102" i="18" l="1"/>
  <c r="I163" i="16"/>
  <c r="K155" i="16"/>
  <c r="J159" i="16"/>
  <c r="J160" i="16" s="1"/>
  <c r="J62" i="16"/>
  <c r="K157" i="16" s="1"/>
  <c r="K158" i="16"/>
  <c r="I172" i="16"/>
  <c r="I178" i="16"/>
  <c r="J147" i="16"/>
  <c r="E103" i="18"/>
  <c r="H184" i="16"/>
  <c r="H190" i="16"/>
  <c r="J178" i="16"/>
  <c r="J172" i="16"/>
  <c r="K147" i="16"/>
  <c r="F103" i="18" l="1"/>
  <c r="F104" i="18" s="1"/>
  <c r="J163" i="16"/>
  <c r="K159" i="16"/>
  <c r="K160" i="16" s="1"/>
  <c r="K163" i="16" s="1"/>
  <c r="J190" i="16"/>
  <c r="J184" i="16"/>
  <c r="I190" i="16"/>
  <c r="I184" i="16"/>
  <c r="E20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<sst xmlns="http://schemas.openxmlformats.org/spreadsheetml/2006/main" count="761" uniqueCount="403">
  <si>
    <t>CANTIDAD</t>
  </si>
  <si>
    <t>TOTAL</t>
  </si>
  <si>
    <t xml:space="preserve"> </t>
  </si>
  <si>
    <t>Riesgos profesionales</t>
  </si>
  <si>
    <t>Prima</t>
  </si>
  <si>
    <t xml:space="preserve">Terrenos </t>
  </si>
  <si>
    <t>DESCRIPCIÓN</t>
  </si>
  <si>
    <t>COSTO</t>
  </si>
  <si>
    <t>Cuadro 1</t>
  </si>
  <si>
    <t>Terrenos (Compra de lote o terreno para Construcción)</t>
  </si>
  <si>
    <t>Cuadro 2</t>
  </si>
  <si>
    <t xml:space="preserve">Construcciones </t>
  </si>
  <si>
    <t>Construcciones y Edificaciones</t>
  </si>
  <si>
    <t>Cuadro 3</t>
  </si>
  <si>
    <t>Maquinaria y Equipos</t>
  </si>
  <si>
    <t>CONCEPTO</t>
  </si>
  <si>
    <t xml:space="preserve">VALOR UNITARIO </t>
  </si>
  <si>
    <t>VALOR TOTAL</t>
  </si>
  <si>
    <t>Cuadro 4</t>
  </si>
  <si>
    <t>Muebles y enseres</t>
  </si>
  <si>
    <t>Cuadro 5</t>
  </si>
  <si>
    <t>Equipos de oficina y comunicación</t>
  </si>
  <si>
    <t>VALOR UNITARIO</t>
  </si>
  <si>
    <t xml:space="preserve">VALOR TOTAL </t>
  </si>
  <si>
    <t>Cuadro 6</t>
  </si>
  <si>
    <t>Vehiculo</t>
  </si>
  <si>
    <t>Cuadro 7</t>
  </si>
  <si>
    <t>Inversión Fija</t>
  </si>
  <si>
    <t>VALOR</t>
  </si>
  <si>
    <t>Terreno</t>
  </si>
  <si>
    <t>Cuadro  4</t>
  </si>
  <si>
    <t>Equipos de oficina</t>
  </si>
  <si>
    <t>Cuadro  5</t>
  </si>
  <si>
    <t>Cuadro  6</t>
  </si>
  <si>
    <t>Cuadro 8</t>
  </si>
  <si>
    <t xml:space="preserve">Inversión Diferida </t>
  </si>
  <si>
    <t>Valor Amortización Anual (Por cinco años)</t>
  </si>
  <si>
    <t>Prorrateo de Costos y Gastos</t>
  </si>
  <si>
    <t>SERVICIOS PÚBLICOS Y ARRENDAMIENTOS</t>
  </si>
  <si>
    <t>PORCENTAJES DE PRORRATEO</t>
  </si>
  <si>
    <t>OPERATIVO</t>
  </si>
  <si>
    <t>ADMINISTRATIVO</t>
  </si>
  <si>
    <t>Gas</t>
  </si>
  <si>
    <t>Internet banda ancha</t>
  </si>
  <si>
    <t>Cuadro 9</t>
  </si>
  <si>
    <t>Costos y Gastos Mensuales</t>
  </si>
  <si>
    <t xml:space="preserve">SERVICIOS PÚBLICOS </t>
  </si>
  <si>
    <t xml:space="preserve">Cuadro </t>
  </si>
  <si>
    <t>Factor prestacional</t>
  </si>
  <si>
    <t>FACTOR</t>
  </si>
  <si>
    <t>SMLMV 2024</t>
  </si>
  <si>
    <t>Cesantías</t>
  </si>
  <si>
    <t>Auxilio de Transporte 2024</t>
  </si>
  <si>
    <t>Interés cesantías</t>
  </si>
  <si>
    <t>Vacaciones</t>
  </si>
  <si>
    <t>Parafiscales</t>
  </si>
  <si>
    <t>Salud y pensión</t>
  </si>
  <si>
    <t xml:space="preserve">Dotación </t>
  </si>
  <si>
    <t>TOTAL FACTOR PRESTACIONAL</t>
  </si>
  <si>
    <t>Cuadro</t>
  </si>
  <si>
    <t>Mano de Obra Directa</t>
  </si>
  <si>
    <t>ÍTEM</t>
  </si>
  <si>
    <t>SALARIO BÁSICO</t>
  </si>
  <si>
    <t>SUBSIDIO DE TRANSPORTE</t>
  </si>
  <si>
    <t>FACTOR PRESTACIONAL</t>
  </si>
  <si>
    <t>ASIGNACIÓN MENSUAL</t>
  </si>
  <si>
    <t>TOTAL ANUAL</t>
  </si>
  <si>
    <t>Básico</t>
  </si>
  <si>
    <t>UNITARIO</t>
  </si>
  <si>
    <t>Depreciaciones</t>
  </si>
  <si>
    <t>TIEMPO A DEPRECIAR</t>
  </si>
  <si>
    <t>VALOR DE SALVAMENTO</t>
  </si>
  <si>
    <t>VALOR A DEPRECIAR</t>
  </si>
  <si>
    <t>DEPRECIACIÓN MENSUAL</t>
  </si>
  <si>
    <t>DEPRECIACIÓN ANUAL</t>
  </si>
  <si>
    <t>Depreciación en línea recta</t>
  </si>
  <si>
    <t>DEPRECIACIÒN</t>
  </si>
  <si>
    <t>DISTRIBUCIÓN DEPRECIACIÓN</t>
  </si>
  <si>
    <t>AÑO</t>
  </si>
  <si>
    <t>Maquinaria y equipo</t>
  </si>
  <si>
    <t>Equipo de oficina</t>
  </si>
  <si>
    <t>Herramientas</t>
  </si>
  <si>
    <t>MATERIALES</t>
  </si>
  <si>
    <t>UNIDAD</t>
  </si>
  <si>
    <t>CANTIDAD MENSUAL REQUERIDA</t>
  </si>
  <si>
    <t>CONSUMO POR  unidad</t>
  </si>
  <si>
    <t>VALOR UNIDAD DE INSUMO</t>
  </si>
  <si>
    <t>COSTO POR UNIDAD</t>
  </si>
  <si>
    <t>COSTO ANUAL</t>
  </si>
  <si>
    <t>COSTO MENSUAL</t>
  </si>
  <si>
    <t>Costos Indirectos (De fabricación o Prestación del servicio)</t>
  </si>
  <si>
    <t>VALOR MENSUAL</t>
  </si>
  <si>
    <t>VALOR ANUAL</t>
  </si>
  <si>
    <t>Mantenimiento</t>
  </si>
  <si>
    <t>Seguros</t>
  </si>
  <si>
    <t>Depreciaciòn Construcciones</t>
  </si>
  <si>
    <t>Cuadro 13</t>
  </si>
  <si>
    <t>Depreciaciòn Maquinaria y Equipos</t>
  </si>
  <si>
    <t>Depreciación Muebles y enseres</t>
  </si>
  <si>
    <t>Depreciación Equipos de oficina</t>
  </si>
  <si>
    <t>Depreciación Herramientas</t>
  </si>
  <si>
    <t>Servicios</t>
  </si>
  <si>
    <t>Arrendamiento</t>
  </si>
  <si>
    <t>Total costos del producto (o Prestaciòn del servicio)</t>
  </si>
  <si>
    <t>Mano de Obra Directa MOD</t>
  </si>
  <si>
    <t>Cuadro 11</t>
  </si>
  <si>
    <t>Materia Prima</t>
  </si>
  <si>
    <t>Cuadro 14</t>
  </si>
  <si>
    <t xml:space="preserve">Costos Indirectos </t>
  </si>
  <si>
    <t>Cuadro 15</t>
  </si>
  <si>
    <t>Gasto de Personal Administrativo</t>
  </si>
  <si>
    <t>Gastos de Administración</t>
  </si>
  <si>
    <t>Arriendos</t>
  </si>
  <si>
    <t>Gasto de Personal Ventas</t>
  </si>
  <si>
    <t>Total Gastos de Administración y Ventas</t>
  </si>
  <si>
    <t>Cuadro 17</t>
  </si>
  <si>
    <t>Gasto de personal de ventas</t>
  </si>
  <si>
    <t>Cuadro 18</t>
  </si>
  <si>
    <t>Cuadro 19</t>
  </si>
  <si>
    <t>Gastos Financieros</t>
  </si>
  <si>
    <t>GASTOS FINANCIEROS</t>
  </si>
  <si>
    <t>VALOR MES</t>
  </si>
  <si>
    <t>Monto de Intereses mes 1</t>
  </si>
  <si>
    <t>Cuadro 25</t>
  </si>
  <si>
    <t>Monto de intereses mes 2</t>
  </si>
  <si>
    <t>monto de intereses mes 3</t>
  </si>
  <si>
    <t>Se debe explicar para cuantos meses necesita recursos</t>
  </si>
  <si>
    <t>Dígitar el número de meses para los cuales se necesita capital</t>
  </si>
  <si>
    <t>Capital de Trabajo</t>
  </si>
  <si>
    <t>CAPITAL DE TRABAJO</t>
  </si>
  <si>
    <t>VALOR A NECESITAR</t>
  </si>
  <si>
    <t>Costos del producto (Prestaciòn del servicio)</t>
  </si>
  <si>
    <t>Cuadro 16</t>
  </si>
  <si>
    <t>Gastos de Administración y Ventas</t>
  </si>
  <si>
    <t>Cuadro 20</t>
  </si>
  <si>
    <t>Cuadro 21</t>
  </si>
  <si>
    <t>Gravamen del 4 x 1.000</t>
  </si>
  <si>
    <t>Cuadro 32</t>
  </si>
  <si>
    <t>(Depreciaciones y amortizaciones)</t>
  </si>
  <si>
    <t>Cuadros 15 y 19</t>
  </si>
  <si>
    <t>Inversión Total</t>
  </si>
  <si>
    <t>INVERSIÓN TOTAL</t>
  </si>
  <si>
    <t xml:space="preserve">VALOR </t>
  </si>
  <si>
    <t>Inversión Diferida</t>
  </si>
  <si>
    <t>Inversión en Capital de Trabajo</t>
  </si>
  <si>
    <t>Cuadro 22</t>
  </si>
  <si>
    <t>APORTES</t>
  </si>
  <si>
    <t>Aportes de los socios</t>
  </si>
  <si>
    <t>Crédito a solicitar</t>
  </si>
  <si>
    <t>Deuda</t>
  </si>
  <si>
    <t>Amortización De Crédito</t>
  </si>
  <si>
    <t>VALOR A PRESTAR</t>
  </si>
  <si>
    <t>TIEMPO</t>
  </si>
  <si>
    <t>Meses</t>
  </si>
  <si>
    <t>TASA MENSUAL</t>
  </si>
  <si>
    <t>Mensual</t>
  </si>
  <si>
    <t>Efectivo Anual</t>
  </si>
  <si>
    <t>VALOR PAGO</t>
  </si>
  <si>
    <t>CUOTA</t>
  </si>
  <si>
    <t>PAGO</t>
  </si>
  <si>
    <t>INTERESES</t>
  </si>
  <si>
    <t>ABONO A CAPITAL</t>
  </si>
  <si>
    <t>SALDO</t>
  </si>
  <si>
    <t>Resumen del Crédito</t>
  </si>
  <si>
    <t>PAGOS</t>
  </si>
  <si>
    <t>Costos Fijos</t>
  </si>
  <si>
    <t>COSTOS FIJOS</t>
  </si>
  <si>
    <t>Costos Indirectos Fijos</t>
  </si>
  <si>
    <t xml:space="preserve">    Arriendo</t>
  </si>
  <si>
    <t xml:space="preserve">    Servicios</t>
  </si>
  <si>
    <t xml:space="preserve">    Depreciación</t>
  </si>
  <si>
    <t xml:space="preserve">    Mantenimiento</t>
  </si>
  <si>
    <t xml:space="preserve">    Seguros</t>
  </si>
  <si>
    <t>Gastos de administración y ventas</t>
  </si>
  <si>
    <t xml:space="preserve">Costos Variabes </t>
  </si>
  <si>
    <t>COSTOS VARIABLES</t>
  </si>
  <si>
    <t>Costos Indirectos Variables</t>
  </si>
  <si>
    <t xml:space="preserve">Costos Totales Unitarios </t>
  </si>
  <si>
    <t xml:space="preserve">COSTOS TOTALES UNITARIOS </t>
  </si>
  <si>
    <t>Total Anual de Costos Fijos</t>
  </si>
  <si>
    <t>Cuadro 27</t>
  </si>
  <si>
    <t>Total Anual de Costos Variables</t>
  </si>
  <si>
    <t>Cuadro 28</t>
  </si>
  <si>
    <t>PROYECCIONES A PRECIOS CONSTANTES</t>
  </si>
  <si>
    <t>Año Cero (hoy)</t>
  </si>
  <si>
    <t>Proyección de Unidades a Vender</t>
  </si>
  <si>
    <t>Mes</t>
  </si>
  <si>
    <t>Año</t>
  </si>
  <si>
    <t>Unidades a Vender</t>
  </si>
  <si>
    <t>Incremento anual en Servicios</t>
  </si>
  <si>
    <t>Cálculo del Precio de Venta</t>
  </si>
  <si>
    <t xml:space="preserve">AÑO 1 </t>
  </si>
  <si>
    <t>AÑO 2</t>
  </si>
  <si>
    <t>AÑO 3</t>
  </si>
  <si>
    <t>AÑO 4</t>
  </si>
  <si>
    <t>AÑO 5</t>
  </si>
  <si>
    <t>Costos Totales Unitarios</t>
  </si>
  <si>
    <t>Margen de Utilidad</t>
  </si>
  <si>
    <t>Precio de Venta</t>
  </si>
  <si>
    <t>REDONDEAR O AJUSTAR EL PRECIO DE VENTA</t>
  </si>
  <si>
    <t>Estado de Resultados Proyectado</t>
  </si>
  <si>
    <t>Ingresos Operacionales por ventas</t>
  </si>
  <si>
    <t>TOTAL INGRESOS</t>
  </si>
  <si>
    <t>Costos Indirectos de P. S Fijos</t>
  </si>
  <si>
    <t>Costos Indirectos de P. S Variables</t>
  </si>
  <si>
    <t>COSTOS DE PRESTACION SERVICIO</t>
  </si>
  <si>
    <t>UTILIDAD BRUTA</t>
  </si>
  <si>
    <t>Gastos de Personal</t>
  </si>
  <si>
    <t>Gastos de Personal de Ventas</t>
  </si>
  <si>
    <t>GASTOS DE ADMINISTRACIÓN Y VENTAS</t>
  </si>
  <si>
    <t>UTILIDAD OPERACIONAL</t>
  </si>
  <si>
    <t>Cuadro 26</t>
  </si>
  <si>
    <t xml:space="preserve">Otros Ingresos </t>
  </si>
  <si>
    <t>UTILIDAD ANTES DE IMPUESTO</t>
  </si>
  <si>
    <t>Provisión para Impuestos</t>
  </si>
  <si>
    <t>UTILIDAD NETA</t>
  </si>
  <si>
    <t xml:space="preserve">RESERVAS </t>
  </si>
  <si>
    <t>UTILIDAD DEL EJERCICIO</t>
  </si>
  <si>
    <t>Flujo de Caja Proyectado</t>
  </si>
  <si>
    <t>Ingresos operacionales</t>
  </si>
  <si>
    <t>Recuperación de Cartera</t>
  </si>
  <si>
    <t>Total de Ingresos Operacionales</t>
  </si>
  <si>
    <t>Pagos de Costos</t>
  </si>
  <si>
    <t>Pago de Materia Prima</t>
  </si>
  <si>
    <t>Pago de Mano de Obra Directa</t>
  </si>
  <si>
    <t>Pago Costos Indirectos Fijos</t>
  </si>
  <si>
    <t>Pago Costos Indirectos Variables</t>
  </si>
  <si>
    <t>Total Pagos de Costos Operacionales</t>
  </si>
  <si>
    <t>FLUJO DE CAJA OPERACIONAL BRUTO</t>
  </si>
  <si>
    <t>Pagos de Gastos</t>
  </si>
  <si>
    <t>Pago de Gastos de Administración</t>
  </si>
  <si>
    <t>Amortizaciones</t>
  </si>
  <si>
    <t>Pago de Gastos de Ventas</t>
  </si>
  <si>
    <t>Pago de Impuestos</t>
  </si>
  <si>
    <t>Total Pago de Gastos Operacionales</t>
  </si>
  <si>
    <t>FLUJO DE CAJA OPERACIONAL NETO</t>
  </si>
  <si>
    <t>Inversiones</t>
  </si>
  <si>
    <t>Total de Inversiones</t>
  </si>
  <si>
    <t>FLUJO DE CAJA LIBRE</t>
  </si>
  <si>
    <t>Financiación</t>
  </si>
  <si>
    <t>Aportes de  los socios</t>
  </si>
  <si>
    <t>Crédito Financiero</t>
  </si>
  <si>
    <t>Otras Fuentes (Valor en libros de Activos)</t>
  </si>
  <si>
    <t>Total Ingresos de Financiación</t>
  </si>
  <si>
    <t>Egresos de Financiación</t>
  </si>
  <si>
    <t>Abonos a capital</t>
  </si>
  <si>
    <t>Pago de Intereses</t>
  </si>
  <si>
    <t>Pago de Utilidades</t>
  </si>
  <si>
    <t>Total Egresos de Financiación</t>
  </si>
  <si>
    <t>FLUJO DE CAJA DE FINANCIACIÓN</t>
  </si>
  <si>
    <t>FLUJO NETO DE CAJA</t>
  </si>
  <si>
    <t>Flujo de caja del período</t>
  </si>
  <si>
    <t xml:space="preserve">Saldo anterior de Caja y Bancos </t>
  </si>
  <si>
    <t>SALDO FINAL DE CAJA Y BANCOS</t>
  </si>
  <si>
    <t>Estado de Perdidas y Ganancias</t>
  </si>
  <si>
    <t>Caja y Bancos</t>
  </si>
  <si>
    <t>Total Activo Corriente</t>
  </si>
  <si>
    <t>Terrenos</t>
  </si>
  <si>
    <t>Construcciones</t>
  </si>
  <si>
    <t>Maquinaria y Equipo</t>
  </si>
  <si>
    <t>Muebles y Enseres</t>
  </si>
  <si>
    <t>Equipos de Oficina</t>
  </si>
  <si>
    <t>Depreciación Acumulada</t>
  </si>
  <si>
    <t>Total Activo Fijo Neto</t>
  </si>
  <si>
    <t>Inversión diferida</t>
  </si>
  <si>
    <t>Amorización diferida</t>
  </si>
  <si>
    <t>Activo Diferido Neto</t>
  </si>
  <si>
    <t>ACTIVO TOTAL</t>
  </si>
  <si>
    <t>Obligaciones Financieras</t>
  </si>
  <si>
    <t>Impuestos por pagar</t>
  </si>
  <si>
    <t>Total Pasivo Corriente</t>
  </si>
  <si>
    <t>Obligaciones de Largo Plazo</t>
  </si>
  <si>
    <t>PASIVO TOTAL</t>
  </si>
  <si>
    <t>Aportes Sociales</t>
  </si>
  <si>
    <t>Utilidades Ejercicios Anteriores</t>
  </si>
  <si>
    <t>Utilidades del Presente Ejercicio</t>
  </si>
  <si>
    <t>Reservas (20%  de las utiliades del ejercicio)</t>
  </si>
  <si>
    <t>PATRIMONIO TOTAL</t>
  </si>
  <si>
    <t>TOTAL PASIVO + PATRIMONIO</t>
  </si>
  <si>
    <t>VERIFICACIÓN DE SALDOS</t>
  </si>
  <si>
    <t>La verificación de saldos debe ser igual a cero</t>
  </si>
  <si>
    <t>RAZONES FINANCIERAS</t>
  </si>
  <si>
    <t>RAZÓN CORRIENTE</t>
  </si>
  <si>
    <t>NIVEL DE ENDEUDAMIENTO</t>
  </si>
  <si>
    <t>ROTACIÓN DE ACTIVOS</t>
  </si>
  <si>
    <t>MARGEN BRUTO DE GANANCIA</t>
  </si>
  <si>
    <t>MARGEN NETO DE UTILIDAD</t>
  </si>
  <si>
    <t>Tomado de Cuadro 33</t>
  </si>
  <si>
    <t>Flujo de Caja Libre</t>
  </si>
  <si>
    <t>Cálculo de la Tasa de Descuento o Tasa de Oportunidad</t>
  </si>
  <si>
    <t>DTF</t>
  </si>
  <si>
    <t>TO</t>
  </si>
  <si>
    <t>Tasa de Descuento o Tasa de Oportunidad</t>
  </si>
  <si>
    <t>Cálculo del Valor Presente Neto VPN</t>
  </si>
  <si>
    <t>Forma de Cálculo 1</t>
  </si>
  <si>
    <t>FLUJO ESPERADO</t>
  </si>
  <si>
    <t>TASA DE DESCUENTO</t>
  </si>
  <si>
    <t>FACTOR DE DESCUENTO</t>
  </si>
  <si>
    <t>VALOR ACTUAL</t>
  </si>
  <si>
    <t>VALOR PRESENTE NETO</t>
  </si>
  <si>
    <t>Forma de Cálculo 2</t>
  </si>
  <si>
    <t>Año 0</t>
  </si>
  <si>
    <t>Año 1</t>
  </si>
  <si>
    <t>Año 2</t>
  </si>
  <si>
    <t>año 3</t>
  </si>
  <si>
    <t>Año 4</t>
  </si>
  <si>
    <t>Año 5</t>
  </si>
  <si>
    <t>TASA</t>
  </si>
  <si>
    <t>VPN</t>
  </si>
  <si>
    <t>Cálculo de la Tasa Interna de Retorno TIR</t>
  </si>
  <si>
    <t>TIR</t>
  </si>
  <si>
    <t>Cálculo de Periodo de Recuperación de la Inversión PRI</t>
  </si>
  <si>
    <t>Periodo</t>
  </si>
  <si>
    <t>Inversión</t>
  </si>
  <si>
    <t>Flujo Caja Anual</t>
  </si>
  <si>
    <t>Inversión - F.Caja</t>
  </si>
  <si>
    <t>Años</t>
  </si>
  <si>
    <t>Año 3</t>
  </si>
  <si>
    <t>PRI</t>
  </si>
  <si>
    <t>Cálculo Punto de Equilibrio Qu</t>
  </si>
  <si>
    <t>PUNTO DE EQUILIBRIO</t>
  </si>
  <si>
    <t>Precio de venta</t>
  </si>
  <si>
    <t>Costo Variable Unitario</t>
  </si>
  <si>
    <t>Qu</t>
  </si>
  <si>
    <t>Insumos para la prestación del servicio</t>
  </si>
  <si>
    <t>Riesgo del mercado</t>
  </si>
  <si>
    <t>Total equipos y utensilios</t>
  </si>
  <si>
    <t>Unidad</t>
  </si>
  <si>
    <t xml:space="preserve">Zona de venta de comida saludable </t>
  </si>
  <si>
    <t>Total</t>
  </si>
  <si>
    <t>Valor unitario COP</t>
  </si>
  <si>
    <t>Área(m^2) c/u</t>
  </si>
  <si>
    <t>Cantidad</t>
  </si>
  <si>
    <t>Descripción</t>
  </si>
  <si>
    <t>Equipo</t>
  </si>
  <si>
    <t xml:space="preserve">TOTAL </t>
  </si>
  <si>
    <t xml:space="preserve">Salario neto mensual (Incluye prestaciones) </t>
  </si>
  <si>
    <t xml:space="preserve">Auxilio de transporte </t>
  </si>
  <si>
    <t xml:space="preserve">Salario básico </t>
  </si>
  <si>
    <t>Q</t>
  </si>
  <si>
    <t>Cargo</t>
  </si>
  <si>
    <t xml:space="preserve">Salario total anual </t>
  </si>
  <si>
    <t>Salario total mensual</t>
  </si>
  <si>
    <t>Prestaciones sociales</t>
  </si>
  <si>
    <t>Aportes parafiscales</t>
  </si>
  <si>
    <t xml:space="preserve">Seguridad social </t>
  </si>
  <si>
    <t xml:space="preserve">Neto a pagar </t>
  </si>
  <si>
    <t xml:space="preserve">DOTACIÓN </t>
  </si>
  <si>
    <t xml:space="preserve">VACACIONES </t>
  </si>
  <si>
    <t xml:space="preserve">PRIMA DE SERVICIOS </t>
  </si>
  <si>
    <t xml:space="preserve">SENA </t>
  </si>
  <si>
    <t xml:space="preserve">INTERESES CESANTÍAS </t>
  </si>
  <si>
    <t xml:space="preserve">ICBF </t>
  </si>
  <si>
    <t xml:space="preserve">PENSIÓN </t>
  </si>
  <si>
    <t xml:space="preserve">CESANTÍAS </t>
  </si>
  <si>
    <t xml:space="preserve">CAJA DE COMPENSACIÓN </t>
  </si>
  <si>
    <t xml:space="preserve">SALUD </t>
  </si>
  <si>
    <t xml:space="preserve">PROVISIÓN MENSUAL </t>
  </si>
  <si>
    <t xml:space="preserve">% </t>
  </si>
  <si>
    <t xml:space="preserve">BASE </t>
  </si>
  <si>
    <t xml:space="preserve">CONCEPTO </t>
  </si>
  <si>
    <t>%</t>
  </si>
  <si>
    <t xml:space="preserve">PROVISIÓN PRESTACIONES SOCIALES </t>
  </si>
  <si>
    <t xml:space="preserve">PROVISIÓN APORTES PARAFISCALES </t>
  </si>
  <si>
    <t xml:space="preserve">PROVISIÓN SEGURIDAD SOCIAL </t>
  </si>
  <si>
    <t xml:space="preserve">TOTAL DEDUCIDO </t>
  </si>
  <si>
    <t>IBC</t>
  </si>
  <si>
    <t xml:space="preserve">TOTAL DEVENGADO </t>
  </si>
  <si>
    <t xml:space="preserve">H. extras y recargos </t>
  </si>
  <si>
    <t xml:space="preserve">Vacaciones </t>
  </si>
  <si>
    <t xml:space="preserve">Sueldo </t>
  </si>
  <si>
    <t xml:space="preserve">Días laborados </t>
  </si>
  <si>
    <t>Salario base</t>
  </si>
  <si>
    <t xml:space="preserve">Cargo </t>
  </si>
  <si>
    <t xml:space="preserve">NETO A PAGAR </t>
  </si>
  <si>
    <t xml:space="preserve">DEDUCIDOS </t>
  </si>
  <si>
    <t xml:space="preserve">DEVENGADOS </t>
  </si>
  <si>
    <t>INFORMACIÓN GENERAL PRIMER AÑO</t>
  </si>
  <si>
    <t xml:space="preserve">Salario integral </t>
  </si>
  <si>
    <t xml:space="preserve">Variables básicas </t>
  </si>
  <si>
    <t>SMLMV 2025</t>
  </si>
  <si>
    <t>Aux Trans 2025</t>
  </si>
  <si>
    <t>Mensajero 1</t>
  </si>
  <si>
    <t>Mensajero 2</t>
  </si>
  <si>
    <t>Mensajero 3</t>
  </si>
  <si>
    <t>ARL OPERATIVOS (III)</t>
  </si>
  <si>
    <t>Motocicleta</t>
  </si>
  <si>
    <t>Boxer CT 100 KS</t>
  </si>
  <si>
    <t>Gps</t>
  </si>
  <si>
    <t>Casco abatible</t>
  </si>
  <si>
    <t>Celular corporativo</t>
  </si>
  <si>
    <t>Casco abatible ICH 3120 Straxis</t>
  </si>
  <si>
    <t xml:space="preserve">GPS para motos Atlas Vivo Seguro (1672871YQX) </t>
  </si>
  <si>
    <t>Dispositivo Movil</t>
  </si>
  <si>
    <t>Mensajero</t>
  </si>
  <si>
    <t>Gasolina</t>
  </si>
  <si>
    <t>Gl</t>
  </si>
  <si>
    <t xml:space="preserve">Aceite </t>
  </si>
  <si>
    <t>Lt</t>
  </si>
  <si>
    <t>Plan de ventas</t>
  </si>
  <si>
    <t>Socios,fondos</t>
  </si>
  <si>
    <t>ESTRUCTURA SALARIAL DE SPIN-OFF DOMICILIOS</t>
  </si>
  <si>
    <t xml:space="preserve">En 7 meses se recupera la inversión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</si>
</sst>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&quot;$&quot;\ #,##0.00_);[Red]\(&quot;$&quot;\ #,##0.00\)"/>
    <numFmt numFmtId="165" formatCode="_(&quot;$&quot;\ * #,##0_);_(&quot;$&quot;\ * \(#,##0\);_(&quot;$&quot;\ * &quot;-&quot;_);_(@_)"/>
    <numFmt numFmtId="166" formatCode="_(&quot;$&quot;\ * #,##0.00_);_(&quot;$&quot;\ * \(#,##0.00\);_(&quot;$&quot;\ * &quot;-&quot;??_);_(@_)"/>
    <numFmt numFmtId="167" formatCode="_ &quot;$&quot;\ * #,##0.00_ ;_ &quot;$&quot;\ * \-#,##0.00_ ;_ &quot;$&quot;\ * &quot;-&quot;??_ ;_ @_ "/>
    <numFmt numFmtId="168" formatCode="_ &quot;$&quot;\ * #,##0_ ;_ &quot;$&quot;\ * \-#,##0_ ;_ &quot;$&quot;\ * &quot;-&quot;??_ ;_ @_ "/>
    <numFmt numFmtId="169" formatCode="_ [$€-2]\ * #,##0.00_ ;_ [$€-2]\ * \-#,##0.00_ ;_ [$€-2]\ * &quot;-&quot;??_ "/>
    <numFmt numFmtId="170" formatCode="_-[$$-240A]\ * #,##0_ ;_-[$$-240A]\ * \-#,##0\ ;_-[$$-240A]\ * &quot;-&quot;_ ;_-@_ "/>
    <numFmt numFmtId="171" formatCode="_-[$$-240A]\ * #,##0.00_ ;_-[$$-240A]\ * \-#,##0.00\ ;_-[$$-240A]\ * &quot;-&quot;_ ;_-@_ "/>
    <numFmt numFmtId="172" formatCode="0.000000"/>
    <numFmt numFmtId="173" formatCode="_([$$-240A]\ * #,##0.00_);_([$$-240A]\ * \(#,##0.00\);_([$$-240A]\ * &quot;-&quot;??_);_(@_)"/>
    <numFmt numFmtId="174" formatCode="#,##0.0000"/>
    <numFmt numFmtId="175" formatCode="&quot;$&quot;\ #,##0"/>
    <numFmt numFmtId="176" formatCode="&quot;$&quot;\ #,##0.00"/>
    <numFmt numFmtId="177" formatCode="&quot;$&quot;\ #,##0_);[Red]\(&quot;$&quot;\ #,##0\)"/>
    <numFmt numFmtId="178" formatCode="_([$$-409]* #,##0_);_([$$-409]* \(#,##0\);_([$$-409]* &quot;-&quot;??_);_(@_)"/>
    <numFmt numFmtId="179" formatCode="_-&quot;$&quot;\ * #,##0_-;\-&quot;$&quot;\ * #,##0_-;_-&quot;$&quot;\ * &quot;-&quot;??_-;_-@_-"/>
    <numFmt numFmtId="180" formatCode="_-&quot;$&quot;\ * #,##0_-;\-&quot;$&quot;\ * #,##0_-;_-&quot;$&quot;\ * &quot;-&quot;_-;_-@"/>
    <numFmt numFmtId="181" formatCode="_-&quot;$&quot;\ * #,##0.00_-;\-&quot;$&quot;\ * #,##0.00_-;_-&quot;$&quot;\ * &quot;-&quot;??_-;_-@"/>
    <numFmt numFmtId="182" formatCode="0.0%"/>
    <numFmt numFmtId="183" formatCode="0.0"/>
  </numFmts>
  <fonts count="3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 Narrow"/>
      <family val="2"/>
    </font>
    <font>
      <sz val="8"/>
      <name val="Arial"/>
      <family val="2"/>
    </font>
    <font>
      <b/>
      <sz val="10"/>
      <name val="Arial Narrow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6"/>
      <name val="Arial"/>
      <family val="2"/>
    </font>
    <font>
      <sz val="11"/>
      <color indexed="8"/>
      <name val="Calibri"/>
      <family val="2"/>
    </font>
    <font>
      <b/>
      <sz val="9.5"/>
      <name val="Arial"/>
      <family val="2"/>
    </font>
    <font>
      <b/>
      <sz val="9"/>
      <name val="Arial"/>
      <family val="2"/>
    </font>
    <font>
      <b/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2"/>
      <color theme="9" tint="-0.249977111117893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20"/>
      <name val="Times New Roman"/>
      <family val="1"/>
    </font>
    <font>
      <b/>
      <sz val="20"/>
      <color theme="1"/>
      <name val="Times New Roman"/>
      <family val="1"/>
    </font>
    <font>
      <sz val="11"/>
      <name val="Times New Roman"/>
      <family val="1"/>
    </font>
    <font>
      <b/>
      <sz val="10"/>
      <color theme="1"/>
      <name val="Times New Roman"/>
      <family val="1"/>
    </font>
    <font>
      <sz val="11"/>
      <color rgb="FFFF0000"/>
      <name val="Times New Roman"/>
      <family val="1"/>
    </font>
    <font>
      <b/>
      <sz val="11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rgb="FFE7E6E6"/>
      </patternFill>
    </fill>
    <fill>
      <patternFill patternType="solid">
        <fgColor theme="2"/>
        <bgColor rgb="FFFFFF00"/>
      </patternFill>
    </fill>
    <fill>
      <patternFill patternType="solid">
        <fgColor theme="0"/>
        <bgColor rgb="FFD9E2F3"/>
      </patternFill>
    </fill>
    <fill>
      <patternFill patternType="solid">
        <fgColor theme="7" tint="0.59999389629810485"/>
        <bgColor rgb="FFD9E2F3"/>
      </patternFill>
    </fill>
    <fill>
      <patternFill patternType="solid">
        <fgColor theme="7" tint="0.59999389629810485"/>
        <bgColor rgb="FFB4C6E7"/>
      </patternFill>
    </fill>
    <fill>
      <patternFill patternType="solid">
        <fgColor theme="7" tint="0.59999389629810485"/>
        <bgColor theme="0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</borders>
  <cellStyleXfs count="10">
    <xf numFmtId="0" fontId="0" fillId="0" borderId="0"/>
    <xf numFmtId="169" fontId="3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167" fontId="3" fillId="0" borderId="0" applyFont="0" applyFill="0" applyBorder="0" applyAlignment="0" applyProtection="0"/>
    <xf numFmtId="166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485">
    <xf numFmtId="0" fontId="0" fillId="0" borderId="0" xfId="0"/>
    <xf numFmtId="168" fontId="9" fillId="0" borderId="0" xfId="3" applyNumberFormat="1" applyFont="1" applyFill="1" applyBorder="1" applyAlignment="1" applyProtection="1">
      <alignment horizontal="right" vertical="top" wrapText="1"/>
    </xf>
    <xf numFmtId="166" fontId="0" fillId="0" borderId="1" xfId="4" applyFont="1" applyFill="1" applyBorder="1" applyAlignment="1" applyProtection="1">
      <alignment horizontal="center" vertical="center"/>
    </xf>
    <xf numFmtId="165" fontId="3" fillId="0" borderId="1" xfId="3" applyNumberFormat="1" applyFont="1" applyFill="1" applyBorder="1" applyAlignment="1" applyProtection="1">
      <alignment horizontal="right" vertical="top" wrapText="1"/>
    </xf>
    <xf numFmtId="10" fontId="3" fillId="0" borderId="2" xfId="5" applyNumberFormat="1" applyFont="1" applyFill="1" applyBorder="1" applyAlignment="1" applyProtection="1">
      <alignment horizontal="center"/>
    </xf>
    <xf numFmtId="165" fontId="3" fillId="0" borderId="2" xfId="3" applyNumberFormat="1" applyFont="1" applyFill="1" applyBorder="1" applyAlignment="1" applyProtection="1">
      <alignment horizontal="center" vertical="top" wrapText="1"/>
    </xf>
    <xf numFmtId="10" fontId="3" fillId="0" borderId="3" xfId="5" applyNumberFormat="1" applyFont="1" applyFill="1" applyBorder="1" applyProtection="1"/>
    <xf numFmtId="2" fontId="3" fillId="0" borderId="0" xfId="5" applyNumberFormat="1" applyFont="1" applyFill="1" applyBorder="1" applyAlignment="1" applyProtection="1">
      <alignment horizontal="center"/>
    </xf>
    <xf numFmtId="166" fontId="3" fillId="0" borderId="0" xfId="4" applyFont="1" applyFill="1" applyBorder="1" applyAlignment="1" applyProtection="1">
      <alignment horizontal="center" vertical="center"/>
    </xf>
    <xf numFmtId="168" fontId="3" fillId="0" borderId="0" xfId="3" applyNumberFormat="1" applyFont="1" applyFill="1"/>
    <xf numFmtId="167" fontId="3" fillId="0" borderId="0" xfId="3" applyFont="1" applyFill="1"/>
    <xf numFmtId="168" fontId="3" fillId="0" borderId="0" xfId="3" applyNumberFormat="1" applyFont="1" applyFill="1" applyBorder="1" applyAlignment="1"/>
    <xf numFmtId="168" fontId="3" fillId="0" borderId="0" xfId="3" applyNumberFormat="1" applyFont="1" applyFill="1" applyBorder="1" applyProtection="1"/>
    <xf numFmtId="0" fontId="3" fillId="0" borderId="0" xfId="0" applyFont="1"/>
    <xf numFmtId="0" fontId="9" fillId="0" borderId="0" xfId="0" applyFont="1"/>
    <xf numFmtId="0" fontId="8" fillId="0" borderId="0" xfId="0" applyFont="1"/>
    <xf numFmtId="0" fontId="9" fillId="0" borderId="1" xfId="0" applyFont="1" applyBorder="1" applyAlignment="1">
      <alignment horizontal="center"/>
    </xf>
    <xf numFmtId="170" fontId="3" fillId="0" borderId="1" xfId="0" applyNumberFormat="1" applyFont="1" applyBorder="1"/>
    <xf numFmtId="0" fontId="11" fillId="0" borderId="0" xfId="0" applyFont="1"/>
    <xf numFmtId="170" fontId="9" fillId="0" borderId="1" xfId="0" applyNumberFormat="1" applyFont="1" applyBorder="1"/>
    <xf numFmtId="0" fontId="9" fillId="0" borderId="1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165" fontId="20" fillId="0" borderId="1" xfId="0" applyNumberFormat="1" applyFont="1" applyBorder="1" applyAlignment="1">
      <alignment vertical="center"/>
    </xf>
    <xf numFmtId="0" fontId="3" fillId="0" borderId="1" xfId="0" applyFont="1" applyBorder="1"/>
    <xf numFmtId="0" fontId="3" fillId="0" borderId="1" xfId="0" applyFont="1" applyBorder="1" applyAlignment="1">
      <alignment vertical="top" wrapText="1"/>
    </xf>
    <xf numFmtId="0" fontId="3" fillId="0" borderId="2" xfId="0" applyFont="1" applyBorder="1" applyAlignment="1">
      <alignment horizontal="center" vertical="top" wrapText="1"/>
    </xf>
    <xf numFmtId="165" fontId="3" fillId="0" borderId="1" xfId="0" applyNumberFormat="1" applyFont="1" applyBorder="1"/>
    <xf numFmtId="0" fontId="9" fillId="0" borderId="2" xfId="0" applyFont="1" applyBorder="1" applyAlignment="1">
      <alignment horizontal="center"/>
    </xf>
    <xf numFmtId="165" fontId="9" fillId="0" borderId="1" xfId="0" applyNumberFormat="1" applyFont="1" applyBorder="1"/>
    <xf numFmtId="178" fontId="0" fillId="0" borderId="0" xfId="0" applyNumberFormat="1"/>
    <xf numFmtId="0" fontId="3" fillId="0" borderId="2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170" fontId="3" fillId="0" borderId="0" xfId="0" applyNumberFormat="1" applyFont="1"/>
    <xf numFmtId="0" fontId="9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165" fontId="9" fillId="0" borderId="1" xfId="3" applyNumberFormat="1" applyFont="1" applyFill="1" applyBorder="1" applyAlignment="1" applyProtection="1">
      <alignment horizontal="right" vertical="top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left" vertical="top" wrapText="1"/>
    </xf>
    <xf numFmtId="168" fontId="9" fillId="0" borderId="1" xfId="3" applyNumberFormat="1" applyFont="1" applyFill="1" applyBorder="1" applyAlignment="1" applyProtection="1">
      <alignment horizontal="center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justify" vertical="top" wrapText="1"/>
    </xf>
    <xf numFmtId="0" fontId="3" fillId="0" borderId="5" xfId="0" applyFont="1" applyBorder="1"/>
    <xf numFmtId="0" fontId="17" fillId="0" borderId="0" xfId="0" applyFont="1"/>
    <xf numFmtId="165" fontId="3" fillId="0" borderId="0" xfId="0" applyNumberFormat="1" applyFont="1"/>
    <xf numFmtId="0" fontId="9" fillId="0" borderId="2" xfId="0" applyFont="1" applyBorder="1"/>
    <xf numFmtId="0" fontId="9" fillId="0" borderId="5" xfId="0" applyFont="1" applyBorder="1"/>
    <xf numFmtId="0" fontId="9" fillId="0" borderId="9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1" xfId="0" applyFont="1" applyBorder="1"/>
    <xf numFmtId="10" fontId="3" fillId="0" borderId="1" xfId="5" applyNumberFormat="1" applyFont="1" applyFill="1" applyBorder="1" applyAlignment="1" applyProtection="1">
      <alignment horizontal="right"/>
    </xf>
    <xf numFmtId="0" fontId="9" fillId="0" borderId="0" xfId="0" applyFont="1" applyAlignment="1">
      <alignment horizontal="left"/>
    </xf>
    <xf numFmtId="0" fontId="3" fillId="0" borderId="2" xfId="0" applyFont="1" applyBorder="1" applyAlignment="1">
      <alignment horizontal="left" wrapText="1"/>
    </xf>
    <xf numFmtId="0" fontId="3" fillId="0" borderId="5" xfId="0" applyFont="1" applyBorder="1" applyAlignment="1">
      <alignment horizontal="left" wrapText="1"/>
    </xf>
    <xf numFmtId="10" fontId="3" fillId="0" borderId="1" xfId="5" applyNumberFormat="1" applyFont="1" applyFill="1" applyBorder="1" applyAlignment="1" applyProtection="1">
      <alignment horizontal="center" wrapText="1"/>
    </xf>
    <xf numFmtId="0" fontId="9" fillId="0" borderId="2" xfId="0" applyFont="1" applyBorder="1" applyAlignment="1">
      <alignment wrapText="1"/>
    </xf>
    <xf numFmtId="0" fontId="9" fillId="0" borderId="5" xfId="0" applyFont="1" applyBorder="1" applyAlignment="1">
      <alignment wrapText="1"/>
    </xf>
    <xf numFmtId="10" fontId="9" fillId="0" borderId="1" xfId="5" applyNumberFormat="1" applyFont="1" applyFill="1" applyBorder="1" applyAlignment="1" applyProtection="1">
      <alignment horizontal="center" wrapText="1"/>
    </xf>
    <xf numFmtId="10" fontId="3" fillId="0" borderId="0" xfId="0" applyNumberFormat="1" applyFont="1"/>
    <xf numFmtId="0" fontId="9" fillId="0" borderId="0" xfId="0" applyFont="1" applyAlignment="1">
      <alignment horizontal="justify" wrapText="1"/>
    </xf>
    <xf numFmtId="0" fontId="9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justify" wrapText="1"/>
    </xf>
    <xf numFmtId="178" fontId="3" fillId="0" borderId="17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justify" wrapText="1"/>
    </xf>
    <xf numFmtId="0" fontId="3" fillId="0" borderId="5" xfId="0" applyFont="1" applyBorder="1" applyAlignment="1">
      <alignment horizontal="center" wrapText="1"/>
    </xf>
    <xf numFmtId="3" fontId="3" fillId="0" borderId="1" xfId="0" applyNumberFormat="1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9" fontId="3" fillId="0" borderId="1" xfId="5" applyFont="1" applyFill="1" applyBorder="1" applyAlignment="1" applyProtection="1">
      <alignment horizontal="center"/>
    </xf>
    <xf numFmtId="0" fontId="3" fillId="0" borderId="0" xfId="0" applyFont="1" applyAlignment="1">
      <alignment vertical="center" wrapText="1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9" fontId="3" fillId="0" borderId="1" xfId="0" applyNumberFormat="1" applyFont="1" applyBorder="1" applyAlignment="1">
      <alignment horizontal="center" wrapText="1"/>
    </xf>
    <xf numFmtId="3" fontId="3" fillId="0" borderId="1" xfId="0" applyNumberFormat="1" applyFont="1" applyBorder="1" applyAlignment="1">
      <alignment horizontal="center" wrapText="1"/>
    </xf>
    <xf numFmtId="174" fontId="3" fillId="0" borderId="3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vertical="center"/>
    </xf>
    <xf numFmtId="171" fontId="3" fillId="0" borderId="1" xfId="0" applyNumberFormat="1" applyFont="1" applyBorder="1"/>
    <xf numFmtId="173" fontId="3" fillId="0" borderId="1" xfId="0" applyNumberFormat="1" applyFont="1" applyBorder="1"/>
    <xf numFmtId="0" fontId="3" fillId="0" borderId="0" xfId="0" applyFont="1" applyAlignment="1">
      <alignment horizontal="justify" wrapText="1"/>
    </xf>
    <xf numFmtId="173" fontId="3" fillId="0" borderId="0" xfId="0" applyNumberFormat="1" applyFont="1"/>
    <xf numFmtId="3" fontId="9" fillId="0" borderId="1" xfId="0" applyNumberFormat="1" applyFont="1" applyBorder="1" applyAlignment="1">
      <alignment horizontal="center"/>
    </xf>
    <xf numFmtId="3" fontId="3" fillId="0" borderId="0" xfId="0" applyNumberFormat="1" applyFont="1"/>
    <xf numFmtId="9" fontId="3" fillId="0" borderId="5" xfId="0" applyNumberFormat="1" applyFont="1" applyBorder="1" applyAlignment="1">
      <alignment horizontal="center" wrapText="1"/>
    </xf>
    <xf numFmtId="0" fontId="3" fillId="0" borderId="9" xfId="0" applyFont="1" applyBorder="1" applyAlignment="1">
      <alignment horizontal="justify" wrapText="1"/>
    </xf>
    <xf numFmtId="9" fontId="3" fillId="0" borderId="10" xfId="0" applyNumberFormat="1" applyFont="1" applyBorder="1" applyAlignment="1">
      <alignment horizontal="center" wrapText="1"/>
    </xf>
    <xf numFmtId="0" fontId="3" fillId="0" borderId="11" xfId="0" applyFont="1" applyBorder="1" applyAlignment="1">
      <alignment horizontal="justify" wrapText="1"/>
    </xf>
    <xf numFmtId="0" fontId="3" fillId="0" borderId="6" xfId="0" applyFont="1" applyBorder="1" applyAlignment="1">
      <alignment horizontal="center" wrapText="1"/>
    </xf>
    <xf numFmtId="9" fontId="3" fillId="0" borderId="0" xfId="0" applyNumberFormat="1" applyFont="1" applyAlignment="1">
      <alignment horizontal="center" wrapText="1"/>
    </xf>
    <xf numFmtId="0" fontId="9" fillId="0" borderId="0" xfId="0" applyFont="1" applyAlignment="1">
      <alignment horizontal="center"/>
    </xf>
    <xf numFmtId="170" fontId="9" fillId="0" borderId="0" xfId="0" applyNumberFormat="1" applyFont="1"/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right"/>
    </xf>
    <xf numFmtId="0" fontId="3" fillId="0" borderId="16" xfId="0" applyFont="1" applyBorder="1" applyAlignment="1">
      <alignment horizontal="center"/>
    </xf>
    <xf numFmtId="0" fontId="3" fillId="0" borderId="3" xfId="0" applyFont="1" applyBorder="1"/>
    <xf numFmtId="170" fontId="3" fillId="0" borderId="3" xfId="0" applyNumberFormat="1" applyFont="1" applyBorder="1"/>
    <xf numFmtId="0" fontId="9" fillId="0" borderId="2" xfId="0" applyFont="1" applyBorder="1" applyAlignment="1">
      <alignment horizontal="left" wrapText="1"/>
    </xf>
    <xf numFmtId="44" fontId="3" fillId="0" borderId="0" xfId="0" applyNumberFormat="1" applyFont="1"/>
    <xf numFmtId="10" fontId="3" fillId="0" borderId="1" xfId="5" applyNumberFormat="1" applyFont="1" applyFill="1" applyBorder="1" applyProtection="1"/>
    <xf numFmtId="2" fontId="3" fillId="0" borderId="0" xfId="0" applyNumberFormat="1" applyFont="1"/>
    <xf numFmtId="3" fontId="9" fillId="0" borderId="0" xfId="0" applyNumberFormat="1" applyFont="1" applyAlignment="1">
      <alignment horizontal="left"/>
    </xf>
    <xf numFmtId="9" fontId="3" fillId="0" borderId="0" xfId="0" applyNumberFormat="1" applyFont="1"/>
    <xf numFmtId="0" fontId="9" fillId="0" borderId="1" xfId="0" applyFont="1" applyBorder="1" applyAlignment="1">
      <alignment horizontal="left"/>
    </xf>
    <xf numFmtId="2" fontId="3" fillId="0" borderId="3" xfId="0" applyNumberFormat="1" applyFont="1" applyBorder="1"/>
    <xf numFmtId="164" fontId="9" fillId="0" borderId="3" xfId="0" applyNumberFormat="1" applyFont="1" applyBorder="1"/>
    <xf numFmtId="164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177" fontId="3" fillId="0" borderId="1" xfId="0" applyNumberFormat="1" applyFont="1" applyBorder="1"/>
    <xf numFmtId="164" fontId="9" fillId="0" borderId="1" xfId="0" applyNumberFormat="1" applyFont="1" applyBorder="1"/>
    <xf numFmtId="0" fontId="4" fillId="0" borderId="0" xfId="0" applyFont="1"/>
    <xf numFmtId="3" fontId="6" fillId="0" borderId="0" xfId="0" applyNumberFormat="1" applyFont="1" applyAlignment="1">
      <alignment horizontal="left"/>
    </xf>
    <xf numFmtId="0" fontId="3" fillId="0" borderId="9" xfId="0" applyFont="1" applyBorder="1" applyAlignment="1">
      <alignment horizontal="left" wrapText="1"/>
    </xf>
    <xf numFmtId="0" fontId="3" fillId="0" borderId="10" xfId="0" applyFont="1" applyBorder="1" applyAlignment="1">
      <alignment horizontal="left" wrapText="1"/>
    </xf>
    <xf numFmtId="0" fontId="5" fillId="0" borderId="10" xfId="0" applyFont="1" applyBorder="1" applyAlignment="1">
      <alignment horizontal="center" wrapText="1"/>
    </xf>
    <xf numFmtId="170" fontId="3" fillId="0" borderId="7" xfId="0" applyNumberFormat="1" applyFont="1" applyBorder="1"/>
    <xf numFmtId="0" fontId="5" fillId="0" borderId="5" xfId="0" applyFont="1" applyBorder="1" applyAlignment="1">
      <alignment horizontal="center" wrapText="1"/>
    </xf>
    <xf numFmtId="171" fontId="3" fillId="0" borderId="5" xfId="0" applyNumberFormat="1" applyFont="1" applyBorder="1"/>
    <xf numFmtId="0" fontId="3" fillId="0" borderId="11" xfId="0" applyFont="1" applyBorder="1" applyAlignment="1">
      <alignment horizontal="left" wrapText="1"/>
    </xf>
    <xf numFmtId="170" fontId="3" fillId="0" borderId="8" xfId="0" applyNumberFormat="1" applyFont="1" applyBorder="1"/>
    <xf numFmtId="0" fontId="3" fillId="0" borderId="12" xfId="0" applyFont="1" applyBorder="1" applyAlignment="1">
      <alignment horizontal="left" wrapText="1"/>
    </xf>
    <xf numFmtId="171" fontId="3" fillId="0" borderId="6" xfId="0" applyNumberFormat="1" applyFont="1" applyBorder="1"/>
    <xf numFmtId="170" fontId="3" fillId="0" borderId="13" xfId="0" applyNumberFormat="1" applyFont="1" applyBorder="1"/>
    <xf numFmtId="0" fontId="3" fillId="0" borderId="6" xfId="0" applyFont="1" applyBorder="1" applyAlignment="1">
      <alignment horizontal="left" wrapText="1"/>
    </xf>
    <xf numFmtId="170" fontId="9" fillId="0" borderId="13" xfId="0" applyNumberFormat="1" applyFont="1" applyBorder="1"/>
    <xf numFmtId="0" fontId="3" fillId="0" borderId="2" xfId="0" applyFont="1" applyBorder="1" applyAlignment="1">
      <alignment wrapText="1"/>
    </xf>
    <xf numFmtId="171" fontId="3" fillId="0" borderId="0" xfId="0" applyNumberFormat="1" applyFont="1"/>
    <xf numFmtId="0" fontId="10" fillId="0" borderId="0" xfId="0" applyFont="1"/>
    <xf numFmtId="3" fontId="9" fillId="0" borderId="0" xfId="0" applyNumberFormat="1" applyFont="1" applyAlignment="1">
      <alignment horizontal="center"/>
    </xf>
    <xf numFmtId="3" fontId="9" fillId="0" borderId="1" xfId="0" applyNumberFormat="1" applyFont="1" applyBorder="1"/>
    <xf numFmtId="3" fontId="3" fillId="0" borderId="0" xfId="0" applyNumberFormat="1" applyFont="1" applyAlignment="1">
      <alignment horizontal="center"/>
    </xf>
    <xf numFmtId="3" fontId="9" fillId="0" borderId="13" xfId="0" applyNumberFormat="1" applyFont="1" applyBorder="1" applyAlignment="1">
      <alignment horizontal="center"/>
    </xf>
    <xf numFmtId="168" fontId="3" fillId="0" borderId="0" xfId="0" applyNumberFormat="1" applyFont="1"/>
    <xf numFmtId="0" fontId="9" fillId="0" borderId="3" xfId="0" applyFont="1" applyBorder="1" applyAlignment="1">
      <alignment horizontal="left"/>
    </xf>
    <xf numFmtId="10" fontId="3" fillId="0" borderId="1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0" xfId="0" applyFont="1" applyAlignment="1">
      <alignment horizontal="center"/>
    </xf>
    <xf numFmtId="167" fontId="3" fillId="0" borderId="1" xfId="3" applyFont="1" applyFill="1" applyBorder="1" applyProtection="1"/>
    <xf numFmtId="9" fontId="9" fillId="0" borderId="1" xfId="0" applyNumberFormat="1" applyFont="1" applyBorder="1" applyAlignment="1">
      <alignment horizontal="center"/>
    </xf>
    <xf numFmtId="179" fontId="3" fillId="0" borderId="0" xfId="0" applyNumberFormat="1" applyFont="1"/>
    <xf numFmtId="170" fontId="3" fillId="0" borderId="1" xfId="3" applyNumberFormat="1" applyFont="1" applyFill="1" applyBorder="1" applyProtection="1"/>
    <xf numFmtId="170" fontId="9" fillId="0" borderId="2" xfId="0" applyNumberFormat="1" applyFont="1" applyBorder="1"/>
    <xf numFmtId="9" fontId="17" fillId="0" borderId="0" xfId="0" applyNumberFormat="1" applyFont="1"/>
    <xf numFmtId="3" fontId="9" fillId="0" borderId="8" xfId="0" applyNumberFormat="1" applyFont="1" applyBorder="1" applyAlignment="1">
      <alignment horizontal="center"/>
    </xf>
    <xf numFmtId="9" fontId="3" fillId="0" borderId="10" xfId="0" applyNumberFormat="1" applyFont="1" applyBorder="1" applyAlignment="1">
      <alignment horizontal="center"/>
    </xf>
    <xf numFmtId="3" fontId="3" fillId="0" borderId="10" xfId="5" applyNumberFormat="1" applyFont="1" applyFill="1" applyBorder="1" applyAlignment="1" applyProtection="1">
      <alignment horizontal="center"/>
    </xf>
    <xf numFmtId="3" fontId="3" fillId="0" borderId="5" xfId="5" applyNumberFormat="1" applyFont="1" applyFill="1" applyBorder="1" applyAlignment="1" applyProtection="1">
      <alignment horizontal="center"/>
    </xf>
    <xf numFmtId="0" fontId="3" fillId="0" borderId="5" xfId="0" applyFont="1" applyBorder="1" applyAlignment="1">
      <alignment horizontal="center"/>
    </xf>
    <xf numFmtId="170" fontId="9" fillId="0" borderId="3" xfId="0" applyNumberFormat="1" applyFont="1" applyBorder="1"/>
    <xf numFmtId="9" fontId="3" fillId="0" borderId="5" xfId="0" applyNumberFormat="1" applyFont="1" applyBorder="1" applyAlignment="1">
      <alignment horizontal="center"/>
    </xf>
    <xf numFmtId="3" fontId="3" fillId="0" borderId="3" xfId="0" applyNumberFormat="1" applyFont="1" applyBorder="1" applyAlignment="1">
      <alignment horizontal="center"/>
    </xf>
    <xf numFmtId="0" fontId="9" fillId="0" borderId="2" xfId="0" applyFont="1" applyBorder="1" applyAlignment="1">
      <alignment horizontal="justify" wrapText="1"/>
    </xf>
    <xf numFmtId="0" fontId="3" fillId="0" borderId="2" xfId="0" applyFont="1" applyBorder="1"/>
    <xf numFmtId="0" fontId="3" fillId="0" borderId="10" xfId="0" applyFont="1" applyBorder="1" applyAlignment="1">
      <alignment horizontal="center"/>
    </xf>
    <xf numFmtId="3" fontId="3" fillId="0" borderId="10" xfId="0" applyNumberFormat="1" applyFont="1" applyBorder="1" applyAlignment="1">
      <alignment horizontal="center"/>
    </xf>
    <xf numFmtId="3" fontId="3" fillId="0" borderId="5" xfId="0" applyNumberFormat="1" applyFont="1" applyBorder="1"/>
    <xf numFmtId="9" fontId="3" fillId="0" borderId="5" xfId="0" applyNumberFormat="1" applyFont="1" applyBorder="1"/>
    <xf numFmtId="0" fontId="9" fillId="0" borderId="3" xfId="0" applyFont="1" applyBorder="1"/>
    <xf numFmtId="9" fontId="3" fillId="0" borderId="6" xfId="0" applyNumberFormat="1" applyFont="1" applyBorder="1"/>
    <xf numFmtId="0" fontId="3" fillId="0" borderId="6" xfId="0" applyFont="1" applyBorder="1"/>
    <xf numFmtId="170" fontId="0" fillId="0" borderId="0" xfId="0" applyNumberFormat="1"/>
    <xf numFmtId="170" fontId="4" fillId="0" borderId="0" xfId="0" applyNumberFormat="1" applyFont="1"/>
    <xf numFmtId="0" fontId="3" fillId="0" borderId="4" xfId="0" applyFont="1" applyBorder="1"/>
    <xf numFmtId="0" fontId="3" fillId="0" borderId="14" xfId="0" applyFont="1" applyBorder="1"/>
    <xf numFmtId="0" fontId="3" fillId="0" borderId="9" xfId="0" applyFont="1" applyBorder="1"/>
    <xf numFmtId="0" fontId="10" fillId="0" borderId="10" xfId="0" applyFont="1" applyBorder="1" applyAlignment="1">
      <alignment horizontal="center"/>
    </xf>
    <xf numFmtId="3" fontId="10" fillId="0" borderId="4" xfId="0" applyNumberFormat="1" applyFont="1" applyBorder="1" applyAlignment="1">
      <alignment horizontal="center"/>
    </xf>
    <xf numFmtId="3" fontId="10" fillId="0" borderId="10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3" fillId="0" borderId="12" xfId="0" applyFont="1" applyBorder="1"/>
    <xf numFmtId="0" fontId="10" fillId="0" borderId="6" xfId="0" applyFont="1" applyBorder="1" applyAlignment="1">
      <alignment horizontal="center"/>
    </xf>
    <xf numFmtId="3" fontId="10" fillId="0" borderId="3" xfId="0" applyNumberFormat="1" applyFont="1" applyBorder="1" applyAlignment="1">
      <alignment horizontal="center"/>
    </xf>
    <xf numFmtId="0" fontId="13" fillId="0" borderId="2" xfId="0" applyFont="1" applyBorder="1"/>
    <xf numFmtId="0" fontId="13" fillId="0" borderId="5" xfId="0" applyFont="1" applyBorder="1"/>
    <xf numFmtId="0" fontId="13" fillId="0" borderId="3" xfId="0" applyFont="1" applyBorder="1"/>
    <xf numFmtId="3" fontId="14" fillId="0" borderId="3" xfId="0" applyNumberFormat="1" applyFont="1" applyBorder="1" applyAlignment="1">
      <alignment horizontal="center"/>
    </xf>
    <xf numFmtId="0" fontId="10" fillId="0" borderId="0" xfId="0" applyFont="1" applyAlignment="1">
      <alignment horizontal="center"/>
    </xf>
    <xf numFmtId="3" fontId="10" fillId="0" borderId="0" xfId="0" applyNumberFormat="1" applyFont="1" applyAlignment="1">
      <alignment horizontal="center"/>
    </xf>
    <xf numFmtId="0" fontId="14" fillId="0" borderId="5" xfId="0" applyFont="1" applyBorder="1" applyAlignment="1">
      <alignment horizontal="center"/>
    </xf>
    <xf numFmtId="3" fontId="14" fillId="0" borderId="5" xfId="0" applyNumberFormat="1" applyFont="1" applyBorder="1" applyAlignment="1">
      <alignment horizontal="center"/>
    </xf>
    <xf numFmtId="3" fontId="10" fillId="0" borderId="5" xfId="0" applyNumberFormat="1" applyFont="1" applyBorder="1" applyAlignment="1">
      <alignment horizontal="center"/>
    </xf>
    <xf numFmtId="0" fontId="9" fillId="0" borderId="12" xfId="0" applyFont="1" applyBorder="1"/>
    <xf numFmtId="3" fontId="3" fillId="0" borderId="5" xfId="0" applyNumberFormat="1" applyFont="1" applyBorder="1" applyAlignment="1">
      <alignment horizontal="center"/>
    </xf>
    <xf numFmtId="0" fontId="3" fillId="0" borderId="10" xfId="0" applyFont="1" applyBorder="1"/>
    <xf numFmtId="170" fontId="9" fillId="0" borderId="14" xfId="0" applyNumberFormat="1" applyFont="1" applyBorder="1"/>
    <xf numFmtId="168" fontId="9" fillId="0" borderId="1" xfId="3" applyNumberFormat="1" applyFont="1" applyFill="1" applyBorder="1" applyProtection="1"/>
    <xf numFmtId="170" fontId="18" fillId="0" borderId="0" xfId="0" applyNumberFormat="1" applyFont="1"/>
    <xf numFmtId="0" fontId="9" fillId="0" borderId="10" xfId="0" applyFont="1" applyBorder="1" applyAlignment="1">
      <alignment horizontal="center"/>
    </xf>
    <xf numFmtId="3" fontId="9" fillId="0" borderId="12" xfId="0" applyNumberFormat="1" applyFont="1" applyBorder="1" applyAlignment="1">
      <alignment horizontal="center"/>
    </xf>
    <xf numFmtId="3" fontId="9" fillId="0" borderId="6" xfId="0" applyNumberFormat="1" applyFont="1" applyBorder="1" applyAlignment="1">
      <alignment horizontal="center"/>
    </xf>
    <xf numFmtId="3" fontId="9" fillId="0" borderId="14" xfId="0" applyNumberFormat="1" applyFont="1" applyBorder="1" applyAlignment="1">
      <alignment horizontal="center"/>
    </xf>
    <xf numFmtId="2" fontId="3" fillId="0" borderId="13" xfId="0" applyNumberFormat="1" applyFont="1" applyBorder="1" applyAlignment="1">
      <alignment horizontal="center"/>
    </xf>
    <xf numFmtId="2" fontId="3" fillId="0" borderId="0" xfId="0" applyNumberFormat="1" applyFont="1" applyAlignment="1">
      <alignment horizontal="center"/>
    </xf>
    <xf numFmtId="2" fontId="9" fillId="0" borderId="9" xfId="0" applyNumberFormat="1" applyFont="1" applyBorder="1" applyAlignment="1">
      <alignment horizontal="center"/>
    </xf>
    <xf numFmtId="2" fontId="9" fillId="0" borderId="7" xfId="0" applyNumberFormat="1" applyFont="1" applyBorder="1" applyAlignment="1">
      <alignment horizontal="center"/>
    </xf>
    <xf numFmtId="2" fontId="9" fillId="0" borderId="10" xfId="0" applyNumberFormat="1" applyFont="1" applyBorder="1" applyAlignment="1">
      <alignment horizontal="center"/>
    </xf>
    <xf numFmtId="2" fontId="9" fillId="0" borderId="4" xfId="0" applyNumberFormat="1" applyFont="1" applyBorder="1" applyAlignment="1">
      <alignment horizontal="center"/>
    </xf>
    <xf numFmtId="1" fontId="9" fillId="0" borderId="12" xfId="0" applyNumberFormat="1" applyFont="1" applyBorder="1" applyAlignment="1">
      <alignment horizontal="center"/>
    </xf>
    <xf numFmtId="1" fontId="9" fillId="0" borderId="13" xfId="0" applyNumberFormat="1" applyFont="1" applyBorder="1" applyAlignment="1">
      <alignment horizontal="center"/>
    </xf>
    <xf numFmtId="1" fontId="9" fillId="0" borderId="6" xfId="0" applyNumberFormat="1" applyFont="1" applyBorder="1" applyAlignment="1">
      <alignment horizontal="center"/>
    </xf>
    <xf numFmtId="1" fontId="9" fillId="0" borderId="14" xfId="0" applyNumberFormat="1" applyFont="1" applyBorder="1" applyAlignment="1">
      <alignment horizontal="center"/>
    </xf>
    <xf numFmtId="1" fontId="9" fillId="0" borderId="9" xfId="0" applyNumberFormat="1" applyFont="1" applyBorder="1" applyAlignment="1">
      <alignment horizontal="center"/>
    </xf>
    <xf numFmtId="1" fontId="9" fillId="0" borderId="7" xfId="0" applyNumberFormat="1" applyFont="1" applyBorder="1" applyAlignment="1">
      <alignment horizontal="center"/>
    </xf>
    <xf numFmtId="1" fontId="9" fillId="0" borderId="10" xfId="0" applyNumberFormat="1" applyFont="1" applyBorder="1" applyAlignment="1">
      <alignment horizontal="center"/>
    </xf>
    <xf numFmtId="1" fontId="9" fillId="0" borderId="4" xfId="0" applyNumberFormat="1" applyFont="1" applyBorder="1" applyAlignment="1">
      <alignment horizontal="center"/>
    </xf>
    <xf numFmtId="10" fontId="3" fillId="0" borderId="13" xfId="5" applyNumberFormat="1" applyFont="1" applyFill="1" applyBorder="1" applyAlignment="1" applyProtection="1">
      <alignment horizontal="center"/>
    </xf>
    <xf numFmtId="9" fontId="3" fillId="0" borderId="0" xfId="5" applyFont="1" applyFill="1" applyBorder="1" applyAlignment="1" applyProtection="1">
      <alignment horizontal="center"/>
    </xf>
    <xf numFmtId="2" fontId="3" fillId="0" borderId="13" xfId="5" applyNumberFormat="1" applyFont="1" applyFill="1" applyBorder="1" applyAlignment="1" applyProtection="1">
      <alignment horizontal="center"/>
    </xf>
    <xf numFmtId="10" fontId="3" fillId="0" borderId="12" xfId="5" applyNumberFormat="1" applyFont="1" applyFill="1" applyBorder="1" applyAlignment="1" applyProtection="1">
      <alignment horizontal="center"/>
    </xf>
    <xf numFmtId="176" fontId="3" fillId="0" borderId="0" xfId="0" applyNumberFormat="1" applyFont="1"/>
    <xf numFmtId="176" fontId="3" fillId="0" borderId="10" xfId="0" applyNumberFormat="1" applyFont="1" applyBorder="1" applyAlignment="1">
      <alignment horizontal="center"/>
    </xf>
    <xf numFmtId="176" fontId="9" fillId="0" borderId="3" xfId="0" applyNumberFormat="1" applyFont="1" applyBorder="1"/>
    <xf numFmtId="0" fontId="3" fillId="0" borderId="15" xfId="0" applyFont="1" applyBorder="1"/>
    <xf numFmtId="3" fontId="9" fillId="0" borderId="3" xfId="0" applyNumberFormat="1" applyFont="1" applyBorder="1" applyAlignment="1">
      <alignment horizontal="center"/>
    </xf>
    <xf numFmtId="176" fontId="3" fillId="0" borderId="0" xfId="0" applyNumberFormat="1" applyFont="1" applyAlignment="1">
      <alignment horizontal="center"/>
    </xf>
    <xf numFmtId="176" fontId="9" fillId="0" borderId="5" xfId="0" applyNumberFormat="1" applyFont="1" applyBorder="1" applyAlignment="1">
      <alignment horizontal="center"/>
    </xf>
    <xf numFmtId="176" fontId="9" fillId="0" borderId="0" xfId="0" applyNumberFormat="1" applyFont="1"/>
    <xf numFmtId="10" fontId="20" fillId="0" borderId="1" xfId="5" applyNumberFormat="1" applyFont="1" applyFill="1" applyBorder="1" applyProtection="1"/>
    <xf numFmtId="9" fontId="3" fillId="0" borderId="1" xfId="0" applyNumberFormat="1" applyFont="1" applyBorder="1"/>
    <xf numFmtId="10" fontId="15" fillId="0" borderId="1" xfId="0" applyNumberFormat="1" applyFont="1" applyBorder="1" applyAlignment="1">
      <alignment vertical="center"/>
    </xf>
    <xf numFmtId="9" fontId="9" fillId="0" borderId="1" xfId="5" applyFont="1" applyFill="1" applyBorder="1" applyAlignment="1" applyProtection="1">
      <alignment horizontal="center"/>
    </xf>
    <xf numFmtId="176" fontId="3" fillId="0" borderId="3" xfId="0" applyNumberFormat="1" applyFont="1" applyBorder="1" applyAlignment="1">
      <alignment horizontal="center"/>
    </xf>
    <xf numFmtId="172" fontId="3" fillId="0" borderId="1" xfId="0" applyNumberFormat="1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176" fontId="3" fillId="0" borderId="14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176" fontId="3" fillId="0" borderId="15" xfId="0" applyNumberFormat="1" applyFont="1" applyBorder="1" applyAlignment="1">
      <alignment horizontal="center"/>
    </xf>
    <xf numFmtId="10" fontId="9" fillId="0" borderId="1" xfId="0" applyNumberFormat="1" applyFont="1" applyBorder="1" applyAlignment="1">
      <alignment horizontal="center"/>
    </xf>
    <xf numFmtId="176" fontId="0" fillId="0" borderId="0" xfId="0" applyNumberFormat="1"/>
    <xf numFmtId="0" fontId="16" fillId="0" borderId="0" xfId="0" applyFont="1"/>
    <xf numFmtId="0" fontId="19" fillId="0" borderId="0" xfId="0" applyFont="1"/>
    <xf numFmtId="166" fontId="16" fillId="0" borderId="1" xfId="4" applyFont="1" applyFill="1" applyBorder="1" applyAlignment="1" applyProtection="1">
      <alignment horizontal="center" vertical="center"/>
    </xf>
    <xf numFmtId="166" fontId="16" fillId="0" borderId="1" xfId="4" applyFont="1" applyFill="1" applyBorder="1" applyAlignment="1" applyProtection="1">
      <alignment horizontal="center"/>
    </xf>
    <xf numFmtId="176" fontId="16" fillId="0" borderId="1" xfId="4" applyNumberFormat="1" applyFont="1" applyFill="1" applyBorder="1" applyAlignment="1" applyProtection="1">
      <alignment horizontal="center"/>
    </xf>
    <xf numFmtId="166" fontId="16" fillId="0" borderId="3" xfId="4" applyFont="1" applyFill="1" applyBorder="1" applyAlignment="1" applyProtection="1">
      <alignment horizontal="center"/>
    </xf>
    <xf numFmtId="175" fontId="0" fillId="0" borderId="1" xfId="0" applyNumberFormat="1" applyBorder="1"/>
    <xf numFmtId="176" fontId="0" fillId="0" borderId="1" xfId="0" applyNumberFormat="1" applyBorder="1"/>
    <xf numFmtId="0" fontId="0" fillId="0" borderId="3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176" fontId="21" fillId="0" borderId="1" xfId="0" applyNumberFormat="1" applyFont="1" applyBorder="1" applyAlignment="1">
      <alignment vertical="center"/>
    </xf>
    <xf numFmtId="0" fontId="16" fillId="0" borderId="3" xfId="0" applyFont="1" applyBorder="1" applyAlignment="1">
      <alignment horizontal="center"/>
    </xf>
    <xf numFmtId="2" fontId="9" fillId="0" borderId="1" xfId="0" applyNumberFormat="1" applyFont="1" applyBorder="1" applyAlignment="1">
      <alignment horizontal="center"/>
    </xf>
    <xf numFmtId="175" fontId="0" fillId="0" borderId="0" xfId="0" applyNumberFormat="1"/>
    <xf numFmtId="0" fontId="7" fillId="0" borderId="0" xfId="2" applyFill="1" applyAlignment="1" applyProtection="1"/>
    <xf numFmtId="176" fontId="8" fillId="0" borderId="0" xfId="0" applyNumberFormat="1" applyFont="1"/>
    <xf numFmtId="176" fontId="9" fillId="0" borderId="1" xfId="0" applyNumberFormat="1" applyFont="1" applyBorder="1" applyAlignment="1">
      <alignment horizontal="center"/>
    </xf>
    <xf numFmtId="175" fontId="3" fillId="0" borderId="1" xfId="0" applyNumberFormat="1" applyFont="1" applyBorder="1"/>
    <xf numFmtId="176" fontId="3" fillId="0" borderId="1" xfId="0" applyNumberFormat="1" applyFont="1" applyBorder="1"/>
    <xf numFmtId="176" fontId="3" fillId="0" borderId="0" xfId="0" applyNumberFormat="1" applyFont="1" applyAlignment="1">
      <alignment wrapText="1"/>
    </xf>
    <xf numFmtId="0" fontId="3" fillId="0" borderId="0" xfId="0" applyFont="1" applyAlignment="1">
      <alignment wrapText="1"/>
    </xf>
    <xf numFmtId="0" fontId="22" fillId="0" borderId="1" xfId="0" applyFont="1" applyBorder="1" applyAlignment="1">
      <alignment vertical="center" wrapText="1"/>
    </xf>
    <xf numFmtId="0" fontId="22" fillId="0" borderId="0" xfId="6" applyFont="1"/>
    <xf numFmtId="179" fontId="22" fillId="0" borderId="0" xfId="7" applyNumberFormat="1" applyFont="1"/>
    <xf numFmtId="0" fontId="22" fillId="0" borderId="1" xfId="6" applyFont="1" applyBorder="1" applyAlignment="1">
      <alignment vertical="center" wrapText="1"/>
    </xf>
    <xf numFmtId="0" fontId="22" fillId="0" borderId="1" xfId="6" applyFont="1" applyBorder="1" applyAlignment="1">
      <alignment horizontal="center" vertical="center" wrapText="1"/>
    </xf>
    <xf numFmtId="3" fontId="22" fillId="0" borderId="1" xfId="6" applyNumberFormat="1" applyFont="1" applyBorder="1" applyAlignment="1">
      <alignment vertical="center" wrapText="1"/>
    </xf>
    <xf numFmtId="3" fontId="22" fillId="0" borderId="1" xfId="6" applyNumberFormat="1" applyFont="1" applyBorder="1"/>
    <xf numFmtId="0" fontId="23" fillId="0" borderId="1" xfId="6" applyFont="1" applyBorder="1" applyAlignment="1">
      <alignment vertical="center" wrapText="1"/>
    </xf>
    <xf numFmtId="0" fontId="23" fillId="0" borderId="1" xfId="6" applyFont="1" applyBorder="1" applyAlignment="1">
      <alignment vertical="center"/>
    </xf>
    <xf numFmtId="3" fontId="3" fillId="0" borderId="1" xfId="0" applyNumberFormat="1" applyFont="1" applyBorder="1"/>
    <xf numFmtId="0" fontId="22" fillId="3" borderId="1" xfId="6" applyFont="1" applyFill="1" applyBorder="1" applyAlignment="1">
      <alignment wrapText="1"/>
    </xf>
    <xf numFmtId="0" fontId="24" fillId="0" borderId="0" xfId="8" applyFont="1"/>
    <xf numFmtId="180" fontId="24" fillId="0" borderId="23" xfId="8" applyNumberFormat="1" applyFont="1" applyBorder="1" applyAlignment="1">
      <alignment horizontal="center" vertical="center"/>
    </xf>
    <xf numFmtId="180" fontId="24" fillId="0" borderId="1" xfId="8" applyNumberFormat="1" applyFont="1" applyBorder="1"/>
    <xf numFmtId="43" fontId="24" fillId="0" borderId="1" xfId="8" applyNumberFormat="1" applyFont="1" applyBorder="1"/>
    <xf numFmtId="0" fontId="25" fillId="0" borderId="1" xfId="8" applyFont="1" applyBorder="1"/>
    <xf numFmtId="0" fontId="25" fillId="4" borderId="1" xfId="8" applyFont="1" applyFill="1" applyBorder="1" applyAlignment="1">
      <alignment wrapText="1"/>
    </xf>
    <xf numFmtId="0" fontId="25" fillId="4" borderId="1" xfId="8" applyFont="1" applyFill="1" applyBorder="1"/>
    <xf numFmtId="9" fontId="24" fillId="0" borderId="41" xfId="8" applyNumberFormat="1" applyFont="1" applyBorder="1" applyAlignment="1">
      <alignment horizontal="center" vertical="center"/>
    </xf>
    <xf numFmtId="180" fontId="24" fillId="7" borderId="41" xfId="8" applyNumberFormat="1" applyFont="1" applyFill="1" applyBorder="1" applyAlignment="1">
      <alignment horizontal="center" vertical="center"/>
    </xf>
    <xf numFmtId="0" fontId="25" fillId="0" borderId="42" xfId="8" applyFont="1" applyBorder="1" applyAlignment="1">
      <alignment horizontal="center" vertical="center"/>
    </xf>
    <xf numFmtId="10" fontId="24" fillId="0" borderId="17" xfId="8" applyNumberFormat="1" applyFont="1" applyBorder="1" applyAlignment="1">
      <alignment horizontal="center" vertical="center"/>
    </xf>
    <xf numFmtId="180" fontId="24" fillId="0" borderId="17" xfId="8" applyNumberFormat="1" applyFont="1" applyBorder="1" applyAlignment="1">
      <alignment horizontal="center" vertical="center"/>
    </xf>
    <xf numFmtId="0" fontId="25" fillId="0" borderId="45" xfId="8" applyFont="1" applyBorder="1" applyAlignment="1">
      <alignment horizontal="center" vertical="center"/>
    </xf>
    <xf numFmtId="182" fontId="24" fillId="0" borderId="17" xfId="8" applyNumberFormat="1" applyFont="1" applyBorder="1" applyAlignment="1">
      <alignment horizontal="center" vertical="center"/>
    </xf>
    <xf numFmtId="0" fontId="25" fillId="0" borderId="45" xfId="8" applyFont="1" applyBorder="1" applyAlignment="1">
      <alignment horizontal="center" vertical="center" wrapText="1"/>
    </xf>
    <xf numFmtId="180" fontId="24" fillId="0" borderId="41" xfId="8" applyNumberFormat="1" applyFont="1" applyBorder="1" applyAlignment="1">
      <alignment horizontal="center" vertical="center"/>
    </xf>
    <xf numFmtId="9" fontId="24" fillId="0" borderId="17" xfId="8" applyNumberFormat="1" applyFont="1" applyBorder="1" applyAlignment="1">
      <alignment horizontal="center" vertical="center"/>
    </xf>
    <xf numFmtId="182" fontId="24" fillId="0" borderId="23" xfId="8" applyNumberFormat="1" applyFont="1" applyBorder="1" applyAlignment="1">
      <alignment horizontal="center" vertical="center"/>
    </xf>
    <xf numFmtId="0" fontId="25" fillId="0" borderId="25" xfId="8" applyFont="1" applyBorder="1" applyAlignment="1">
      <alignment horizontal="center" vertical="center"/>
    </xf>
    <xf numFmtId="9" fontId="24" fillId="0" borderId="23" xfId="8" applyNumberFormat="1" applyFont="1" applyBorder="1" applyAlignment="1">
      <alignment horizontal="center" vertical="center"/>
    </xf>
    <xf numFmtId="0" fontId="25" fillId="0" borderId="25" xfId="8" applyFont="1" applyBorder="1" applyAlignment="1">
      <alignment horizontal="center" vertical="center" wrapText="1"/>
    </xf>
    <xf numFmtId="0" fontId="30" fillId="6" borderId="20" xfId="8" applyFont="1" applyFill="1" applyBorder="1" applyAlignment="1">
      <alignment horizontal="center"/>
    </xf>
    <xf numFmtId="0" fontId="25" fillId="6" borderId="20" xfId="8" applyFont="1" applyFill="1" applyBorder="1" applyAlignment="1">
      <alignment horizontal="center"/>
    </xf>
    <xf numFmtId="0" fontId="25" fillId="6" borderId="27" xfId="8" applyFont="1" applyFill="1" applyBorder="1" applyAlignment="1">
      <alignment horizontal="center"/>
    </xf>
    <xf numFmtId="0" fontId="25" fillId="6" borderId="49" xfId="8" applyFont="1" applyFill="1" applyBorder="1" applyAlignment="1">
      <alignment horizontal="center"/>
    </xf>
    <xf numFmtId="0" fontId="25" fillId="6" borderId="50" xfId="8" applyFont="1" applyFill="1" applyBorder="1" applyAlignment="1">
      <alignment horizontal="center"/>
    </xf>
    <xf numFmtId="0" fontId="25" fillId="6" borderId="23" xfId="8" applyFont="1" applyFill="1" applyBorder="1" applyAlignment="1">
      <alignment horizontal="center"/>
    </xf>
    <xf numFmtId="0" fontId="25" fillId="6" borderId="25" xfId="8" applyFont="1" applyFill="1" applyBorder="1" applyAlignment="1">
      <alignment horizontal="center"/>
    </xf>
    <xf numFmtId="180" fontId="24" fillId="0" borderId="26" xfId="8" applyNumberFormat="1" applyFont="1" applyBorder="1"/>
    <xf numFmtId="180" fontId="24" fillId="5" borderId="38" xfId="8" applyNumberFormat="1" applyFont="1" applyFill="1" applyBorder="1"/>
    <xf numFmtId="180" fontId="24" fillId="0" borderId="20" xfId="8" applyNumberFormat="1" applyFont="1" applyBorder="1"/>
    <xf numFmtId="180" fontId="24" fillId="0" borderId="38" xfId="8" applyNumberFormat="1" applyFont="1" applyBorder="1"/>
    <xf numFmtId="180" fontId="24" fillId="0" borderId="37" xfId="8" applyNumberFormat="1" applyFont="1" applyBorder="1"/>
    <xf numFmtId="180" fontId="24" fillId="0" borderId="51" xfId="8" applyNumberFormat="1" applyFont="1" applyBorder="1" applyAlignment="1">
      <alignment horizontal="center" wrapText="1"/>
    </xf>
    <xf numFmtId="180" fontId="24" fillId="0" borderId="36" xfId="8" applyNumberFormat="1" applyFont="1" applyBorder="1"/>
    <xf numFmtId="180" fontId="24" fillId="0" borderId="52" xfId="8" applyNumberFormat="1" applyFont="1" applyBorder="1" applyAlignment="1">
      <alignment horizontal="center" wrapText="1"/>
    </xf>
    <xf numFmtId="180" fontId="24" fillId="8" borderId="17" xfId="8" applyNumberFormat="1" applyFont="1" applyFill="1" applyBorder="1" applyAlignment="1">
      <alignment horizontal="center" wrapText="1"/>
    </xf>
    <xf numFmtId="180" fontId="24" fillId="0" borderId="17" xfId="8" applyNumberFormat="1" applyFont="1" applyBorder="1" applyAlignment="1">
      <alignment horizontal="center"/>
    </xf>
    <xf numFmtId="180" fontId="24" fillId="8" borderId="53" xfId="8" applyNumberFormat="1" applyFont="1" applyFill="1" applyBorder="1" applyAlignment="1">
      <alignment horizontal="center" wrapText="1"/>
    </xf>
    <xf numFmtId="180" fontId="24" fillId="0" borderId="17" xfId="8" applyNumberFormat="1" applyFont="1" applyBorder="1" applyAlignment="1">
      <alignment horizontal="center" wrapText="1"/>
    </xf>
    <xf numFmtId="180" fontId="24" fillId="0" borderId="41" xfId="8" applyNumberFormat="1" applyFont="1" applyBorder="1" applyAlignment="1">
      <alignment horizontal="center" wrapText="1"/>
    </xf>
    <xf numFmtId="180" fontId="24" fillId="0" borderId="53" xfId="8" applyNumberFormat="1" applyFont="1" applyBorder="1" applyAlignment="1">
      <alignment horizontal="center" vertical="center"/>
    </xf>
    <xf numFmtId="180" fontId="24" fillId="0" borderId="1" xfId="8" applyNumberFormat="1" applyFont="1" applyBorder="1" applyAlignment="1">
      <alignment horizontal="center" vertical="center"/>
    </xf>
    <xf numFmtId="0" fontId="24" fillId="0" borderId="1" xfId="8" applyFont="1" applyBorder="1" applyAlignment="1">
      <alignment horizontal="center" vertical="center"/>
    </xf>
    <xf numFmtId="180" fontId="24" fillId="0" borderId="54" xfId="8" applyNumberFormat="1" applyFont="1" applyBorder="1" applyAlignment="1">
      <alignment horizontal="center" vertical="center"/>
    </xf>
    <xf numFmtId="0" fontId="1" fillId="0" borderId="1" xfId="8" applyBorder="1"/>
    <xf numFmtId="180" fontId="24" fillId="8" borderId="56" xfId="8" applyNumberFormat="1" applyFont="1" applyFill="1" applyBorder="1" applyAlignment="1">
      <alignment horizontal="center" wrapText="1"/>
    </xf>
    <xf numFmtId="180" fontId="24" fillId="0" borderId="56" xfId="8" applyNumberFormat="1" applyFont="1" applyBorder="1" applyAlignment="1">
      <alignment horizontal="center"/>
    </xf>
    <xf numFmtId="180" fontId="24" fillId="0" borderId="56" xfId="8" applyNumberFormat="1" applyFont="1" applyBorder="1" applyAlignment="1">
      <alignment horizontal="center" vertical="center"/>
    </xf>
    <xf numFmtId="180" fontId="24" fillId="8" borderId="57" xfId="8" applyNumberFormat="1" applyFont="1" applyFill="1" applyBorder="1" applyAlignment="1">
      <alignment horizontal="center" wrapText="1"/>
    </xf>
    <xf numFmtId="180" fontId="24" fillId="0" borderId="56" xfId="8" applyNumberFormat="1" applyFont="1" applyBorder="1" applyAlignment="1">
      <alignment horizontal="center" wrapText="1"/>
    </xf>
    <xf numFmtId="0" fontId="24" fillId="0" borderId="1" xfId="8" applyFont="1" applyBorder="1" applyAlignment="1">
      <alignment horizontal="left"/>
    </xf>
    <xf numFmtId="0" fontId="24" fillId="0" borderId="1" xfId="8" applyFont="1" applyBorder="1" applyAlignment="1">
      <alignment horizontal="left" vertical="center"/>
    </xf>
    <xf numFmtId="180" fontId="24" fillId="0" borderId="58" xfId="8" applyNumberFormat="1" applyFont="1" applyBorder="1" applyAlignment="1">
      <alignment horizontal="center" wrapText="1"/>
    </xf>
    <xf numFmtId="180" fontId="24" fillId="0" borderId="57" xfId="8" applyNumberFormat="1" applyFont="1" applyBorder="1" applyAlignment="1">
      <alignment horizontal="center" vertical="center"/>
    </xf>
    <xf numFmtId="180" fontId="24" fillId="0" borderId="59" xfId="8" applyNumberFormat="1" applyFont="1" applyBorder="1" applyAlignment="1">
      <alignment horizontal="center" vertical="center"/>
    </xf>
    <xf numFmtId="0" fontId="24" fillId="0" borderId="19" xfId="8" applyFont="1" applyBorder="1" applyAlignment="1">
      <alignment horizontal="left" vertical="center"/>
    </xf>
    <xf numFmtId="0" fontId="24" fillId="0" borderId="24" xfId="8" applyFont="1" applyBorder="1"/>
    <xf numFmtId="9" fontId="25" fillId="4" borderId="41" xfId="8" applyNumberFormat="1" applyFont="1" applyFill="1" applyBorder="1" applyAlignment="1">
      <alignment horizontal="center"/>
    </xf>
    <xf numFmtId="0" fontId="25" fillId="4" borderId="17" xfId="8" applyFont="1" applyFill="1" applyBorder="1" applyAlignment="1">
      <alignment horizontal="center"/>
    </xf>
    <xf numFmtId="16" fontId="24" fillId="0" borderId="0" xfId="8" applyNumberFormat="1" applyFont="1"/>
    <xf numFmtId="180" fontId="25" fillId="6" borderId="28" xfId="8" applyNumberFormat="1" applyFont="1" applyFill="1" applyBorder="1" applyAlignment="1">
      <alignment horizontal="center" vertical="center"/>
    </xf>
    <xf numFmtId="180" fontId="25" fillId="6" borderId="29" xfId="8" applyNumberFormat="1" applyFont="1" applyFill="1" applyBorder="1" applyAlignment="1">
      <alignment horizontal="center" vertical="center"/>
    </xf>
    <xf numFmtId="170" fontId="30" fillId="6" borderId="29" xfId="8" applyNumberFormat="1" applyFont="1" applyFill="1" applyBorder="1"/>
    <xf numFmtId="0" fontId="25" fillId="6" borderId="31" xfId="8" applyFont="1" applyFill="1" applyBorder="1" applyAlignment="1">
      <alignment horizontal="center" vertical="center"/>
    </xf>
    <xf numFmtId="0" fontId="25" fillId="6" borderId="32" xfId="8" applyFont="1" applyFill="1" applyBorder="1" applyAlignment="1">
      <alignment horizontal="center" vertical="center"/>
    </xf>
    <xf numFmtId="0" fontId="24" fillId="0" borderId="34" xfId="8" applyFont="1" applyBorder="1" applyAlignment="1">
      <alignment horizontal="center" vertical="center" wrapText="1"/>
    </xf>
    <xf numFmtId="168" fontId="3" fillId="0" borderId="1" xfId="3" applyNumberFormat="1" applyFont="1" applyBorder="1"/>
    <xf numFmtId="180" fontId="24" fillId="0" borderId="0" xfId="8" applyNumberFormat="1" applyFont="1"/>
    <xf numFmtId="180" fontId="31" fillId="0" borderId="0" xfId="8" applyNumberFormat="1" applyFont="1"/>
    <xf numFmtId="43" fontId="24" fillId="0" borderId="0" xfId="8" applyNumberFormat="1" applyFont="1"/>
    <xf numFmtId="0" fontId="22" fillId="0" borderId="1" xfId="6" applyFont="1" applyBorder="1" applyAlignment="1">
      <alignment vertical="center" wrapText="1"/>
    </xf>
    <xf numFmtId="0" fontId="9" fillId="0" borderId="0" xfId="0" applyFont="1" applyBorder="1" applyAlignment="1">
      <alignment horizontal="left"/>
    </xf>
    <xf numFmtId="10" fontId="3" fillId="0" borderId="0" xfId="0" applyNumberFormat="1" applyFont="1" applyBorder="1" applyAlignment="1">
      <alignment horizontal="center"/>
    </xf>
    <xf numFmtId="0" fontId="25" fillId="0" borderId="27" xfId="8" applyFont="1" applyFill="1" applyBorder="1" applyAlignment="1">
      <alignment horizontal="center" vertical="center" wrapText="1"/>
    </xf>
    <xf numFmtId="0" fontId="25" fillId="0" borderId="20" xfId="8" applyFont="1" applyFill="1" applyBorder="1" applyAlignment="1">
      <alignment horizontal="center" vertical="center" wrapText="1"/>
    </xf>
    <xf numFmtId="0" fontId="25" fillId="0" borderId="26" xfId="8" applyFont="1" applyFill="1" applyBorder="1" applyAlignment="1">
      <alignment horizontal="center" vertical="center" wrapText="1"/>
    </xf>
    <xf numFmtId="0" fontId="24" fillId="0" borderId="25" xfId="8" applyFont="1" applyFill="1" applyBorder="1" applyAlignment="1">
      <alignment horizontal="left" vertical="center" wrapText="1"/>
    </xf>
    <xf numFmtId="0" fontId="24" fillId="0" borderId="23" xfId="8" applyFont="1" applyFill="1" applyBorder="1" applyAlignment="1">
      <alignment horizontal="center" vertical="center" wrapText="1"/>
    </xf>
    <xf numFmtId="180" fontId="24" fillId="0" borderId="23" xfId="8" applyNumberFormat="1" applyFont="1" applyFill="1" applyBorder="1" applyAlignment="1">
      <alignment horizontal="center" vertical="center"/>
    </xf>
    <xf numFmtId="181" fontId="26" fillId="0" borderId="23" xfId="8" applyNumberFormat="1" applyFont="1" applyFill="1" applyBorder="1" applyAlignment="1">
      <alignment horizontal="center" vertical="center" wrapText="1"/>
    </xf>
    <xf numFmtId="180" fontId="24" fillId="0" borderId="22" xfId="8" applyNumberFormat="1" applyFont="1" applyFill="1" applyBorder="1" applyAlignment="1">
      <alignment horizontal="center" vertical="center"/>
    </xf>
    <xf numFmtId="0" fontId="25" fillId="0" borderId="21" xfId="8" applyFont="1" applyFill="1" applyBorder="1"/>
    <xf numFmtId="180" fontId="25" fillId="0" borderId="20" xfId="8" applyNumberFormat="1" applyFont="1" applyFill="1" applyBorder="1" applyAlignment="1">
      <alignment horizontal="center" vertical="center"/>
    </xf>
    <xf numFmtId="180" fontId="32" fillId="0" borderId="20" xfId="8" applyNumberFormat="1" applyFont="1" applyFill="1" applyBorder="1" applyAlignment="1">
      <alignment horizontal="center" vertical="center"/>
    </xf>
    <xf numFmtId="0" fontId="25" fillId="4" borderId="1" xfId="8" applyFont="1" applyFill="1" applyBorder="1" applyAlignment="1">
      <alignment horizontal="center"/>
    </xf>
    <xf numFmtId="167" fontId="3" fillId="0" borderId="0" xfId="3" applyFont="1"/>
    <xf numFmtId="167" fontId="8" fillId="0" borderId="0" xfId="3" applyFont="1"/>
    <xf numFmtId="9" fontId="9" fillId="0" borderId="1" xfId="0" applyNumberFormat="1" applyFont="1" applyBorder="1" applyAlignment="1">
      <alignment horizontal="center"/>
    </xf>
    <xf numFmtId="179" fontId="22" fillId="0" borderId="1" xfId="7" applyNumberFormat="1" applyFont="1" applyBorder="1"/>
    <xf numFmtId="3" fontId="3" fillId="0" borderId="2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 vertical="top" wrapText="1"/>
    </xf>
    <xf numFmtId="168" fontId="3" fillId="0" borderId="1" xfId="3" applyNumberFormat="1" applyFont="1" applyBorder="1" applyAlignment="1">
      <alignment horizontal="center" vertical="top" wrapText="1"/>
    </xf>
    <xf numFmtId="170" fontId="9" fillId="0" borderId="2" xfId="0" applyNumberFormat="1" applyFont="1" applyBorder="1" applyAlignment="1"/>
    <xf numFmtId="183" fontId="16" fillId="0" borderId="1" xfId="0" applyNumberFormat="1" applyFont="1" applyBorder="1" applyAlignment="1">
      <alignment horizontal="center"/>
    </xf>
    <xf numFmtId="0" fontId="25" fillId="6" borderId="21" xfId="8" applyFont="1" applyFill="1" applyBorder="1" applyAlignment="1">
      <alignment horizontal="center"/>
    </xf>
    <xf numFmtId="0" fontId="29" fillId="4" borderId="38" xfId="8" applyFont="1" applyFill="1" applyBorder="1"/>
    <xf numFmtId="0" fontId="29" fillId="4" borderId="35" xfId="8" applyFont="1" applyFill="1" applyBorder="1"/>
    <xf numFmtId="0" fontId="25" fillId="6" borderId="36" xfId="8" applyFont="1" applyFill="1" applyBorder="1" applyAlignment="1">
      <alignment horizontal="center"/>
    </xf>
    <xf numFmtId="180" fontId="24" fillId="0" borderId="48" xfId="8" applyNumberFormat="1" applyFont="1" applyBorder="1" applyAlignment="1">
      <alignment horizontal="center" vertical="center"/>
    </xf>
    <xf numFmtId="0" fontId="29" fillId="0" borderId="47" xfId="8" applyFont="1" applyBorder="1"/>
    <xf numFmtId="0" fontId="25" fillId="0" borderId="30" xfId="8" applyFont="1" applyBorder="1" applyAlignment="1">
      <alignment horizontal="right"/>
    </xf>
    <xf numFmtId="0" fontId="29" fillId="0" borderId="38" xfId="8" applyFont="1" applyBorder="1"/>
    <xf numFmtId="0" fontId="29" fillId="0" borderId="35" xfId="8" applyFont="1" applyBorder="1"/>
    <xf numFmtId="0" fontId="24" fillId="0" borderId="65" xfId="8" applyFont="1" applyBorder="1" applyAlignment="1">
      <alignment horizontal="center"/>
    </xf>
    <xf numFmtId="180" fontId="24" fillId="0" borderId="40" xfId="8" applyNumberFormat="1" applyFont="1" applyBorder="1" applyAlignment="1">
      <alignment horizontal="center" vertical="center"/>
    </xf>
    <xf numFmtId="180" fontId="24" fillId="0" borderId="39" xfId="8" applyNumberFormat="1" applyFont="1" applyBorder="1" applyAlignment="1">
      <alignment horizontal="center" vertical="center"/>
    </xf>
    <xf numFmtId="0" fontId="25" fillId="0" borderId="21" xfId="8" applyFont="1" applyBorder="1" applyAlignment="1">
      <alignment horizontal="right"/>
    </xf>
    <xf numFmtId="0" fontId="29" fillId="0" borderId="37" xfId="8" applyFont="1" applyBorder="1"/>
    <xf numFmtId="180" fontId="24" fillId="0" borderId="36" xfId="8" applyNumberFormat="1" applyFont="1" applyBorder="1" applyAlignment="1">
      <alignment horizontal="center"/>
    </xf>
    <xf numFmtId="180" fontId="24" fillId="0" borderId="44" xfId="8" applyNumberFormat="1" applyFont="1" applyBorder="1" applyAlignment="1">
      <alignment horizontal="center" vertical="center"/>
    </xf>
    <xf numFmtId="0" fontId="29" fillId="0" borderId="43" xfId="8" applyFont="1" applyBorder="1"/>
    <xf numFmtId="180" fontId="24" fillId="0" borderId="43" xfId="8" applyNumberFormat="1" applyFont="1" applyBorder="1" applyAlignment="1">
      <alignment horizontal="center" vertical="center"/>
    </xf>
    <xf numFmtId="0" fontId="25" fillId="6" borderId="48" xfId="8" applyFont="1" applyFill="1" applyBorder="1" applyAlignment="1">
      <alignment horizontal="center"/>
    </xf>
    <xf numFmtId="0" fontId="29" fillId="4" borderId="47" xfId="8" applyFont="1" applyFill="1" applyBorder="1"/>
    <xf numFmtId="0" fontId="25" fillId="4" borderId="67" xfId="8" applyFont="1" applyFill="1" applyBorder="1" applyAlignment="1">
      <alignment horizontal="center" vertical="center" wrapText="1"/>
    </xf>
    <xf numFmtId="0" fontId="29" fillId="4" borderId="60" xfId="8" applyFont="1" applyFill="1" applyBorder="1"/>
    <xf numFmtId="0" fontId="25" fillId="10" borderId="48" xfId="8" applyFont="1" applyFill="1" applyBorder="1" applyAlignment="1">
      <alignment horizontal="center"/>
    </xf>
    <xf numFmtId="0" fontId="29" fillId="4" borderId="69" xfId="8" applyFont="1" applyFill="1" applyBorder="1"/>
    <xf numFmtId="0" fontId="29" fillId="4" borderId="68" xfId="8" applyFont="1" applyFill="1" applyBorder="1"/>
    <xf numFmtId="0" fontId="25" fillId="4" borderId="41" xfId="8" applyFont="1" applyFill="1" applyBorder="1" applyAlignment="1">
      <alignment horizontal="center" vertical="center"/>
    </xf>
    <xf numFmtId="0" fontId="29" fillId="4" borderId="61" xfId="8" applyFont="1" applyFill="1" applyBorder="1"/>
    <xf numFmtId="0" fontId="25" fillId="9" borderId="41" xfId="8" applyFont="1" applyFill="1" applyBorder="1" applyAlignment="1">
      <alignment horizontal="center" wrapText="1"/>
    </xf>
    <xf numFmtId="0" fontId="28" fillId="0" borderId="33" xfId="8" applyFont="1" applyFill="1" applyBorder="1" applyAlignment="1">
      <alignment horizontal="center"/>
    </xf>
    <xf numFmtId="0" fontId="27" fillId="0" borderId="32" xfId="8" applyFont="1" applyFill="1" applyBorder="1"/>
    <xf numFmtId="0" fontId="27" fillId="0" borderId="31" xfId="8" applyFont="1" applyFill="1" applyBorder="1"/>
    <xf numFmtId="0" fontId="27" fillId="0" borderId="30" xfId="8" applyFont="1" applyFill="1" applyBorder="1"/>
    <xf numFmtId="0" fontId="27" fillId="0" borderId="29" xfId="8" applyFont="1" applyFill="1" applyBorder="1"/>
    <xf numFmtId="0" fontId="27" fillId="0" borderId="28" xfId="8" applyFont="1" applyFill="1" applyBorder="1"/>
    <xf numFmtId="0" fontId="29" fillId="0" borderId="39" xfId="8" applyFont="1" applyBorder="1"/>
    <xf numFmtId="0" fontId="25" fillId="0" borderId="38" xfId="8" applyFont="1" applyBorder="1" applyAlignment="1">
      <alignment horizontal="right"/>
    </xf>
    <xf numFmtId="0" fontId="25" fillId="0" borderId="35" xfId="8" applyFont="1" applyBorder="1" applyAlignment="1">
      <alignment horizontal="right"/>
    </xf>
    <xf numFmtId="180" fontId="24" fillId="0" borderId="21" xfId="8" applyNumberFormat="1" applyFont="1" applyBorder="1" applyAlignment="1">
      <alignment horizontal="center"/>
    </xf>
    <xf numFmtId="180" fontId="24" fillId="0" borderId="35" xfId="8" applyNumberFormat="1" applyFont="1" applyBorder="1" applyAlignment="1">
      <alignment horizontal="center"/>
    </xf>
    <xf numFmtId="0" fontId="25" fillId="0" borderId="30" xfId="8" applyFont="1" applyBorder="1" applyAlignment="1">
      <alignment horizontal="center"/>
    </xf>
    <xf numFmtId="0" fontId="29" fillId="0" borderId="29" xfId="8" applyFont="1" applyBorder="1" applyAlignment="1">
      <alignment horizontal="center"/>
    </xf>
    <xf numFmtId="0" fontId="29" fillId="0" borderId="46" xfId="8" applyFont="1" applyBorder="1" applyAlignment="1">
      <alignment horizontal="center"/>
    </xf>
    <xf numFmtId="180" fontId="24" fillId="0" borderId="36" xfId="8" applyNumberFormat="1" applyFont="1" applyBorder="1" applyAlignment="1">
      <alignment horizontal="center" vertical="center"/>
    </xf>
    <xf numFmtId="0" fontId="25" fillId="6" borderId="33" xfId="8" applyFont="1" applyFill="1" applyBorder="1" applyAlignment="1">
      <alignment horizontal="center" vertical="center"/>
    </xf>
    <xf numFmtId="0" fontId="29" fillId="4" borderId="30" xfId="8" applyFont="1" applyFill="1" applyBorder="1"/>
    <xf numFmtId="0" fontId="25" fillId="4" borderId="41" xfId="8" applyFont="1" applyFill="1" applyBorder="1" applyAlignment="1">
      <alignment horizontal="center" wrapText="1"/>
    </xf>
    <xf numFmtId="0" fontId="25" fillId="9" borderId="55" xfId="8" applyFont="1" applyFill="1" applyBorder="1" applyAlignment="1">
      <alignment horizontal="center" wrapText="1"/>
    </xf>
    <xf numFmtId="0" fontId="29" fillId="4" borderId="62" xfId="8" applyFont="1" applyFill="1" applyBorder="1"/>
    <xf numFmtId="0" fontId="25" fillId="11" borderId="70" xfId="8" applyFont="1" applyFill="1" applyBorder="1" applyAlignment="1">
      <alignment horizontal="center"/>
    </xf>
    <xf numFmtId="0" fontId="25" fillId="4" borderId="42" xfId="8" applyFont="1" applyFill="1" applyBorder="1" applyAlignment="1">
      <alignment horizontal="center" vertical="center"/>
    </xf>
    <xf numFmtId="0" fontId="29" fillId="4" borderId="64" xfId="8" applyFont="1" applyFill="1" applyBorder="1"/>
    <xf numFmtId="0" fontId="25" fillId="4" borderId="41" xfId="8" applyFont="1" applyFill="1" applyBorder="1" applyAlignment="1">
      <alignment horizontal="center" vertical="center" wrapText="1"/>
    </xf>
    <xf numFmtId="0" fontId="25" fillId="4" borderId="66" xfId="8" applyFont="1" applyFill="1" applyBorder="1" applyAlignment="1">
      <alignment horizontal="center" vertical="center"/>
    </xf>
    <xf numFmtId="0" fontId="29" fillId="4" borderId="63" xfId="8" applyFont="1" applyFill="1" applyBorder="1"/>
    <xf numFmtId="0" fontId="23" fillId="0" borderId="16" xfId="6" applyFont="1" applyBorder="1" applyAlignment="1">
      <alignment horizontal="center"/>
    </xf>
    <xf numFmtId="0" fontId="23" fillId="0" borderId="18" xfId="6" applyFont="1" applyBorder="1" applyAlignment="1">
      <alignment horizontal="center"/>
    </xf>
    <xf numFmtId="0" fontId="23" fillId="2" borderId="2" xfId="6" applyFont="1" applyFill="1" applyBorder="1" applyAlignment="1">
      <alignment horizontal="center" vertical="center"/>
    </xf>
    <xf numFmtId="0" fontId="23" fillId="2" borderId="5" xfId="6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3" fillId="0" borderId="2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9" fillId="0" borderId="7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3" fillId="0" borderId="2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9" fillId="0" borderId="9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9" xfId="0" applyFont="1" applyBorder="1" applyAlignment="1">
      <alignment horizontal="center" vertical="top" wrapText="1"/>
    </xf>
    <xf numFmtId="0" fontId="9" fillId="0" borderId="10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/>
    </xf>
    <xf numFmtId="0" fontId="9" fillId="0" borderId="9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wrapText="1"/>
    </xf>
    <xf numFmtId="0" fontId="9" fillId="0" borderId="3" xfId="0" applyFont="1" applyBorder="1" applyAlignment="1">
      <alignment horizontal="center" wrapText="1"/>
    </xf>
    <xf numFmtId="0" fontId="9" fillId="0" borderId="9" xfId="0" applyFont="1" applyBorder="1" applyAlignment="1">
      <alignment horizontal="center" wrapText="1"/>
    </xf>
    <xf numFmtId="0" fontId="9" fillId="0" borderId="12" xfId="0" applyFont="1" applyBorder="1" applyAlignment="1">
      <alignment horizontal="center" wrapText="1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top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9" fillId="0" borderId="6" xfId="0" applyFont="1" applyBorder="1" applyAlignment="1">
      <alignment horizontal="left" wrapText="1"/>
    </xf>
    <xf numFmtId="0" fontId="3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wrapText="1"/>
    </xf>
    <xf numFmtId="0" fontId="3" fillId="0" borderId="13" xfId="0" applyFont="1" applyBorder="1"/>
    <xf numFmtId="0" fontId="9" fillId="0" borderId="1" xfId="0" applyFont="1" applyBorder="1" applyAlignment="1">
      <alignment horizontal="left"/>
    </xf>
    <xf numFmtId="0" fontId="9" fillId="0" borderId="12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4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9" fillId="0" borderId="2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11" xfId="0" applyFont="1" applyBorder="1" applyAlignment="1">
      <alignment horizontal="center"/>
    </xf>
    <xf numFmtId="0" fontId="9" fillId="0" borderId="0" xfId="0" applyFont="1" applyAlignment="1">
      <alignment horizontal="center"/>
    </xf>
    <xf numFmtId="171" fontId="3" fillId="0" borderId="1" xfId="0" applyNumberFormat="1" applyFont="1" applyBorder="1" applyAlignment="1">
      <alignment horizontal="center"/>
    </xf>
    <xf numFmtId="170" fontId="3" fillId="0" borderId="1" xfId="0" applyNumberFormat="1" applyFont="1" applyBorder="1" applyAlignment="1">
      <alignment horizontal="center"/>
    </xf>
    <xf numFmtId="170" fontId="9" fillId="0" borderId="2" xfId="0" applyNumberFormat="1" applyFont="1" applyBorder="1"/>
    <xf numFmtId="0" fontId="0" fillId="0" borderId="3" xfId="0" applyBorder="1"/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13" fillId="0" borderId="2" xfId="0" applyFont="1" applyBorder="1" applyAlignment="1">
      <alignment horizontal="left"/>
    </xf>
    <xf numFmtId="0" fontId="13" fillId="0" borderId="5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9" fontId="9" fillId="0" borderId="1" xfId="0" applyNumberFormat="1" applyFont="1" applyBorder="1" applyAlignment="1">
      <alignment horizontal="center"/>
    </xf>
    <xf numFmtId="0" fontId="16" fillId="0" borderId="0" xfId="0" applyFont="1" applyAlignment="1">
      <alignment horizontal="left" vertical="center" wrapText="1"/>
    </xf>
    <xf numFmtId="0" fontId="9" fillId="0" borderId="3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0" xfId="0" applyFont="1" applyAlignment="1">
      <alignment horizontal="left"/>
    </xf>
  </cellXfs>
  <cellStyles count="10">
    <cellStyle name="Euro" xfId="1" xr:uid="{00000000-0005-0000-0000-000000000000}"/>
    <cellStyle name="Hipervínculo" xfId="2" builtinId="8"/>
    <cellStyle name="Moneda" xfId="3" builtinId="4"/>
    <cellStyle name="Moneda 2" xfId="4" xr:uid="{00000000-0005-0000-0000-000003000000}"/>
    <cellStyle name="Moneda 3" xfId="7" xr:uid="{D03F08B4-3A49-4251-A563-F969F429F835}"/>
    <cellStyle name="Moneda 4" xfId="9" xr:uid="{F7ACA515-96BC-4934-A7D3-0FD390A82D7B}"/>
    <cellStyle name="Normal" xfId="0" builtinId="0"/>
    <cellStyle name="Normal 2" xfId="6" xr:uid="{F0E9452B-3C65-4B29-94CA-6B54BBEFF3F2}"/>
    <cellStyle name="Normal 3" xfId="8" xr:uid="{21CB106F-BD0B-436A-8D79-AEDCC25C910C}"/>
    <cellStyle name="Porcentaje" xfId="5" builtinId="5"/>
  </cellStyles>
  <dxfs count="0"/>
  <tableStyles count="0" defaultTableStyle="TableStyleMedium9" defaultPivotStyle="PivotStyleLight16"/>
  <colors>
    <mruColors>
      <color rgb="FF9999FF"/>
      <color rgb="FFFFCCFF"/>
      <color rgb="FF99FFCC"/>
      <color rgb="FFFFFF99"/>
      <color rgb="FFFFFFCC"/>
      <color rgb="FFFFFFFF"/>
      <color rgb="FF3399FF"/>
      <color rgb="FF6699FF"/>
      <color rgb="FF0099CC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9952F-9DE5-47AA-AE6C-F1E76A7B7CE2}">
  <dimension ref="A1:R37"/>
  <sheetViews>
    <sheetView zoomScale="78" zoomScaleNormal="78" workbookViewId="0">
      <selection activeCell="F10" sqref="F10"/>
    </sheetView>
  </sheetViews>
  <sheetFormatPr baseColWidth="10" defaultColWidth="11.44140625" defaultRowHeight="13.8" x14ac:dyDescent="0.25"/>
  <cols>
    <col min="1" max="1" width="11.44140625" style="262"/>
    <col min="2" max="2" width="25.109375" style="262" bestFit="1" customWidth="1"/>
    <col min="3" max="3" width="13.21875" style="262" bestFit="1" customWidth="1"/>
    <col min="4" max="4" width="16.21875" style="262" customWidth="1"/>
    <col min="5" max="5" width="15.109375" style="262" bestFit="1" customWidth="1"/>
    <col min="6" max="6" width="16.77734375" style="262" customWidth="1"/>
    <col min="7" max="7" width="17" style="262" customWidth="1"/>
    <col min="8" max="10" width="14.21875" style="262" customWidth="1"/>
    <col min="11" max="11" width="16.109375" style="262" customWidth="1"/>
    <col min="12" max="12" width="11.44140625" style="262"/>
    <col min="13" max="13" width="15.5546875" style="262" customWidth="1"/>
    <col min="14" max="14" width="14.77734375" style="262" customWidth="1"/>
    <col min="15" max="15" width="16.21875" style="262" customWidth="1"/>
    <col min="16" max="16384" width="11.44140625" style="262"/>
  </cols>
  <sheetData>
    <row r="1" spans="1:18" ht="14.4" thickBot="1" x14ac:dyDescent="0.3"/>
    <row r="2" spans="1:18" x14ac:dyDescent="0.25">
      <c r="B2" s="400" t="s">
        <v>379</v>
      </c>
      <c r="C2" s="327" t="s">
        <v>380</v>
      </c>
      <c r="D2" s="327" t="s">
        <v>381</v>
      </c>
      <c r="E2" s="326" t="s">
        <v>378</v>
      </c>
    </row>
    <row r="3" spans="1:18" ht="14.4" thickBot="1" x14ac:dyDescent="0.3">
      <c r="B3" s="401"/>
      <c r="C3" s="325">
        <v>1300000</v>
      </c>
      <c r="D3" s="324">
        <v>162000</v>
      </c>
      <c r="E3" s="323">
        <f>C3*10</f>
        <v>13000000</v>
      </c>
      <c r="P3" s="330"/>
    </row>
    <row r="4" spans="1:18" ht="14.4" thickBot="1" x14ac:dyDescent="0.3">
      <c r="G4" s="322"/>
    </row>
    <row r="5" spans="1:18" ht="15" customHeight="1" x14ac:dyDescent="0.25">
      <c r="B5" s="405" t="s">
        <v>377</v>
      </c>
      <c r="C5" s="380"/>
      <c r="D5" s="380"/>
      <c r="E5" s="381"/>
      <c r="F5" s="379" t="s">
        <v>376</v>
      </c>
      <c r="G5" s="380"/>
      <c r="H5" s="380"/>
      <c r="I5" s="381"/>
      <c r="J5" s="379" t="s">
        <v>375</v>
      </c>
      <c r="K5" s="380"/>
      <c r="L5" s="380"/>
      <c r="M5" s="381"/>
      <c r="N5" s="377" t="s">
        <v>374</v>
      </c>
      <c r="O5" s="319"/>
    </row>
    <row r="6" spans="1:18" ht="15" customHeight="1" x14ac:dyDescent="0.25">
      <c r="A6" s="366"/>
      <c r="B6" s="406" t="s">
        <v>373</v>
      </c>
      <c r="C6" s="382" t="s">
        <v>372</v>
      </c>
      <c r="D6" s="408" t="s">
        <v>371</v>
      </c>
      <c r="E6" s="409" t="s">
        <v>370</v>
      </c>
      <c r="F6" s="382" t="s">
        <v>369</v>
      </c>
      <c r="G6" s="402" t="s">
        <v>368</v>
      </c>
      <c r="H6" s="402" t="s">
        <v>337</v>
      </c>
      <c r="I6" s="403" t="s">
        <v>367</v>
      </c>
      <c r="J6" s="382" t="s">
        <v>366</v>
      </c>
      <c r="K6" s="321" t="s">
        <v>356</v>
      </c>
      <c r="L6" s="321" t="s">
        <v>353</v>
      </c>
      <c r="M6" s="384" t="s">
        <v>365</v>
      </c>
      <c r="N6" s="378"/>
      <c r="O6" s="319"/>
    </row>
    <row r="7" spans="1:18" ht="15" customHeight="1" thickBot="1" x14ac:dyDescent="0.3">
      <c r="A7" s="366"/>
      <c r="B7" s="407"/>
      <c r="C7" s="383"/>
      <c r="D7" s="383"/>
      <c r="E7" s="410"/>
      <c r="F7" s="383"/>
      <c r="G7" s="383"/>
      <c r="H7" s="383"/>
      <c r="I7" s="404"/>
      <c r="J7" s="383"/>
      <c r="K7" s="320">
        <v>0.04</v>
      </c>
      <c r="L7" s="320">
        <v>0.04</v>
      </c>
      <c r="M7" s="383"/>
      <c r="N7" s="378"/>
      <c r="O7" s="319"/>
    </row>
    <row r="8" spans="1:18" ht="14.4" thickBot="1" x14ac:dyDescent="0.3">
      <c r="B8" s="318" t="s">
        <v>382</v>
      </c>
      <c r="C8" s="317">
        <f>C3</f>
        <v>1300000</v>
      </c>
      <c r="D8" s="305">
        <v>30</v>
      </c>
      <c r="E8" s="304">
        <f t="shared" ref="E8:E10" si="0">(C8/D8)*D8</f>
        <v>1300000</v>
      </c>
      <c r="F8" s="316">
        <f>E8*4.17%</f>
        <v>54210</v>
      </c>
      <c r="G8" s="312">
        <v>0</v>
      </c>
      <c r="H8" s="312">
        <f t="shared" ref="H8:H10" si="1">IF(D8&gt;0, IF(E8&gt;($C$3)*2,0,$D$3),0)</f>
        <v>162000</v>
      </c>
      <c r="I8" s="311">
        <f t="shared" ref="I8:I10" si="2">+SUM(E8:H8)</f>
        <v>1516210</v>
      </c>
      <c r="J8" s="310">
        <f t="shared" ref="J8:J10" si="3">IF(D8&gt;0, IF((I8-H8)&gt;=$C$3,(I8-H8),$C$3),0)</f>
        <v>1354210</v>
      </c>
      <c r="K8" s="309">
        <f t="shared" ref="K8:K10" si="4">+J8*$K$7</f>
        <v>54168.4</v>
      </c>
      <c r="L8" s="309">
        <f t="shared" ref="L8:L10" si="5">+J8*$L$7</f>
        <v>54168.4</v>
      </c>
      <c r="M8" s="308">
        <f t="shared" ref="M8:M10" si="6">+SUM(K8:L8)</f>
        <v>108336.8</v>
      </c>
      <c r="N8" s="315">
        <f t="shared" ref="N8:N10" si="7">+I8-M8</f>
        <v>1407873.2</v>
      </c>
    </row>
    <row r="9" spans="1:18" ht="14.4" thickBot="1" x14ac:dyDescent="0.3">
      <c r="B9" s="314" t="s">
        <v>383</v>
      </c>
      <c r="C9" s="317">
        <f>C3</f>
        <v>1300000</v>
      </c>
      <c r="D9" s="305">
        <v>30</v>
      </c>
      <c r="E9" s="304">
        <f t="shared" si="0"/>
        <v>1300000</v>
      </c>
      <c r="F9" s="316">
        <f>E9*4.17%</f>
        <v>54210</v>
      </c>
      <c r="G9" s="301">
        <v>0</v>
      </c>
      <c r="H9" s="301">
        <f t="shared" si="1"/>
        <v>162000</v>
      </c>
      <c r="I9" s="300">
        <f t="shared" si="2"/>
        <v>1516210</v>
      </c>
      <c r="J9" s="273">
        <f t="shared" si="3"/>
        <v>1354210</v>
      </c>
      <c r="K9" s="299">
        <f t="shared" si="4"/>
        <v>54168.4</v>
      </c>
      <c r="L9" s="299">
        <f t="shared" si="5"/>
        <v>54168.4</v>
      </c>
      <c r="M9" s="298">
        <f t="shared" si="6"/>
        <v>108336.8</v>
      </c>
      <c r="N9" s="297">
        <f t="shared" si="7"/>
        <v>1407873.2</v>
      </c>
    </row>
    <row r="10" spans="1:18" ht="14.4" thickBot="1" x14ac:dyDescent="0.3">
      <c r="B10" s="313" t="s">
        <v>384</v>
      </c>
      <c r="C10" s="317">
        <f>C3</f>
        <v>1300000</v>
      </c>
      <c r="D10" s="305">
        <v>30</v>
      </c>
      <c r="E10" s="304">
        <f t="shared" si="0"/>
        <v>1300000</v>
      </c>
      <c r="F10" s="316">
        <f>E10*4.17%</f>
        <v>54210</v>
      </c>
      <c r="G10" s="301">
        <v>0</v>
      </c>
      <c r="H10" s="301">
        <f t="shared" si="1"/>
        <v>162000</v>
      </c>
      <c r="I10" s="300">
        <f t="shared" si="2"/>
        <v>1516210</v>
      </c>
      <c r="J10" s="273">
        <f t="shared" si="3"/>
        <v>1354210</v>
      </c>
      <c r="K10" s="299">
        <f t="shared" si="4"/>
        <v>54168.4</v>
      </c>
      <c r="L10" s="299">
        <f t="shared" si="5"/>
        <v>54168.4</v>
      </c>
      <c r="M10" s="298">
        <f t="shared" si="6"/>
        <v>108336.8</v>
      </c>
      <c r="N10" s="297">
        <f t="shared" si="7"/>
        <v>1407873.2</v>
      </c>
    </row>
    <row r="11" spans="1:18" ht="15" thickBot="1" x14ac:dyDescent="0.35">
      <c r="B11" s="307"/>
      <c r="C11" s="306"/>
      <c r="D11" s="305"/>
      <c r="E11" s="304"/>
      <c r="F11" s="303"/>
      <c r="G11" s="302"/>
      <c r="H11" s="312"/>
      <c r="I11" s="311"/>
      <c r="J11" s="310"/>
      <c r="K11" s="309"/>
      <c r="L11" s="309"/>
      <c r="M11" s="308"/>
      <c r="N11" s="297"/>
    </row>
    <row r="12" spans="1:18" ht="14.4" thickBot="1" x14ac:dyDescent="0.3">
      <c r="B12" s="363" t="s">
        <v>335</v>
      </c>
      <c r="C12" s="364"/>
      <c r="D12" s="365"/>
      <c r="E12" s="293">
        <f>SUM(E8:E11)</f>
        <v>3900000</v>
      </c>
      <c r="F12" s="296">
        <f>SUM(F8:F11)</f>
        <v>162630</v>
      </c>
      <c r="G12" s="295">
        <v>0</v>
      </c>
      <c r="H12" s="294">
        <f t="shared" ref="H12:N12" si="8">SUM(H8:H11)</f>
        <v>486000</v>
      </c>
      <c r="I12" s="293">
        <f t="shared" si="8"/>
        <v>4548630</v>
      </c>
      <c r="J12" s="292">
        <f t="shared" si="8"/>
        <v>4062630</v>
      </c>
      <c r="K12" s="293">
        <f t="shared" si="8"/>
        <v>162505.20000000001</v>
      </c>
      <c r="L12" s="292">
        <f t="shared" si="8"/>
        <v>162505.20000000001</v>
      </c>
      <c r="M12" s="291">
        <f t="shared" si="8"/>
        <v>325010.40000000002</v>
      </c>
      <c r="N12" s="290">
        <f t="shared" si="8"/>
        <v>4223619.5999999996</v>
      </c>
    </row>
    <row r="14" spans="1:18" ht="14.4" thickBot="1" x14ac:dyDescent="0.3"/>
    <row r="15" spans="1:18" ht="14.4" thickBot="1" x14ac:dyDescent="0.3">
      <c r="B15" s="357" t="s">
        <v>364</v>
      </c>
      <c r="C15" s="358"/>
      <c r="D15" s="358"/>
      <c r="E15" s="358"/>
      <c r="F15" s="359"/>
      <c r="H15" s="357" t="s">
        <v>363</v>
      </c>
      <c r="I15" s="358"/>
      <c r="J15" s="358"/>
      <c r="K15" s="358"/>
      <c r="L15" s="359"/>
      <c r="N15" s="357" t="s">
        <v>362</v>
      </c>
      <c r="O15" s="358"/>
      <c r="P15" s="358"/>
      <c r="Q15" s="358"/>
      <c r="R15" s="359"/>
    </row>
    <row r="16" spans="1:18" ht="14.4" thickBot="1" x14ac:dyDescent="0.3">
      <c r="B16" s="289" t="s">
        <v>360</v>
      </c>
      <c r="C16" s="288" t="s">
        <v>359</v>
      </c>
      <c r="D16" s="288" t="s">
        <v>361</v>
      </c>
      <c r="E16" s="375" t="s">
        <v>357</v>
      </c>
      <c r="F16" s="376"/>
      <c r="H16" s="287" t="s">
        <v>360</v>
      </c>
      <c r="I16" s="286" t="s">
        <v>359</v>
      </c>
      <c r="J16" s="286" t="s">
        <v>361</v>
      </c>
      <c r="K16" s="360" t="s">
        <v>357</v>
      </c>
      <c r="L16" s="359"/>
      <c r="N16" s="285" t="s">
        <v>360</v>
      </c>
      <c r="O16" s="284" t="s">
        <v>359</v>
      </c>
      <c r="P16" s="283" t="s">
        <v>358</v>
      </c>
      <c r="Q16" s="360" t="s">
        <v>357</v>
      </c>
      <c r="R16" s="359"/>
    </row>
    <row r="17" spans="2:18" ht="41.4" x14ac:dyDescent="0.25">
      <c r="B17" s="274" t="s">
        <v>356</v>
      </c>
      <c r="C17" s="273">
        <f>+$J$12</f>
        <v>4062630</v>
      </c>
      <c r="D17" s="272">
        <v>8.5000000000000006E-2</v>
      </c>
      <c r="E17" s="372">
        <f>+C17*D17</f>
        <v>345323.55000000005</v>
      </c>
      <c r="F17" s="373"/>
      <c r="H17" s="282" t="s">
        <v>355</v>
      </c>
      <c r="I17" s="263">
        <f>+J12</f>
        <v>4062630</v>
      </c>
      <c r="J17" s="281">
        <v>0.04</v>
      </c>
      <c r="K17" s="361">
        <f>+I17*J17</f>
        <v>162505.20000000001</v>
      </c>
      <c r="L17" s="362"/>
      <c r="N17" s="280" t="s">
        <v>354</v>
      </c>
      <c r="O17" s="263">
        <f>+$I$12</f>
        <v>4548630</v>
      </c>
      <c r="P17" s="279">
        <v>8.3299999999999999E-2</v>
      </c>
      <c r="Q17" s="361">
        <f>+O17*P17</f>
        <v>378900.87900000002</v>
      </c>
      <c r="R17" s="362"/>
    </row>
    <row r="18" spans="2:18" ht="27.6" x14ac:dyDescent="0.25">
      <c r="B18" s="274" t="s">
        <v>353</v>
      </c>
      <c r="C18" s="273">
        <f>+$J$12</f>
        <v>4062630</v>
      </c>
      <c r="D18" s="278">
        <v>0.12</v>
      </c>
      <c r="E18" s="372">
        <f>+C18*D18</f>
        <v>487515.6</v>
      </c>
      <c r="F18" s="373"/>
      <c r="H18" s="274" t="s">
        <v>352</v>
      </c>
      <c r="I18" s="273">
        <v>0</v>
      </c>
      <c r="J18" s="278">
        <v>0.03</v>
      </c>
      <c r="K18" s="372">
        <f>+I18*J18</f>
        <v>0</v>
      </c>
      <c r="L18" s="373"/>
      <c r="N18" s="276" t="s">
        <v>351</v>
      </c>
      <c r="O18" s="273">
        <f>+$I$12</f>
        <v>4548630</v>
      </c>
      <c r="P18" s="275">
        <v>0.01</v>
      </c>
      <c r="Q18" s="372">
        <f>+O18*P18</f>
        <v>45486.3</v>
      </c>
      <c r="R18" s="373"/>
    </row>
    <row r="19" spans="2:18" ht="28.2" thickBot="1" x14ac:dyDescent="0.3">
      <c r="B19" s="274" t="s">
        <v>385</v>
      </c>
      <c r="C19" s="273">
        <f>+SUM(J8:J10)</f>
        <v>4062630</v>
      </c>
      <c r="D19" s="272">
        <v>2.436E-2</v>
      </c>
      <c r="E19" s="372">
        <f>+C19*D19</f>
        <v>98965.666799999992</v>
      </c>
      <c r="F19" s="373"/>
      <c r="H19" s="271" t="s">
        <v>350</v>
      </c>
      <c r="I19" s="277">
        <v>0</v>
      </c>
      <c r="J19" s="269">
        <v>0.02</v>
      </c>
      <c r="K19" s="367">
        <f>+I19*J19</f>
        <v>0</v>
      </c>
      <c r="L19" s="391"/>
      <c r="N19" s="276" t="s">
        <v>349</v>
      </c>
      <c r="O19" s="273">
        <f>+$I$12</f>
        <v>4548630</v>
      </c>
      <c r="P19" s="275">
        <v>8.3299999999999999E-2</v>
      </c>
      <c r="Q19" s="372">
        <f>+O19*P19</f>
        <v>378900.87900000002</v>
      </c>
      <c r="R19" s="373"/>
    </row>
    <row r="20" spans="2:18" ht="14.4" thickBot="1" x14ac:dyDescent="0.3">
      <c r="B20" s="396" t="s">
        <v>335</v>
      </c>
      <c r="C20" s="397"/>
      <c r="D20" s="398"/>
      <c r="E20" s="399">
        <f ca="1">SUM(E17:G20)</f>
        <v>1764946</v>
      </c>
      <c r="F20" s="365"/>
      <c r="H20" s="369" t="s">
        <v>335</v>
      </c>
      <c r="I20" s="392"/>
      <c r="J20" s="393"/>
      <c r="K20" s="394">
        <f>SUM(K17:L19)</f>
        <v>162505.20000000001</v>
      </c>
      <c r="L20" s="395"/>
      <c r="N20" s="274" t="s">
        <v>348</v>
      </c>
      <c r="O20" s="273">
        <f>+($I$12-$H$12)</f>
        <v>4062630</v>
      </c>
      <c r="P20" s="272">
        <v>4.1700000000000001E-2</v>
      </c>
      <c r="Q20" s="372">
        <f>+O20*P20</f>
        <v>169411.671</v>
      </c>
      <c r="R20" s="374"/>
    </row>
    <row r="21" spans="2:18" ht="14.4" thickBot="1" x14ac:dyDescent="0.3">
      <c r="N21" s="271" t="s">
        <v>347</v>
      </c>
      <c r="O21" s="270">
        <f>+($I$12-$H$12)</f>
        <v>4062630</v>
      </c>
      <c r="P21" s="269">
        <v>1.7500000000000002E-2</v>
      </c>
      <c r="Q21" s="367">
        <f>+O21*P21</f>
        <v>71096.025000000009</v>
      </c>
      <c r="R21" s="368"/>
    </row>
    <row r="22" spans="2:18" ht="14.4" thickBot="1" x14ac:dyDescent="0.3">
      <c r="N22" s="369" t="s">
        <v>335</v>
      </c>
      <c r="O22" s="364"/>
      <c r="P22" s="370"/>
      <c r="Q22" s="371">
        <f>SUM(Q17:R21)</f>
        <v>1043795.754</v>
      </c>
      <c r="R22" s="365"/>
    </row>
    <row r="25" spans="2:18" ht="15" customHeight="1" x14ac:dyDescent="0.25"/>
    <row r="26" spans="2:18" ht="36" customHeight="1" x14ac:dyDescent="0.25">
      <c r="B26" s="268" t="s">
        <v>340</v>
      </c>
      <c r="C26" s="347" t="s">
        <v>339</v>
      </c>
      <c r="D26" s="267" t="s">
        <v>346</v>
      </c>
      <c r="E26" s="267" t="s">
        <v>345</v>
      </c>
      <c r="F26" s="267" t="s">
        <v>344</v>
      </c>
      <c r="G26" s="267" t="s">
        <v>343</v>
      </c>
      <c r="H26" s="267" t="s">
        <v>342</v>
      </c>
      <c r="I26" s="267" t="s">
        <v>341</v>
      </c>
    </row>
    <row r="27" spans="2:18" ht="27" customHeight="1" x14ac:dyDescent="0.25">
      <c r="B27" s="266" t="str" cm="1">
        <f t="array" ref="B27:B30">+B8:B11</f>
        <v>Mensajero 1</v>
      </c>
      <c r="C27" s="340">
        <v>1</v>
      </c>
      <c r="D27" s="264">
        <f>+N8*C27</f>
        <v>1407873.2</v>
      </c>
      <c r="E27" s="265">
        <f>+(J8*$D$17)+(J8*$D$18)+(J8*$D$19)*C27</f>
        <v>310601.60560000001</v>
      </c>
      <c r="F27" s="265">
        <f>+J8*$D$17</f>
        <v>115107.85</v>
      </c>
      <c r="G27" s="265">
        <f>+(I8*$P$17)+(I8*$P$18)+(I8*$P$19)+(I8*$P$20)+(I8*$P$21)*C27</f>
        <v>357522.31799999997</v>
      </c>
      <c r="H27" s="264">
        <f t="shared" ref="H27:H29" si="9">+SUM(D27:G27)</f>
        <v>2191104.9736000001</v>
      </c>
      <c r="I27" s="264">
        <f t="shared" ref="I27:I29" si="10">+H27*12</f>
        <v>26293259.683200002</v>
      </c>
    </row>
    <row r="28" spans="2:18" x14ac:dyDescent="0.25">
      <c r="B28" s="266" t="str">
        <v>Mensajero 2</v>
      </c>
      <c r="C28" s="340">
        <v>1</v>
      </c>
      <c r="D28" s="264">
        <f>+N9*C28</f>
        <v>1407873.2</v>
      </c>
      <c r="E28" s="265">
        <f>+(J9*$D$17)+(J9*$D$18)+(J9*$D$19)*C28</f>
        <v>310601.60560000001</v>
      </c>
      <c r="F28" s="265">
        <f>+J9*$D$17</f>
        <v>115107.85</v>
      </c>
      <c r="G28" s="265">
        <f>+(I9*$P$17)+(I9*$P$18)+(I9*$P$19)+(I9*$P$20)+(I9*$P$21)*C28</f>
        <v>357522.31799999997</v>
      </c>
      <c r="H28" s="264">
        <f t="shared" si="9"/>
        <v>2191104.9736000001</v>
      </c>
      <c r="I28" s="264">
        <f t="shared" si="10"/>
        <v>26293259.683200002</v>
      </c>
    </row>
    <row r="29" spans="2:18" ht="29.25" customHeight="1" x14ac:dyDescent="0.25">
      <c r="B29" s="266" t="str">
        <v>Mensajero 3</v>
      </c>
      <c r="C29" s="340">
        <v>1</v>
      </c>
      <c r="D29" s="264">
        <f>+N10*C29</f>
        <v>1407873.2</v>
      </c>
      <c r="E29" s="265">
        <f>+(J10*$D$17)+(J10*$D$18)+(J10*$D$19)*C29</f>
        <v>310601.60560000001</v>
      </c>
      <c r="F29" s="265">
        <f>+J10*$D$17</f>
        <v>115107.85</v>
      </c>
      <c r="G29" s="265">
        <f>+(I10*$P$17)+(I10*$P$18)+(I10*$P$19)+(I10*$P$20)+(I10*$P$21)*C29</f>
        <v>357522.31799999997</v>
      </c>
      <c r="H29" s="264">
        <f t="shared" si="9"/>
        <v>2191104.9736000001</v>
      </c>
      <c r="I29" s="264">
        <f t="shared" si="10"/>
        <v>26293259.683200002</v>
      </c>
    </row>
    <row r="30" spans="2:18" ht="14.4" thickBot="1" x14ac:dyDescent="0.3">
      <c r="B30" s="262">
        <v>0</v>
      </c>
      <c r="D30" s="330"/>
      <c r="E30" s="332"/>
      <c r="F30" s="332"/>
      <c r="G30" s="332"/>
      <c r="H30" s="331"/>
      <c r="I30" s="330"/>
    </row>
    <row r="31" spans="2:18" x14ac:dyDescent="0.25">
      <c r="B31" s="385" t="s">
        <v>401</v>
      </c>
      <c r="C31" s="386"/>
      <c r="D31" s="386"/>
      <c r="E31" s="386"/>
      <c r="F31" s="386"/>
      <c r="G31" s="387"/>
    </row>
    <row r="32" spans="2:18" ht="14.4" thickBot="1" x14ac:dyDescent="0.3">
      <c r="B32" s="388"/>
      <c r="C32" s="389"/>
      <c r="D32" s="389"/>
      <c r="E32" s="389"/>
      <c r="F32" s="389"/>
      <c r="G32" s="390"/>
    </row>
    <row r="33" spans="2:7" ht="42" thickBot="1" x14ac:dyDescent="0.3">
      <c r="B33" s="336" t="s">
        <v>340</v>
      </c>
      <c r="C33" s="337" t="s">
        <v>339</v>
      </c>
      <c r="D33" s="337" t="s">
        <v>338</v>
      </c>
      <c r="E33" s="337" t="s">
        <v>337</v>
      </c>
      <c r="F33" s="337" t="str">
        <f t="shared" ref="F33:F36" si="11">+G26</f>
        <v>Prestaciones sociales</v>
      </c>
      <c r="G33" s="338" t="s">
        <v>336</v>
      </c>
    </row>
    <row r="34" spans="2:7" x14ac:dyDescent="0.25">
      <c r="B34" s="339" t="str" cm="1">
        <f t="array" ref="B34:B37">+_xlfn.ANCHORARRAY(B27)</f>
        <v>Mensajero 1</v>
      </c>
      <c r="C34" s="340">
        <v>1</v>
      </c>
      <c r="D34" s="341">
        <f>+C8</f>
        <v>1300000</v>
      </c>
      <c r="E34" s="341">
        <f>H8</f>
        <v>162000</v>
      </c>
      <c r="F34" s="342">
        <f t="shared" si="11"/>
        <v>357522.31799999997</v>
      </c>
      <c r="G34" s="343">
        <f t="shared" ref="G34:G36" si="12">+H27</f>
        <v>2191104.9736000001</v>
      </c>
    </row>
    <row r="35" spans="2:7" x14ac:dyDescent="0.25">
      <c r="B35" s="339" t="str">
        <v>Mensajero 2</v>
      </c>
      <c r="C35" s="340">
        <v>1</v>
      </c>
      <c r="D35" s="341">
        <f>+C9</f>
        <v>1300000</v>
      </c>
      <c r="E35" s="341">
        <f>H9</f>
        <v>162000</v>
      </c>
      <c r="F35" s="342">
        <f t="shared" si="11"/>
        <v>357522.31799999997</v>
      </c>
      <c r="G35" s="343">
        <f t="shared" si="12"/>
        <v>2191104.9736000001</v>
      </c>
    </row>
    <row r="36" spans="2:7" ht="14.4" thickBot="1" x14ac:dyDescent="0.3">
      <c r="B36" s="339" t="str">
        <v>Mensajero 3</v>
      </c>
      <c r="C36" s="340">
        <v>1</v>
      </c>
      <c r="D36" s="341">
        <f>+C10</f>
        <v>1300000</v>
      </c>
      <c r="E36" s="341">
        <f>H10</f>
        <v>162000</v>
      </c>
      <c r="F36" s="342">
        <f t="shared" si="11"/>
        <v>357522.31799999997</v>
      </c>
      <c r="G36" s="343">
        <f t="shared" si="12"/>
        <v>2191104.9736000001</v>
      </c>
    </row>
    <row r="37" spans="2:7" ht="14.4" thickBot="1" x14ac:dyDescent="0.3">
      <c r="B37" s="344">
        <v>0</v>
      </c>
      <c r="C37" s="344" t="s">
        <v>335</v>
      </c>
      <c r="D37" s="345">
        <f>SUM(D34:D36)</f>
        <v>3900000</v>
      </c>
      <c r="E37" s="345">
        <f>SUM(E34:E36)</f>
        <v>486000</v>
      </c>
      <c r="F37" s="345">
        <f>SUM(F34:F36)</f>
        <v>1072566.9539999999</v>
      </c>
      <c r="G37" s="346">
        <f>SUM(G34:G36)</f>
        <v>6573314.9208000004</v>
      </c>
    </row>
  </sheetData>
  <mergeCells count="41">
    <mergeCell ref="B2:B3"/>
    <mergeCell ref="G6:G7"/>
    <mergeCell ref="H6:H7"/>
    <mergeCell ref="I6:I7"/>
    <mergeCell ref="B5:E5"/>
    <mergeCell ref="F5:I5"/>
    <mergeCell ref="B6:B7"/>
    <mergeCell ref="C6:C7"/>
    <mergeCell ref="D6:D7"/>
    <mergeCell ref="E6:E7"/>
    <mergeCell ref="F6:F7"/>
    <mergeCell ref="B31:G32"/>
    <mergeCell ref="K18:L18"/>
    <mergeCell ref="K19:L19"/>
    <mergeCell ref="H20:J20"/>
    <mergeCell ref="K20:L20"/>
    <mergeCell ref="E18:F18"/>
    <mergeCell ref="E19:F19"/>
    <mergeCell ref="B20:D20"/>
    <mergeCell ref="E20:F20"/>
    <mergeCell ref="A6:A7"/>
    <mergeCell ref="Q21:R21"/>
    <mergeCell ref="N22:P22"/>
    <mergeCell ref="Q22:R22"/>
    <mergeCell ref="N15:R15"/>
    <mergeCell ref="Q16:R16"/>
    <mergeCell ref="Q17:R17"/>
    <mergeCell ref="Q18:R18"/>
    <mergeCell ref="Q19:R19"/>
    <mergeCell ref="Q20:R20"/>
    <mergeCell ref="E16:F16"/>
    <mergeCell ref="N5:N7"/>
    <mergeCell ref="J5:M5"/>
    <mergeCell ref="J6:J7"/>
    <mergeCell ref="M6:M7"/>
    <mergeCell ref="E17:F17"/>
    <mergeCell ref="H15:L15"/>
    <mergeCell ref="K16:L16"/>
    <mergeCell ref="K17:L17"/>
    <mergeCell ref="B12:D12"/>
    <mergeCell ref="B15:F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B9E12-361A-4E1E-A163-742529A13CEA}">
  <dimension ref="B3:H10"/>
  <sheetViews>
    <sheetView zoomScale="59" zoomScaleNormal="59" workbookViewId="0">
      <selection activeCell="G7" sqref="G7"/>
    </sheetView>
  </sheetViews>
  <sheetFormatPr baseColWidth="10" defaultColWidth="10.88671875" defaultRowHeight="15.6" x14ac:dyDescent="0.3"/>
  <cols>
    <col min="1" max="1" width="41.33203125" style="252" customWidth="1"/>
    <col min="2" max="2" width="18.77734375" style="252" customWidth="1"/>
    <col min="3" max="3" width="43" style="252" customWidth="1"/>
    <col min="4" max="5" width="10.88671875" style="252"/>
    <col min="6" max="6" width="18.21875" style="252" customWidth="1"/>
    <col min="7" max="7" width="23.44140625" style="252" customWidth="1"/>
    <col min="8" max="8" width="31.44140625" style="252" customWidth="1"/>
    <col min="9" max="16384" width="10.88671875" style="252"/>
  </cols>
  <sheetData>
    <row r="3" spans="2:8" ht="49.95" customHeight="1" x14ac:dyDescent="0.3">
      <c r="B3" s="259" t="s">
        <v>334</v>
      </c>
      <c r="C3" s="258" t="s">
        <v>333</v>
      </c>
      <c r="D3" s="258" t="s">
        <v>327</v>
      </c>
      <c r="E3" s="258" t="s">
        <v>332</v>
      </c>
      <c r="F3" s="258" t="s">
        <v>331</v>
      </c>
      <c r="G3" s="258" t="s">
        <v>330</v>
      </c>
      <c r="H3" s="258" t="s">
        <v>329</v>
      </c>
    </row>
    <row r="4" spans="2:8" ht="66" customHeight="1" x14ac:dyDescent="0.3">
      <c r="B4" s="413" t="s">
        <v>328</v>
      </c>
      <c r="C4" s="414"/>
      <c r="D4" s="414"/>
      <c r="E4" s="414"/>
      <c r="F4" s="414"/>
      <c r="G4" s="414"/>
      <c r="H4" s="253"/>
    </row>
    <row r="5" spans="2:8" ht="49.5" customHeight="1" x14ac:dyDescent="0.3">
      <c r="B5" s="261" t="s">
        <v>386</v>
      </c>
      <c r="C5" s="254" t="s">
        <v>387</v>
      </c>
      <c r="D5" s="255" t="s">
        <v>327</v>
      </c>
      <c r="E5" s="257">
        <v>3</v>
      </c>
      <c r="F5" s="257">
        <v>0</v>
      </c>
      <c r="G5" s="256">
        <v>6000000</v>
      </c>
      <c r="H5" s="253">
        <f>+E5*G5</f>
        <v>18000000</v>
      </c>
    </row>
    <row r="6" spans="2:8" x14ac:dyDescent="0.3">
      <c r="B6" s="261" t="s">
        <v>389</v>
      </c>
      <c r="C6" s="333" t="s">
        <v>391</v>
      </c>
      <c r="D6" s="255" t="s">
        <v>327</v>
      </c>
      <c r="E6" s="257">
        <v>3</v>
      </c>
      <c r="F6" s="257">
        <v>0</v>
      </c>
      <c r="G6" s="256">
        <v>120000</v>
      </c>
      <c r="H6" s="253">
        <f>+E6*G6</f>
        <v>360000</v>
      </c>
    </row>
    <row r="7" spans="2:8" ht="31.2" x14ac:dyDescent="0.3">
      <c r="B7" s="261" t="s">
        <v>388</v>
      </c>
      <c r="C7" s="333" t="s">
        <v>392</v>
      </c>
      <c r="D7" s="255" t="s">
        <v>327</v>
      </c>
      <c r="E7" s="257">
        <v>3</v>
      </c>
      <c r="F7" s="257">
        <v>0</v>
      </c>
      <c r="G7" s="256">
        <v>78380</v>
      </c>
      <c r="H7" s="253">
        <f>+E7*G7</f>
        <v>235140</v>
      </c>
    </row>
    <row r="8" spans="2:8" x14ac:dyDescent="0.3">
      <c r="B8" s="261" t="s">
        <v>390</v>
      </c>
      <c r="C8" s="254" t="s">
        <v>393</v>
      </c>
      <c r="D8" s="255" t="s">
        <v>327</v>
      </c>
      <c r="E8" s="257">
        <v>3</v>
      </c>
      <c r="F8" s="257">
        <v>0</v>
      </c>
      <c r="G8" s="256">
        <v>550000</v>
      </c>
      <c r="H8" s="253">
        <f>+E8*G8</f>
        <v>1650000</v>
      </c>
    </row>
    <row r="9" spans="2:8" ht="16.2" thickBot="1" x14ac:dyDescent="0.35">
      <c r="B9" s="261"/>
      <c r="C9" s="254"/>
      <c r="D9" s="255"/>
      <c r="E9" s="257"/>
      <c r="F9" s="257"/>
      <c r="G9" s="256"/>
      <c r="H9" s="253"/>
    </row>
    <row r="10" spans="2:8" ht="16.2" thickBot="1" x14ac:dyDescent="0.35">
      <c r="B10" s="411" t="s">
        <v>326</v>
      </c>
      <c r="C10" s="412"/>
      <c r="D10" s="412"/>
      <c r="E10" s="412"/>
      <c r="F10" s="412"/>
      <c r="G10" s="412"/>
      <c r="H10" s="351">
        <f>+SUM(H4:H9)</f>
        <v>20245140</v>
      </c>
    </row>
  </sheetData>
  <mergeCells count="2">
    <mergeCell ref="B10:G10"/>
    <mergeCell ref="B4:G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N79"/>
  <sheetViews>
    <sheetView showGridLines="0" zoomScale="95" zoomScaleNormal="95" workbookViewId="0">
      <selection activeCell="D57" sqref="D57"/>
    </sheetView>
  </sheetViews>
  <sheetFormatPr baseColWidth="10" defaultColWidth="11.44140625" defaultRowHeight="13.2" x14ac:dyDescent="0.25"/>
  <cols>
    <col min="1" max="1" width="11.5546875" style="15" customWidth="1"/>
    <col min="2" max="2" width="41.44140625" style="15" customWidth="1"/>
    <col min="3" max="3" width="14" style="15" customWidth="1"/>
    <col min="4" max="4" width="21.21875" style="15" customWidth="1"/>
    <col min="5" max="5" width="19.21875" style="15" customWidth="1"/>
    <col min="6" max="6" width="11.44140625" style="15"/>
    <col min="7" max="7" width="14.44140625" style="15" bestFit="1" customWidth="1"/>
    <col min="8" max="16384" width="11.44140625" style="15"/>
  </cols>
  <sheetData>
    <row r="3" spans="1:14" x14ac:dyDescent="0.25">
      <c r="A3" s="13"/>
      <c r="B3" s="14" t="s">
        <v>5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</row>
    <row r="4" spans="1:14" x14ac:dyDescent="0.25">
      <c r="A4" s="13"/>
      <c r="B4" s="415" t="s">
        <v>6</v>
      </c>
      <c r="C4" s="415"/>
      <c r="D4" s="415"/>
      <c r="E4" s="16" t="s">
        <v>7</v>
      </c>
      <c r="F4" s="13"/>
      <c r="G4" s="13"/>
      <c r="H4" s="13"/>
      <c r="I4" s="13"/>
      <c r="J4" s="13"/>
      <c r="K4" s="13"/>
      <c r="L4" s="13"/>
      <c r="M4" s="13"/>
      <c r="N4" s="13"/>
    </row>
    <row r="5" spans="1:14" ht="21" x14ac:dyDescent="0.4">
      <c r="A5" s="14" t="s">
        <v>8</v>
      </c>
      <c r="B5" s="422" t="s">
        <v>9</v>
      </c>
      <c r="C5" s="423"/>
      <c r="D5" s="424"/>
      <c r="E5" s="17">
        <v>0</v>
      </c>
      <c r="F5" s="13"/>
      <c r="G5" s="18"/>
      <c r="H5" s="13"/>
      <c r="I5" s="13"/>
      <c r="J5" s="13"/>
      <c r="K5" s="13"/>
      <c r="L5" s="13"/>
      <c r="M5" s="13"/>
      <c r="N5" s="13"/>
    </row>
    <row r="6" spans="1:14" x14ac:dyDescent="0.25">
      <c r="A6" s="13"/>
      <c r="B6" s="415" t="s">
        <v>1</v>
      </c>
      <c r="C6" s="415"/>
      <c r="D6" s="415"/>
      <c r="E6" s="19">
        <f>SUM(E5:E5)</f>
        <v>0</v>
      </c>
      <c r="F6" s="13"/>
      <c r="G6" s="13"/>
      <c r="H6" s="13"/>
      <c r="I6" s="13"/>
      <c r="J6" s="13"/>
      <c r="K6" s="13"/>
      <c r="L6" s="13"/>
      <c r="M6" s="13"/>
      <c r="N6" s="13"/>
    </row>
    <row r="9" spans="1:14" x14ac:dyDescent="0.25">
      <c r="A9" s="14" t="s">
        <v>10</v>
      </c>
      <c r="B9" s="14" t="s">
        <v>11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</row>
    <row r="10" spans="1:14" x14ac:dyDescent="0.25">
      <c r="A10" s="13"/>
      <c r="B10" s="415" t="s">
        <v>6</v>
      </c>
      <c r="C10" s="415"/>
      <c r="D10" s="415"/>
      <c r="E10" s="16" t="s">
        <v>7</v>
      </c>
      <c r="F10" s="13"/>
      <c r="G10" s="13"/>
      <c r="H10" s="13"/>
      <c r="I10" s="13"/>
      <c r="J10" s="13"/>
      <c r="K10" s="13"/>
      <c r="L10" s="13"/>
      <c r="M10" s="13"/>
      <c r="N10" s="13"/>
    </row>
    <row r="11" spans="1:14" x14ac:dyDescent="0.25">
      <c r="A11" s="13"/>
      <c r="B11" s="432" t="s">
        <v>12</v>
      </c>
      <c r="C11" s="432"/>
      <c r="D11" s="432"/>
      <c r="E11" s="17"/>
      <c r="F11" s="13"/>
      <c r="G11" s="13"/>
      <c r="H11" s="13"/>
      <c r="I11" s="13"/>
      <c r="J11" s="13"/>
      <c r="K11" s="13"/>
      <c r="L11" s="13"/>
      <c r="M11" s="13"/>
      <c r="N11" s="13"/>
    </row>
    <row r="12" spans="1:14" x14ac:dyDescent="0.25">
      <c r="A12" s="13"/>
      <c r="B12" s="415" t="s">
        <v>1</v>
      </c>
      <c r="C12" s="415"/>
      <c r="D12" s="415"/>
      <c r="E12" s="19">
        <f>SUM(E11:E11)</f>
        <v>0</v>
      </c>
      <c r="F12" s="13"/>
      <c r="G12" s="13"/>
      <c r="H12" s="13"/>
      <c r="I12" s="13"/>
      <c r="J12" s="13"/>
      <c r="K12" s="13"/>
      <c r="L12" s="13"/>
      <c r="M12" s="13"/>
      <c r="N12" s="13"/>
    </row>
    <row r="15" spans="1:14" x14ac:dyDescent="0.25">
      <c r="A15" s="14" t="s">
        <v>13</v>
      </c>
      <c r="B15" s="14" t="s">
        <v>14</v>
      </c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</row>
    <row r="16" spans="1:14" x14ac:dyDescent="0.25">
      <c r="A16" s="13"/>
      <c r="B16" s="20" t="s">
        <v>15</v>
      </c>
      <c r="C16" s="21" t="s">
        <v>0</v>
      </c>
      <c r="D16" s="22" t="s">
        <v>16</v>
      </c>
      <c r="E16" s="22" t="s">
        <v>17</v>
      </c>
      <c r="F16" s="13"/>
      <c r="G16" s="13"/>
      <c r="H16" s="13"/>
      <c r="I16" s="13"/>
      <c r="J16" s="13"/>
      <c r="K16" s="13"/>
      <c r="L16" s="13"/>
      <c r="M16" s="13"/>
      <c r="N16" s="13"/>
    </row>
    <row r="17" spans="1:8" ht="15.6" x14ac:dyDescent="0.25">
      <c r="A17" s="13"/>
      <c r="B17" s="251" t="s">
        <v>387</v>
      </c>
      <c r="C17" s="254">
        <v>3</v>
      </c>
      <c r="D17" s="256">
        <v>6000000</v>
      </c>
      <c r="E17" s="17">
        <f>D17*C17</f>
        <v>18000000</v>
      </c>
    </row>
    <row r="18" spans="1:8" x14ac:dyDescent="0.25">
      <c r="A18" s="13"/>
      <c r="B18" s="20" t="s">
        <v>1</v>
      </c>
      <c r="C18" s="29"/>
      <c r="D18" s="30"/>
      <c r="E18" s="19">
        <f>SUM(E17:E17)</f>
        <v>18000000</v>
      </c>
    </row>
    <row r="21" spans="1:8" x14ac:dyDescent="0.25">
      <c r="A21" s="14" t="s">
        <v>18</v>
      </c>
      <c r="B21" s="14" t="s">
        <v>19</v>
      </c>
      <c r="C21" s="13"/>
      <c r="D21" s="13"/>
      <c r="E21" s="13"/>
    </row>
    <row r="22" spans="1:8" x14ac:dyDescent="0.25">
      <c r="B22" s="20" t="s">
        <v>15</v>
      </c>
      <c r="C22" s="21" t="s">
        <v>0</v>
      </c>
      <c r="D22" s="22" t="s">
        <v>16</v>
      </c>
      <c r="E22" s="22" t="s">
        <v>17</v>
      </c>
      <c r="F22" s="13"/>
    </row>
    <row r="23" spans="1:8" ht="15.6" x14ac:dyDescent="0.25">
      <c r="B23" s="254" t="str">
        <f>'Equipos y muebles'!C6</f>
        <v>Casco abatible ICH 3120 Straxis</v>
      </c>
      <c r="C23" s="260">
        <v>3</v>
      </c>
      <c r="D23" s="31">
        <f>'Equipos y muebles'!G6</f>
        <v>120000</v>
      </c>
      <c r="E23" s="17">
        <f>D23*C23</f>
        <v>360000</v>
      </c>
      <c r="F23" s="13"/>
    </row>
    <row r="24" spans="1:8" x14ac:dyDescent="0.25">
      <c r="B24" s="20" t="s">
        <v>1</v>
      </c>
      <c r="C24" s="33"/>
      <c r="D24" s="30"/>
      <c r="E24" s="19">
        <f>SUM(E23:E23)</f>
        <v>360000</v>
      </c>
      <c r="F24" s="34"/>
    </row>
    <row r="27" spans="1:8" x14ac:dyDescent="0.25">
      <c r="A27" s="14" t="s">
        <v>20</v>
      </c>
      <c r="B27" s="14" t="s">
        <v>21</v>
      </c>
      <c r="C27" s="13"/>
      <c r="D27" s="13"/>
      <c r="E27" s="13"/>
      <c r="F27" s="13"/>
      <c r="G27" s="13"/>
      <c r="H27" s="13"/>
    </row>
    <row r="28" spans="1:8" x14ac:dyDescent="0.25">
      <c r="A28" s="13"/>
      <c r="B28" s="20" t="s">
        <v>15</v>
      </c>
      <c r="C28" s="35" t="s">
        <v>0</v>
      </c>
      <c r="D28" s="20" t="s">
        <v>22</v>
      </c>
      <c r="E28" s="20" t="s">
        <v>23</v>
      </c>
      <c r="F28" s="13"/>
      <c r="G28" s="13"/>
      <c r="H28" s="13"/>
    </row>
    <row r="29" spans="1:8" ht="26.4" x14ac:dyDescent="0.25">
      <c r="A29" s="13"/>
      <c r="B29" s="353" t="str">
        <f>'Equipos y muebles'!C7</f>
        <v xml:space="preserve">GPS para motos Atlas Vivo Seguro (1672871YQX) </v>
      </c>
      <c r="C29" s="27">
        <v>3</v>
      </c>
      <c r="D29" s="354">
        <f>'Equipos y muebles'!G7</f>
        <v>78380</v>
      </c>
      <c r="E29" s="17">
        <f>D29*C29</f>
        <v>235140</v>
      </c>
      <c r="F29" s="13"/>
      <c r="G29" s="13"/>
      <c r="H29" s="13"/>
    </row>
    <row r="30" spans="1:8" ht="15.6" x14ac:dyDescent="0.25">
      <c r="A30" s="13"/>
      <c r="B30" s="254" t="str">
        <f>'Equipos y muebles'!C8</f>
        <v>Dispositivo Movil</v>
      </c>
      <c r="C30" s="36">
        <v>3</v>
      </c>
      <c r="D30" s="24">
        <f>'Equipos y muebles'!G8</f>
        <v>550000</v>
      </c>
      <c r="E30" s="17">
        <f>D30*C30</f>
        <v>1650000</v>
      </c>
      <c r="F30" s="13"/>
      <c r="G30" s="13"/>
      <c r="H30" s="13"/>
    </row>
    <row r="31" spans="1:8" x14ac:dyDescent="0.25">
      <c r="A31" s="13"/>
      <c r="B31" s="20" t="s">
        <v>1</v>
      </c>
      <c r="C31" s="35"/>
      <c r="D31" s="30"/>
      <c r="E31" s="19">
        <f>SUM(E30:E30)</f>
        <v>1650000</v>
      </c>
      <c r="F31" s="13"/>
      <c r="G31" s="13"/>
      <c r="H31" s="13"/>
    </row>
    <row r="34" spans="1:8" x14ac:dyDescent="0.25">
      <c r="A34" s="14" t="s">
        <v>24</v>
      </c>
      <c r="B34" s="14" t="s">
        <v>25</v>
      </c>
      <c r="C34" s="13"/>
      <c r="D34" s="13"/>
      <c r="E34" s="13"/>
      <c r="F34" s="13"/>
      <c r="G34" s="13"/>
      <c r="H34" s="13"/>
    </row>
    <row r="35" spans="1:8" ht="15" customHeight="1" x14ac:dyDescent="0.25">
      <c r="B35" s="20" t="s">
        <v>15</v>
      </c>
      <c r="C35" s="35" t="s">
        <v>0</v>
      </c>
      <c r="D35" s="20" t="s">
        <v>22</v>
      </c>
      <c r="E35" s="20" t="s">
        <v>23</v>
      </c>
      <c r="F35" s="13"/>
      <c r="G35" s="13"/>
    </row>
    <row r="36" spans="1:8" x14ac:dyDescent="0.25">
      <c r="B36" s="26"/>
      <c r="C36" s="352"/>
      <c r="D36" s="24"/>
      <c r="E36" s="17">
        <f>D36*C36</f>
        <v>0</v>
      </c>
      <c r="F36" s="13"/>
      <c r="G36" s="13"/>
    </row>
    <row r="37" spans="1:8" x14ac:dyDescent="0.25">
      <c r="A37" s="13"/>
      <c r="B37" s="20" t="s">
        <v>1</v>
      </c>
      <c r="C37" s="35"/>
      <c r="D37" s="37"/>
      <c r="E37" s="19">
        <f>SUM(E36:E36)</f>
        <v>0</v>
      </c>
    </row>
    <row r="38" spans="1:8" x14ac:dyDescent="0.25">
      <c r="A38" s="13"/>
      <c r="B38" s="38"/>
      <c r="C38" s="38"/>
      <c r="D38" s="1"/>
      <c r="E38" s="1"/>
    </row>
    <row r="39" spans="1:8" x14ac:dyDescent="0.25">
      <c r="A39" s="13"/>
      <c r="B39" s="38"/>
      <c r="C39" s="38"/>
      <c r="D39" s="1"/>
      <c r="E39" s="1"/>
    </row>
    <row r="40" spans="1:8" x14ac:dyDescent="0.25">
      <c r="A40" s="14" t="s">
        <v>26</v>
      </c>
      <c r="B40" s="39" t="s">
        <v>27</v>
      </c>
      <c r="C40" s="38"/>
      <c r="D40" s="1"/>
      <c r="E40" s="1"/>
    </row>
    <row r="41" spans="1:8" x14ac:dyDescent="0.25">
      <c r="A41" s="14"/>
      <c r="B41" s="429" t="s">
        <v>15</v>
      </c>
      <c r="C41" s="430"/>
      <c r="D41" s="40" t="s">
        <v>28</v>
      </c>
      <c r="E41" s="1"/>
    </row>
    <row r="42" spans="1:8" x14ac:dyDescent="0.25">
      <c r="A42" s="14"/>
      <c r="B42" s="41" t="s">
        <v>29</v>
      </c>
      <c r="C42" s="42" t="s">
        <v>8</v>
      </c>
      <c r="D42" s="3">
        <f>E5</f>
        <v>0</v>
      </c>
      <c r="E42" s="1"/>
    </row>
    <row r="43" spans="1:8" x14ac:dyDescent="0.25">
      <c r="A43" s="13"/>
      <c r="B43" s="41" t="str">
        <f>B9</f>
        <v xml:space="preserve">Construcciones </v>
      </c>
      <c r="C43" s="42" t="s">
        <v>10</v>
      </c>
      <c r="D43" s="3">
        <f>E12</f>
        <v>0</v>
      </c>
      <c r="E43" s="1"/>
    </row>
    <row r="44" spans="1:8" x14ac:dyDescent="0.25">
      <c r="A44" s="13"/>
      <c r="B44" s="41" t="str">
        <f>B15</f>
        <v>Maquinaria y Equipos</v>
      </c>
      <c r="C44" s="42" t="s">
        <v>13</v>
      </c>
      <c r="D44" s="3">
        <f>E18</f>
        <v>18000000</v>
      </c>
      <c r="E44" s="1"/>
    </row>
    <row r="45" spans="1:8" x14ac:dyDescent="0.25">
      <c r="A45" s="13"/>
      <c r="B45" s="41" t="s">
        <v>19</v>
      </c>
      <c r="C45" s="42" t="s">
        <v>30</v>
      </c>
      <c r="D45" s="3">
        <f>E24</f>
        <v>360000</v>
      </c>
      <c r="E45" s="1"/>
    </row>
    <row r="46" spans="1:8" x14ac:dyDescent="0.25">
      <c r="A46" s="13"/>
      <c r="B46" s="41" t="s">
        <v>31</v>
      </c>
      <c r="C46" s="42" t="s">
        <v>32</v>
      </c>
      <c r="D46" s="3">
        <f>E31</f>
        <v>1650000</v>
      </c>
      <c r="E46" s="1"/>
    </row>
    <row r="47" spans="1:8" x14ac:dyDescent="0.25">
      <c r="A47" s="13"/>
      <c r="B47" s="41" t="s">
        <v>25</v>
      </c>
      <c r="C47" s="42" t="s">
        <v>33</v>
      </c>
      <c r="D47" s="3">
        <f>E37</f>
        <v>0</v>
      </c>
      <c r="E47" s="1"/>
    </row>
    <row r="48" spans="1:8" x14ac:dyDescent="0.25">
      <c r="A48" s="13"/>
      <c r="B48" s="431" t="s">
        <v>1</v>
      </c>
      <c r="C48" s="431"/>
      <c r="D48" s="37">
        <f>SUM(D42:D47)</f>
        <v>20010000</v>
      </c>
      <c r="E48" s="1"/>
    </row>
    <row r="49" spans="1:11" x14ac:dyDescent="0.25">
      <c r="A49" s="13"/>
      <c r="B49" s="38"/>
      <c r="C49" s="38"/>
      <c r="D49" s="1"/>
      <c r="E49" s="1"/>
      <c r="F49" s="13"/>
      <c r="G49" s="13"/>
      <c r="H49" s="13"/>
      <c r="I49" s="13"/>
      <c r="J49" s="13"/>
      <c r="K49" s="13"/>
    </row>
    <row r="50" spans="1:11" x14ac:dyDescent="0.25">
      <c r="A50" s="13"/>
      <c r="B50" s="38"/>
      <c r="C50" s="38"/>
      <c r="D50" s="1"/>
      <c r="E50" s="1"/>
      <c r="F50" s="13"/>
      <c r="G50" s="13"/>
      <c r="H50" s="13"/>
      <c r="I50" s="13"/>
      <c r="J50" s="13"/>
      <c r="K50" s="13"/>
    </row>
    <row r="52" spans="1:11" x14ac:dyDescent="0.25">
      <c r="A52" s="14" t="s">
        <v>34</v>
      </c>
      <c r="B52" s="14" t="s">
        <v>35</v>
      </c>
      <c r="C52" s="13"/>
      <c r="D52" s="13"/>
      <c r="E52" s="13"/>
      <c r="F52" s="13"/>
      <c r="G52" s="13"/>
      <c r="H52" s="13"/>
      <c r="I52" s="13"/>
      <c r="J52" s="13"/>
      <c r="K52" s="13"/>
    </row>
    <row r="53" spans="1:11" x14ac:dyDescent="0.25">
      <c r="A53" s="13"/>
      <c r="B53" s="427" t="s">
        <v>15</v>
      </c>
      <c r="C53" s="428"/>
      <c r="D53" s="20" t="s">
        <v>28</v>
      </c>
      <c r="E53" s="13"/>
      <c r="F53" s="13"/>
      <c r="G53" s="13"/>
      <c r="H53" s="13"/>
      <c r="I53" s="13"/>
      <c r="J53" s="13"/>
      <c r="K53" s="13" t="s">
        <v>2</v>
      </c>
    </row>
    <row r="54" spans="1:11" x14ac:dyDescent="0.25">
      <c r="A54" s="13"/>
      <c r="B54" s="43"/>
      <c r="C54" s="44"/>
      <c r="D54" s="3"/>
      <c r="E54" s="13"/>
      <c r="F54" s="45"/>
      <c r="G54" s="45"/>
      <c r="H54" s="13"/>
      <c r="I54" s="13"/>
      <c r="J54" s="13"/>
      <c r="K54" s="13"/>
    </row>
    <row r="55" spans="1:11" ht="12.75" customHeight="1" x14ac:dyDescent="0.25">
      <c r="A55" s="13"/>
      <c r="B55" s="416"/>
      <c r="C55" s="417"/>
      <c r="D55" s="3"/>
      <c r="E55" s="13"/>
      <c r="F55" s="13"/>
      <c r="G55" s="13"/>
      <c r="H55" s="13"/>
      <c r="I55" s="13"/>
      <c r="J55" s="13"/>
      <c r="K55" s="13"/>
    </row>
    <row r="56" spans="1:11" x14ac:dyDescent="0.25">
      <c r="A56" s="13"/>
      <c r="B56" s="429" t="s">
        <v>1</v>
      </c>
      <c r="C56" s="430"/>
      <c r="D56" s="37">
        <v>0</v>
      </c>
      <c r="E56" s="13"/>
      <c r="F56" s="13"/>
      <c r="G56" s="13"/>
      <c r="H56" s="13"/>
      <c r="I56" s="13"/>
      <c r="J56" s="13"/>
      <c r="K56" s="13"/>
    </row>
    <row r="57" spans="1:11" ht="12.75" customHeight="1" x14ac:dyDescent="0.25">
      <c r="A57" s="13"/>
      <c r="B57" s="13"/>
      <c r="C57" s="13"/>
      <c r="D57" s="46"/>
      <c r="E57" s="13"/>
      <c r="F57" s="13"/>
      <c r="G57" s="13"/>
      <c r="H57" s="13"/>
      <c r="I57" s="13"/>
      <c r="J57" s="13"/>
      <c r="K57" s="13"/>
    </row>
    <row r="58" spans="1:11" x14ac:dyDescent="0.25">
      <c r="A58" s="13"/>
      <c r="B58" s="47" t="s">
        <v>36</v>
      </c>
      <c r="C58" s="48"/>
      <c r="D58" s="30">
        <f>D56/5</f>
        <v>0</v>
      </c>
      <c r="E58" s="13"/>
      <c r="F58" s="13"/>
      <c r="G58" s="46"/>
      <c r="H58" s="13"/>
      <c r="I58" s="13"/>
      <c r="J58" s="13"/>
      <c r="K58" s="13"/>
    </row>
    <row r="62" spans="1:11" x14ac:dyDescent="0.25">
      <c r="A62" s="13"/>
      <c r="B62" s="14" t="s">
        <v>37</v>
      </c>
      <c r="C62" s="13"/>
      <c r="D62" s="13"/>
    </row>
    <row r="63" spans="1:11" x14ac:dyDescent="0.25">
      <c r="A63" s="13"/>
      <c r="B63" s="418" t="s">
        <v>38</v>
      </c>
      <c r="C63" s="425" t="s">
        <v>39</v>
      </c>
      <c r="D63" s="426"/>
    </row>
    <row r="64" spans="1:11" x14ac:dyDescent="0.25">
      <c r="A64" s="13"/>
      <c r="B64" s="419"/>
      <c r="C64" s="29" t="s">
        <v>40</v>
      </c>
      <c r="D64" s="51" t="s">
        <v>41</v>
      </c>
    </row>
    <row r="65" spans="1:11" ht="13.5" hidden="1" customHeight="1" x14ac:dyDescent="0.25">
      <c r="A65" s="13"/>
      <c r="B65" s="25" t="s">
        <v>42</v>
      </c>
      <c r="C65" s="4">
        <v>1</v>
      </c>
      <c r="D65" s="52">
        <v>0</v>
      </c>
    </row>
    <row r="66" spans="1:11" ht="15.75" customHeight="1" x14ac:dyDescent="0.25">
      <c r="A66" s="13"/>
      <c r="B66" s="25" t="s">
        <v>43</v>
      </c>
      <c r="C66" s="4">
        <v>0.1</v>
      </c>
      <c r="D66" s="52">
        <f>(1-C66)</f>
        <v>0.9</v>
      </c>
    </row>
    <row r="70" spans="1:11" x14ac:dyDescent="0.25">
      <c r="A70" s="14" t="s">
        <v>44</v>
      </c>
      <c r="B70" s="14" t="s">
        <v>45</v>
      </c>
      <c r="C70" s="13"/>
      <c r="D70" s="13"/>
    </row>
    <row r="71" spans="1:11" x14ac:dyDescent="0.25">
      <c r="B71" s="418" t="s">
        <v>46</v>
      </c>
      <c r="C71" s="420" t="s">
        <v>28</v>
      </c>
      <c r="D71" s="415" t="s">
        <v>39</v>
      </c>
      <c r="E71" s="415"/>
      <c r="F71" s="13"/>
      <c r="G71" s="13"/>
      <c r="H71" s="13"/>
      <c r="I71" s="13"/>
      <c r="J71" s="13"/>
      <c r="K71" s="13"/>
    </row>
    <row r="72" spans="1:11" x14ac:dyDescent="0.25">
      <c r="B72" s="419"/>
      <c r="C72" s="421"/>
      <c r="D72" s="16" t="s">
        <v>40</v>
      </c>
      <c r="E72" s="16" t="s">
        <v>41</v>
      </c>
      <c r="F72" s="13"/>
      <c r="G72" s="13"/>
      <c r="H72" s="13"/>
      <c r="I72" s="13"/>
      <c r="J72" s="13"/>
      <c r="K72" s="13"/>
    </row>
    <row r="73" spans="1:11" x14ac:dyDescent="0.25">
      <c r="B73" s="25" t="s">
        <v>43</v>
      </c>
      <c r="C73" s="5">
        <v>150000</v>
      </c>
      <c r="D73" s="28">
        <f>C73*C66</f>
        <v>15000</v>
      </c>
      <c r="E73" s="28">
        <f>D66*C73</f>
        <v>135000</v>
      </c>
      <c r="F73" s="13"/>
      <c r="G73" s="13"/>
      <c r="H73" s="13"/>
      <c r="I73" s="13"/>
      <c r="J73" s="13"/>
      <c r="K73" s="13"/>
    </row>
    <row r="79" spans="1:11" x14ac:dyDescent="0.25">
      <c r="B79" s="13"/>
      <c r="C79" s="13"/>
      <c r="D79" s="13"/>
      <c r="E79" s="13"/>
      <c r="F79" s="13"/>
      <c r="G79" s="13"/>
      <c r="H79" s="13"/>
      <c r="I79" s="13"/>
      <c r="J79" s="13"/>
      <c r="K79" s="14"/>
    </row>
  </sheetData>
  <mergeCells count="16">
    <mergeCell ref="D71:E71"/>
    <mergeCell ref="B55:C55"/>
    <mergeCell ref="B71:B72"/>
    <mergeCell ref="C71:C72"/>
    <mergeCell ref="B4:D4"/>
    <mergeCell ref="B5:D5"/>
    <mergeCell ref="B6:D6"/>
    <mergeCell ref="B63:B64"/>
    <mergeCell ref="C63:D63"/>
    <mergeCell ref="B53:C53"/>
    <mergeCell ref="B56:C56"/>
    <mergeCell ref="B48:C48"/>
    <mergeCell ref="B41:C41"/>
    <mergeCell ref="B10:D10"/>
    <mergeCell ref="B11:D11"/>
    <mergeCell ref="B12:D12"/>
  </mergeCells>
  <phoneticPr fontId="5" type="noConversion"/>
  <pageMargins left="0.75" right="0.75" top="1" bottom="1" header="0" footer="0"/>
  <pageSetup paperSize="9" orientation="portrait" horizont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R174"/>
  <sheetViews>
    <sheetView showGridLines="0" topLeftCell="A16" zoomScale="95" zoomScaleNormal="95" workbookViewId="0">
      <selection activeCell="F172" sqref="F172"/>
    </sheetView>
  </sheetViews>
  <sheetFormatPr baseColWidth="10" defaultColWidth="11.44140625" defaultRowHeight="13.2" x14ac:dyDescent="0.25"/>
  <cols>
    <col min="1" max="1" width="7" style="13" customWidth="1"/>
    <col min="2" max="2" width="7.44140625" style="13" customWidth="1"/>
    <col min="3" max="3" width="33.77734375" style="13" customWidth="1"/>
    <col min="4" max="4" width="15.5546875" style="13" customWidth="1"/>
    <col min="5" max="5" width="17.77734375" style="13" customWidth="1"/>
    <col min="6" max="6" width="30.5546875" style="13" customWidth="1"/>
    <col min="7" max="7" width="14.77734375" style="13" customWidth="1"/>
    <col min="8" max="8" width="17.21875" style="13" customWidth="1"/>
    <col min="9" max="9" width="19" style="13" customWidth="1"/>
    <col min="10" max="10" width="19.77734375" style="13" customWidth="1"/>
    <col min="11" max="11" width="15.44140625" style="13" customWidth="1"/>
    <col min="12" max="12" width="13.21875" style="13" customWidth="1"/>
    <col min="13" max="13" width="13.5546875" style="13" customWidth="1"/>
    <col min="14" max="14" width="12.44140625" style="13" customWidth="1"/>
    <col min="15" max="15" width="13" style="13" customWidth="1"/>
    <col min="16" max="16" width="13.21875" style="13" customWidth="1"/>
    <col min="17" max="17" width="12.5546875" style="13" customWidth="1"/>
    <col min="18" max="18" width="11.77734375" style="13" customWidth="1"/>
    <col min="19" max="19" width="11" style="13" customWidth="1"/>
    <col min="20" max="20" width="11.44140625" style="13"/>
    <col min="21" max="21" width="15.21875" style="13" customWidth="1"/>
    <col min="22" max="22" width="12.44140625" style="13" customWidth="1"/>
    <col min="23" max="24" width="11.44140625" style="13"/>
    <col min="25" max="25" width="16" style="13" customWidth="1"/>
    <col min="26" max="26" width="11.44140625" style="13"/>
    <col min="27" max="27" width="13.5546875" style="13" bestFit="1" customWidth="1"/>
    <col min="28" max="29" width="11.44140625" style="13"/>
    <col min="30" max="30" width="29.5546875" style="13" customWidth="1"/>
    <col min="31" max="33" width="11.44140625" style="13"/>
    <col min="34" max="34" width="16" style="13" customWidth="1"/>
    <col min="35" max="35" width="11.44140625" style="13"/>
    <col min="36" max="36" width="13.5546875" style="13" bestFit="1" customWidth="1"/>
    <col min="37" max="16384" width="11.44140625" style="13"/>
  </cols>
  <sheetData>
    <row r="2" spans="1:9" ht="21" x14ac:dyDescent="0.4">
      <c r="G2" s="18"/>
    </row>
    <row r="4" spans="1:9" x14ac:dyDescent="0.25">
      <c r="H4" s="14"/>
    </row>
    <row r="5" spans="1:9" x14ac:dyDescent="0.25">
      <c r="A5" s="14" t="s">
        <v>47</v>
      </c>
      <c r="B5" s="53">
        <v>10</v>
      </c>
      <c r="C5" s="14" t="s">
        <v>48</v>
      </c>
      <c r="D5" s="14"/>
    </row>
    <row r="6" spans="1:9" x14ac:dyDescent="0.25">
      <c r="C6" s="429" t="s">
        <v>15</v>
      </c>
      <c r="D6" s="447"/>
      <c r="E6" s="20" t="s">
        <v>49</v>
      </c>
      <c r="H6" s="17">
        <v>1300000</v>
      </c>
      <c r="I6" s="13" t="s">
        <v>50</v>
      </c>
    </row>
    <row r="7" spans="1:9" x14ac:dyDescent="0.25">
      <c r="C7" s="451" t="s">
        <v>51</v>
      </c>
      <c r="D7" s="452"/>
      <c r="E7" s="56">
        <v>8.3330000000000001E-2</v>
      </c>
      <c r="H7" s="17">
        <v>162000</v>
      </c>
      <c r="I7" s="13" t="s">
        <v>52</v>
      </c>
    </row>
    <row r="8" spans="1:9" x14ac:dyDescent="0.25">
      <c r="C8" s="451" t="s">
        <v>53</v>
      </c>
      <c r="D8" s="452"/>
      <c r="E8" s="56">
        <v>0.01</v>
      </c>
      <c r="H8" s="19">
        <f>H6+H7</f>
        <v>1462000</v>
      </c>
    </row>
    <row r="9" spans="1:9" x14ac:dyDescent="0.25">
      <c r="C9" s="451" t="s">
        <v>54</v>
      </c>
      <c r="D9" s="452"/>
      <c r="E9" s="56">
        <v>4.1669999999999999E-2</v>
      </c>
    </row>
    <row r="10" spans="1:9" x14ac:dyDescent="0.25">
      <c r="C10" s="451" t="s">
        <v>4</v>
      </c>
      <c r="D10" s="452"/>
      <c r="E10" s="56">
        <v>8.3330000000000001E-2</v>
      </c>
    </row>
    <row r="11" spans="1:9" x14ac:dyDescent="0.25">
      <c r="C11" s="451" t="s">
        <v>55</v>
      </c>
      <c r="D11" s="452"/>
      <c r="E11" s="56">
        <v>0.09</v>
      </c>
    </row>
    <row r="12" spans="1:9" x14ac:dyDescent="0.25">
      <c r="C12" s="451" t="s">
        <v>56</v>
      </c>
      <c r="D12" s="452"/>
      <c r="E12" s="56">
        <v>0.20499999999999999</v>
      </c>
    </row>
    <row r="13" spans="1:9" x14ac:dyDescent="0.25">
      <c r="C13" s="451" t="s">
        <v>57</v>
      </c>
      <c r="D13" s="452"/>
      <c r="E13" s="56">
        <v>7.0000000000000007E-2</v>
      </c>
    </row>
    <row r="14" spans="1:9" x14ac:dyDescent="0.25">
      <c r="C14" s="451" t="s">
        <v>3</v>
      </c>
      <c r="D14" s="452"/>
      <c r="E14" s="56">
        <v>4.3499999999999997E-2</v>
      </c>
    </row>
    <row r="15" spans="1:9" ht="18" customHeight="1" x14ac:dyDescent="0.25">
      <c r="C15" s="57" t="s">
        <v>58</v>
      </c>
      <c r="D15" s="58"/>
      <c r="E15" s="59">
        <f>+SUM(E7:E14)</f>
        <v>0.62682999999999989</v>
      </c>
      <c r="F15" s="60"/>
    </row>
    <row r="18" spans="1:13" x14ac:dyDescent="0.25">
      <c r="A18" s="14" t="s">
        <v>59</v>
      </c>
      <c r="B18" s="53">
        <v>11</v>
      </c>
      <c r="C18" s="61" t="s">
        <v>60</v>
      </c>
      <c r="D18" s="61"/>
    </row>
    <row r="19" spans="1:13" ht="12.75" customHeight="1" x14ac:dyDescent="0.25">
      <c r="C19" s="435" t="s">
        <v>61</v>
      </c>
      <c r="D19" s="433" t="s">
        <v>0</v>
      </c>
      <c r="E19" s="441" t="s">
        <v>62</v>
      </c>
      <c r="F19" s="455" t="s">
        <v>63</v>
      </c>
      <c r="G19" s="455" t="s">
        <v>64</v>
      </c>
      <c r="H19" s="439" t="s">
        <v>65</v>
      </c>
      <c r="I19" s="440"/>
      <c r="J19" s="435" t="s">
        <v>66</v>
      </c>
    </row>
    <row r="20" spans="1:13" x14ac:dyDescent="0.25">
      <c r="C20" s="436"/>
      <c r="D20" s="434"/>
      <c r="E20" s="442" t="s">
        <v>67</v>
      </c>
      <c r="F20" s="456"/>
      <c r="G20" s="456"/>
      <c r="H20" s="62" t="s">
        <v>68</v>
      </c>
      <c r="I20" s="62" t="s">
        <v>1</v>
      </c>
      <c r="J20" s="436"/>
    </row>
    <row r="21" spans="1:13" ht="13.8" x14ac:dyDescent="0.25">
      <c r="C21" s="313" t="s">
        <v>394</v>
      </c>
      <c r="D21" s="328">
        <v>3</v>
      </c>
      <c r="E21" s="65">
        <f>H6</f>
        <v>1300000</v>
      </c>
      <c r="F21" s="17">
        <f>H7</f>
        <v>162000</v>
      </c>
      <c r="G21" s="17">
        <f>(E21+F21)*$E$15</f>
        <v>916425.45999999985</v>
      </c>
      <c r="H21" s="17">
        <f t="shared" ref="H21" si="0">E21+F21+G21</f>
        <v>2378425.46</v>
      </c>
      <c r="I21" s="17">
        <f>D21*H21</f>
        <v>7135276.3799999999</v>
      </c>
      <c r="J21" s="17">
        <f>I21*12</f>
        <v>85623316.560000002</v>
      </c>
    </row>
    <row r="22" spans="1:13" ht="14.25" customHeight="1" x14ac:dyDescent="0.25">
      <c r="C22" s="63"/>
      <c r="D22" s="32"/>
      <c r="E22" s="17"/>
      <c r="F22" s="17"/>
      <c r="G22" s="17"/>
      <c r="H22" s="17"/>
      <c r="I22" s="17"/>
      <c r="J22" s="17"/>
    </row>
    <row r="23" spans="1:13" x14ac:dyDescent="0.25">
      <c r="C23" s="16" t="s">
        <v>1</v>
      </c>
      <c r="D23" s="33">
        <f>SUM(D21:D22)</f>
        <v>3</v>
      </c>
      <c r="E23" s="51"/>
      <c r="F23" s="51"/>
      <c r="G23" s="51"/>
      <c r="H23" s="51"/>
      <c r="I23" s="19">
        <f>SUM(I21:I21)</f>
        <v>7135276.3799999999</v>
      </c>
      <c r="J23" s="19">
        <f>SUM(J21:J22)</f>
        <v>85623316.560000002</v>
      </c>
      <c r="K23" s="34"/>
      <c r="L23" s="34"/>
      <c r="M23" s="14"/>
    </row>
    <row r="26" spans="1:13" x14ac:dyDescent="0.25">
      <c r="A26" s="14" t="s">
        <v>59</v>
      </c>
      <c r="B26" s="53">
        <v>12</v>
      </c>
      <c r="C26" s="61" t="s">
        <v>69</v>
      </c>
      <c r="D26" s="61"/>
    </row>
    <row r="27" spans="1:13" ht="13.5" customHeight="1" x14ac:dyDescent="0.25">
      <c r="C27" s="433" t="s">
        <v>61</v>
      </c>
      <c r="D27" s="448"/>
      <c r="E27" s="435" t="s">
        <v>28</v>
      </c>
      <c r="F27" s="455" t="s">
        <v>70</v>
      </c>
      <c r="G27" s="455" t="s">
        <v>71</v>
      </c>
      <c r="H27" s="455" t="s">
        <v>72</v>
      </c>
      <c r="I27" s="455" t="s">
        <v>73</v>
      </c>
      <c r="J27" s="435" t="s">
        <v>74</v>
      </c>
    </row>
    <row r="28" spans="1:13" x14ac:dyDescent="0.25">
      <c r="C28" s="449"/>
      <c r="D28" s="450"/>
      <c r="E28" s="436" t="s">
        <v>67</v>
      </c>
      <c r="F28" s="456"/>
      <c r="G28" s="456"/>
      <c r="H28" s="456" t="s">
        <v>68</v>
      </c>
      <c r="I28" s="456" t="s">
        <v>1</v>
      </c>
      <c r="J28" s="436"/>
    </row>
    <row r="29" spans="1:13" ht="12.75" customHeight="1" x14ac:dyDescent="0.25">
      <c r="C29" s="66" t="str">
        <f>'INVERSIONES '!B43</f>
        <v xml:space="preserve">Construcciones </v>
      </c>
      <c r="D29" s="67" t="s">
        <v>10</v>
      </c>
      <c r="E29" s="17">
        <f>'INVERSIONES '!D43</f>
        <v>0</v>
      </c>
      <c r="F29" s="68"/>
      <c r="G29" s="17"/>
      <c r="H29" s="17"/>
      <c r="I29" s="17"/>
      <c r="J29" s="17"/>
    </row>
    <row r="30" spans="1:13" x14ac:dyDescent="0.25">
      <c r="C30" s="66" t="str">
        <f>'INVERSIONES '!B44</f>
        <v>Maquinaria y Equipos</v>
      </c>
      <c r="D30" s="67" t="s">
        <v>13</v>
      </c>
      <c r="E30" s="17">
        <f>'INVERSIONES '!D44</f>
        <v>18000000</v>
      </c>
      <c r="F30" s="68">
        <v>5</v>
      </c>
      <c r="G30" s="17">
        <f>E30-((E30/F30)*5)</f>
        <v>0</v>
      </c>
      <c r="H30" s="17">
        <f>E30-G30</f>
        <v>18000000</v>
      </c>
      <c r="I30" s="17">
        <f>(J30/12)</f>
        <v>300000</v>
      </c>
      <c r="J30" s="17">
        <f>(H30/5)</f>
        <v>3600000</v>
      </c>
    </row>
    <row r="31" spans="1:13" x14ac:dyDescent="0.25">
      <c r="C31" s="66" t="str">
        <f>'INVERSIONES '!B45</f>
        <v>Muebles y enseres</v>
      </c>
      <c r="D31" s="67" t="s">
        <v>18</v>
      </c>
      <c r="E31" s="17">
        <f>'INVERSIONES '!D45</f>
        <v>360000</v>
      </c>
      <c r="F31" s="68">
        <v>5</v>
      </c>
      <c r="G31" s="17">
        <f>E31-((E31/F31)*5)</f>
        <v>0</v>
      </c>
      <c r="H31" s="17">
        <f>E31-G31</f>
        <v>360000</v>
      </c>
      <c r="I31" s="17">
        <f>(J31/12)</f>
        <v>6000</v>
      </c>
      <c r="J31" s="17">
        <f>(H31/5)</f>
        <v>72000</v>
      </c>
    </row>
    <row r="32" spans="1:13" x14ac:dyDescent="0.25">
      <c r="C32" s="66" t="str">
        <f>'INVERSIONES '!B46</f>
        <v>Equipos de oficina</v>
      </c>
      <c r="D32" s="67" t="s">
        <v>20</v>
      </c>
      <c r="E32" s="17">
        <f>'INVERSIONES '!D46</f>
        <v>1650000</v>
      </c>
      <c r="F32" s="68">
        <v>5</v>
      </c>
      <c r="G32" s="17">
        <f>E32-((E32/F32)*5)</f>
        <v>0</v>
      </c>
      <c r="H32" s="17">
        <f>E32-G32</f>
        <v>1650000</v>
      </c>
      <c r="I32" s="17">
        <f>(J32/12)</f>
        <v>27500</v>
      </c>
      <c r="J32" s="17">
        <f>(H32/5)</f>
        <v>330000</v>
      </c>
    </row>
    <row r="33" spans="1:18" x14ac:dyDescent="0.25">
      <c r="C33" s="66" t="str">
        <f>'INVERSIONES '!B47</f>
        <v>Vehiculo</v>
      </c>
      <c r="D33" s="67" t="s">
        <v>24</v>
      </c>
      <c r="E33" s="17">
        <f>'INVERSIONES '!D47</f>
        <v>0</v>
      </c>
      <c r="F33" s="68">
        <v>5</v>
      </c>
      <c r="G33" s="17">
        <f>E33-((E33/F33)*5)</f>
        <v>0</v>
      </c>
      <c r="H33" s="17">
        <f>E33-G33</f>
        <v>0</v>
      </c>
      <c r="I33" s="17">
        <f>(J33/12)</f>
        <v>0</v>
      </c>
      <c r="J33" s="17">
        <f>(H33/5)</f>
        <v>0</v>
      </c>
    </row>
    <row r="34" spans="1:18" x14ac:dyDescent="0.25">
      <c r="C34" s="443" t="s">
        <v>1</v>
      </c>
      <c r="D34" s="444"/>
      <c r="E34" s="51"/>
      <c r="F34" s="51"/>
      <c r="G34" s="51"/>
      <c r="H34" s="19">
        <f>SUM(H29:H33)</f>
        <v>20010000</v>
      </c>
      <c r="I34" s="19">
        <f>SUM(I29:I33)</f>
        <v>333500</v>
      </c>
      <c r="J34" s="19">
        <f>SUM(J29:J33)</f>
        <v>4002000</v>
      </c>
    </row>
    <row r="35" spans="1:18" x14ac:dyDescent="0.25">
      <c r="J35" s="13" t="s">
        <v>75</v>
      </c>
    </row>
    <row r="36" spans="1:18" ht="13.5" customHeight="1" x14ac:dyDescent="0.25"/>
    <row r="37" spans="1:18" ht="14.25" customHeight="1" x14ac:dyDescent="0.25">
      <c r="A37" s="14" t="s">
        <v>59</v>
      </c>
      <c r="B37" s="14">
        <v>13</v>
      </c>
      <c r="C37" s="14" t="s">
        <v>37</v>
      </c>
    </row>
    <row r="38" spans="1:18" x14ac:dyDescent="0.25">
      <c r="C38" s="445" t="s">
        <v>76</v>
      </c>
      <c r="D38" s="415" t="s">
        <v>39</v>
      </c>
      <c r="E38" s="415"/>
      <c r="K38" s="34"/>
      <c r="L38" s="34"/>
    </row>
    <row r="39" spans="1:18" x14ac:dyDescent="0.25">
      <c r="C39" s="445"/>
      <c r="D39" s="16" t="s">
        <v>40</v>
      </c>
      <c r="E39" s="16" t="s">
        <v>41</v>
      </c>
      <c r="K39" s="34"/>
      <c r="L39" s="34"/>
    </row>
    <row r="40" spans="1:18" ht="13.5" customHeight="1" x14ac:dyDescent="0.25">
      <c r="C40" s="25" t="str">
        <f>C29</f>
        <v xml:space="preserve">Construcciones </v>
      </c>
      <c r="D40" s="70">
        <v>0</v>
      </c>
      <c r="E40" s="70">
        <f>(1-D40)</f>
        <v>1</v>
      </c>
      <c r="K40" s="34"/>
      <c r="L40" s="34"/>
      <c r="R40" s="71"/>
    </row>
    <row r="41" spans="1:18" ht="14.25" customHeight="1" x14ac:dyDescent="0.25">
      <c r="C41" s="25" t="str">
        <f>C30</f>
        <v>Maquinaria y Equipos</v>
      </c>
      <c r="D41" s="70">
        <v>1</v>
      </c>
      <c r="E41" s="70">
        <f>(1-D41)</f>
        <v>0</v>
      </c>
    </row>
    <row r="42" spans="1:18" ht="13.5" customHeight="1" x14ac:dyDescent="0.25">
      <c r="C42" s="25" t="str">
        <f>C31</f>
        <v>Muebles y enseres</v>
      </c>
      <c r="D42" s="70">
        <v>0.9</v>
      </c>
      <c r="E42" s="70">
        <f>(1-D42)</f>
        <v>9.9999999999999978E-2</v>
      </c>
    </row>
    <row r="43" spans="1:18" ht="14.25" customHeight="1" x14ac:dyDescent="0.25">
      <c r="C43" s="25" t="str">
        <f>C32</f>
        <v>Equipos de oficina</v>
      </c>
      <c r="D43" s="70">
        <v>0.1</v>
      </c>
      <c r="E43" s="70">
        <f>(1-D43)</f>
        <v>0.9</v>
      </c>
    </row>
    <row r="44" spans="1:18" x14ac:dyDescent="0.25">
      <c r="C44" s="25" t="str">
        <f>C33</f>
        <v>Vehiculo</v>
      </c>
      <c r="D44" s="70">
        <v>1</v>
      </c>
      <c r="E44" s="70">
        <f>(1-D44)</f>
        <v>0</v>
      </c>
    </row>
    <row r="46" spans="1:18" ht="13.5" customHeight="1" x14ac:dyDescent="0.25"/>
    <row r="47" spans="1:18" ht="14.25" customHeight="1" x14ac:dyDescent="0.25">
      <c r="C47" s="418" t="s">
        <v>76</v>
      </c>
      <c r="D47" s="72" t="s">
        <v>28</v>
      </c>
      <c r="E47" s="415" t="s">
        <v>77</v>
      </c>
      <c r="F47" s="415"/>
    </row>
    <row r="48" spans="1:18" x14ac:dyDescent="0.25">
      <c r="C48" s="446"/>
      <c r="D48" s="73" t="s">
        <v>78</v>
      </c>
      <c r="E48" s="16" t="s">
        <v>40</v>
      </c>
      <c r="F48" s="16" t="s">
        <v>41</v>
      </c>
    </row>
    <row r="49" spans="1:11" x14ac:dyDescent="0.25">
      <c r="C49" s="25" t="s">
        <v>11</v>
      </c>
      <c r="D49" s="17">
        <f>J29</f>
        <v>0</v>
      </c>
      <c r="E49" s="329">
        <f>D40*D49</f>
        <v>0</v>
      </c>
      <c r="F49" s="329">
        <f>D49*E40</f>
        <v>0</v>
      </c>
    </row>
    <row r="50" spans="1:11" x14ac:dyDescent="0.25">
      <c r="C50" s="25" t="s">
        <v>79</v>
      </c>
      <c r="D50" s="17">
        <f>J30</f>
        <v>3600000</v>
      </c>
      <c r="E50" s="329">
        <f>D41*D50</f>
        <v>3600000</v>
      </c>
      <c r="F50" s="329">
        <f>D50*E41</f>
        <v>0</v>
      </c>
    </row>
    <row r="51" spans="1:11" x14ac:dyDescent="0.25">
      <c r="C51" s="25" t="s">
        <v>19</v>
      </c>
      <c r="D51" s="17">
        <f>J31</f>
        <v>72000</v>
      </c>
      <c r="E51" s="329">
        <f>D42*D51</f>
        <v>64800</v>
      </c>
      <c r="F51" s="329">
        <f>D51*E42</f>
        <v>7199.9999999999982</v>
      </c>
    </row>
    <row r="52" spans="1:11" x14ac:dyDescent="0.25">
      <c r="C52" s="25" t="s">
        <v>80</v>
      </c>
      <c r="D52" s="17">
        <f>J32</f>
        <v>330000</v>
      </c>
      <c r="E52" s="329">
        <f>D43*D52</f>
        <v>33000</v>
      </c>
      <c r="F52" s="329">
        <f>D52*E43</f>
        <v>297000</v>
      </c>
    </row>
    <row r="53" spans="1:11" x14ac:dyDescent="0.25">
      <c r="C53" s="25" t="s">
        <v>81</v>
      </c>
      <c r="D53" s="17">
        <f>J33</f>
        <v>0</v>
      </c>
      <c r="E53" s="329">
        <f>D44*D53</f>
        <v>0</v>
      </c>
      <c r="F53" s="329">
        <f>D53*E44</f>
        <v>0</v>
      </c>
    </row>
    <row r="56" spans="1:11" ht="13.5" customHeight="1" x14ac:dyDescent="0.25">
      <c r="A56" s="14" t="s">
        <v>59</v>
      </c>
      <c r="B56" s="14">
        <v>14</v>
      </c>
      <c r="C56" s="14" t="s">
        <v>324</v>
      </c>
    </row>
    <row r="57" spans="1:11" ht="12.75" customHeight="1" x14ac:dyDescent="0.25">
      <c r="C57" s="433" t="s">
        <v>82</v>
      </c>
      <c r="D57" s="433" t="s">
        <v>83</v>
      </c>
      <c r="E57" s="433" t="s">
        <v>84</v>
      </c>
      <c r="F57" s="433" t="s">
        <v>85</v>
      </c>
      <c r="G57" s="435" t="s">
        <v>86</v>
      </c>
      <c r="H57" s="435" t="s">
        <v>87</v>
      </c>
      <c r="I57" s="435" t="s">
        <v>88</v>
      </c>
      <c r="J57" s="435" t="s">
        <v>89</v>
      </c>
    </row>
    <row r="58" spans="1:11" ht="27" customHeight="1" x14ac:dyDescent="0.25">
      <c r="C58" s="434"/>
      <c r="D58" s="434"/>
      <c r="E58" s="434"/>
      <c r="F58" s="434" t="s">
        <v>67</v>
      </c>
      <c r="G58" s="436"/>
      <c r="H58" s="436"/>
      <c r="I58" s="436"/>
      <c r="J58" s="436"/>
    </row>
    <row r="59" spans="1:11" ht="13.5" customHeight="1" x14ac:dyDescent="0.25">
      <c r="C59" s="25" t="s">
        <v>395</v>
      </c>
      <c r="D59" s="74" t="s">
        <v>396</v>
      </c>
      <c r="E59" s="75">
        <v>10</v>
      </c>
      <c r="F59" s="76">
        <v>1</v>
      </c>
      <c r="G59" s="77">
        <v>16000</v>
      </c>
      <c r="H59" s="17">
        <f>F59*G59</f>
        <v>16000</v>
      </c>
      <c r="I59" s="78">
        <f>H59*E59*12</f>
        <v>1920000</v>
      </c>
      <c r="J59" s="79">
        <f>I59/12</f>
        <v>160000</v>
      </c>
      <c r="K59" s="34"/>
    </row>
    <row r="60" spans="1:11" ht="13.5" customHeight="1" x14ac:dyDescent="0.25">
      <c r="C60" s="66" t="s">
        <v>397</v>
      </c>
      <c r="D60" s="74" t="s">
        <v>398</v>
      </c>
      <c r="E60" s="75">
        <v>2</v>
      </c>
      <c r="F60" s="76">
        <v>1</v>
      </c>
      <c r="G60" s="17">
        <v>50000</v>
      </c>
      <c r="H60" s="17">
        <f>F60*G60</f>
        <v>50000</v>
      </c>
      <c r="I60" s="78">
        <f t="shared" ref="I60" si="1">H60*E60*12</f>
        <v>1200000</v>
      </c>
      <c r="J60" s="79">
        <f t="shared" ref="J60" si="2">I60/12</f>
        <v>100000</v>
      </c>
    </row>
    <row r="61" spans="1:11" x14ac:dyDescent="0.25">
      <c r="C61" s="443" t="s">
        <v>1</v>
      </c>
      <c r="D61" s="444"/>
      <c r="E61" s="19"/>
      <c r="F61" s="19"/>
      <c r="G61" s="19"/>
      <c r="H61" s="19">
        <f>SUM(H59:H60)</f>
        <v>66000</v>
      </c>
      <c r="I61" s="19">
        <f>SUM(I59:I60)</f>
        <v>3120000</v>
      </c>
      <c r="J61" s="19">
        <f>SUM(J59:J60)</f>
        <v>260000</v>
      </c>
    </row>
    <row r="62" spans="1:11" ht="11.25" customHeight="1" x14ac:dyDescent="0.25">
      <c r="F62" s="80"/>
      <c r="H62" s="81"/>
    </row>
    <row r="65" spans="1:16" ht="12.75" customHeight="1" x14ac:dyDescent="0.25">
      <c r="A65" s="14" t="s">
        <v>59</v>
      </c>
      <c r="B65" s="53">
        <v>15</v>
      </c>
      <c r="C65" s="453" t="s">
        <v>90</v>
      </c>
      <c r="D65" s="453"/>
      <c r="E65" s="453"/>
    </row>
    <row r="66" spans="1:16" ht="14.25" customHeight="1" x14ac:dyDescent="0.25">
      <c r="C66" s="433" t="s">
        <v>61</v>
      </c>
      <c r="D66" s="448"/>
      <c r="E66" s="433" t="s">
        <v>91</v>
      </c>
      <c r="F66" s="435" t="s">
        <v>92</v>
      </c>
    </row>
    <row r="67" spans="1:16" ht="12.75" customHeight="1" x14ac:dyDescent="0.25">
      <c r="C67" s="449"/>
      <c r="D67" s="450"/>
      <c r="E67" s="434" t="s">
        <v>67</v>
      </c>
      <c r="F67" s="454"/>
      <c r="P67" s="83"/>
    </row>
    <row r="68" spans="1:16" x14ac:dyDescent="0.25">
      <c r="C68" s="66" t="s">
        <v>93</v>
      </c>
      <c r="D68" s="84">
        <v>0.05</v>
      </c>
      <c r="E68" s="17">
        <f>F68/12</f>
        <v>75000</v>
      </c>
      <c r="F68" s="17">
        <f>E30*D68</f>
        <v>900000</v>
      </c>
    </row>
    <row r="69" spans="1:16" x14ac:dyDescent="0.25">
      <c r="C69" s="85" t="s">
        <v>94</v>
      </c>
      <c r="D69" s="86">
        <v>0.05</v>
      </c>
      <c r="E69" s="17">
        <f t="shared" ref="E69:E74" si="3">F69/12</f>
        <v>77037.5</v>
      </c>
      <c r="F69" s="17">
        <f>((E29*D40)+(E30*D41)+(E31*D42)+(E32*D43)+(E33*D44))*D69</f>
        <v>924450</v>
      </c>
    </row>
    <row r="70" spans="1:16" x14ac:dyDescent="0.25">
      <c r="C70" s="66" t="s">
        <v>95</v>
      </c>
      <c r="D70" s="84" t="s">
        <v>96</v>
      </c>
      <c r="E70" s="17">
        <f t="shared" si="3"/>
        <v>0</v>
      </c>
      <c r="F70" s="17">
        <f>E49</f>
        <v>0</v>
      </c>
    </row>
    <row r="71" spans="1:16" x14ac:dyDescent="0.25">
      <c r="C71" s="66" t="s">
        <v>97</v>
      </c>
      <c r="D71" s="84" t="s">
        <v>96</v>
      </c>
      <c r="E71" s="17">
        <f>F71/12</f>
        <v>300000</v>
      </c>
      <c r="F71" s="17">
        <f>E50</f>
        <v>3600000</v>
      </c>
    </row>
    <row r="72" spans="1:16" ht="13.5" customHeight="1" x14ac:dyDescent="0.25">
      <c r="C72" s="66" t="s">
        <v>98</v>
      </c>
      <c r="D72" s="67" t="s">
        <v>96</v>
      </c>
      <c r="E72" s="17">
        <f t="shared" si="3"/>
        <v>5400</v>
      </c>
      <c r="F72" s="17">
        <f>E51</f>
        <v>64800</v>
      </c>
    </row>
    <row r="73" spans="1:16" x14ac:dyDescent="0.25">
      <c r="C73" s="66" t="s">
        <v>99</v>
      </c>
      <c r="D73" s="67" t="s">
        <v>96</v>
      </c>
      <c r="E73" s="17">
        <f t="shared" si="3"/>
        <v>2750</v>
      </c>
      <c r="F73" s="17">
        <f>E52</f>
        <v>33000</v>
      </c>
    </row>
    <row r="74" spans="1:16" x14ac:dyDescent="0.25">
      <c r="C74" s="87" t="s">
        <v>100</v>
      </c>
      <c r="D74" s="67" t="s">
        <v>96</v>
      </c>
      <c r="E74" s="17">
        <f t="shared" si="3"/>
        <v>0</v>
      </c>
      <c r="F74" s="17">
        <f>E53</f>
        <v>0</v>
      </c>
    </row>
    <row r="75" spans="1:16" x14ac:dyDescent="0.25">
      <c r="C75" s="66" t="s">
        <v>101</v>
      </c>
      <c r="D75" s="67" t="s">
        <v>44</v>
      </c>
      <c r="E75" s="17">
        <f>'INVERSIONES '!D73</f>
        <v>15000</v>
      </c>
      <c r="F75" s="17">
        <f>E75*12</f>
        <v>180000</v>
      </c>
      <c r="I75" s="14"/>
    </row>
    <row r="76" spans="1:16" x14ac:dyDescent="0.25">
      <c r="C76" s="66" t="s">
        <v>102</v>
      </c>
      <c r="D76" s="88" t="s">
        <v>44</v>
      </c>
      <c r="E76" s="17">
        <v>0</v>
      </c>
      <c r="F76" s="17">
        <f>E76*12</f>
        <v>0</v>
      </c>
    </row>
    <row r="77" spans="1:16" x14ac:dyDescent="0.25">
      <c r="C77" s="443" t="s">
        <v>1</v>
      </c>
      <c r="D77" s="444"/>
      <c r="E77" s="19">
        <f>SUM(E68:E76)</f>
        <v>475187.5</v>
      </c>
      <c r="F77" s="19">
        <f>SUM(F68:F76)</f>
        <v>5702250</v>
      </c>
    </row>
    <row r="81" spans="1:10" x14ac:dyDescent="0.25">
      <c r="A81" s="14" t="s">
        <v>59</v>
      </c>
      <c r="B81" s="53">
        <v>16</v>
      </c>
      <c r="C81" s="453" t="s">
        <v>103</v>
      </c>
      <c r="D81" s="453"/>
    </row>
    <row r="82" spans="1:10" x14ac:dyDescent="0.25">
      <c r="C82" s="433" t="s">
        <v>61</v>
      </c>
      <c r="D82" s="448"/>
      <c r="E82" s="433" t="s">
        <v>91</v>
      </c>
      <c r="F82" s="435" t="s">
        <v>92</v>
      </c>
    </row>
    <row r="83" spans="1:10" x14ac:dyDescent="0.25">
      <c r="C83" s="449"/>
      <c r="D83" s="450"/>
      <c r="E83" s="434" t="s">
        <v>67</v>
      </c>
      <c r="F83" s="454"/>
    </row>
    <row r="84" spans="1:10" x14ac:dyDescent="0.25">
      <c r="C84" s="66" t="s">
        <v>104</v>
      </c>
      <c r="D84" s="84" t="s">
        <v>105</v>
      </c>
      <c r="E84" s="17">
        <f>I23</f>
        <v>7135276.3799999999</v>
      </c>
      <c r="F84" s="17">
        <f>E84*12</f>
        <v>85623316.560000002</v>
      </c>
    </row>
    <row r="85" spans="1:10" x14ac:dyDescent="0.25">
      <c r="C85" s="87" t="s">
        <v>106</v>
      </c>
      <c r="D85" s="89" t="s">
        <v>107</v>
      </c>
      <c r="E85" s="17">
        <f>J61</f>
        <v>260000</v>
      </c>
      <c r="F85" s="17">
        <f>E85*12</f>
        <v>3120000</v>
      </c>
    </row>
    <row r="86" spans="1:10" x14ac:dyDescent="0.25">
      <c r="C86" s="66" t="s">
        <v>108</v>
      </c>
      <c r="D86" s="67" t="s">
        <v>109</v>
      </c>
      <c r="E86" s="17">
        <f>E77</f>
        <v>475187.5</v>
      </c>
      <c r="F86" s="17">
        <f>E86*12</f>
        <v>5702250</v>
      </c>
    </row>
    <row r="87" spans="1:10" x14ac:dyDescent="0.25">
      <c r="C87" s="443" t="s">
        <v>1</v>
      </c>
      <c r="D87" s="444"/>
      <c r="E87" s="19">
        <f>SUM(E84:E86)</f>
        <v>7870463.8799999999</v>
      </c>
      <c r="F87" s="19">
        <f>SUM(F84:F86)</f>
        <v>94445566.560000002</v>
      </c>
    </row>
    <row r="88" spans="1:10" x14ac:dyDescent="0.25">
      <c r="C88" s="90"/>
      <c r="D88" s="90"/>
      <c r="E88" s="91"/>
      <c r="F88" s="91"/>
    </row>
    <row r="89" spans="1:10" x14ac:dyDescent="0.25">
      <c r="C89" s="90"/>
      <c r="D89" s="90"/>
      <c r="E89" s="91"/>
      <c r="F89" s="91"/>
    </row>
    <row r="91" spans="1:10" x14ac:dyDescent="0.25">
      <c r="A91" s="14" t="s">
        <v>59</v>
      </c>
      <c r="B91" s="53">
        <v>17</v>
      </c>
      <c r="C91" s="453" t="s">
        <v>110</v>
      </c>
      <c r="D91" s="453"/>
    </row>
    <row r="92" spans="1:10" x14ac:dyDescent="0.25">
      <c r="C92" s="435" t="s">
        <v>61</v>
      </c>
      <c r="D92" s="433" t="s">
        <v>0</v>
      </c>
      <c r="E92" s="441" t="s">
        <v>62</v>
      </c>
      <c r="F92" s="455" t="s">
        <v>63</v>
      </c>
      <c r="G92" s="455" t="s">
        <v>64</v>
      </c>
      <c r="H92" s="439" t="s">
        <v>65</v>
      </c>
      <c r="I92" s="440"/>
      <c r="J92" s="435" t="s">
        <v>66</v>
      </c>
    </row>
    <row r="93" spans="1:10" x14ac:dyDescent="0.25">
      <c r="C93" s="436"/>
      <c r="D93" s="434"/>
      <c r="E93" s="442" t="s">
        <v>67</v>
      </c>
      <c r="F93" s="456"/>
      <c r="G93" s="456"/>
      <c r="H93" s="62" t="s">
        <v>68</v>
      </c>
      <c r="I93" s="62" t="s">
        <v>1</v>
      </c>
      <c r="J93" s="436"/>
    </row>
    <row r="94" spans="1:10" x14ac:dyDescent="0.25">
      <c r="C94" s="64"/>
      <c r="D94" s="32"/>
      <c r="E94" s="17"/>
      <c r="F94" s="17"/>
      <c r="G94" s="17"/>
      <c r="H94" s="17"/>
      <c r="I94" s="17"/>
      <c r="J94" s="17"/>
    </row>
    <row r="95" spans="1:10" x14ac:dyDescent="0.25">
      <c r="C95" s="16" t="s">
        <v>1</v>
      </c>
      <c r="D95" s="32">
        <f t="shared" ref="D95:J95" si="4">SUM(D94:D94)</f>
        <v>0</v>
      </c>
      <c r="E95" s="19">
        <f t="shared" si="4"/>
        <v>0</v>
      </c>
      <c r="F95" s="19">
        <f t="shared" si="4"/>
        <v>0</v>
      </c>
      <c r="G95" s="19">
        <f t="shared" si="4"/>
        <v>0</v>
      </c>
      <c r="H95" s="19">
        <f t="shared" si="4"/>
        <v>0</v>
      </c>
      <c r="I95" s="19">
        <f t="shared" si="4"/>
        <v>0</v>
      </c>
      <c r="J95" s="19">
        <f t="shared" si="4"/>
        <v>0</v>
      </c>
    </row>
    <row r="99" spans="1:11" x14ac:dyDescent="0.25">
      <c r="A99" s="14" t="s">
        <v>59</v>
      </c>
      <c r="B99" s="53">
        <v>18</v>
      </c>
      <c r="C99" s="453" t="s">
        <v>111</v>
      </c>
      <c r="D99" s="453"/>
    </row>
    <row r="100" spans="1:11" x14ac:dyDescent="0.25">
      <c r="C100" s="433" t="s">
        <v>61</v>
      </c>
      <c r="D100" s="448"/>
      <c r="E100" s="437" t="s">
        <v>91</v>
      </c>
      <c r="F100" s="437" t="s">
        <v>92</v>
      </c>
    </row>
    <row r="101" spans="1:11" x14ac:dyDescent="0.25">
      <c r="C101" s="449"/>
      <c r="D101" s="450"/>
      <c r="E101" s="437" t="s">
        <v>67</v>
      </c>
      <c r="F101" s="438"/>
    </row>
    <row r="102" spans="1:11" x14ac:dyDescent="0.25">
      <c r="C102" s="66" t="s">
        <v>93</v>
      </c>
      <c r="D102" s="84">
        <v>0.05</v>
      </c>
      <c r="E102" s="17">
        <f>F102/12</f>
        <v>6875</v>
      </c>
      <c r="F102" s="17">
        <f>E32*D102</f>
        <v>82500</v>
      </c>
    </row>
    <row r="103" spans="1:11" x14ac:dyDescent="0.25">
      <c r="C103" s="87" t="s">
        <v>94</v>
      </c>
      <c r="D103" s="89">
        <v>0.05</v>
      </c>
      <c r="E103" s="17">
        <f t="shared" ref="E103:E108" si="5">F103/12</f>
        <v>6337.5</v>
      </c>
      <c r="F103" s="17">
        <f>((E29*E40)+(E30*E41)+(E31*E42)+(E32*E43)+(E33*E44))*D103</f>
        <v>76050</v>
      </c>
    </row>
    <row r="104" spans="1:11" x14ac:dyDescent="0.25">
      <c r="C104" s="66" t="s">
        <v>95</v>
      </c>
      <c r="D104" s="67" t="s">
        <v>96</v>
      </c>
      <c r="E104" s="17">
        <f t="shared" si="5"/>
        <v>0</v>
      </c>
      <c r="F104" s="17">
        <f>F49</f>
        <v>0</v>
      </c>
      <c r="J104" s="34"/>
    </row>
    <row r="105" spans="1:11" x14ac:dyDescent="0.25">
      <c r="C105" s="66" t="s">
        <v>97</v>
      </c>
      <c r="D105" s="88" t="s">
        <v>96</v>
      </c>
      <c r="E105" s="17">
        <f t="shared" si="5"/>
        <v>0</v>
      </c>
      <c r="F105" s="17">
        <f>F50</f>
        <v>0</v>
      </c>
      <c r="K105" s="13" t="s">
        <v>2</v>
      </c>
    </row>
    <row r="106" spans="1:11" x14ac:dyDescent="0.25">
      <c r="C106" s="66" t="s">
        <v>98</v>
      </c>
      <c r="D106" s="67" t="s">
        <v>96</v>
      </c>
      <c r="E106" s="17">
        <f t="shared" si="5"/>
        <v>599.99999999999989</v>
      </c>
      <c r="F106" s="17">
        <f>F51</f>
        <v>7199.9999999999982</v>
      </c>
    </row>
    <row r="107" spans="1:11" x14ac:dyDescent="0.25">
      <c r="C107" s="66" t="s">
        <v>99</v>
      </c>
      <c r="D107" s="67" t="s">
        <v>96</v>
      </c>
      <c r="E107" s="17">
        <f t="shared" si="5"/>
        <v>24750</v>
      </c>
      <c r="F107" s="17">
        <f>F52</f>
        <v>297000</v>
      </c>
    </row>
    <row r="108" spans="1:11" x14ac:dyDescent="0.25">
      <c r="C108" s="66" t="s">
        <v>100</v>
      </c>
      <c r="D108" s="67" t="s">
        <v>96</v>
      </c>
      <c r="E108" s="17">
        <f t="shared" si="5"/>
        <v>0</v>
      </c>
      <c r="F108" s="17">
        <f>F53</f>
        <v>0</v>
      </c>
    </row>
    <row r="109" spans="1:11" x14ac:dyDescent="0.25">
      <c r="C109" s="87" t="s">
        <v>102</v>
      </c>
      <c r="D109" s="67" t="s">
        <v>44</v>
      </c>
      <c r="E109" s="17">
        <v>0</v>
      </c>
      <c r="F109" s="17">
        <f>E109*12</f>
        <v>0</v>
      </c>
    </row>
    <row r="110" spans="1:11" x14ac:dyDescent="0.25">
      <c r="C110" s="66" t="s">
        <v>101</v>
      </c>
      <c r="D110" s="67" t="s">
        <v>44</v>
      </c>
      <c r="E110" s="17">
        <f>'INVERSIONES '!E73</f>
        <v>135000</v>
      </c>
      <c r="F110" s="17">
        <f>E110*12</f>
        <v>1620000</v>
      </c>
    </row>
    <row r="111" spans="1:11" ht="13.5" customHeight="1" x14ac:dyDescent="0.25">
      <c r="C111" s="87" t="s">
        <v>112</v>
      </c>
      <c r="D111" s="92"/>
      <c r="E111" s="17">
        <v>0</v>
      </c>
      <c r="F111" s="17">
        <f t="shared" ref="F111" si="6">E111*12</f>
        <v>0</v>
      </c>
    </row>
    <row r="112" spans="1:11" x14ac:dyDescent="0.25">
      <c r="C112" s="443" t="s">
        <v>1</v>
      </c>
      <c r="D112" s="444"/>
      <c r="E112" s="19">
        <f>SUM(E102:E111)</f>
        <v>173562.5</v>
      </c>
      <c r="F112" s="19">
        <f>SUM(F102:F111)</f>
        <v>2082750</v>
      </c>
      <c r="G112" s="34"/>
    </row>
    <row r="116" spans="1:10" x14ac:dyDescent="0.25">
      <c r="A116" s="14" t="s">
        <v>59</v>
      </c>
      <c r="B116" s="53">
        <v>19</v>
      </c>
      <c r="C116" s="14" t="s">
        <v>113</v>
      </c>
    </row>
    <row r="117" spans="1:10" x14ac:dyDescent="0.25">
      <c r="C117" s="435" t="s">
        <v>61</v>
      </c>
      <c r="D117" s="433" t="s">
        <v>0</v>
      </c>
      <c r="E117" s="441" t="s">
        <v>62</v>
      </c>
      <c r="F117" s="455" t="s">
        <v>63</v>
      </c>
      <c r="G117" s="455" t="s">
        <v>64</v>
      </c>
      <c r="H117" s="439" t="s">
        <v>65</v>
      </c>
      <c r="I117" s="440"/>
      <c r="J117" s="435" t="s">
        <v>66</v>
      </c>
    </row>
    <row r="118" spans="1:10" x14ac:dyDescent="0.25">
      <c r="C118" s="436"/>
      <c r="D118" s="434"/>
      <c r="E118" s="442" t="s">
        <v>67</v>
      </c>
      <c r="F118" s="456"/>
      <c r="G118" s="456"/>
      <c r="H118" s="62" t="s">
        <v>68</v>
      </c>
      <c r="I118" s="62" t="s">
        <v>1</v>
      </c>
      <c r="J118" s="436"/>
    </row>
    <row r="119" spans="1:10" x14ac:dyDescent="0.25">
      <c r="C119" s="64"/>
      <c r="D119" s="32"/>
      <c r="E119" s="17"/>
      <c r="F119" s="17"/>
      <c r="G119" s="17">
        <f>(E119+F119)*$E$15</f>
        <v>0</v>
      </c>
      <c r="H119" s="17">
        <f>E119+F119+G119</f>
        <v>0</v>
      </c>
      <c r="I119" s="17">
        <f>D119*H119</f>
        <v>0</v>
      </c>
      <c r="J119" s="17">
        <f>I119*12</f>
        <v>0</v>
      </c>
    </row>
    <row r="120" spans="1:10" x14ac:dyDescent="0.25">
      <c r="C120" s="16" t="s">
        <v>1</v>
      </c>
      <c r="D120" s="32">
        <f t="shared" ref="D120:J120" si="7">SUM(D119:D119)</f>
        <v>0</v>
      </c>
      <c r="E120" s="19">
        <f t="shared" si="7"/>
        <v>0</v>
      </c>
      <c r="F120" s="19">
        <f t="shared" si="7"/>
        <v>0</v>
      </c>
      <c r="G120" s="19">
        <f t="shared" si="7"/>
        <v>0</v>
      </c>
      <c r="H120" s="19">
        <f t="shared" si="7"/>
        <v>0</v>
      </c>
      <c r="I120" s="19">
        <f t="shared" si="7"/>
        <v>0</v>
      </c>
      <c r="J120" s="19">
        <f t="shared" si="7"/>
        <v>0</v>
      </c>
    </row>
    <row r="124" spans="1:10" x14ac:dyDescent="0.25">
      <c r="A124" s="14" t="s">
        <v>59</v>
      </c>
      <c r="B124" s="53">
        <v>20</v>
      </c>
      <c r="C124" s="453" t="s">
        <v>114</v>
      </c>
      <c r="D124" s="453"/>
    </row>
    <row r="125" spans="1:10" x14ac:dyDescent="0.25">
      <c r="C125" s="433" t="s">
        <v>61</v>
      </c>
      <c r="D125" s="448"/>
      <c r="E125" s="433" t="s">
        <v>91</v>
      </c>
      <c r="F125" s="435" t="s">
        <v>92</v>
      </c>
    </row>
    <row r="126" spans="1:10" x14ac:dyDescent="0.25">
      <c r="C126" s="449"/>
      <c r="D126" s="450"/>
      <c r="E126" s="434" t="s">
        <v>67</v>
      </c>
      <c r="F126" s="454"/>
    </row>
    <row r="127" spans="1:10" x14ac:dyDescent="0.25">
      <c r="C127" s="66" t="s">
        <v>110</v>
      </c>
      <c r="D127" s="84" t="s">
        <v>115</v>
      </c>
      <c r="E127" s="17">
        <f>F127/12</f>
        <v>0</v>
      </c>
      <c r="F127" s="17">
        <f>J95</f>
        <v>0</v>
      </c>
    </row>
    <row r="128" spans="1:10" x14ac:dyDescent="0.25">
      <c r="C128" s="66" t="s">
        <v>116</v>
      </c>
      <c r="D128" s="84" t="s">
        <v>117</v>
      </c>
      <c r="E128" s="17">
        <f>F128/12</f>
        <v>0</v>
      </c>
      <c r="F128" s="17">
        <f>J120</f>
        <v>0</v>
      </c>
    </row>
    <row r="129" spans="1:10" x14ac:dyDescent="0.25">
      <c r="C129" s="87" t="s">
        <v>111</v>
      </c>
      <c r="D129" s="89" t="s">
        <v>118</v>
      </c>
      <c r="E129" s="17">
        <f>F129/12</f>
        <v>173562.5</v>
      </c>
      <c r="F129" s="17">
        <f>F112</f>
        <v>2082750</v>
      </c>
    </row>
    <row r="130" spans="1:10" x14ac:dyDescent="0.25">
      <c r="C130" s="443" t="s">
        <v>1</v>
      </c>
      <c r="D130" s="444"/>
      <c r="E130" s="19">
        <f>SUM(E127:E129)</f>
        <v>173562.5</v>
      </c>
      <c r="F130" s="19">
        <f>SUM(F127:F129)</f>
        <v>2082750</v>
      </c>
    </row>
    <row r="131" spans="1:10" x14ac:dyDescent="0.25">
      <c r="C131" s="93"/>
      <c r="D131" s="94"/>
    </row>
    <row r="132" spans="1:10" x14ac:dyDescent="0.25">
      <c r="C132" s="93"/>
      <c r="D132" s="94"/>
    </row>
    <row r="133" spans="1:10" x14ac:dyDescent="0.25">
      <c r="C133" s="93"/>
      <c r="D133" s="94"/>
    </row>
    <row r="134" spans="1:10" x14ac:dyDescent="0.25">
      <c r="A134" s="14" t="s">
        <v>59</v>
      </c>
      <c r="B134" s="53">
        <v>21</v>
      </c>
      <c r="C134" s="453" t="s">
        <v>119</v>
      </c>
      <c r="D134" s="453"/>
    </row>
    <row r="135" spans="1:10" x14ac:dyDescent="0.25">
      <c r="C135" s="433" t="s">
        <v>120</v>
      </c>
      <c r="D135" s="448"/>
      <c r="E135" s="435" t="s">
        <v>121</v>
      </c>
    </row>
    <row r="136" spans="1:10" x14ac:dyDescent="0.25">
      <c r="C136" s="449"/>
      <c r="D136" s="450"/>
      <c r="E136" s="436" t="s">
        <v>67</v>
      </c>
    </row>
    <row r="137" spans="1:10" x14ac:dyDescent="0.25">
      <c r="C137" s="66" t="s">
        <v>122</v>
      </c>
      <c r="D137" s="84" t="s">
        <v>123</v>
      </c>
      <c r="E137" s="17">
        <f>+CRÉDITO!E14</f>
        <v>318159</v>
      </c>
    </row>
    <row r="138" spans="1:10" ht="15" customHeight="1" x14ac:dyDescent="0.25">
      <c r="C138" s="66" t="s">
        <v>124</v>
      </c>
      <c r="D138" s="84" t="s">
        <v>123</v>
      </c>
      <c r="E138" s="17">
        <f>+CRÉDITO!E15</f>
        <v>280549.96323272109</v>
      </c>
    </row>
    <row r="139" spans="1:10" ht="13.5" customHeight="1" x14ac:dyDescent="0.25">
      <c r="C139" s="66" t="s">
        <v>125</v>
      </c>
      <c r="D139" s="84" t="s">
        <v>123</v>
      </c>
      <c r="E139" s="17">
        <f>+CRÉDITO!E16</f>
        <v>242342.94278084242</v>
      </c>
    </row>
    <row r="140" spans="1:10" x14ac:dyDescent="0.25">
      <c r="E140" s="34">
        <f>+SUM(E137:E139)</f>
        <v>841051.90601356351</v>
      </c>
    </row>
    <row r="141" spans="1:10" ht="13.8" thickBot="1" x14ac:dyDescent="0.3">
      <c r="G141" s="14"/>
    </row>
    <row r="142" spans="1:10" ht="13.8" thickBot="1" x14ac:dyDescent="0.3">
      <c r="C142" s="13" t="s">
        <v>126</v>
      </c>
      <c r="F142" s="95">
        <v>3</v>
      </c>
      <c r="G142" s="47" t="s">
        <v>127</v>
      </c>
      <c r="H142" s="44"/>
      <c r="I142" s="44"/>
      <c r="J142" s="96"/>
    </row>
    <row r="145" spans="1:6" x14ac:dyDescent="0.25">
      <c r="A145" s="14" t="s">
        <v>59</v>
      </c>
      <c r="B145" s="53">
        <v>22</v>
      </c>
      <c r="C145" s="453" t="s">
        <v>128</v>
      </c>
      <c r="D145" s="453"/>
    </row>
    <row r="146" spans="1:6" x14ac:dyDescent="0.25">
      <c r="C146" s="433" t="s">
        <v>129</v>
      </c>
      <c r="D146" s="448"/>
      <c r="E146" s="433" t="s">
        <v>121</v>
      </c>
      <c r="F146" s="435" t="s">
        <v>130</v>
      </c>
    </row>
    <row r="147" spans="1:6" x14ac:dyDescent="0.25">
      <c r="C147" s="449"/>
      <c r="D147" s="450"/>
      <c r="E147" s="434" t="s">
        <v>67</v>
      </c>
      <c r="F147" s="436"/>
    </row>
    <row r="148" spans="1:6" ht="26.4" x14ac:dyDescent="0.25">
      <c r="C148" s="54" t="s">
        <v>131</v>
      </c>
      <c r="D148" s="67" t="s">
        <v>132</v>
      </c>
      <c r="E148" s="17">
        <f>E87</f>
        <v>7870463.8799999999</v>
      </c>
      <c r="F148" s="97">
        <f>E148*F142</f>
        <v>23611391.640000001</v>
      </c>
    </row>
    <row r="149" spans="1:6" x14ac:dyDescent="0.25">
      <c r="C149" s="54" t="s">
        <v>133</v>
      </c>
      <c r="D149" s="67" t="s">
        <v>134</v>
      </c>
      <c r="E149" s="17">
        <f>E130</f>
        <v>173562.5</v>
      </c>
      <c r="F149" s="97">
        <f>E149*F142</f>
        <v>520687.5</v>
      </c>
    </row>
    <row r="150" spans="1:6" x14ac:dyDescent="0.25">
      <c r="C150" s="54" t="s">
        <v>119</v>
      </c>
      <c r="D150" s="67" t="s">
        <v>135</v>
      </c>
      <c r="E150" s="17">
        <f>E137</f>
        <v>318159</v>
      </c>
      <c r="F150" s="97">
        <f>E137+E138</f>
        <v>598708.96323272109</v>
      </c>
    </row>
    <row r="151" spans="1:6" x14ac:dyDescent="0.25">
      <c r="C151" s="54" t="s">
        <v>136</v>
      </c>
      <c r="D151" s="67" t="s">
        <v>137</v>
      </c>
      <c r="E151" s="17">
        <f>((PROYECCIONES!F30*0.004)/12)</f>
        <v>44640</v>
      </c>
      <c r="F151" s="17">
        <f>E151*F142</f>
        <v>133920</v>
      </c>
    </row>
    <row r="152" spans="1:6" x14ac:dyDescent="0.25">
      <c r="C152" s="54" t="s">
        <v>138</v>
      </c>
      <c r="D152" s="67" t="s">
        <v>139</v>
      </c>
      <c r="E152" s="17">
        <f>(+E108+E107+E106+E105+E104+E70+E71+E72+E73+E74)</f>
        <v>333500</v>
      </c>
      <c r="F152" s="17">
        <f>E152*F142</f>
        <v>1000500</v>
      </c>
    </row>
    <row r="153" spans="1:6" x14ac:dyDescent="0.25">
      <c r="C153" s="443" t="s">
        <v>1</v>
      </c>
      <c r="D153" s="444"/>
      <c r="E153" s="19">
        <f>SUM(E148:E151)-E152</f>
        <v>8073325.379999999</v>
      </c>
      <c r="F153" s="19">
        <f>SUM(F148:F151)-F152</f>
        <v>23864208.103232723</v>
      </c>
    </row>
    <row r="157" spans="1:6" x14ac:dyDescent="0.25">
      <c r="A157" s="14" t="s">
        <v>59</v>
      </c>
      <c r="B157" s="53">
        <v>23</v>
      </c>
      <c r="C157" s="453" t="s">
        <v>140</v>
      </c>
      <c r="D157" s="453"/>
    </row>
    <row r="158" spans="1:6" x14ac:dyDescent="0.25">
      <c r="C158" s="433" t="s">
        <v>141</v>
      </c>
      <c r="D158" s="448"/>
      <c r="E158" s="435" t="s">
        <v>142</v>
      </c>
    </row>
    <row r="159" spans="1:6" x14ac:dyDescent="0.25">
      <c r="C159" s="449"/>
      <c r="D159" s="450"/>
      <c r="E159" s="436" t="s">
        <v>67</v>
      </c>
    </row>
    <row r="160" spans="1:6" x14ac:dyDescent="0.25">
      <c r="C160" s="54" t="s">
        <v>27</v>
      </c>
      <c r="D160" s="67" t="s">
        <v>26</v>
      </c>
      <c r="E160" s="17">
        <f>'INVERSIONES '!D48</f>
        <v>20010000</v>
      </c>
    </row>
    <row r="161" spans="1:8" x14ac:dyDescent="0.25">
      <c r="C161" s="54" t="s">
        <v>143</v>
      </c>
      <c r="D161" s="67" t="s">
        <v>34</v>
      </c>
      <c r="E161" s="17">
        <f>'INVERSIONES '!D56</f>
        <v>0</v>
      </c>
    </row>
    <row r="162" spans="1:8" x14ac:dyDescent="0.25">
      <c r="C162" s="54" t="s">
        <v>144</v>
      </c>
      <c r="D162" s="67" t="s">
        <v>145</v>
      </c>
      <c r="E162" s="17">
        <f>F153</f>
        <v>23864208.103232723</v>
      </c>
    </row>
    <row r="163" spans="1:8" x14ac:dyDescent="0.25">
      <c r="C163" s="443" t="s">
        <v>1</v>
      </c>
      <c r="D163" s="444"/>
      <c r="E163" s="19">
        <f>SUM(E160:E162)</f>
        <v>43874208.103232726</v>
      </c>
    </row>
    <row r="166" spans="1:8" x14ac:dyDescent="0.25">
      <c r="H166" s="10"/>
    </row>
    <row r="167" spans="1:8" x14ac:dyDescent="0.25">
      <c r="G167" s="14"/>
      <c r="H167" s="10"/>
    </row>
    <row r="168" spans="1:8" x14ac:dyDescent="0.25">
      <c r="A168" s="14" t="s">
        <v>59</v>
      </c>
      <c r="B168" s="14">
        <v>24</v>
      </c>
      <c r="C168" s="98" t="s">
        <v>140</v>
      </c>
      <c r="D168" s="17">
        <f>E163</f>
        <v>43874208.103232726</v>
      </c>
      <c r="E168" s="415" t="s">
        <v>146</v>
      </c>
      <c r="F168" s="415"/>
      <c r="G168" s="14"/>
      <c r="H168" s="99"/>
    </row>
    <row r="169" spans="1:8" x14ac:dyDescent="0.25">
      <c r="C169" s="54" t="s">
        <v>147</v>
      </c>
      <c r="D169" s="17">
        <f>D168-D170</f>
        <v>23864208.103232726</v>
      </c>
      <c r="E169" s="100">
        <f>D169/E163</f>
        <v>0.54392339223723496</v>
      </c>
      <c r="F169" s="51" t="s">
        <v>400</v>
      </c>
      <c r="H169" s="99"/>
    </row>
    <row r="170" spans="1:8" x14ac:dyDescent="0.25">
      <c r="C170" s="54" t="s">
        <v>148</v>
      </c>
      <c r="D170" s="19">
        <v>20010000</v>
      </c>
      <c r="E170" s="100">
        <f>D170/E163</f>
        <v>0.45607660776276504</v>
      </c>
      <c r="F170" s="51" t="s">
        <v>149</v>
      </c>
    </row>
    <row r="171" spans="1:8" x14ac:dyDescent="0.25">
      <c r="D171" s="34"/>
    </row>
    <row r="173" spans="1:8" x14ac:dyDescent="0.25">
      <c r="H173" s="101"/>
    </row>
    <row r="174" spans="1:8" x14ac:dyDescent="0.25">
      <c r="D174" s="34"/>
    </row>
  </sheetData>
  <mergeCells count="85">
    <mergeCell ref="I57:I58"/>
    <mergeCell ref="F57:F58"/>
    <mergeCell ref="G57:G58"/>
    <mergeCell ref="J57:J58"/>
    <mergeCell ref="F66:F67"/>
    <mergeCell ref="H57:H58"/>
    <mergeCell ref="J19:J20"/>
    <mergeCell ref="H19:I19"/>
    <mergeCell ref="C19:C20"/>
    <mergeCell ref="G19:G20"/>
    <mergeCell ref="J27:J28"/>
    <mergeCell ref="I27:I28"/>
    <mergeCell ref="H27:H28"/>
    <mergeCell ref="F27:F28"/>
    <mergeCell ref="G27:G28"/>
    <mergeCell ref="E27:E28"/>
    <mergeCell ref="D19:D20"/>
    <mergeCell ref="C163:D163"/>
    <mergeCell ref="F92:F93"/>
    <mergeCell ref="G92:G93"/>
    <mergeCell ref="C112:D112"/>
    <mergeCell ref="C158:D159"/>
    <mergeCell ref="C157:D157"/>
    <mergeCell ref="E100:E101"/>
    <mergeCell ref="G117:G118"/>
    <mergeCell ref="E158:E159"/>
    <mergeCell ref="C99:D99"/>
    <mergeCell ref="C117:C118"/>
    <mergeCell ref="D117:D118"/>
    <mergeCell ref="E146:E147"/>
    <mergeCell ref="F146:F147"/>
    <mergeCell ref="E135:E136"/>
    <mergeCell ref="C92:C93"/>
    <mergeCell ref="F125:F126"/>
    <mergeCell ref="F117:F118"/>
    <mergeCell ref="F19:F20"/>
    <mergeCell ref="E19:E20"/>
    <mergeCell ref="E47:F47"/>
    <mergeCell ref="F82:F83"/>
    <mergeCell ref="C65:E65"/>
    <mergeCell ref="E57:E58"/>
    <mergeCell ref="C61:D61"/>
    <mergeCell ref="C81:D81"/>
    <mergeCell ref="E82:E83"/>
    <mergeCell ref="C91:D91"/>
    <mergeCell ref="C82:D83"/>
    <mergeCell ref="C87:D87"/>
    <mergeCell ref="C146:D147"/>
    <mergeCell ref="C100:D101"/>
    <mergeCell ref="C130:D130"/>
    <mergeCell ref="C145:D145"/>
    <mergeCell ref="D92:D93"/>
    <mergeCell ref="C125:D126"/>
    <mergeCell ref="C135:D136"/>
    <mergeCell ref="C124:D124"/>
    <mergeCell ref="C134:D134"/>
    <mergeCell ref="C6:D6"/>
    <mergeCell ref="C27:D28"/>
    <mergeCell ref="C57:C58"/>
    <mergeCell ref="C12:D12"/>
    <mergeCell ref="C66:D67"/>
    <mergeCell ref="C13:D13"/>
    <mergeCell ref="C14:D14"/>
    <mergeCell ref="C7:D7"/>
    <mergeCell ref="C8:D8"/>
    <mergeCell ref="C9:D9"/>
    <mergeCell ref="C10:D10"/>
    <mergeCell ref="C11:D11"/>
    <mergeCell ref="C34:D34"/>
    <mergeCell ref="E168:F168"/>
    <mergeCell ref="D38:E38"/>
    <mergeCell ref="D57:D58"/>
    <mergeCell ref="J92:J93"/>
    <mergeCell ref="F100:F101"/>
    <mergeCell ref="H92:I92"/>
    <mergeCell ref="H117:I117"/>
    <mergeCell ref="J117:J118"/>
    <mergeCell ref="E92:E93"/>
    <mergeCell ref="E125:E126"/>
    <mergeCell ref="C153:D153"/>
    <mergeCell ref="C38:C39"/>
    <mergeCell ref="C47:C48"/>
    <mergeCell ref="E66:E67"/>
    <mergeCell ref="C77:D77"/>
    <mergeCell ref="E117:E11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25"/>
  <sheetViews>
    <sheetView showGridLines="0" zoomScale="90" zoomScaleNormal="90" workbookViewId="0">
      <selection activeCell="F5" sqref="F5"/>
    </sheetView>
  </sheetViews>
  <sheetFormatPr baseColWidth="10" defaultColWidth="11.44140625" defaultRowHeight="13.2" x14ac:dyDescent="0.25"/>
  <cols>
    <col min="1" max="1" width="7.21875" customWidth="1"/>
    <col min="2" max="2" width="3" customWidth="1"/>
    <col min="3" max="3" width="8.44140625" customWidth="1"/>
    <col min="4" max="4" width="15.5546875" customWidth="1"/>
    <col min="5" max="5" width="16" customWidth="1"/>
    <col min="6" max="6" width="16.44140625" customWidth="1"/>
    <col min="7" max="7" width="19" customWidth="1"/>
    <col min="8" max="8" width="11.5546875" customWidth="1"/>
    <col min="9" max="9" width="6.5546875" customWidth="1"/>
    <col min="10" max="10" width="7.5546875" customWidth="1"/>
    <col min="11" max="11" width="3.77734375" customWidth="1"/>
    <col min="12" max="12" width="11.5546875" bestFit="1" customWidth="1"/>
    <col min="13" max="13" width="17.21875" customWidth="1"/>
    <col min="14" max="14" width="18.77734375" customWidth="1"/>
    <col min="15" max="15" width="18.21875" customWidth="1"/>
    <col min="16" max="16" width="18.5546875" customWidth="1"/>
  </cols>
  <sheetData>
    <row r="1" spans="1:17" x14ac:dyDescent="0.25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spans="1:17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spans="1:17" x14ac:dyDescent="0.25">
      <c r="A3" s="14" t="s">
        <v>59</v>
      </c>
      <c r="B3" s="102">
        <v>25</v>
      </c>
      <c r="C3" s="14" t="s">
        <v>150</v>
      </c>
      <c r="D3" s="14"/>
      <c r="E3" s="13"/>
      <c r="F3" s="13"/>
      <c r="G3" s="103"/>
      <c r="H3" s="45"/>
      <c r="I3" s="13"/>
      <c r="J3" s="13"/>
      <c r="K3" s="13"/>
      <c r="L3" s="13"/>
      <c r="M3" s="13"/>
      <c r="N3" s="13"/>
      <c r="O3" s="13"/>
      <c r="P3" s="13"/>
      <c r="Q3" s="13"/>
    </row>
    <row r="4" spans="1:17" x14ac:dyDescent="0.25">
      <c r="A4" s="13"/>
      <c r="B4" s="13"/>
      <c r="C4" s="13"/>
      <c r="D4" s="13"/>
      <c r="E4" s="13"/>
      <c r="F4" s="13"/>
      <c r="G4" s="13"/>
      <c r="H4" s="45"/>
      <c r="I4" s="14"/>
      <c r="J4" s="14"/>
      <c r="K4" s="14"/>
      <c r="L4" s="14"/>
      <c r="M4" s="13"/>
      <c r="N4" s="13"/>
      <c r="O4" s="13"/>
      <c r="P4" s="13"/>
      <c r="Q4" s="13"/>
    </row>
    <row r="5" spans="1:17" x14ac:dyDescent="0.25">
      <c r="A5" s="13"/>
      <c r="B5" s="13"/>
      <c r="C5" s="13"/>
      <c r="D5" s="457" t="s">
        <v>151</v>
      </c>
      <c r="E5" s="457"/>
      <c r="F5" s="97">
        <f>+'COSTOS Y GASTOS'!D170</f>
        <v>20010000</v>
      </c>
      <c r="G5" s="13"/>
      <c r="H5" s="45"/>
      <c r="J5" s="13"/>
      <c r="K5" s="13"/>
      <c r="L5" s="13"/>
      <c r="M5" s="13"/>
      <c r="N5" s="13"/>
      <c r="O5" s="13"/>
      <c r="P5" s="13"/>
      <c r="Q5" s="13"/>
    </row>
    <row r="6" spans="1:17" x14ac:dyDescent="0.25">
      <c r="A6" s="13"/>
      <c r="B6" s="13"/>
      <c r="C6" s="13"/>
      <c r="D6" s="457" t="s">
        <v>152</v>
      </c>
      <c r="E6" s="457"/>
      <c r="F6" s="105">
        <v>8</v>
      </c>
      <c r="G6" s="13" t="s">
        <v>153</v>
      </c>
      <c r="H6" s="13"/>
      <c r="I6" s="13"/>
      <c r="J6" s="13"/>
      <c r="K6" s="13"/>
      <c r="L6" s="13"/>
      <c r="M6" s="13"/>
      <c r="N6" s="13"/>
      <c r="O6" s="13"/>
      <c r="P6" s="13"/>
      <c r="Q6" s="13"/>
    </row>
    <row r="7" spans="1:17" x14ac:dyDescent="0.25">
      <c r="A7" s="13"/>
      <c r="B7" s="13"/>
      <c r="C7" s="13"/>
      <c r="D7" s="457" t="s">
        <v>154</v>
      </c>
      <c r="E7" s="457"/>
      <c r="F7" s="6">
        <v>1.5900000000000001E-2</v>
      </c>
      <c r="G7" s="13" t="s">
        <v>155</v>
      </c>
      <c r="K7" s="13"/>
      <c r="L7" s="13"/>
      <c r="M7" s="13"/>
      <c r="N7" s="13"/>
      <c r="O7" s="13"/>
      <c r="P7" s="13"/>
      <c r="Q7" s="13"/>
    </row>
    <row r="8" spans="1:17" x14ac:dyDescent="0.25">
      <c r="A8" s="13"/>
      <c r="B8" s="13"/>
      <c r="C8" s="13"/>
      <c r="D8" s="457" t="s">
        <v>157</v>
      </c>
      <c r="E8" s="457"/>
      <c r="F8" s="106">
        <f>-PMT(F7,F6,F5)</f>
        <v>2683507.2243571649</v>
      </c>
      <c r="G8" s="13" t="s">
        <v>155</v>
      </c>
      <c r="H8" s="13"/>
      <c r="I8" s="13"/>
      <c r="J8" s="13"/>
      <c r="K8" s="13"/>
      <c r="N8" s="13"/>
      <c r="O8" s="13"/>
      <c r="P8" s="13"/>
      <c r="Q8" s="13"/>
    </row>
    <row r="9" spans="1:17" x14ac:dyDescent="0.25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</row>
    <row r="10" spans="1:17" x14ac:dyDescent="0.25">
      <c r="A10" s="13"/>
      <c r="B10" s="13"/>
      <c r="C10" s="45"/>
      <c r="D10" s="45"/>
      <c r="E10" s="45"/>
      <c r="F10" s="100">
        <f>((1+F7)^12)-1</f>
        <v>0.20840224624122183</v>
      </c>
      <c r="G10" s="13" t="s">
        <v>156</v>
      </c>
      <c r="H10" s="13"/>
      <c r="I10" s="13"/>
      <c r="J10" s="13"/>
      <c r="K10" s="13"/>
      <c r="L10" s="13"/>
      <c r="M10" s="13"/>
      <c r="N10" s="13"/>
      <c r="O10" s="13"/>
      <c r="P10" s="13"/>
      <c r="Q10" s="13"/>
    </row>
    <row r="11" spans="1:17" x14ac:dyDescent="0.25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</row>
    <row r="12" spans="1:17" x14ac:dyDescent="0.25">
      <c r="A12" s="13"/>
      <c r="B12" s="13"/>
      <c r="C12" s="16" t="s">
        <v>158</v>
      </c>
      <c r="D12" s="16" t="s">
        <v>159</v>
      </c>
      <c r="E12" s="16" t="s">
        <v>160</v>
      </c>
      <c r="F12" s="16" t="s">
        <v>161</v>
      </c>
      <c r="G12" s="16" t="s">
        <v>162</v>
      </c>
      <c r="H12" s="13"/>
      <c r="I12" s="13"/>
      <c r="J12" s="14" t="s">
        <v>59</v>
      </c>
      <c r="K12" s="102">
        <f>B3+1</f>
        <v>26</v>
      </c>
      <c r="L12" s="14" t="s">
        <v>163</v>
      </c>
      <c r="M12" s="13"/>
      <c r="N12" s="13"/>
      <c r="O12" s="13"/>
      <c r="P12" s="13"/>
      <c r="Q12" s="13"/>
    </row>
    <row r="13" spans="1:17" x14ac:dyDescent="0.25">
      <c r="A13" s="13"/>
      <c r="B13" s="13"/>
      <c r="C13" s="16">
        <v>0</v>
      </c>
      <c r="D13" s="25"/>
      <c r="E13" s="25"/>
      <c r="F13" s="25"/>
      <c r="G13" s="78">
        <f>F5</f>
        <v>20010000</v>
      </c>
      <c r="H13" s="13"/>
      <c r="I13" s="13"/>
      <c r="J13" s="13"/>
      <c r="K13" s="13"/>
      <c r="L13" s="16" t="s">
        <v>78</v>
      </c>
      <c r="M13" s="16" t="s">
        <v>164</v>
      </c>
      <c r="N13" s="16" t="s">
        <v>160</v>
      </c>
      <c r="O13" s="16" t="s">
        <v>161</v>
      </c>
      <c r="P13" s="16" t="s">
        <v>162</v>
      </c>
      <c r="Q13" s="13"/>
    </row>
    <row r="14" spans="1:17" x14ac:dyDescent="0.25">
      <c r="A14" s="13"/>
      <c r="B14" s="13"/>
      <c r="C14" s="16">
        <f>C13+1</f>
        <v>1</v>
      </c>
      <c r="D14" s="107">
        <f>F8</f>
        <v>2683507.2243571649</v>
      </c>
      <c r="E14" s="78">
        <f>G13*$F$7</f>
        <v>318159</v>
      </c>
      <c r="F14" s="78">
        <f>D14-E14</f>
        <v>2365348.2243571649</v>
      </c>
      <c r="G14" s="78">
        <f>G13-F14</f>
        <v>17644651.775642835</v>
      </c>
      <c r="H14" s="13"/>
      <c r="I14" s="13"/>
      <c r="J14" s="13"/>
      <c r="K14" s="13"/>
      <c r="L14" s="108">
        <v>1</v>
      </c>
      <c r="M14" s="109">
        <f>SUM(D14:D21)</f>
        <v>21468057.794857319</v>
      </c>
      <c r="N14" s="109">
        <f>SUM(E14:E21)</f>
        <v>1458057.7948573208</v>
      </c>
      <c r="O14" s="109">
        <f>SUM(F14:F21)</f>
        <v>20009999.999999996</v>
      </c>
      <c r="P14" s="109">
        <f>G21</f>
        <v>0</v>
      </c>
      <c r="Q14" s="13"/>
    </row>
    <row r="15" spans="1:17" x14ac:dyDescent="0.25">
      <c r="A15" s="13"/>
      <c r="B15" s="13"/>
      <c r="C15" s="16">
        <f t="shared" ref="C15:C21" si="0">C14+1</f>
        <v>2</v>
      </c>
      <c r="D15" s="107">
        <f>D14</f>
        <v>2683507.2243571649</v>
      </c>
      <c r="E15" s="78">
        <f t="shared" ref="E15:E21" si="1">G14*$F$7</f>
        <v>280549.96323272109</v>
      </c>
      <c r="F15" s="78">
        <f t="shared" ref="F15:F21" si="2">D15-E15</f>
        <v>2402957.2611244437</v>
      </c>
      <c r="G15" s="78">
        <f t="shared" ref="G15:G21" si="3">G14-F15</f>
        <v>15241694.514518391</v>
      </c>
      <c r="H15" s="13"/>
      <c r="I15" s="13"/>
      <c r="J15" s="13"/>
      <c r="K15" s="13"/>
      <c r="L15" s="51" t="s">
        <v>1</v>
      </c>
      <c r="M15" s="110">
        <f>SUM(M14:M14)</f>
        <v>21468057.794857319</v>
      </c>
      <c r="N15" s="110">
        <f>SUM(N14:N14)</f>
        <v>1458057.7948573208</v>
      </c>
      <c r="O15" s="110">
        <f>SUM(O14:O14)</f>
        <v>20009999.999999996</v>
      </c>
      <c r="P15" s="78"/>
      <c r="Q15" s="13"/>
    </row>
    <row r="16" spans="1:17" x14ac:dyDescent="0.25">
      <c r="A16" s="13"/>
      <c r="B16" s="13"/>
      <c r="C16" s="16">
        <f t="shared" si="0"/>
        <v>3</v>
      </c>
      <c r="D16" s="107">
        <f t="shared" ref="D16:D21" si="4">D15</f>
        <v>2683507.2243571649</v>
      </c>
      <c r="E16" s="78">
        <f t="shared" si="1"/>
        <v>242342.94278084242</v>
      </c>
      <c r="F16" s="78">
        <f t="shared" si="2"/>
        <v>2441164.2815763224</v>
      </c>
      <c r="G16" s="78">
        <f t="shared" si="3"/>
        <v>12800530.232942069</v>
      </c>
      <c r="H16" s="13"/>
      <c r="I16" s="13"/>
      <c r="J16" s="13"/>
      <c r="K16" s="13"/>
      <c r="L16" s="13"/>
      <c r="M16" s="13"/>
      <c r="N16" s="13"/>
      <c r="O16" s="13"/>
      <c r="P16" s="13"/>
      <c r="Q16" s="13"/>
    </row>
    <row r="17" spans="1:17" x14ac:dyDescent="0.25">
      <c r="A17" s="13"/>
      <c r="B17" s="13"/>
      <c r="C17" s="16">
        <f t="shared" si="0"/>
        <v>4</v>
      </c>
      <c r="D17" s="107">
        <f t="shared" si="4"/>
        <v>2683507.2243571649</v>
      </c>
      <c r="E17" s="78">
        <f t="shared" si="1"/>
        <v>203528.4307037789</v>
      </c>
      <c r="F17" s="78">
        <f t="shared" si="2"/>
        <v>2479978.7936533862</v>
      </c>
      <c r="G17" s="78">
        <f t="shared" si="3"/>
        <v>10320551.439288683</v>
      </c>
      <c r="H17" s="13"/>
      <c r="I17" s="13"/>
      <c r="J17" s="13"/>
      <c r="K17" s="13"/>
      <c r="L17" s="13"/>
      <c r="M17" s="13"/>
      <c r="N17" s="13"/>
      <c r="O17" s="13"/>
      <c r="P17" s="13"/>
      <c r="Q17" s="13"/>
    </row>
    <row r="18" spans="1:17" x14ac:dyDescent="0.25">
      <c r="A18" s="13"/>
      <c r="B18" s="13"/>
      <c r="C18" s="16">
        <f t="shared" si="0"/>
        <v>5</v>
      </c>
      <c r="D18" s="107">
        <f t="shared" si="4"/>
        <v>2683507.2243571649</v>
      </c>
      <c r="E18" s="78">
        <f t="shared" si="1"/>
        <v>164096.76788469008</v>
      </c>
      <c r="F18" s="78">
        <f t="shared" si="2"/>
        <v>2519410.4564724751</v>
      </c>
      <c r="G18" s="78">
        <f t="shared" si="3"/>
        <v>7801140.9828162082</v>
      </c>
      <c r="H18" s="13"/>
      <c r="I18" s="13"/>
      <c r="J18" s="13"/>
      <c r="K18" s="13"/>
      <c r="L18" s="13"/>
      <c r="M18" s="13"/>
      <c r="N18" s="13"/>
      <c r="O18" s="13"/>
      <c r="P18" s="13"/>
      <c r="Q18" s="13"/>
    </row>
    <row r="19" spans="1:17" x14ac:dyDescent="0.25">
      <c r="A19" s="13"/>
      <c r="B19" s="13"/>
      <c r="C19" s="16">
        <f t="shared" si="0"/>
        <v>6</v>
      </c>
      <c r="D19" s="107">
        <f t="shared" si="4"/>
        <v>2683507.2243571649</v>
      </c>
      <c r="E19" s="78">
        <f t="shared" si="1"/>
        <v>124038.14162677772</v>
      </c>
      <c r="F19" s="78">
        <f t="shared" si="2"/>
        <v>2559469.0827303873</v>
      </c>
      <c r="G19" s="78">
        <f t="shared" si="3"/>
        <v>5241671.9000858208</v>
      </c>
      <c r="H19" s="13"/>
      <c r="I19" s="13"/>
      <c r="J19" s="13"/>
      <c r="K19" s="13"/>
      <c r="L19" s="13"/>
      <c r="M19" s="13"/>
      <c r="N19" s="13"/>
      <c r="O19" s="13"/>
      <c r="P19" s="13"/>
      <c r="Q19" s="13"/>
    </row>
    <row r="20" spans="1:17" x14ac:dyDescent="0.25">
      <c r="A20" s="13"/>
      <c r="B20" s="13"/>
      <c r="C20" s="16">
        <f t="shared" si="0"/>
        <v>7</v>
      </c>
      <c r="D20" s="107">
        <f t="shared" si="4"/>
        <v>2683507.2243571649</v>
      </c>
      <c r="E20" s="78">
        <f t="shared" si="1"/>
        <v>83342.583211364559</v>
      </c>
      <c r="F20" s="78">
        <f t="shared" si="2"/>
        <v>2600164.6411458002</v>
      </c>
      <c r="G20" s="78">
        <f t="shared" si="3"/>
        <v>2641507.2589400206</v>
      </c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x14ac:dyDescent="0.25">
      <c r="A21" s="13"/>
      <c r="B21" s="13"/>
      <c r="C21" s="16">
        <f t="shared" si="0"/>
        <v>8</v>
      </c>
      <c r="D21" s="107">
        <f t="shared" si="4"/>
        <v>2683507.2243571649</v>
      </c>
      <c r="E21" s="78">
        <f t="shared" si="1"/>
        <v>41999.965417146326</v>
      </c>
      <c r="F21" s="78">
        <f t="shared" si="2"/>
        <v>2641507.2589400187</v>
      </c>
      <c r="G21" s="78">
        <f t="shared" si="3"/>
        <v>0</v>
      </c>
      <c r="H21" s="13"/>
      <c r="I21" s="13"/>
      <c r="J21" s="13"/>
      <c r="K21" s="13"/>
      <c r="L21" s="13"/>
      <c r="M21" s="13"/>
      <c r="N21" s="13"/>
      <c r="O21" s="13"/>
      <c r="P21" s="13"/>
      <c r="Q21" s="13"/>
    </row>
    <row r="22" spans="1:17" ht="13.8" x14ac:dyDescent="0.3">
      <c r="C22" s="111"/>
      <c r="D22" s="111"/>
      <c r="E22" s="111"/>
      <c r="F22" s="111"/>
      <c r="G22" s="111"/>
      <c r="H22" s="111"/>
      <c r="I22" s="111"/>
      <c r="J22" s="111"/>
      <c r="K22" s="111"/>
    </row>
    <row r="23" spans="1:17" ht="13.8" x14ac:dyDescent="0.3">
      <c r="C23" s="111"/>
      <c r="D23" s="111"/>
      <c r="E23" s="111"/>
      <c r="F23" s="111"/>
      <c r="G23" s="111"/>
      <c r="H23" s="111"/>
      <c r="I23" s="111"/>
      <c r="J23" s="111"/>
      <c r="K23" s="111"/>
    </row>
    <row r="24" spans="1:17" ht="13.8" x14ac:dyDescent="0.3">
      <c r="C24" s="111"/>
      <c r="D24" s="111"/>
      <c r="E24" s="111"/>
      <c r="F24" s="111"/>
      <c r="G24" s="111"/>
      <c r="H24" s="111"/>
      <c r="I24" s="111"/>
      <c r="J24" s="111"/>
      <c r="K24" s="111"/>
    </row>
    <row r="25" spans="1:17" ht="13.8" x14ac:dyDescent="0.3">
      <c r="C25" s="111"/>
      <c r="D25" s="111"/>
      <c r="E25" s="111"/>
      <c r="F25" s="111"/>
      <c r="G25" s="111"/>
      <c r="H25" s="111"/>
      <c r="I25" s="111"/>
      <c r="J25" s="111"/>
      <c r="K25" s="111"/>
    </row>
  </sheetData>
  <mergeCells count="4">
    <mergeCell ref="D5:E5"/>
    <mergeCell ref="D6:E6"/>
    <mergeCell ref="D7:E7"/>
    <mergeCell ref="D8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5:G40"/>
  <sheetViews>
    <sheetView showGridLines="0" topLeftCell="C19" zoomScale="110" zoomScaleNormal="110" workbookViewId="0">
      <selection activeCell="F38" sqref="F38"/>
    </sheetView>
  </sheetViews>
  <sheetFormatPr baseColWidth="10" defaultColWidth="11.44140625" defaultRowHeight="13.2" x14ac:dyDescent="0.25"/>
  <cols>
    <col min="1" max="1" width="8" customWidth="1"/>
    <col min="2" max="2" width="3.21875" bestFit="1" customWidth="1"/>
    <col min="3" max="3" width="32" customWidth="1"/>
    <col min="4" max="4" width="19.77734375" customWidth="1"/>
    <col min="5" max="5" width="14.77734375" customWidth="1"/>
    <col min="6" max="6" width="21.44140625" customWidth="1"/>
    <col min="7" max="7" width="21.21875" customWidth="1"/>
    <col min="8" max="8" width="13.77734375" customWidth="1"/>
    <col min="9" max="9" width="16.77734375" customWidth="1"/>
    <col min="11" max="11" width="17.21875" bestFit="1" customWidth="1"/>
  </cols>
  <sheetData>
    <row r="5" spans="1:6" ht="13.8" x14ac:dyDescent="0.3">
      <c r="A5" s="14" t="s">
        <v>59</v>
      </c>
      <c r="B5" s="102">
        <v>27</v>
      </c>
      <c r="C5" s="102" t="s">
        <v>165</v>
      </c>
      <c r="D5" s="112"/>
    </row>
    <row r="7" spans="1:6" x14ac:dyDescent="0.25">
      <c r="C7" s="433" t="s">
        <v>166</v>
      </c>
      <c r="D7" s="448"/>
      <c r="E7" s="448"/>
      <c r="F7" s="435" t="s">
        <v>92</v>
      </c>
    </row>
    <row r="8" spans="1:6" x14ac:dyDescent="0.25">
      <c r="C8" s="449"/>
      <c r="D8" s="450"/>
      <c r="E8" s="450"/>
      <c r="F8" s="436" t="s">
        <v>67</v>
      </c>
    </row>
    <row r="9" spans="1:6" x14ac:dyDescent="0.25">
      <c r="C9" s="113" t="s">
        <v>104</v>
      </c>
      <c r="D9" s="114"/>
      <c r="E9" s="115" t="s">
        <v>105</v>
      </c>
      <c r="F9" s="116">
        <f>'COSTOS Y GASTOS'!F84</f>
        <v>85623316.560000002</v>
      </c>
    </row>
    <row r="10" spans="1:6" x14ac:dyDescent="0.25">
      <c r="C10" s="54" t="s">
        <v>167</v>
      </c>
      <c r="D10" s="55"/>
      <c r="E10" s="117" t="s">
        <v>109</v>
      </c>
      <c r="F10" s="17">
        <f>SUM(D11:D15)</f>
        <v>5558250</v>
      </c>
    </row>
    <row r="11" spans="1:6" x14ac:dyDescent="0.25">
      <c r="C11" s="54" t="s">
        <v>168</v>
      </c>
      <c r="D11" s="118">
        <f>('COSTOS Y GASTOS'!F76)</f>
        <v>0</v>
      </c>
      <c r="E11" s="67"/>
      <c r="F11" s="17"/>
    </row>
    <row r="12" spans="1:6" x14ac:dyDescent="0.25">
      <c r="C12" s="119" t="s">
        <v>169</v>
      </c>
      <c r="D12" s="118">
        <f>('COSTOS Y GASTOS'!F75)*0.2</f>
        <v>36000</v>
      </c>
      <c r="E12" s="92"/>
      <c r="F12" s="120"/>
    </row>
    <row r="13" spans="1:6" x14ac:dyDescent="0.25">
      <c r="C13" s="54" t="s">
        <v>170</v>
      </c>
      <c r="D13" s="118">
        <f>'COSTOS Y GASTOS'!F72+'COSTOS Y GASTOS'!F73+'COSTOS Y GASTOS'!F71+'COSTOS Y GASTOS'!F70+'COSTOS Y GASTOS'!F74</f>
        <v>3697800</v>
      </c>
      <c r="E13" s="67"/>
      <c r="F13" s="17"/>
    </row>
    <row r="14" spans="1:6" x14ac:dyDescent="0.25">
      <c r="C14" s="119" t="s">
        <v>171</v>
      </c>
      <c r="D14" s="118">
        <f>'COSTOS Y GASTOS'!F68</f>
        <v>900000</v>
      </c>
      <c r="E14" s="92"/>
      <c r="F14" s="120"/>
    </row>
    <row r="15" spans="1:6" x14ac:dyDescent="0.25">
      <c r="C15" s="54" t="s">
        <v>172</v>
      </c>
      <c r="D15" s="118">
        <f>'COSTOS Y GASTOS'!F69</f>
        <v>924450</v>
      </c>
      <c r="E15" s="67"/>
      <c r="F15" s="17"/>
    </row>
    <row r="16" spans="1:6" x14ac:dyDescent="0.25">
      <c r="C16" s="121" t="s">
        <v>173</v>
      </c>
      <c r="D16" s="122"/>
      <c r="E16" s="117" t="s">
        <v>134</v>
      </c>
      <c r="F16" s="123">
        <f>'COSTOS Y GASTOS'!F130</f>
        <v>2082750</v>
      </c>
    </row>
    <row r="17" spans="1:7" x14ac:dyDescent="0.25">
      <c r="C17" s="121"/>
      <c r="D17" s="124"/>
      <c r="E17" s="88"/>
      <c r="F17" s="123"/>
    </row>
    <row r="18" spans="1:7" x14ac:dyDescent="0.25">
      <c r="C18" s="458" t="s">
        <v>1</v>
      </c>
      <c r="D18" s="459"/>
      <c r="E18" s="459"/>
      <c r="F18" s="125">
        <f>SUM(F9:F17)</f>
        <v>93264316.560000002</v>
      </c>
    </row>
    <row r="19" spans="1:7" x14ac:dyDescent="0.25">
      <c r="G19" s="13"/>
    </row>
    <row r="21" spans="1:7" ht="13.8" x14ac:dyDescent="0.3">
      <c r="A21" s="14" t="s">
        <v>59</v>
      </c>
      <c r="B21" s="102">
        <v>28</v>
      </c>
      <c r="C21" s="102" t="s">
        <v>174</v>
      </c>
      <c r="D21" s="112"/>
    </row>
    <row r="22" spans="1:7" ht="13.8" x14ac:dyDescent="0.3">
      <c r="A22" s="14"/>
      <c r="B22" s="102"/>
      <c r="C22" s="102"/>
      <c r="D22" s="112"/>
    </row>
    <row r="23" spans="1:7" x14ac:dyDescent="0.25">
      <c r="C23" s="433" t="s">
        <v>175</v>
      </c>
      <c r="D23" s="448"/>
      <c r="E23" s="448"/>
      <c r="F23" s="433" t="s">
        <v>92</v>
      </c>
    </row>
    <row r="24" spans="1:7" x14ac:dyDescent="0.25">
      <c r="C24" s="449"/>
      <c r="D24" s="450"/>
      <c r="E24" s="450"/>
      <c r="F24" s="434" t="s">
        <v>67</v>
      </c>
    </row>
    <row r="25" spans="1:7" x14ac:dyDescent="0.25">
      <c r="C25" s="54" t="s">
        <v>106</v>
      </c>
      <c r="D25" s="55"/>
      <c r="E25" s="115" t="s">
        <v>107</v>
      </c>
      <c r="F25" s="17">
        <f>'COSTOS Y GASTOS'!F85</f>
        <v>3120000</v>
      </c>
    </row>
    <row r="26" spans="1:7" x14ac:dyDescent="0.25">
      <c r="C26" s="54" t="s">
        <v>176</v>
      </c>
      <c r="D26" s="55"/>
      <c r="E26" s="115" t="s">
        <v>109</v>
      </c>
      <c r="F26" s="17">
        <f>D27</f>
        <v>144000</v>
      </c>
    </row>
    <row r="27" spans="1:7" x14ac:dyDescent="0.25">
      <c r="C27" s="126" t="s">
        <v>101</v>
      </c>
      <c r="D27" s="127">
        <f>('COSTOS Y GASTOS'!F75)*0.8</f>
        <v>144000</v>
      </c>
      <c r="E27" s="67"/>
      <c r="F27" s="17"/>
    </row>
    <row r="28" spans="1:7" x14ac:dyDescent="0.25">
      <c r="C28" s="443" t="s">
        <v>1</v>
      </c>
      <c r="D28" s="444"/>
      <c r="E28" s="444"/>
      <c r="F28" s="19">
        <f>SUM(F25:F27)</f>
        <v>3264000</v>
      </c>
    </row>
    <row r="29" spans="1:7" x14ac:dyDescent="0.25">
      <c r="C29" s="13"/>
      <c r="D29" s="13"/>
      <c r="E29" s="13"/>
      <c r="F29" s="13"/>
    </row>
    <row r="30" spans="1:7" x14ac:dyDescent="0.25">
      <c r="C30" s="13"/>
      <c r="D30" s="13"/>
      <c r="E30" s="13"/>
      <c r="F30" s="13"/>
    </row>
    <row r="31" spans="1:7" x14ac:dyDescent="0.25">
      <c r="A31" s="14" t="s">
        <v>59</v>
      </c>
      <c r="B31" s="102">
        <v>29</v>
      </c>
      <c r="C31" s="102" t="s">
        <v>177</v>
      </c>
      <c r="D31" s="13"/>
      <c r="E31" s="13"/>
      <c r="F31" s="13"/>
    </row>
    <row r="32" spans="1:7" x14ac:dyDescent="0.25">
      <c r="A32" s="14"/>
      <c r="B32" s="102"/>
      <c r="C32" s="102"/>
      <c r="D32" s="13"/>
      <c r="E32" s="13"/>
      <c r="F32" s="13"/>
    </row>
    <row r="33" spans="3:7" ht="12.75" customHeight="1" x14ac:dyDescent="0.25">
      <c r="C33" s="433" t="s">
        <v>178</v>
      </c>
      <c r="D33" s="448"/>
      <c r="E33" s="448"/>
      <c r="F33" s="433" t="s">
        <v>92</v>
      </c>
      <c r="G33" s="433" t="s">
        <v>22</v>
      </c>
    </row>
    <row r="34" spans="3:7" x14ac:dyDescent="0.25">
      <c r="C34" s="449"/>
      <c r="D34" s="450"/>
      <c r="E34" s="450"/>
      <c r="F34" s="434" t="s">
        <v>67</v>
      </c>
      <c r="G34" s="434" t="s">
        <v>67</v>
      </c>
    </row>
    <row r="35" spans="3:7" x14ac:dyDescent="0.25">
      <c r="C35" s="54" t="s">
        <v>179</v>
      </c>
      <c r="D35" s="55"/>
      <c r="E35" s="115" t="s">
        <v>180</v>
      </c>
      <c r="F35" s="17">
        <f>F18</f>
        <v>93264316.560000002</v>
      </c>
      <c r="G35" s="17">
        <f>F35/PROYECCIONES!F11</f>
        <v>5397.240541666667</v>
      </c>
    </row>
    <row r="36" spans="3:7" ht="12" customHeight="1" x14ac:dyDescent="0.25">
      <c r="C36" s="54" t="s">
        <v>181</v>
      </c>
      <c r="D36" s="55"/>
      <c r="E36" s="115" t="s">
        <v>182</v>
      </c>
      <c r="F36" s="17">
        <f>F28</f>
        <v>3264000</v>
      </c>
      <c r="G36" s="17">
        <f>F36/PROYECCIONES!F11</f>
        <v>188.88888888888889</v>
      </c>
    </row>
    <row r="37" spans="3:7" ht="3" hidden="1" customHeight="1" x14ac:dyDescent="0.25">
      <c r="C37" s="54"/>
      <c r="D37" s="55"/>
      <c r="E37" s="67"/>
      <c r="F37" s="17"/>
      <c r="G37" s="17"/>
    </row>
    <row r="38" spans="3:7" x14ac:dyDescent="0.25">
      <c r="C38" s="443" t="s">
        <v>1</v>
      </c>
      <c r="D38" s="444"/>
      <c r="E38" s="444"/>
      <c r="F38" s="19">
        <f>SUM(F35:F37)</f>
        <v>96528316.560000002</v>
      </c>
      <c r="G38" s="19">
        <f>SUM(G35:G37)</f>
        <v>5586.1294305555557</v>
      </c>
    </row>
    <row r="40" spans="3:7" x14ac:dyDescent="0.25">
      <c r="C40" s="128"/>
      <c r="F40" s="129"/>
    </row>
  </sheetData>
  <mergeCells count="10">
    <mergeCell ref="G33:G34"/>
    <mergeCell ref="C33:E34"/>
    <mergeCell ref="F33:F34"/>
    <mergeCell ref="C38:E38"/>
    <mergeCell ref="C7:E8"/>
    <mergeCell ref="F7:F8"/>
    <mergeCell ref="C18:E18"/>
    <mergeCell ref="C23:E24"/>
    <mergeCell ref="F23:F24"/>
    <mergeCell ref="C28:E28"/>
  </mergeCells>
  <pageMargins left="0.7" right="0.7" top="0.75" bottom="0.75" header="0.3" footer="0.3"/>
  <pageSetup paperSize="5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203"/>
  <sheetViews>
    <sheetView showGridLines="0" tabSelected="1" topLeftCell="A15" zoomScale="112" zoomScaleNormal="100" workbookViewId="0">
      <selection activeCell="E27" sqref="E27"/>
    </sheetView>
  </sheetViews>
  <sheetFormatPr baseColWidth="10" defaultColWidth="11.44140625" defaultRowHeight="13.2" x14ac:dyDescent="0.25"/>
  <cols>
    <col min="1" max="1" width="7.44140625" style="15" customWidth="1"/>
    <col min="2" max="2" width="3.44140625" style="15" customWidth="1"/>
    <col min="3" max="3" width="34.77734375" style="15" customWidth="1"/>
    <col min="4" max="5" width="14.44140625" style="15" customWidth="1"/>
    <col min="6" max="6" width="17" style="15" customWidth="1"/>
    <col min="7" max="7" width="17.44140625" style="15" customWidth="1"/>
    <col min="8" max="8" width="18.5546875" style="15" customWidth="1"/>
    <col min="9" max="9" width="18.77734375" style="15" customWidth="1"/>
    <col min="10" max="10" width="19.77734375" style="15" customWidth="1"/>
    <col min="11" max="11" width="17.77734375" style="15" customWidth="1"/>
    <col min="12" max="12" width="18.21875" style="15" customWidth="1"/>
    <col min="13" max="13" width="11.77734375" style="15" customWidth="1"/>
    <col min="14" max="14" width="16.77734375" style="15" customWidth="1"/>
    <col min="15" max="15" width="16" style="15" customWidth="1"/>
    <col min="16" max="16" width="22.5546875" style="15" customWidth="1"/>
    <col min="17" max="17" width="17.77734375" style="15" customWidth="1"/>
    <col min="18" max="18" width="16.77734375" style="15" customWidth="1"/>
    <col min="19" max="19" width="15.21875" style="15" customWidth="1"/>
    <col min="20" max="16384" width="11.44140625" style="15"/>
  </cols>
  <sheetData>
    <row r="1" spans="1:16" x14ac:dyDescent="0.25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6" x14ac:dyDescent="0.25">
      <c r="A2" s="13"/>
      <c r="B2" s="13"/>
      <c r="C2" s="14" t="s">
        <v>183</v>
      </c>
      <c r="D2" s="14"/>
      <c r="E2" s="14"/>
      <c r="F2" s="14"/>
      <c r="G2" s="14"/>
      <c r="H2" s="14"/>
      <c r="I2" s="14"/>
      <c r="J2" s="13"/>
      <c r="K2" s="13"/>
      <c r="L2" s="13"/>
      <c r="M2" s="13"/>
      <c r="N2" s="13"/>
      <c r="O2" s="13"/>
      <c r="P2" s="13"/>
    </row>
    <row r="3" spans="1:16" x14ac:dyDescent="0.25">
      <c r="A3" s="13"/>
      <c r="B3" s="13"/>
      <c r="C3" s="45"/>
      <c r="D3" s="45"/>
      <c r="E3" s="45"/>
      <c r="F3" s="45"/>
      <c r="G3" s="45"/>
      <c r="H3" s="13"/>
      <c r="I3" s="13"/>
      <c r="J3" s="13"/>
      <c r="K3" s="13"/>
      <c r="L3" s="13"/>
      <c r="M3" s="13"/>
      <c r="N3" s="13"/>
      <c r="O3" s="13"/>
      <c r="P3" s="13"/>
    </row>
    <row r="4" spans="1:16" x14ac:dyDescent="0.25">
      <c r="A4" s="13"/>
      <c r="B4" s="13"/>
      <c r="C4" s="51" t="s">
        <v>184</v>
      </c>
      <c r="D4" s="130">
        <v>0</v>
      </c>
      <c r="E4" s="83"/>
      <c r="F4" s="13"/>
      <c r="G4" s="13"/>
      <c r="H4" s="13"/>
      <c r="I4" s="13"/>
      <c r="J4" s="13"/>
      <c r="K4" s="13"/>
      <c r="L4" s="9"/>
      <c r="M4" s="13"/>
      <c r="N4" s="13"/>
      <c r="O4" s="13"/>
      <c r="P4" s="13"/>
    </row>
    <row r="5" spans="1:16" x14ac:dyDescent="0.25">
      <c r="A5" s="13"/>
      <c r="B5" s="13"/>
      <c r="C5" s="13"/>
      <c r="D5" s="13"/>
      <c r="E5" s="13"/>
      <c r="F5" s="13"/>
      <c r="G5" s="83"/>
      <c r="H5" s="13"/>
      <c r="I5" s="13"/>
      <c r="J5" s="13"/>
      <c r="K5" s="13"/>
      <c r="L5" s="13"/>
      <c r="M5" s="13"/>
      <c r="N5" s="10"/>
      <c r="O5" s="10"/>
      <c r="P5" s="13"/>
    </row>
    <row r="6" spans="1:16" x14ac:dyDescent="0.25">
      <c r="A6" s="14" t="s">
        <v>59</v>
      </c>
      <c r="B6" s="14">
        <v>30</v>
      </c>
      <c r="C6" s="14" t="s">
        <v>185</v>
      </c>
      <c r="D6" s="13"/>
      <c r="E6" s="13"/>
      <c r="F6" s="131"/>
      <c r="G6" s="131"/>
      <c r="H6" s="131"/>
      <c r="I6" s="131"/>
      <c r="J6" s="131"/>
      <c r="K6" s="13"/>
      <c r="L6" s="13"/>
      <c r="M6" s="13"/>
      <c r="N6" s="13"/>
      <c r="O6" s="13"/>
      <c r="P6" s="13"/>
    </row>
    <row r="7" spans="1:16" x14ac:dyDescent="0.25">
      <c r="A7" s="14"/>
      <c r="B7" s="14"/>
      <c r="C7" s="14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</row>
    <row r="8" spans="1:16" x14ac:dyDescent="0.25">
      <c r="A8" s="13"/>
      <c r="B8" s="13"/>
      <c r="C8" s="334"/>
      <c r="D8" s="334"/>
      <c r="E8" s="334"/>
      <c r="F8" s="334"/>
      <c r="G8" s="335"/>
      <c r="H8" s="335"/>
      <c r="I8" s="335"/>
      <c r="J8" s="335"/>
      <c r="K8" s="13"/>
      <c r="L8" s="13"/>
      <c r="M8" s="13"/>
      <c r="N8" s="13"/>
      <c r="O8" s="13"/>
      <c r="P8" s="13"/>
    </row>
    <row r="9" spans="1:16" x14ac:dyDescent="0.25">
      <c r="A9" s="13"/>
      <c r="B9" s="13"/>
      <c r="C9" s="13" t="s">
        <v>399</v>
      </c>
      <c r="D9" s="433" t="s">
        <v>186</v>
      </c>
      <c r="E9" s="460"/>
      <c r="F9" s="72" t="s">
        <v>187</v>
      </c>
      <c r="G9" s="72" t="s">
        <v>187</v>
      </c>
      <c r="H9" s="72" t="s">
        <v>187</v>
      </c>
      <c r="I9" s="72" t="s">
        <v>187</v>
      </c>
      <c r="J9" s="72" t="s">
        <v>187</v>
      </c>
      <c r="K9" s="13"/>
      <c r="L9" s="13"/>
      <c r="M9" s="13"/>
      <c r="N9" s="13"/>
      <c r="O9" s="13"/>
      <c r="P9" s="13"/>
    </row>
    <row r="10" spans="1:16" x14ac:dyDescent="0.25">
      <c r="A10" s="13"/>
      <c r="B10" s="13"/>
      <c r="C10" s="13"/>
      <c r="D10" s="434"/>
      <c r="E10" s="461"/>
      <c r="F10" s="132">
        <f>1</f>
        <v>1</v>
      </c>
      <c r="G10" s="132">
        <f>F10+1</f>
        <v>2</v>
      </c>
      <c r="H10" s="132">
        <f>G10+1</f>
        <v>3</v>
      </c>
      <c r="I10" s="132">
        <f>H10+1</f>
        <v>4</v>
      </c>
      <c r="J10" s="132">
        <f>I10+1</f>
        <v>5</v>
      </c>
      <c r="K10" s="13"/>
      <c r="L10" s="13"/>
      <c r="M10" s="13"/>
      <c r="N10" s="13"/>
      <c r="O10" s="13"/>
      <c r="P10" s="13"/>
    </row>
    <row r="11" spans="1:16" x14ac:dyDescent="0.25">
      <c r="A11" s="13"/>
      <c r="B11" s="13"/>
      <c r="C11" s="25" t="s">
        <v>188</v>
      </c>
      <c r="D11" s="462">
        <v>1440</v>
      </c>
      <c r="E11" s="462"/>
      <c r="F11" s="82">
        <f>D11*12</f>
        <v>17280</v>
      </c>
      <c r="G11" s="82">
        <f>F11*(1+G12)</f>
        <v>17798.400000000001</v>
      </c>
      <c r="H11" s="82">
        <f>G11*(1+H12)</f>
        <v>18332.352000000003</v>
      </c>
      <c r="I11" s="82">
        <f>H11*(1+I12)</f>
        <v>18882.322560000004</v>
      </c>
      <c r="J11" s="82">
        <f>I11*(1+J12)</f>
        <v>19448.792236800004</v>
      </c>
      <c r="K11" s="13"/>
      <c r="L11" s="13"/>
      <c r="M11" s="13"/>
      <c r="N11" s="13"/>
      <c r="O11" s="13"/>
      <c r="P11" s="13"/>
    </row>
    <row r="12" spans="1:16" x14ac:dyDescent="0.25">
      <c r="A12" s="13"/>
      <c r="B12" s="13"/>
      <c r="C12" s="463" t="s">
        <v>189</v>
      </c>
      <c r="D12" s="464"/>
      <c r="E12" s="464"/>
      <c r="F12" s="465"/>
      <c r="G12" s="135">
        <v>0.03</v>
      </c>
      <c r="H12" s="135">
        <v>0.03</v>
      </c>
      <c r="I12" s="135">
        <v>0.03</v>
      </c>
      <c r="J12" s="135">
        <v>0.03</v>
      </c>
      <c r="K12" s="13"/>
      <c r="L12" s="13"/>
      <c r="M12" s="13"/>
      <c r="N12" s="13"/>
      <c r="O12" s="13"/>
      <c r="P12" s="13"/>
    </row>
    <row r="13" spans="1:16" x14ac:dyDescent="0.25">
      <c r="A13" s="13"/>
      <c r="B13" s="13"/>
      <c r="C13" s="334"/>
      <c r="D13" s="334"/>
      <c r="E13" s="334"/>
      <c r="F13" s="334"/>
      <c r="G13" s="335"/>
      <c r="H13" s="335"/>
      <c r="I13" s="335"/>
      <c r="J13" s="335"/>
      <c r="K13" s="13"/>
      <c r="L13" s="13"/>
      <c r="M13" s="13"/>
      <c r="N13" s="13"/>
      <c r="O13" s="13"/>
      <c r="P13" s="13"/>
    </row>
    <row r="15" spans="1:16" x14ac:dyDescent="0.25">
      <c r="A15" s="14" t="s">
        <v>59</v>
      </c>
      <c r="B15" s="14">
        <v>31</v>
      </c>
      <c r="C15" s="14" t="s">
        <v>190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9"/>
      <c r="O15" s="9"/>
      <c r="P15" s="10"/>
    </row>
    <row r="16" spans="1:16" x14ac:dyDescent="0.25">
      <c r="A16" s="13"/>
      <c r="B16" s="13"/>
      <c r="C16" s="13"/>
      <c r="D16" s="13"/>
      <c r="E16" s="136" t="s">
        <v>191</v>
      </c>
      <c r="F16" s="136" t="s">
        <v>192</v>
      </c>
      <c r="G16" s="136" t="s">
        <v>193</v>
      </c>
      <c r="H16" s="136" t="s">
        <v>194</v>
      </c>
      <c r="I16" s="136" t="s">
        <v>195</v>
      </c>
      <c r="J16" s="13"/>
      <c r="K16" s="137"/>
      <c r="L16" s="13"/>
      <c r="M16" s="13"/>
      <c r="N16" s="9"/>
      <c r="O16" s="9"/>
      <c r="P16" s="9"/>
    </row>
    <row r="17" spans="1:16" x14ac:dyDescent="0.25">
      <c r="A17" s="13"/>
      <c r="B17" s="13"/>
      <c r="C17" s="51" t="s">
        <v>196</v>
      </c>
      <c r="D17" s="468">
        <f>'COSTOS RESUMEN'!F35/F11</f>
        <v>5397.240541666667</v>
      </c>
      <c r="E17" s="468"/>
      <c r="F17" s="138">
        <f>+D17*(1+G12)</f>
        <v>5559.1577579166669</v>
      </c>
      <c r="G17" s="138">
        <f>+F17*(1+H12)</f>
        <v>5725.9324906541669</v>
      </c>
      <c r="H17" s="138">
        <f>+F17*(1+I12)</f>
        <v>5725.9324906541669</v>
      </c>
      <c r="I17" s="138">
        <f>+H17*(1+J12)</f>
        <v>5897.7104653737924</v>
      </c>
      <c r="J17" s="13"/>
      <c r="K17" s="13"/>
      <c r="L17" s="13"/>
      <c r="M17" s="13"/>
      <c r="N17" s="11"/>
      <c r="O17" s="11"/>
      <c r="P17" s="11"/>
    </row>
    <row r="18" spans="1:16" x14ac:dyDescent="0.25">
      <c r="A18" s="13"/>
      <c r="B18" s="13"/>
      <c r="C18" s="51" t="s">
        <v>197</v>
      </c>
      <c r="D18" s="480">
        <v>0.3</v>
      </c>
      <c r="E18" s="480"/>
      <c r="F18" s="139">
        <f>D18+(D18*G12)</f>
        <v>0.309</v>
      </c>
      <c r="G18" s="350">
        <f>F18+(F18*H12)</f>
        <v>0.31827</v>
      </c>
      <c r="H18" s="350">
        <f>G18+(G18*I12)</f>
        <v>0.3278181</v>
      </c>
      <c r="I18" s="350">
        <f>H18+(H18*J12)</f>
        <v>0.33765264299999997</v>
      </c>
      <c r="J18" s="13"/>
      <c r="K18" s="13"/>
      <c r="L18" s="13"/>
      <c r="M18" s="13"/>
      <c r="N18" s="140"/>
      <c r="O18" s="140"/>
      <c r="P18" s="140"/>
    </row>
    <row r="19" spans="1:16" x14ac:dyDescent="0.25">
      <c r="A19" s="13"/>
      <c r="B19" s="13"/>
      <c r="C19" s="51" t="s">
        <v>198</v>
      </c>
      <c r="D19" s="469">
        <f>D17/(1-D18)</f>
        <v>7710.3436309523822</v>
      </c>
      <c r="E19" s="469"/>
      <c r="F19" s="141">
        <f>F17/(1-F18)</f>
        <v>8045.0908218765071</v>
      </c>
      <c r="G19" s="141">
        <f>G17/(1-G18)</f>
        <v>8399.1206058911412</v>
      </c>
      <c r="H19" s="141">
        <f>H17/(1-H18)</f>
        <v>8518.4270666231369</v>
      </c>
      <c r="I19" s="141">
        <f>I17/(1-I18)</f>
        <v>8904.256056952594</v>
      </c>
      <c r="J19" s="13"/>
      <c r="K19" s="13"/>
      <c r="L19" s="13"/>
      <c r="M19" s="13"/>
      <c r="N19" s="12"/>
      <c r="O19" s="12"/>
      <c r="P19" s="12"/>
    </row>
    <row r="20" spans="1:16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3"/>
      <c r="O20" s="133"/>
      <c r="P20" s="133"/>
    </row>
    <row r="21" spans="1:16" x14ac:dyDescent="0.25">
      <c r="A21" s="13"/>
      <c r="B21" s="13"/>
      <c r="C21" s="51" t="s">
        <v>198</v>
      </c>
      <c r="D21" s="470">
        <v>7750</v>
      </c>
      <c r="E21" s="471"/>
      <c r="F21" s="142">
        <v>8050</v>
      </c>
      <c r="G21" s="355">
        <v>8400</v>
      </c>
      <c r="H21" s="355">
        <v>8550</v>
      </c>
      <c r="I21" s="142">
        <v>8950</v>
      </c>
      <c r="J21" s="13"/>
      <c r="K21" s="13"/>
      <c r="L21" s="13"/>
      <c r="M21" s="13"/>
      <c r="N21" s="13"/>
      <c r="O21" s="13"/>
      <c r="P21" s="13"/>
    </row>
    <row r="22" spans="1:16" x14ac:dyDescent="0.25">
      <c r="A22" s="13"/>
      <c r="B22" s="13"/>
      <c r="C22" s="466" t="s">
        <v>199</v>
      </c>
      <c r="D22" s="467"/>
      <c r="E22" s="467"/>
      <c r="F22" s="14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1:16" x14ac:dyDescent="0.25">
      <c r="A23" s="13"/>
      <c r="B23" s="13"/>
      <c r="C23" s="13"/>
      <c r="D23" s="143"/>
      <c r="E23" s="348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1:16" x14ac:dyDescent="0.25">
      <c r="E24" s="349"/>
    </row>
    <row r="26" spans="1:16" x14ac:dyDescent="0.25">
      <c r="A26" s="14" t="s">
        <v>59</v>
      </c>
      <c r="B26" s="14">
        <v>32</v>
      </c>
      <c r="C26" s="14" t="s">
        <v>200</v>
      </c>
      <c r="D26" s="13"/>
      <c r="E26" s="13"/>
      <c r="F26" s="13"/>
      <c r="G26" s="34"/>
      <c r="H26" s="34"/>
      <c r="I26" s="34"/>
      <c r="J26" s="13"/>
      <c r="K26" s="13"/>
      <c r="L26" s="13"/>
      <c r="M26" s="13"/>
      <c r="N26" s="13"/>
      <c r="O26" s="13"/>
      <c r="P26" s="13"/>
    </row>
    <row r="27" spans="1:16" x14ac:dyDescent="0.25">
      <c r="A27" s="14"/>
      <c r="B27" s="13"/>
      <c r="C27" s="14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</row>
    <row r="28" spans="1:16" x14ac:dyDescent="0.25">
      <c r="A28" s="14"/>
      <c r="B28" s="13"/>
      <c r="C28" s="14"/>
      <c r="D28" s="13"/>
      <c r="E28" s="13"/>
      <c r="F28" s="72" t="s">
        <v>187</v>
      </c>
      <c r="G28" s="72" t="s">
        <v>187</v>
      </c>
      <c r="H28" s="72" t="s">
        <v>187</v>
      </c>
      <c r="I28" s="72" t="s">
        <v>187</v>
      </c>
      <c r="J28" s="72" t="s">
        <v>187</v>
      </c>
      <c r="K28" s="13"/>
      <c r="L28" s="13"/>
      <c r="M28" s="13"/>
      <c r="N28" s="13"/>
      <c r="O28" s="13"/>
      <c r="P28" s="13"/>
    </row>
    <row r="29" spans="1:16" x14ac:dyDescent="0.25">
      <c r="A29" s="13"/>
      <c r="B29" s="13"/>
      <c r="C29" s="13"/>
      <c r="D29" s="13"/>
      <c r="E29" s="13"/>
      <c r="F29" s="144">
        <v>1</v>
      </c>
      <c r="G29" s="144">
        <v>2</v>
      </c>
      <c r="H29" s="144">
        <v>3</v>
      </c>
      <c r="I29" s="144">
        <v>4</v>
      </c>
      <c r="J29" s="144">
        <v>5</v>
      </c>
      <c r="K29" s="13"/>
      <c r="L29" s="13"/>
      <c r="M29" s="13"/>
      <c r="N29" s="13"/>
      <c r="O29" s="13"/>
      <c r="P29" s="13"/>
    </row>
    <row r="30" spans="1:16" x14ac:dyDescent="0.25">
      <c r="A30" s="13"/>
      <c r="B30" s="13"/>
      <c r="C30" s="422" t="s">
        <v>201</v>
      </c>
      <c r="D30" s="423"/>
      <c r="E30" s="424"/>
      <c r="F30" s="17">
        <f>D21*F11</f>
        <v>133920000</v>
      </c>
      <c r="G30" s="17">
        <f>F21*G11</f>
        <v>143277120</v>
      </c>
      <c r="H30" s="17">
        <f>G21*H11</f>
        <v>153991756.80000001</v>
      </c>
      <c r="I30" s="17">
        <f>H21*I11</f>
        <v>161443857.88800004</v>
      </c>
      <c r="J30" s="17">
        <f>I19*J11</f>
        <v>173177026.07493901</v>
      </c>
      <c r="K30" s="34"/>
      <c r="L30" s="34"/>
      <c r="M30" s="13"/>
      <c r="N30" s="13"/>
      <c r="O30" s="13"/>
      <c r="P30" s="13"/>
    </row>
    <row r="31" spans="1:16" x14ac:dyDescent="0.25">
      <c r="A31" s="13"/>
      <c r="B31" s="13"/>
      <c r="C31" s="463" t="s">
        <v>202</v>
      </c>
      <c r="D31" s="464"/>
      <c r="E31" s="465"/>
      <c r="F31" s="19">
        <f>SUM(F30:F30)</f>
        <v>133920000</v>
      </c>
      <c r="G31" s="19">
        <f>SUM(G30:G30)</f>
        <v>143277120</v>
      </c>
      <c r="H31" s="19">
        <f>SUM(H30:H30)</f>
        <v>153991756.80000001</v>
      </c>
      <c r="I31" s="19">
        <f>SUM(I30:I30)</f>
        <v>161443857.88800004</v>
      </c>
      <c r="J31" s="19">
        <f>SUM(J30:J30)</f>
        <v>173177026.07493901</v>
      </c>
      <c r="K31" s="34"/>
      <c r="L31" s="34"/>
      <c r="M31" s="13"/>
      <c r="N31" s="13"/>
      <c r="O31" s="13"/>
      <c r="P31" s="13"/>
    </row>
    <row r="32" spans="1:16" ht="4.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34"/>
      <c r="L32" s="34"/>
      <c r="M32" s="13"/>
      <c r="N32" s="13"/>
      <c r="O32" s="13"/>
      <c r="P32" s="13"/>
    </row>
    <row r="33" spans="3:12" ht="3.75" customHeight="1" x14ac:dyDescent="0.25">
      <c r="C33" s="13"/>
      <c r="D33" s="13"/>
      <c r="E33" s="13"/>
      <c r="F33" s="13"/>
      <c r="G33" s="34"/>
      <c r="H33" s="13"/>
      <c r="I33" s="13"/>
      <c r="J33" s="13"/>
      <c r="K33" s="34"/>
      <c r="L33" s="34"/>
    </row>
    <row r="34" spans="3:12" x14ac:dyDescent="0.25">
      <c r="C34" s="85" t="s">
        <v>104</v>
      </c>
      <c r="D34" s="145" t="s">
        <v>105</v>
      </c>
      <c r="E34" s="146"/>
      <c r="F34" s="17">
        <f>'COSTOS Y GASTOS'!J23</f>
        <v>85623316.560000002</v>
      </c>
      <c r="G34" s="17">
        <f>F34*1.07</f>
        <v>91616948.719200015</v>
      </c>
      <c r="H34" s="17">
        <f>G34*1.07</f>
        <v>98030135.12954402</v>
      </c>
      <c r="I34" s="17">
        <f t="shared" ref="I34:J34" si="0">H34*1.07</f>
        <v>104892244.58861211</v>
      </c>
      <c r="J34" s="17">
        <f t="shared" si="0"/>
        <v>112234701.70981497</v>
      </c>
      <c r="K34" s="34"/>
      <c r="L34" s="34"/>
    </row>
    <row r="35" spans="3:12" x14ac:dyDescent="0.25">
      <c r="C35" s="85" t="s">
        <v>106</v>
      </c>
      <c r="D35" s="145" t="s">
        <v>107</v>
      </c>
      <c r="E35" s="146"/>
      <c r="F35" s="17">
        <f>'COSTOS Y GASTOS'!I61</f>
        <v>3120000</v>
      </c>
      <c r="G35" s="17">
        <f>F35*1.07</f>
        <v>3338400</v>
      </c>
      <c r="H35" s="17">
        <f>G35*1.07</f>
        <v>3572088</v>
      </c>
      <c r="I35" s="17">
        <f>H35*1.07</f>
        <v>3822134.16</v>
      </c>
      <c r="J35" s="17">
        <f>I35*1.07</f>
        <v>4089683.5512000006</v>
      </c>
      <c r="K35" s="34"/>
      <c r="L35" s="34"/>
    </row>
    <row r="36" spans="3:12" x14ac:dyDescent="0.25">
      <c r="C36" s="66" t="s">
        <v>203</v>
      </c>
      <c r="D36" s="145" t="s">
        <v>180</v>
      </c>
      <c r="E36" s="146"/>
      <c r="F36" s="17">
        <f>'COSTOS RESUMEN'!F10</f>
        <v>5558250</v>
      </c>
      <c r="G36" s="97">
        <f>F36*1.07</f>
        <v>5947327.5</v>
      </c>
      <c r="H36" s="97">
        <f t="shared" ref="H36:J36" si="1">G36*1.07</f>
        <v>6363640.4250000007</v>
      </c>
      <c r="I36" s="97">
        <f>H36*1.07</f>
        <v>6809095.2547500012</v>
      </c>
      <c r="J36" s="97">
        <f t="shared" si="1"/>
        <v>7285731.9225825015</v>
      </c>
      <c r="K36" s="34"/>
      <c r="L36" s="34"/>
    </row>
    <row r="37" spans="3:12" x14ac:dyDescent="0.25">
      <c r="C37" s="66" t="s">
        <v>204</v>
      </c>
      <c r="D37" s="145" t="s">
        <v>182</v>
      </c>
      <c r="E37" s="147"/>
      <c r="F37" s="17">
        <f>'COSTOS RESUMEN'!F26</f>
        <v>144000</v>
      </c>
      <c r="G37" s="17">
        <f>($F$37/$F$11)*G11</f>
        <v>148320.00000000003</v>
      </c>
      <c r="H37" s="17">
        <f t="shared" ref="H37:J37" si="2">($F$37/$F$11)*H11</f>
        <v>152769.60000000003</v>
      </c>
      <c r="I37" s="17">
        <f t="shared" si="2"/>
        <v>157352.68800000005</v>
      </c>
      <c r="J37" s="17">
        <f t="shared" si="2"/>
        <v>162073.26864000005</v>
      </c>
      <c r="K37" s="34"/>
      <c r="L37" s="34"/>
    </row>
    <row r="38" spans="3:12" x14ac:dyDescent="0.25">
      <c r="C38" s="47" t="s">
        <v>205</v>
      </c>
      <c r="D38" s="148"/>
      <c r="E38" s="134"/>
      <c r="F38" s="149">
        <f>SUM(F34:F37)</f>
        <v>94445566.560000002</v>
      </c>
      <c r="G38" s="149">
        <f>SUM(G34:G37)</f>
        <v>101050996.21920002</v>
      </c>
      <c r="H38" s="149">
        <f>SUM(H34:H37)</f>
        <v>108118633.15454401</v>
      </c>
      <c r="I38" s="149">
        <f>SUM(I34:I37)</f>
        <v>115680826.6913621</v>
      </c>
      <c r="J38" s="149">
        <f>SUM(J34:J37)</f>
        <v>123772190.45223747</v>
      </c>
      <c r="K38" s="34"/>
      <c r="L38" s="34"/>
    </row>
    <row r="39" spans="3:12" ht="4.5" customHeight="1" x14ac:dyDescent="0.25">
      <c r="C39" s="14"/>
      <c r="D39" s="90"/>
      <c r="E39" s="53"/>
      <c r="F39" s="91"/>
      <c r="G39" s="91"/>
      <c r="H39" s="91"/>
      <c r="I39" s="91"/>
      <c r="J39" s="91"/>
      <c r="K39" s="34"/>
      <c r="L39" s="34"/>
    </row>
    <row r="40" spans="3:12" x14ac:dyDescent="0.25">
      <c r="C40" s="47" t="s">
        <v>206</v>
      </c>
      <c r="D40" s="148"/>
      <c r="E40" s="44"/>
      <c r="F40" s="19">
        <f>F31-F38</f>
        <v>39474433.439999998</v>
      </c>
      <c r="G40" s="19">
        <f>G31-G38</f>
        <v>42226123.780799985</v>
      </c>
      <c r="H40" s="19">
        <f>H31-H38</f>
        <v>45873123.645456001</v>
      </c>
      <c r="I40" s="19">
        <f>I31-I38</f>
        <v>45763031.196637943</v>
      </c>
      <c r="J40" s="19">
        <f>J31-J38</f>
        <v>49404835.622701541</v>
      </c>
      <c r="K40" s="34"/>
      <c r="L40" s="34"/>
    </row>
    <row r="41" spans="3:12" ht="5.25" customHeight="1" x14ac:dyDescent="0.25">
      <c r="C41" s="13"/>
      <c r="D41" s="13"/>
      <c r="E41" s="13"/>
      <c r="F41" s="13"/>
      <c r="G41" s="13"/>
      <c r="H41" s="13"/>
      <c r="I41" s="13"/>
      <c r="J41" s="13"/>
      <c r="K41" s="34"/>
      <c r="L41" s="34"/>
    </row>
    <row r="42" spans="3:12" x14ac:dyDescent="0.25">
      <c r="C42" s="66" t="s">
        <v>207</v>
      </c>
      <c r="D42" s="150" t="s">
        <v>115</v>
      </c>
      <c r="E42" s="151"/>
      <c r="F42" s="97">
        <f>'COSTOS Y GASTOS'!J95</f>
        <v>0</v>
      </c>
      <c r="G42" s="97">
        <f>F42*1.07</f>
        <v>0</v>
      </c>
      <c r="H42" s="97">
        <f>G42*1.07</f>
        <v>0</v>
      </c>
      <c r="I42" s="97">
        <f t="shared" ref="I42:J42" si="3">H42*1.07</f>
        <v>0</v>
      </c>
      <c r="J42" s="97">
        <f t="shared" si="3"/>
        <v>0</v>
      </c>
      <c r="K42" s="34"/>
      <c r="L42" s="34"/>
    </row>
    <row r="43" spans="3:12" x14ac:dyDescent="0.25">
      <c r="C43" s="66" t="s">
        <v>111</v>
      </c>
      <c r="D43" s="150" t="s">
        <v>117</v>
      </c>
      <c r="E43" s="151"/>
      <c r="F43" s="97">
        <f>'COSTOS Y GASTOS'!F112</f>
        <v>2082750</v>
      </c>
      <c r="G43" s="97">
        <f>F43*1.07</f>
        <v>2228542.5</v>
      </c>
      <c r="H43" s="97">
        <f t="shared" ref="H43:J43" si="4">G43*1.07</f>
        <v>2384540.4750000001</v>
      </c>
      <c r="I43" s="97">
        <f t="shared" si="4"/>
        <v>2551458.3082500002</v>
      </c>
      <c r="J43" s="97">
        <f t="shared" si="4"/>
        <v>2730060.3898275006</v>
      </c>
      <c r="K43" s="34"/>
      <c r="L43" s="34"/>
    </row>
    <row r="44" spans="3:12" x14ac:dyDescent="0.25">
      <c r="C44" s="66" t="s">
        <v>208</v>
      </c>
      <c r="D44" s="150" t="s">
        <v>118</v>
      </c>
      <c r="E44" s="151"/>
      <c r="F44" s="97">
        <f>'COSTOS Y GASTOS'!J120</f>
        <v>0</v>
      </c>
      <c r="G44" s="97">
        <f>F44*1.07</f>
        <v>0</v>
      </c>
      <c r="H44" s="97">
        <f t="shared" ref="H44:J44" si="5">G44*1.07</f>
        <v>0</v>
      </c>
      <c r="I44" s="97">
        <f>H44*1.07</f>
        <v>0</v>
      </c>
      <c r="J44" s="97">
        <f t="shared" si="5"/>
        <v>0</v>
      </c>
      <c r="K44" s="34"/>
      <c r="L44" s="34"/>
    </row>
    <row r="45" spans="3:12" x14ac:dyDescent="0.25">
      <c r="C45" s="47" t="s">
        <v>209</v>
      </c>
      <c r="D45" s="148"/>
      <c r="E45" s="134"/>
      <c r="F45" s="149">
        <f>F42+F43+F44</f>
        <v>2082750</v>
      </c>
      <c r="G45" s="149">
        <f>G42+G43+G44</f>
        <v>2228542.5</v>
      </c>
      <c r="H45" s="149">
        <f>H42+H43+H44</f>
        <v>2384540.4750000001</v>
      </c>
      <c r="I45" s="149">
        <f>I42+I43+I44</f>
        <v>2551458.3082500002</v>
      </c>
      <c r="J45" s="149">
        <f>J42+J43+J44</f>
        <v>2730060.3898275006</v>
      </c>
      <c r="K45" s="34"/>
      <c r="L45" s="34"/>
    </row>
    <row r="46" spans="3:12" ht="4.5" customHeight="1" x14ac:dyDescent="0.25">
      <c r="C46" s="14"/>
      <c r="D46" s="90"/>
      <c r="E46" s="53"/>
      <c r="F46" s="91"/>
      <c r="G46" s="91"/>
      <c r="H46" s="91"/>
      <c r="I46" s="91"/>
      <c r="J46" s="91"/>
      <c r="K46" s="34"/>
      <c r="L46" s="34"/>
    </row>
    <row r="47" spans="3:12" ht="3" customHeight="1" x14ac:dyDescent="0.25">
      <c r="C47" s="13"/>
      <c r="D47" s="13"/>
      <c r="E47" s="13"/>
      <c r="F47" s="13"/>
      <c r="G47" s="34"/>
      <c r="H47" s="13"/>
      <c r="I47" s="13"/>
      <c r="J47" s="13"/>
      <c r="K47" s="34"/>
      <c r="L47" s="34"/>
    </row>
    <row r="48" spans="3:12" ht="13.5" customHeight="1" x14ac:dyDescent="0.25">
      <c r="C48" s="152" t="s">
        <v>210</v>
      </c>
      <c r="D48" s="44"/>
      <c r="E48" s="96"/>
      <c r="F48" s="19">
        <f>F40-F45</f>
        <v>37391683.439999998</v>
      </c>
      <c r="G48" s="19">
        <f>G40-G45</f>
        <v>39997581.280799985</v>
      </c>
      <c r="H48" s="19">
        <f>H40-H45</f>
        <v>43488583.170456</v>
      </c>
      <c r="I48" s="19">
        <f>I40-I45</f>
        <v>43211572.888387941</v>
      </c>
      <c r="J48" s="19">
        <f>J40-J45</f>
        <v>46674775.232874043</v>
      </c>
      <c r="K48" s="34"/>
      <c r="L48" s="34"/>
    </row>
    <row r="49" spans="3:12" x14ac:dyDescent="0.25">
      <c r="C49" s="153" t="s">
        <v>119</v>
      </c>
      <c r="D49" s="154" t="s">
        <v>211</v>
      </c>
      <c r="E49" s="155"/>
      <c r="F49" s="17">
        <f>CRÉDITO!N14</f>
        <v>1458057.7948573208</v>
      </c>
      <c r="G49" s="17">
        <v>0</v>
      </c>
      <c r="H49" s="17">
        <v>0</v>
      </c>
      <c r="I49" s="17">
        <v>0</v>
      </c>
      <c r="J49" s="17">
        <v>0</v>
      </c>
      <c r="K49" s="34"/>
      <c r="L49" s="34"/>
    </row>
    <row r="50" spans="3:12" x14ac:dyDescent="0.25">
      <c r="C50" s="153" t="s">
        <v>136</v>
      </c>
      <c r="D50" s="148"/>
      <c r="E50" s="156"/>
      <c r="F50" s="17">
        <f>(F31*0.004)</f>
        <v>535680</v>
      </c>
      <c r="G50" s="17">
        <f>(G31*0.004)</f>
        <v>573108.47999999998</v>
      </c>
      <c r="H50" s="17">
        <f>(H31*0.004)</f>
        <v>615967.02720000001</v>
      </c>
      <c r="I50" s="17">
        <f>(I31*0.004)</f>
        <v>645775.43155200023</v>
      </c>
      <c r="J50" s="17">
        <f>(J31*0.004)</f>
        <v>692708.10429975612</v>
      </c>
      <c r="K50" s="34"/>
      <c r="L50" s="34"/>
    </row>
    <row r="51" spans="3:12" x14ac:dyDescent="0.25">
      <c r="C51" s="153" t="s">
        <v>212</v>
      </c>
      <c r="D51" s="136"/>
      <c r="E51" s="83"/>
      <c r="F51" s="17"/>
      <c r="G51" s="97"/>
      <c r="H51" s="97"/>
      <c r="I51" s="97"/>
      <c r="J51" s="97"/>
      <c r="K51" s="34"/>
      <c r="L51" s="34"/>
    </row>
    <row r="52" spans="3:12" hidden="1" x14ac:dyDescent="0.25">
      <c r="C52" s="13"/>
      <c r="D52" s="13"/>
      <c r="E52" s="13"/>
      <c r="F52" s="13"/>
      <c r="G52" s="13"/>
      <c r="H52" s="13"/>
      <c r="I52" s="13"/>
      <c r="J52" s="13"/>
      <c r="K52" s="34"/>
      <c r="L52" s="34"/>
    </row>
    <row r="53" spans="3:12" x14ac:dyDescent="0.25">
      <c r="C53" s="47" t="s">
        <v>213</v>
      </c>
      <c r="D53" s="44"/>
      <c r="E53" s="44"/>
      <c r="F53" s="19">
        <f>F48-F49-F50+F51</f>
        <v>35397945.645142674</v>
      </c>
      <c r="G53" s="19">
        <f>G48-G49-G50+G51</f>
        <v>39424472.800799988</v>
      </c>
      <c r="H53" s="19">
        <f>H48-H49-H50+H51</f>
        <v>42872616.143256001</v>
      </c>
      <c r="I53" s="19">
        <f>I48-I49-I50+I51</f>
        <v>42565797.45683594</v>
      </c>
      <c r="J53" s="19">
        <f>J48-J49-J50+J51</f>
        <v>45982067.128574289</v>
      </c>
      <c r="K53" s="34"/>
      <c r="L53" s="34"/>
    </row>
    <row r="54" spans="3:12" hidden="1" x14ac:dyDescent="0.25">
      <c r="C54" s="13"/>
      <c r="D54" s="13"/>
      <c r="E54" s="13"/>
      <c r="F54" s="13"/>
      <c r="G54" s="13"/>
      <c r="H54" s="13"/>
      <c r="I54" s="13"/>
      <c r="J54" s="13"/>
      <c r="K54" s="34"/>
      <c r="L54" s="34"/>
    </row>
    <row r="55" spans="3:12" ht="5.25" customHeight="1" x14ac:dyDescent="0.25">
      <c r="C55" s="13"/>
      <c r="D55" s="13"/>
      <c r="E55" s="13"/>
      <c r="F55" s="13"/>
      <c r="G55" s="13"/>
      <c r="H55" s="13"/>
      <c r="I55" s="13"/>
      <c r="J55" s="13"/>
      <c r="K55" s="34"/>
      <c r="L55" s="34"/>
    </row>
    <row r="56" spans="3:12" x14ac:dyDescent="0.25">
      <c r="C56" s="153" t="s">
        <v>214</v>
      </c>
      <c r="D56" s="157">
        <v>0.35</v>
      </c>
      <c r="E56" s="96"/>
      <c r="F56" s="97">
        <f>IF(F53&gt;0,F53*$D$56,0)</f>
        <v>12389280.975799935</v>
      </c>
      <c r="G56" s="17">
        <f>IF(G53&gt;0,G53*$D$56,0)</f>
        <v>13798565.480279995</v>
      </c>
      <c r="H56" s="17">
        <f>IF(H53&gt;0,H53*$D$56,0)</f>
        <v>15005415.6501396</v>
      </c>
      <c r="I56" s="17">
        <f>IF(I53&gt;0,I53*$D$56,0)</f>
        <v>14898029.109892579</v>
      </c>
      <c r="J56" s="17">
        <f>IF(J53&gt;0,J53*$D$56,0)</f>
        <v>16093723.495000999</v>
      </c>
      <c r="K56" s="34"/>
      <c r="L56" s="34"/>
    </row>
    <row r="57" spans="3:12" hidden="1" x14ac:dyDescent="0.25">
      <c r="C57" s="13"/>
      <c r="D57" s="13"/>
      <c r="E57" s="13"/>
      <c r="F57" s="13"/>
      <c r="G57" s="13"/>
      <c r="H57" s="13"/>
      <c r="I57" s="13"/>
      <c r="J57" s="13"/>
      <c r="K57" s="34"/>
      <c r="L57" s="34"/>
    </row>
    <row r="58" spans="3:12" ht="5.25" customHeight="1" x14ac:dyDescent="0.25">
      <c r="C58" s="13"/>
      <c r="D58" s="13"/>
      <c r="E58" s="13"/>
      <c r="F58" s="13"/>
      <c r="G58" s="13"/>
      <c r="H58" s="13"/>
      <c r="I58" s="13"/>
      <c r="J58" s="13"/>
      <c r="K58" s="34"/>
      <c r="L58" s="34"/>
    </row>
    <row r="59" spans="3:12" x14ac:dyDescent="0.25">
      <c r="C59" s="47" t="s">
        <v>215</v>
      </c>
      <c r="D59" s="48"/>
      <c r="E59" s="158"/>
      <c r="F59" s="19">
        <f>F53-F56</f>
        <v>23008664.669342741</v>
      </c>
      <c r="G59" s="19">
        <f>G53-G56</f>
        <v>25625907.320519991</v>
      </c>
      <c r="H59" s="19">
        <f>H53-H56</f>
        <v>27867200.493116401</v>
      </c>
      <c r="I59" s="19">
        <f>I53-I56</f>
        <v>27667768.346943364</v>
      </c>
      <c r="J59" s="19">
        <f>J53-J56</f>
        <v>29888343.63357329</v>
      </c>
      <c r="K59" s="34"/>
      <c r="L59" s="34"/>
    </row>
    <row r="60" spans="3:12" hidden="1" x14ac:dyDescent="0.25">
      <c r="C60" s="13"/>
      <c r="D60" s="13"/>
      <c r="E60" s="13"/>
      <c r="F60" s="13"/>
      <c r="G60" s="13"/>
      <c r="H60" s="13"/>
      <c r="I60" s="13"/>
      <c r="J60" s="13"/>
      <c r="K60" s="34"/>
      <c r="L60" s="34"/>
    </row>
    <row r="61" spans="3:12" x14ac:dyDescent="0.25">
      <c r="C61" s="153" t="s">
        <v>216</v>
      </c>
      <c r="D61" s="159">
        <v>0.2</v>
      </c>
      <c r="E61" s="160"/>
      <c r="F61" s="97">
        <f>IF(F59&lt;0,0,(F59*$D$61))</f>
        <v>4601732.9338685488</v>
      </c>
      <c r="G61" s="17">
        <f>IF(G59&lt;0,0,(G59*$D$61))</f>
        <v>5125181.4641039986</v>
      </c>
      <c r="H61" s="17">
        <f>IF(H59&lt;0,0,(H59*$D$61))</f>
        <v>5573440.0986232804</v>
      </c>
      <c r="I61" s="17">
        <f>IF(I59&lt;0,0,(I59*$D$61))</f>
        <v>5533553.6693886733</v>
      </c>
      <c r="J61" s="17">
        <f>IF(J59&lt;0,0,(J59*$D$61))</f>
        <v>5977668.7267146586</v>
      </c>
      <c r="K61" s="34"/>
      <c r="L61" s="34"/>
    </row>
    <row r="62" spans="3:12" x14ac:dyDescent="0.25">
      <c r="C62" s="457" t="s">
        <v>217</v>
      </c>
      <c r="D62" s="457"/>
      <c r="E62" s="457"/>
      <c r="F62" s="19">
        <f>F59-F61</f>
        <v>18406931.735474192</v>
      </c>
      <c r="G62" s="19">
        <f>G59-G61</f>
        <v>20500725.856415994</v>
      </c>
      <c r="H62" s="19">
        <f>H59-H61</f>
        <v>22293760.394493122</v>
      </c>
      <c r="I62" s="19">
        <f>I59-I61</f>
        <v>22134214.677554689</v>
      </c>
      <c r="J62" s="19">
        <f>J59-J61</f>
        <v>23910674.90685863</v>
      </c>
      <c r="K62" s="34"/>
      <c r="L62" s="34"/>
    </row>
    <row r="63" spans="3:12" x14ac:dyDescent="0.25">
      <c r="C63" s="13"/>
      <c r="D63" s="13"/>
      <c r="E63" s="13"/>
      <c r="F63" s="13"/>
      <c r="G63" s="13"/>
      <c r="H63" s="13"/>
      <c r="I63" s="13"/>
      <c r="J63" s="13"/>
      <c r="K63" s="34"/>
      <c r="L63" s="34"/>
    </row>
    <row r="64" spans="3:12" x14ac:dyDescent="0.25">
      <c r="C64" s="13"/>
      <c r="D64" s="13"/>
      <c r="E64" s="13"/>
      <c r="F64" s="13"/>
      <c r="G64" s="13"/>
      <c r="H64" s="13"/>
      <c r="I64" s="13"/>
      <c r="J64" s="13"/>
      <c r="K64" s="34"/>
      <c r="L64" s="34"/>
    </row>
    <row r="65" spans="1:12" x14ac:dyDescent="0.25">
      <c r="A65" s="13"/>
      <c r="B65" s="13"/>
      <c r="C65" s="13"/>
      <c r="D65" s="13"/>
      <c r="E65" s="13"/>
      <c r="F65" s="34"/>
      <c r="G65" s="13"/>
      <c r="H65" s="13"/>
      <c r="I65" s="13"/>
      <c r="J65" s="13"/>
      <c r="K65" s="34"/>
      <c r="L65" s="34"/>
    </row>
    <row r="66" spans="1:12" x14ac:dyDescent="0.25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34"/>
      <c r="L66" s="34"/>
    </row>
    <row r="67" spans="1:12" ht="13.8" x14ac:dyDescent="0.3">
      <c r="A67" s="14" t="s">
        <v>59</v>
      </c>
      <c r="B67" s="14">
        <v>33</v>
      </c>
      <c r="C67" s="14" t="s">
        <v>218</v>
      </c>
      <c r="D67" s="111"/>
      <c r="E67" s="111"/>
      <c r="F67" s="111"/>
      <c r="G67" s="111"/>
      <c r="H67" s="111"/>
      <c r="I67" s="111"/>
      <c r="J67" s="111"/>
      <c r="K67" s="111"/>
      <c r="L67" s="34" t="s">
        <v>2</v>
      </c>
    </row>
    <row r="68" spans="1:12" x14ac:dyDescent="0.25">
      <c r="A68"/>
      <c r="B68"/>
      <c r="C68" s="472"/>
      <c r="D68" s="472"/>
      <c r="E68" s="472"/>
      <c r="F68" s="72" t="s">
        <v>187</v>
      </c>
      <c r="G68" s="72" t="s">
        <v>187</v>
      </c>
      <c r="H68" s="72" t="s">
        <v>187</v>
      </c>
      <c r="I68" s="72" t="s">
        <v>187</v>
      </c>
      <c r="J68" s="72" t="s">
        <v>187</v>
      </c>
      <c r="K68" s="72" t="s">
        <v>187</v>
      </c>
      <c r="L68" s="161"/>
    </row>
    <row r="69" spans="1:12" x14ac:dyDescent="0.25">
      <c r="A69"/>
      <c r="B69"/>
      <c r="C69" s="473"/>
      <c r="D69" s="473"/>
      <c r="E69" s="473"/>
      <c r="F69" s="144">
        <f>D4</f>
        <v>0</v>
      </c>
      <c r="G69" s="144">
        <f t="shared" ref="G69:K70" si="6">F29</f>
        <v>1</v>
      </c>
      <c r="H69" s="144">
        <f t="shared" si="6"/>
        <v>2</v>
      </c>
      <c r="I69" s="144">
        <f t="shared" si="6"/>
        <v>3</v>
      </c>
      <c r="J69" s="144">
        <f t="shared" si="6"/>
        <v>4</v>
      </c>
      <c r="K69" s="132">
        <f t="shared" si="6"/>
        <v>5</v>
      </c>
      <c r="L69" s="34"/>
    </row>
    <row r="70" spans="1:12" x14ac:dyDescent="0.25">
      <c r="A70"/>
      <c r="B70"/>
      <c r="C70" s="463" t="s">
        <v>219</v>
      </c>
      <c r="D70" s="464"/>
      <c r="E70" s="465"/>
      <c r="F70" s="104"/>
      <c r="G70" s="17">
        <f>F30</f>
        <v>133920000</v>
      </c>
      <c r="H70" s="17">
        <f t="shared" si="6"/>
        <v>143277120</v>
      </c>
      <c r="I70" s="17">
        <f t="shared" si="6"/>
        <v>153991756.80000001</v>
      </c>
      <c r="J70" s="17">
        <f t="shared" si="6"/>
        <v>161443857.88800004</v>
      </c>
      <c r="K70" s="17">
        <f t="shared" si="6"/>
        <v>173177026.07493901</v>
      </c>
      <c r="L70" s="161"/>
    </row>
    <row r="71" spans="1:12" ht="14.25" customHeight="1" x14ac:dyDescent="0.3">
      <c r="A71"/>
      <c r="B71"/>
      <c r="C71" s="463" t="s">
        <v>220</v>
      </c>
      <c r="D71" s="464"/>
      <c r="E71" s="465"/>
      <c r="F71" s="104"/>
      <c r="G71" s="25"/>
      <c r="H71" s="17"/>
      <c r="I71" s="17"/>
      <c r="J71" s="17"/>
      <c r="K71" s="17"/>
      <c r="L71" s="162"/>
    </row>
    <row r="72" spans="1:12" x14ac:dyDescent="0.25">
      <c r="A72"/>
      <c r="B72"/>
      <c r="C72" s="463" t="s">
        <v>221</v>
      </c>
      <c r="D72" s="464"/>
      <c r="E72" s="465"/>
      <c r="F72" s="104"/>
      <c r="G72" s="19">
        <f>G70+G71</f>
        <v>133920000</v>
      </c>
      <c r="H72" s="19">
        <f>H70+H71</f>
        <v>143277120</v>
      </c>
      <c r="I72" s="19">
        <f>I70+I71</f>
        <v>153991756.80000001</v>
      </c>
      <c r="J72" s="19">
        <f>J70+J71</f>
        <v>161443857.88800004</v>
      </c>
      <c r="K72" s="19">
        <f>K70+K71</f>
        <v>173177026.07493901</v>
      </c>
      <c r="L72" s="161"/>
    </row>
    <row r="73" spans="1:12" ht="6.75" customHeight="1" x14ac:dyDescent="0.25">
      <c r="A73"/>
      <c r="B73"/>
      <c r="C73" s="13"/>
      <c r="D73" s="13"/>
      <c r="E73" s="163"/>
      <c r="F73" s="13"/>
      <c r="G73" s="13"/>
      <c r="H73" s="34"/>
      <c r="I73" s="34"/>
      <c r="J73" s="34"/>
      <c r="K73" s="34"/>
      <c r="L73" s="161"/>
    </row>
    <row r="74" spans="1:12" ht="12" customHeight="1" x14ac:dyDescent="0.25">
      <c r="A74"/>
      <c r="B74"/>
      <c r="C74" s="14" t="s">
        <v>222</v>
      </c>
      <c r="D74" s="13"/>
      <c r="E74" s="164"/>
      <c r="F74" s="13"/>
      <c r="G74" s="34"/>
      <c r="H74" s="34"/>
      <c r="I74" s="34"/>
      <c r="J74" s="34"/>
      <c r="K74" s="34"/>
      <c r="L74" s="161"/>
    </row>
    <row r="75" spans="1:12" x14ac:dyDescent="0.25">
      <c r="A75"/>
      <c r="B75"/>
      <c r="C75" s="165" t="s">
        <v>223</v>
      </c>
      <c r="D75" s="166" t="s">
        <v>59</v>
      </c>
      <c r="E75" s="167">
        <v>14</v>
      </c>
      <c r="F75" s="168"/>
      <c r="G75" s="17">
        <f>(F35)</f>
        <v>3120000</v>
      </c>
      <c r="H75" s="17">
        <f>(G35)</f>
        <v>3338400</v>
      </c>
      <c r="I75" s="17">
        <f>(H35)</f>
        <v>3572088</v>
      </c>
      <c r="J75" s="17">
        <f>(I35)</f>
        <v>3822134.16</v>
      </c>
      <c r="K75" s="17">
        <f>(J35)</f>
        <v>4089683.5512000006</v>
      </c>
      <c r="L75" s="161"/>
    </row>
    <row r="76" spans="1:12" x14ac:dyDescent="0.25">
      <c r="A76"/>
      <c r="B76"/>
      <c r="C76" s="165" t="s">
        <v>224</v>
      </c>
      <c r="D76" s="166" t="s">
        <v>59</v>
      </c>
      <c r="E76" s="167">
        <v>11</v>
      </c>
      <c r="F76" s="168"/>
      <c r="G76" s="17">
        <f>F34</f>
        <v>85623316.560000002</v>
      </c>
      <c r="H76" s="17">
        <f>G34</f>
        <v>91616948.719200015</v>
      </c>
      <c r="I76" s="17">
        <f>H34</f>
        <v>98030135.12954402</v>
      </c>
      <c r="J76" s="17">
        <f>I34</f>
        <v>104892244.58861211</v>
      </c>
      <c r="K76" s="17">
        <f>J34</f>
        <v>112234701.70981497</v>
      </c>
      <c r="L76" s="161"/>
    </row>
    <row r="77" spans="1:12" ht="12.75" customHeight="1" x14ac:dyDescent="0.25">
      <c r="A77"/>
      <c r="B77"/>
      <c r="C77" s="153" t="s">
        <v>225</v>
      </c>
      <c r="D77" s="169" t="s">
        <v>59</v>
      </c>
      <c r="E77" s="167">
        <v>15</v>
      </c>
      <c r="F77" s="168"/>
      <c r="G77" s="17">
        <f>F36</f>
        <v>5558250</v>
      </c>
      <c r="H77" s="17">
        <f>G36</f>
        <v>5947327.5</v>
      </c>
      <c r="I77" s="17">
        <f>H36</f>
        <v>6363640.4250000007</v>
      </c>
      <c r="J77" s="17">
        <f>I36</f>
        <v>6809095.2547500012</v>
      </c>
      <c r="K77" s="17">
        <f>J36</f>
        <v>7285731.9225825015</v>
      </c>
      <c r="L77" s="161"/>
    </row>
    <row r="78" spans="1:12" x14ac:dyDescent="0.25">
      <c r="A78"/>
      <c r="B78"/>
      <c r="C78" s="170" t="s">
        <v>69</v>
      </c>
      <c r="D78" s="169" t="s">
        <v>59</v>
      </c>
      <c r="E78" s="167">
        <v>13</v>
      </c>
      <c r="F78" s="168"/>
      <c r="G78" s="17">
        <f>-'COSTOS RESUMEN'!D13</f>
        <v>-3697800</v>
      </c>
      <c r="H78" s="17">
        <f>G78</f>
        <v>-3697800</v>
      </c>
      <c r="I78" s="17">
        <f>H78</f>
        <v>-3697800</v>
      </c>
      <c r="J78" s="17">
        <f>I78</f>
        <v>-3697800</v>
      </c>
      <c r="K78" s="17">
        <f>J78</f>
        <v>-3697800</v>
      </c>
      <c r="L78" s="161"/>
    </row>
    <row r="79" spans="1:12" x14ac:dyDescent="0.25">
      <c r="A79"/>
      <c r="B79"/>
      <c r="C79" s="170" t="s">
        <v>226</v>
      </c>
      <c r="D79" s="171" t="s">
        <v>59</v>
      </c>
      <c r="E79" s="172">
        <v>15</v>
      </c>
      <c r="F79" s="168"/>
      <c r="G79" s="17">
        <f>F37</f>
        <v>144000</v>
      </c>
      <c r="H79" s="17">
        <f>G37</f>
        <v>148320.00000000003</v>
      </c>
      <c r="I79" s="17">
        <f>H37</f>
        <v>152769.60000000003</v>
      </c>
      <c r="J79" s="17">
        <f>I37</f>
        <v>157352.68800000005</v>
      </c>
      <c r="K79" s="17">
        <f>J37</f>
        <v>162073.26864000005</v>
      </c>
      <c r="L79" s="161"/>
    </row>
    <row r="80" spans="1:12" x14ac:dyDescent="0.25">
      <c r="A80"/>
      <c r="B80"/>
      <c r="C80" s="47" t="s">
        <v>227</v>
      </c>
      <c r="D80" s="48"/>
      <c r="E80" s="158"/>
      <c r="F80" s="158"/>
      <c r="G80" s="19">
        <f>SUM(G75:G79)</f>
        <v>90747766.560000002</v>
      </c>
      <c r="H80" s="19">
        <f>SUM(H75:H79)</f>
        <v>97353196.219200015</v>
      </c>
      <c r="I80" s="19">
        <f>SUM(I75:I79)</f>
        <v>104420833.15454401</v>
      </c>
      <c r="J80" s="19">
        <f>SUM(J75:J79)</f>
        <v>111983026.6913621</v>
      </c>
      <c r="K80" s="19">
        <f>SUM(K75:K79)</f>
        <v>120074390.45223747</v>
      </c>
      <c r="L80" s="161"/>
    </row>
    <row r="81" spans="1:12" ht="8.25" customHeight="1" x14ac:dyDescent="0.25">
      <c r="A81"/>
      <c r="B81"/>
      <c r="C81" s="13"/>
      <c r="D81" s="13"/>
      <c r="E81" s="13"/>
      <c r="F81" s="13"/>
      <c r="G81" s="13"/>
      <c r="H81" s="13"/>
      <c r="I81" s="13"/>
      <c r="J81" s="13"/>
      <c r="K81" s="13"/>
      <c r="L81" s="161"/>
    </row>
    <row r="82" spans="1:12" x14ac:dyDescent="0.25">
      <c r="A82"/>
      <c r="B82"/>
      <c r="C82" s="173" t="s">
        <v>228</v>
      </c>
      <c r="D82" s="174"/>
      <c r="E82" s="175"/>
      <c r="F82" s="96"/>
      <c r="G82" s="19">
        <f>G72-G80</f>
        <v>43172233.439999998</v>
      </c>
      <c r="H82" s="19">
        <f>H72-H80</f>
        <v>45923923.780799985</v>
      </c>
      <c r="I82" s="19">
        <f>I72-I80</f>
        <v>49570923.645456001</v>
      </c>
      <c r="J82" s="19">
        <f>J72-J80</f>
        <v>49460831.196637943</v>
      </c>
      <c r="K82" s="19">
        <f>K72-K80</f>
        <v>53102635.622701541</v>
      </c>
      <c r="L82" s="161"/>
    </row>
    <row r="83" spans="1:12" ht="6.75" customHeight="1" x14ac:dyDescent="0.25">
      <c r="A83"/>
      <c r="B83"/>
      <c r="C83" s="13"/>
      <c r="D83" s="13"/>
      <c r="E83" s="13"/>
      <c r="F83" s="13"/>
      <c r="G83" s="13"/>
      <c r="H83" s="13"/>
      <c r="I83" s="13"/>
      <c r="J83" s="13"/>
      <c r="K83" s="13"/>
      <c r="L83" s="161"/>
    </row>
    <row r="84" spans="1:12" x14ac:dyDescent="0.25">
      <c r="A84"/>
      <c r="B84"/>
      <c r="C84" s="14" t="s">
        <v>229</v>
      </c>
      <c r="D84" s="13"/>
      <c r="E84" s="13"/>
      <c r="F84" s="13"/>
      <c r="G84" s="13"/>
      <c r="H84" s="13"/>
      <c r="I84" s="13"/>
      <c r="J84" s="13"/>
      <c r="K84" s="13"/>
      <c r="L84" s="161"/>
    </row>
    <row r="85" spans="1:12" x14ac:dyDescent="0.25">
      <c r="A85"/>
      <c r="B85"/>
      <c r="C85" s="153" t="s">
        <v>230</v>
      </c>
      <c r="D85" s="169" t="s">
        <v>59</v>
      </c>
      <c r="E85" s="172">
        <v>20</v>
      </c>
      <c r="F85" s="172"/>
      <c r="G85" s="17">
        <f>F43+F42</f>
        <v>2082750</v>
      </c>
      <c r="H85" s="17">
        <f>G43+G42</f>
        <v>2228542.5</v>
      </c>
      <c r="I85" s="17">
        <f>H43+H42</f>
        <v>2384540.4750000001</v>
      </c>
      <c r="J85" s="17">
        <f>I43+I42</f>
        <v>2551458.3082500002</v>
      </c>
      <c r="K85" s="17">
        <f>J43+J42</f>
        <v>2730060.3898275006</v>
      </c>
      <c r="L85" s="161"/>
    </row>
    <row r="86" spans="1:12" x14ac:dyDescent="0.25">
      <c r="A86"/>
      <c r="B86"/>
      <c r="C86" s="153" t="s">
        <v>231</v>
      </c>
      <c r="D86" s="169" t="s">
        <v>59</v>
      </c>
      <c r="E86" s="172">
        <v>8</v>
      </c>
      <c r="F86" s="172"/>
      <c r="G86" s="17">
        <v>0</v>
      </c>
      <c r="H86" s="17">
        <f t="shared" ref="H86:K87" si="7">G86</f>
        <v>0</v>
      </c>
      <c r="I86" s="17">
        <f t="shared" si="7"/>
        <v>0</v>
      </c>
      <c r="J86" s="17">
        <f t="shared" si="7"/>
        <v>0</v>
      </c>
      <c r="K86" s="17">
        <f t="shared" si="7"/>
        <v>0</v>
      </c>
      <c r="L86" s="161"/>
    </row>
    <row r="87" spans="1:12" x14ac:dyDescent="0.25">
      <c r="A87"/>
      <c r="B87"/>
      <c r="C87" s="153" t="s">
        <v>69</v>
      </c>
      <c r="D87" s="169" t="s">
        <v>59</v>
      </c>
      <c r="E87" s="172">
        <v>13</v>
      </c>
      <c r="F87" s="172"/>
      <c r="G87" s="17">
        <f>-('COSTOS Y GASTOS'!F104+'COSTOS Y GASTOS'!F105+'COSTOS Y GASTOS'!F106+'COSTOS Y GASTOS'!F107+'COSTOS Y GASTOS'!F108)</f>
        <v>-304200</v>
      </c>
      <c r="H87" s="17">
        <f t="shared" si="7"/>
        <v>-304200</v>
      </c>
      <c r="I87" s="17">
        <f t="shared" si="7"/>
        <v>-304200</v>
      </c>
      <c r="J87" s="17">
        <f t="shared" si="7"/>
        <v>-304200</v>
      </c>
      <c r="K87" s="17">
        <f t="shared" si="7"/>
        <v>-304200</v>
      </c>
      <c r="L87" s="161"/>
    </row>
    <row r="88" spans="1:12" x14ac:dyDescent="0.25">
      <c r="A88"/>
      <c r="B88"/>
      <c r="C88" s="153" t="s">
        <v>232</v>
      </c>
      <c r="D88" s="169" t="s">
        <v>59</v>
      </c>
      <c r="E88" s="172">
        <v>20</v>
      </c>
      <c r="F88" s="172"/>
      <c r="G88" s="17">
        <f>F44</f>
        <v>0</v>
      </c>
      <c r="H88" s="17">
        <f>G44</f>
        <v>0</v>
      </c>
      <c r="I88" s="17">
        <f>H44</f>
        <v>0</v>
      </c>
      <c r="J88" s="17">
        <f>I44</f>
        <v>0</v>
      </c>
      <c r="K88" s="17">
        <f>J44</f>
        <v>0</v>
      </c>
      <c r="L88" s="161"/>
    </row>
    <row r="89" spans="1:12" x14ac:dyDescent="0.25">
      <c r="A89"/>
      <c r="B89"/>
      <c r="C89" s="153" t="s">
        <v>233</v>
      </c>
      <c r="D89" s="169" t="s">
        <v>59</v>
      </c>
      <c r="E89" s="172">
        <v>32</v>
      </c>
      <c r="F89" s="172"/>
      <c r="G89" s="13"/>
      <c r="H89" s="17">
        <f>F56</f>
        <v>12389280.975799935</v>
      </c>
      <c r="I89" s="17">
        <f>G56</f>
        <v>13798565.480279995</v>
      </c>
      <c r="J89" s="17">
        <f>H56</f>
        <v>15005415.6501396</v>
      </c>
      <c r="K89" s="17">
        <f>I56</f>
        <v>14898029.109892579</v>
      </c>
      <c r="L89" s="34"/>
    </row>
    <row r="90" spans="1:12" ht="15" customHeight="1" x14ac:dyDescent="0.25">
      <c r="A90"/>
      <c r="B90"/>
      <c r="C90" s="47" t="s">
        <v>234</v>
      </c>
      <c r="D90" s="48"/>
      <c r="E90" s="158"/>
      <c r="F90" s="176"/>
      <c r="G90" s="19">
        <f>SUM(G85:G89)</f>
        <v>1778550</v>
      </c>
      <c r="H90" s="19">
        <f>SUM(H85:H89)</f>
        <v>14313623.475799935</v>
      </c>
      <c r="I90" s="19">
        <f>SUM(I85:I89)</f>
        <v>15878905.955279995</v>
      </c>
      <c r="J90" s="19">
        <f>SUM(J85:J89)</f>
        <v>17252673.958389599</v>
      </c>
      <c r="K90" s="19">
        <f>SUM(K85:K89)</f>
        <v>17323889.499720078</v>
      </c>
      <c r="L90" s="161"/>
    </row>
    <row r="91" spans="1:12" ht="6" customHeight="1" x14ac:dyDescent="0.25">
      <c r="A91"/>
      <c r="B91"/>
      <c r="C91" s="13"/>
      <c r="D91" s="13"/>
      <c r="E91" s="13"/>
      <c r="F91" s="13"/>
      <c r="G91" s="13"/>
      <c r="H91" s="13"/>
      <c r="I91" s="13"/>
      <c r="J91" s="13"/>
      <c r="K91" s="13"/>
      <c r="L91" s="161"/>
    </row>
    <row r="92" spans="1:12" x14ac:dyDescent="0.25">
      <c r="A92"/>
      <c r="B92"/>
      <c r="C92" s="474" t="s">
        <v>235</v>
      </c>
      <c r="D92" s="475"/>
      <c r="E92" s="476"/>
      <c r="F92" s="158"/>
      <c r="G92" s="19">
        <f>G82-G90</f>
        <v>41393683.439999998</v>
      </c>
      <c r="H92" s="19">
        <f>H82-H90</f>
        <v>31610300.305000052</v>
      </c>
      <c r="I92" s="19">
        <f>I82-I90</f>
        <v>33692017.69017601</v>
      </c>
      <c r="J92" s="19">
        <f>J82-J90</f>
        <v>32208157.238248345</v>
      </c>
      <c r="K92" s="19">
        <f>K82-K90</f>
        <v>35778746.122981459</v>
      </c>
      <c r="L92" s="161"/>
    </row>
    <row r="93" spans="1:12" ht="8.25" customHeight="1" x14ac:dyDescent="0.25">
      <c r="A93"/>
      <c r="B93"/>
      <c r="C93" s="13"/>
      <c r="D93" s="13"/>
      <c r="E93" s="13"/>
      <c r="F93" s="13"/>
      <c r="G93" s="13"/>
      <c r="H93" s="13"/>
      <c r="I93" s="13"/>
      <c r="J93" s="13"/>
      <c r="K93" s="13"/>
      <c r="L93" s="161"/>
    </row>
    <row r="94" spans="1:12" ht="10.5" customHeight="1" x14ac:dyDescent="0.25">
      <c r="A94" s="161"/>
      <c r="B94"/>
      <c r="C94" s="14" t="s">
        <v>236</v>
      </c>
      <c r="D94" s="13"/>
      <c r="E94" s="13"/>
      <c r="F94" s="13"/>
      <c r="G94" s="13"/>
      <c r="H94" s="13"/>
      <c r="I94" s="13"/>
      <c r="J94" s="13"/>
      <c r="K94" s="13"/>
      <c r="L94" s="161"/>
    </row>
    <row r="95" spans="1:12" x14ac:dyDescent="0.25">
      <c r="A95"/>
      <c r="B95"/>
      <c r="C95" s="153" t="s">
        <v>27</v>
      </c>
      <c r="D95" s="169" t="s">
        <v>59</v>
      </c>
      <c r="E95" s="172">
        <v>7</v>
      </c>
      <c r="F95" s="17">
        <f>'COSTOS Y GASTOS'!E160</f>
        <v>20010000</v>
      </c>
      <c r="G95" s="17"/>
      <c r="H95" s="17"/>
      <c r="I95" s="17"/>
      <c r="J95" s="17"/>
      <c r="K95" s="17"/>
      <c r="L95" s="161"/>
    </row>
    <row r="96" spans="1:12" x14ac:dyDescent="0.25">
      <c r="A96" s="161"/>
      <c r="B96"/>
      <c r="C96" s="153" t="s">
        <v>143</v>
      </c>
      <c r="D96" s="169" t="s">
        <v>59</v>
      </c>
      <c r="E96" s="172">
        <v>8</v>
      </c>
      <c r="F96" s="17">
        <f>'COSTOS Y GASTOS'!E161</f>
        <v>0</v>
      </c>
      <c r="G96" s="17"/>
      <c r="H96" s="17"/>
      <c r="I96" s="17"/>
      <c r="J96" s="17"/>
      <c r="K96" s="17"/>
      <c r="L96" s="161"/>
    </row>
    <row r="97" spans="1:16" x14ac:dyDescent="0.25">
      <c r="A97"/>
      <c r="B97"/>
      <c r="C97" s="153" t="s">
        <v>144</v>
      </c>
      <c r="D97" s="169" t="s">
        <v>59</v>
      </c>
      <c r="E97" s="172">
        <v>22</v>
      </c>
      <c r="F97" s="17">
        <f>'COSTOS Y GASTOS'!E162</f>
        <v>23864208.103232723</v>
      </c>
      <c r="G97" s="17"/>
      <c r="H97" s="17"/>
      <c r="I97" s="17"/>
      <c r="J97" s="17"/>
      <c r="K97" s="17"/>
      <c r="L97" s="161"/>
      <c r="M97" s="13"/>
      <c r="N97" s="13"/>
      <c r="O97" s="13"/>
      <c r="P97" s="13"/>
    </row>
    <row r="98" spans="1:16" x14ac:dyDescent="0.25">
      <c r="A98"/>
      <c r="B98"/>
      <c r="C98" s="463" t="s">
        <v>237</v>
      </c>
      <c r="D98" s="464"/>
      <c r="E98" s="465"/>
      <c r="F98" s="17">
        <f>SUM(F95:F97)</f>
        <v>43874208.103232726</v>
      </c>
      <c r="G98" s="17">
        <f t="shared" ref="G98:K98" si="8">SUM(G95:G97)</f>
        <v>0</v>
      </c>
      <c r="H98" s="17">
        <f t="shared" si="8"/>
        <v>0</v>
      </c>
      <c r="I98" s="17">
        <f t="shared" si="8"/>
        <v>0</v>
      </c>
      <c r="J98" s="17">
        <f t="shared" si="8"/>
        <v>0</v>
      </c>
      <c r="K98" s="17">
        <f t="shared" si="8"/>
        <v>0</v>
      </c>
      <c r="L98" s="161"/>
      <c r="M98" s="13"/>
      <c r="N98" s="13"/>
      <c r="O98" s="13"/>
      <c r="P98" s="13"/>
    </row>
    <row r="99" spans="1:16" ht="6" customHeight="1" x14ac:dyDescent="0.25">
      <c r="A99"/>
      <c r="B99"/>
      <c r="C99" s="13"/>
      <c r="D99" s="177"/>
      <c r="E99" s="178"/>
      <c r="F99" s="34"/>
      <c r="G99" s="13"/>
      <c r="H99" s="13"/>
      <c r="I99" s="13"/>
      <c r="J99" s="13"/>
      <c r="K99" s="13"/>
      <c r="L99" s="161"/>
      <c r="M99" s="13"/>
      <c r="N99" s="13"/>
      <c r="O99" s="13"/>
      <c r="P99" s="13"/>
    </row>
    <row r="100" spans="1:16" x14ac:dyDescent="0.25">
      <c r="A100"/>
      <c r="B100"/>
      <c r="C100" s="47" t="s">
        <v>238</v>
      </c>
      <c r="D100" s="179"/>
      <c r="E100" s="180"/>
      <c r="F100" s="19">
        <f t="shared" ref="F100:K100" si="9">F92-F98</f>
        <v>-43874208.103232726</v>
      </c>
      <c r="G100" s="19">
        <f>G92-G98</f>
        <v>41393683.439999998</v>
      </c>
      <c r="H100" s="19">
        <f>H92-H98</f>
        <v>31610300.305000052</v>
      </c>
      <c r="I100" s="19">
        <f t="shared" si="9"/>
        <v>33692017.69017601</v>
      </c>
      <c r="J100" s="19">
        <f t="shared" si="9"/>
        <v>32208157.238248345</v>
      </c>
      <c r="K100" s="19">
        <f t="shared" si="9"/>
        <v>35778746.122981459</v>
      </c>
      <c r="L100" s="161"/>
      <c r="M100" s="13"/>
      <c r="N100" s="13"/>
      <c r="O100" s="13"/>
      <c r="P100" s="13"/>
    </row>
    <row r="101" spans="1:16" ht="5.25" customHeight="1" x14ac:dyDescent="0.25">
      <c r="A101"/>
      <c r="B101"/>
      <c r="C101" s="13"/>
      <c r="D101" s="13"/>
      <c r="E101" s="13"/>
      <c r="F101" s="13"/>
      <c r="G101" s="13"/>
      <c r="H101" s="13"/>
      <c r="I101" s="13"/>
      <c r="J101" s="13"/>
      <c r="K101" s="13"/>
      <c r="L101" s="161"/>
      <c r="M101" s="13"/>
      <c r="N101" s="13"/>
      <c r="O101" s="13"/>
      <c r="P101" s="13"/>
    </row>
    <row r="102" spans="1:16" x14ac:dyDescent="0.25">
      <c r="A102"/>
      <c r="B102"/>
      <c r="C102" s="14" t="s">
        <v>239</v>
      </c>
      <c r="D102" s="13"/>
      <c r="E102" s="13"/>
      <c r="F102" s="13"/>
      <c r="G102" s="13"/>
      <c r="H102" s="13"/>
      <c r="I102" s="13"/>
      <c r="J102" s="13"/>
      <c r="K102" s="13"/>
      <c r="L102" s="161"/>
      <c r="M102" s="13"/>
      <c r="N102" s="13"/>
      <c r="O102" s="13"/>
      <c r="P102" s="13"/>
    </row>
    <row r="103" spans="1:16" x14ac:dyDescent="0.25">
      <c r="A103"/>
      <c r="B103"/>
      <c r="C103" s="153" t="s">
        <v>240</v>
      </c>
      <c r="D103" s="169"/>
      <c r="E103" s="172"/>
      <c r="F103" s="17">
        <f>'COSTOS Y GASTOS'!D169</f>
        <v>23864208.103232726</v>
      </c>
      <c r="G103" s="17"/>
      <c r="H103" s="17"/>
      <c r="I103" s="17"/>
      <c r="J103" s="17"/>
      <c r="K103" s="17"/>
      <c r="L103" s="161"/>
      <c r="M103" s="13"/>
      <c r="N103" s="13"/>
      <c r="O103" s="13"/>
      <c r="P103" s="13"/>
    </row>
    <row r="104" spans="1:16" x14ac:dyDescent="0.25">
      <c r="A104"/>
      <c r="B104"/>
      <c r="C104" s="153" t="s">
        <v>241</v>
      </c>
      <c r="D104" s="169" t="s">
        <v>59</v>
      </c>
      <c r="E104" s="181">
        <v>25</v>
      </c>
      <c r="F104" s="17">
        <f>CRÉDITO!F5</f>
        <v>20010000</v>
      </c>
      <c r="G104" s="17"/>
      <c r="H104" s="17"/>
      <c r="I104" s="17"/>
      <c r="J104" s="17"/>
      <c r="K104" s="17"/>
      <c r="L104" s="161"/>
      <c r="M104" s="13"/>
      <c r="N104" s="13"/>
      <c r="O104" s="13"/>
      <c r="P104" s="13"/>
    </row>
    <row r="105" spans="1:16" x14ac:dyDescent="0.25">
      <c r="A105"/>
      <c r="B105"/>
      <c r="C105" s="153" t="s">
        <v>242</v>
      </c>
      <c r="D105" s="169"/>
      <c r="E105" s="181"/>
      <c r="F105" s="17"/>
      <c r="G105" s="17"/>
      <c r="H105" s="17"/>
      <c r="I105" s="17"/>
      <c r="J105" s="17"/>
      <c r="K105" s="17"/>
      <c r="L105" s="161"/>
      <c r="M105" s="13"/>
      <c r="N105" s="13"/>
      <c r="O105" s="13"/>
      <c r="P105" s="13"/>
    </row>
    <row r="106" spans="1:16" x14ac:dyDescent="0.25">
      <c r="A106"/>
      <c r="B106"/>
      <c r="C106" s="47" t="s">
        <v>243</v>
      </c>
      <c r="D106" s="48"/>
      <c r="E106" s="158"/>
      <c r="F106" s="19">
        <f t="shared" ref="F106:K106" si="10">F103+F104+F105</f>
        <v>43874208.103232726</v>
      </c>
      <c r="G106" s="19">
        <f>G103+G104+G105</f>
        <v>0</v>
      </c>
      <c r="H106" s="19">
        <f t="shared" si="10"/>
        <v>0</v>
      </c>
      <c r="I106" s="19">
        <f t="shared" si="10"/>
        <v>0</v>
      </c>
      <c r="J106" s="19">
        <f t="shared" si="10"/>
        <v>0</v>
      </c>
      <c r="K106" s="19">
        <f t="shared" si="10"/>
        <v>0</v>
      </c>
      <c r="L106" s="161"/>
      <c r="M106" s="13"/>
      <c r="N106" s="13"/>
      <c r="O106" s="13"/>
      <c r="P106" s="13"/>
    </row>
    <row r="107" spans="1:16" hidden="1" x14ac:dyDescent="0.25">
      <c r="A107"/>
      <c r="B107"/>
      <c r="C107" s="13"/>
      <c r="D107" s="177"/>
      <c r="E107" s="178"/>
      <c r="F107" s="34"/>
      <c r="G107" s="13"/>
      <c r="H107" s="13"/>
      <c r="I107" s="13"/>
      <c r="J107" s="13"/>
      <c r="K107" s="13"/>
      <c r="L107" s="161"/>
      <c r="M107" s="13"/>
      <c r="N107" s="13"/>
      <c r="O107" s="13"/>
      <c r="P107" s="13"/>
    </row>
    <row r="108" spans="1:16" ht="6.75" customHeight="1" x14ac:dyDescent="0.25">
      <c r="A108"/>
      <c r="B108"/>
      <c r="C108" s="13"/>
      <c r="D108" s="13"/>
      <c r="E108" s="13"/>
      <c r="F108" s="13"/>
      <c r="G108" s="13"/>
      <c r="H108" s="13"/>
      <c r="I108" s="13"/>
      <c r="J108" s="13"/>
      <c r="K108" s="13"/>
      <c r="L108" s="161"/>
      <c r="M108" s="34"/>
      <c r="N108" s="34"/>
      <c r="O108" s="34"/>
      <c r="P108" s="34"/>
    </row>
    <row r="109" spans="1:16" x14ac:dyDescent="0.25">
      <c r="A109"/>
      <c r="B109"/>
      <c r="C109" s="14" t="s">
        <v>244</v>
      </c>
      <c r="D109" s="13"/>
      <c r="E109" s="13"/>
      <c r="F109" s="13"/>
      <c r="G109" s="13"/>
      <c r="H109" s="13"/>
      <c r="I109" s="13"/>
      <c r="J109" s="13"/>
      <c r="K109" s="13"/>
      <c r="L109" s="161"/>
      <c r="M109" s="13"/>
      <c r="N109" s="13"/>
      <c r="O109" s="13"/>
      <c r="P109" s="13"/>
    </row>
    <row r="110" spans="1:16" x14ac:dyDescent="0.25">
      <c r="A110"/>
      <c r="B110"/>
      <c r="C110" s="153" t="s">
        <v>245</v>
      </c>
      <c r="D110" s="169"/>
      <c r="E110" s="151"/>
      <c r="F110" s="25"/>
      <c r="G110" s="17">
        <f>CRÉDITO!O14</f>
        <v>20009999.999999996</v>
      </c>
      <c r="H110" s="17">
        <v>0</v>
      </c>
      <c r="I110" s="17">
        <v>0</v>
      </c>
      <c r="J110" s="17">
        <v>0</v>
      </c>
      <c r="K110" s="17">
        <v>0</v>
      </c>
      <c r="L110" s="161"/>
      <c r="M110" s="34"/>
      <c r="N110" s="34"/>
      <c r="O110" s="34"/>
      <c r="P110" s="34"/>
    </row>
    <row r="111" spans="1:16" x14ac:dyDescent="0.25">
      <c r="A111"/>
      <c r="B111"/>
      <c r="C111" s="153" t="s">
        <v>246</v>
      </c>
      <c r="D111" s="169"/>
      <c r="E111" s="151"/>
      <c r="F111" s="25"/>
      <c r="G111" s="17">
        <f>CRÉDITO!N14</f>
        <v>1458057.7948573208</v>
      </c>
      <c r="H111" s="17">
        <v>0</v>
      </c>
      <c r="I111" s="17">
        <v>0</v>
      </c>
      <c r="J111" s="17">
        <v>0</v>
      </c>
      <c r="K111" s="17">
        <v>0</v>
      </c>
      <c r="L111" s="161"/>
      <c r="M111" s="13"/>
      <c r="N111" s="13"/>
      <c r="O111" s="13"/>
      <c r="P111" s="13"/>
    </row>
    <row r="112" spans="1:16" x14ac:dyDescent="0.25">
      <c r="A112"/>
      <c r="B112"/>
      <c r="C112" s="153" t="s">
        <v>136</v>
      </c>
      <c r="D112" s="169"/>
      <c r="E112" s="169"/>
      <c r="F112" s="25"/>
      <c r="G112" s="17">
        <f>F50</f>
        <v>535680</v>
      </c>
      <c r="H112" s="17">
        <f>G50</f>
        <v>573108.47999999998</v>
      </c>
      <c r="I112" s="17">
        <f>H50</f>
        <v>615967.02720000001</v>
      </c>
      <c r="J112" s="17">
        <f>I50</f>
        <v>645775.43155200023</v>
      </c>
      <c r="K112" s="17">
        <f>J50</f>
        <v>692708.10429975612</v>
      </c>
      <c r="L112" s="161"/>
      <c r="M112" s="34"/>
      <c r="N112" s="34"/>
      <c r="O112" s="34"/>
      <c r="P112" s="34"/>
    </row>
    <row r="113" spans="1:16" x14ac:dyDescent="0.25">
      <c r="A113"/>
      <c r="B113"/>
      <c r="C113" s="153" t="s">
        <v>247</v>
      </c>
      <c r="D113" s="169"/>
      <c r="E113" s="169"/>
      <c r="F113" s="25"/>
      <c r="G113" s="17"/>
      <c r="H113" s="17"/>
      <c r="I113" s="17"/>
      <c r="J113" s="17"/>
      <c r="K113" s="17"/>
      <c r="L113" s="161"/>
      <c r="M113" s="13"/>
      <c r="N113" s="13"/>
      <c r="O113" s="13"/>
      <c r="P113" s="13"/>
    </row>
    <row r="114" spans="1:16" x14ac:dyDescent="0.25">
      <c r="A114"/>
      <c r="B114"/>
      <c r="C114" s="47" t="s">
        <v>248</v>
      </c>
      <c r="D114" s="48"/>
      <c r="E114" s="158"/>
      <c r="F114" s="19">
        <f t="shared" ref="F114:K114" si="11">SUM(F110:F113)</f>
        <v>0</v>
      </c>
      <c r="G114" s="19">
        <f t="shared" si="11"/>
        <v>22003737.794857316</v>
      </c>
      <c r="H114" s="19">
        <f t="shared" si="11"/>
        <v>573108.47999999998</v>
      </c>
      <c r="I114" s="19">
        <f t="shared" si="11"/>
        <v>615967.02720000001</v>
      </c>
      <c r="J114" s="19">
        <f t="shared" si="11"/>
        <v>645775.43155200023</v>
      </c>
      <c r="K114" s="19">
        <f t="shared" si="11"/>
        <v>692708.10429975612</v>
      </c>
      <c r="L114" s="161"/>
      <c r="M114" s="34"/>
      <c r="N114" s="34"/>
      <c r="O114" s="34"/>
      <c r="P114" s="34"/>
    </row>
    <row r="115" spans="1:16" ht="8.25" customHeight="1" x14ac:dyDescent="0.25">
      <c r="A115"/>
      <c r="B115"/>
      <c r="C115" s="13"/>
      <c r="D115" s="13"/>
      <c r="E115" s="13"/>
      <c r="F115" s="13"/>
      <c r="G115" s="13"/>
      <c r="H115" s="13"/>
      <c r="I115" s="13"/>
      <c r="J115" s="13"/>
      <c r="K115" s="13"/>
      <c r="L115" s="161"/>
      <c r="M115" s="13"/>
      <c r="N115" s="13"/>
      <c r="O115" s="13"/>
      <c r="P115" s="13"/>
    </row>
    <row r="116" spans="1:16" x14ac:dyDescent="0.25">
      <c r="A116"/>
      <c r="B116"/>
      <c r="C116" s="47" t="s">
        <v>249</v>
      </c>
      <c r="D116" s="179"/>
      <c r="E116" s="180"/>
      <c r="F116" s="19">
        <f t="shared" ref="F116:K116" si="12">F106-F114</f>
        <v>43874208.103232726</v>
      </c>
      <c r="G116" s="19">
        <f t="shared" si="12"/>
        <v>-22003737.794857316</v>
      </c>
      <c r="H116" s="19">
        <f t="shared" si="12"/>
        <v>-573108.47999999998</v>
      </c>
      <c r="I116" s="19">
        <f t="shared" si="12"/>
        <v>-615967.02720000001</v>
      </c>
      <c r="J116" s="19">
        <f t="shared" si="12"/>
        <v>-645775.43155200023</v>
      </c>
      <c r="K116" s="19">
        <f t="shared" si="12"/>
        <v>-692708.10429975612</v>
      </c>
      <c r="L116" s="161"/>
      <c r="M116" s="13"/>
      <c r="N116" s="13"/>
      <c r="O116" s="13"/>
      <c r="P116" s="13"/>
    </row>
    <row r="117" spans="1:16" ht="5.25" customHeight="1" x14ac:dyDescent="0.25">
      <c r="A117"/>
      <c r="B117"/>
      <c r="C117" s="13"/>
      <c r="D117" s="13"/>
      <c r="E117" s="13"/>
      <c r="F117" s="13"/>
      <c r="G117" s="13"/>
      <c r="H117" s="13"/>
      <c r="I117" s="13"/>
      <c r="J117" s="13"/>
      <c r="K117" s="13"/>
      <c r="L117" s="161"/>
      <c r="M117" s="13"/>
      <c r="N117" s="13"/>
      <c r="O117" s="13"/>
      <c r="P117" s="13"/>
    </row>
    <row r="118" spans="1:16" ht="3" customHeight="1" x14ac:dyDescent="0.25">
      <c r="A118"/>
      <c r="B118"/>
      <c r="C118" s="13"/>
      <c r="D118" s="13"/>
      <c r="E118" s="13"/>
      <c r="F118" s="13"/>
      <c r="G118" s="13"/>
      <c r="H118" s="13"/>
      <c r="I118" s="13"/>
      <c r="J118" s="13"/>
      <c r="K118" s="13"/>
      <c r="L118" s="161"/>
      <c r="M118" s="13"/>
      <c r="N118" s="13"/>
      <c r="O118" s="13"/>
      <c r="P118" s="13"/>
    </row>
    <row r="119" spans="1:16" x14ac:dyDescent="0.25">
      <c r="A119"/>
      <c r="B119"/>
      <c r="C119" s="47" t="s">
        <v>250</v>
      </c>
      <c r="D119" s="48"/>
      <c r="E119" s="48"/>
      <c r="F119" s="19">
        <f t="shared" ref="F119:K119" si="13">F100+F116</f>
        <v>0</v>
      </c>
      <c r="G119" s="19">
        <f>G100+G116</f>
        <v>19389945.645142682</v>
      </c>
      <c r="H119" s="19">
        <f t="shared" si="13"/>
        <v>31037191.825000051</v>
      </c>
      <c r="I119" s="19">
        <f t="shared" si="13"/>
        <v>33076050.662976012</v>
      </c>
      <c r="J119" s="19">
        <f t="shared" si="13"/>
        <v>31562381.806696344</v>
      </c>
      <c r="K119" s="19">
        <f t="shared" si="13"/>
        <v>35086038.018681705</v>
      </c>
      <c r="L119" s="161"/>
      <c r="M119" s="13"/>
      <c r="N119" s="13"/>
      <c r="O119" s="13"/>
      <c r="P119" s="13"/>
    </row>
    <row r="120" spans="1:16" ht="6" customHeight="1" x14ac:dyDescent="0.25">
      <c r="A120"/>
      <c r="B120"/>
      <c r="C120" s="13"/>
      <c r="D120" s="13"/>
      <c r="E120" s="13"/>
      <c r="F120" s="13"/>
      <c r="G120" s="13"/>
      <c r="H120" s="13"/>
      <c r="I120" s="13"/>
      <c r="J120" s="13"/>
      <c r="K120" s="13"/>
      <c r="L120" s="161"/>
      <c r="M120" s="13"/>
      <c r="N120" s="13"/>
      <c r="O120" s="13"/>
      <c r="P120" s="13"/>
    </row>
    <row r="121" spans="1:16" x14ac:dyDescent="0.25">
      <c r="A121"/>
      <c r="B121"/>
      <c r="C121" s="153" t="s">
        <v>251</v>
      </c>
      <c r="D121" s="44"/>
      <c r="E121" s="96"/>
      <c r="F121" s="17">
        <f>F100+F119</f>
        <v>-43874208.103232726</v>
      </c>
      <c r="G121" s="17">
        <f>G119</f>
        <v>19389945.645142682</v>
      </c>
      <c r="H121" s="17">
        <f>H119</f>
        <v>31037191.825000051</v>
      </c>
      <c r="I121" s="17">
        <f>I119</f>
        <v>33076050.662976012</v>
      </c>
      <c r="J121" s="17">
        <f>J119</f>
        <v>31562381.806696344</v>
      </c>
      <c r="K121" s="17">
        <f>K119</f>
        <v>35086038.018681705</v>
      </c>
      <c r="L121" s="161"/>
      <c r="M121" s="13"/>
      <c r="N121" s="13"/>
      <c r="O121" s="13"/>
      <c r="P121" s="13"/>
    </row>
    <row r="122" spans="1:16" x14ac:dyDescent="0.25">
      <c r="A122"/>
      <c r="B122"/>
      <c r="C122" s="153" t="s">
        <v>252</v>
      </c>
      <c r="D122" s="44"/>
      <c r="E122" s="96"/>
      <c r="F122" s="25"/>
      <c r="G122" s="17">
        <f>'COSTOS Y GASTOS'!E162</f>
        <v>23864208.103232723</v>
      </c>
      <c r="H122" s="17">
        <f>G124</f>
        <v>43254153.748375401</v>
      </c>
      <c r="I122" s="17">
        <f>H124</f>
        <v>74291345.573375449</v>
      </c>
      <c r="J122" s="17">
        <f>I124</f>
        <v>107367396.23635146</v>
      </c>
      <c r="K122" s="17">
        <f>J124</f>
        <v>138929778.04304782</v>
      </c>
      <c r="L122" s="161"/>
      <c r="M122" s="13"/>
      <c r="N122" s="13"/>
      <c r="O122" s="13"/>
      <c r="P122" s="13"/>
    </row>
    <row r="123" spans="1:16" ht="6.75" customHeight="1" x14ac:dyDescent="0.25">
      <c r="A123"/>
      <c r="B123"/>
      <c r="C123" s="13"/>
      <c r="D123" s="13"/>
      <c r="E123" s="13"/>
      <c r="F123" s="13"/>
      <c r="G123" s="13"/>
      <c r="H123" s="13"/>
      <c r="I123" s="13"/>
      <c r="J123" s="13"/>
      <c r="K123" s="13"/>
      <c r="L123" s="161"/>
      <c r="M123" s="13"/>
      <c r="N123" s="13"/>
      <c r="O123" s="13"/>
      <c r="P123" s="13"/>
    </row>
    <row r="124" spans="1:16" x14ac:dyDescent="0.25">
      <c r="A124"/>
      <c r="B124"/>
      <c r="C124" s="47" t="s">
        <v>253</v>
      </c>
      <c r="D124" s="44"/>
      <c r="E124" s="96"/>
      <c r="F124" s="19">
        <f t="shared" ref="F124:K124" si="14">F121+F122</f>
        <v>-43874208.103232726</v>
      </c>
      <c r="G124" s="19">
        <f>G121+G122</f>
        <v>43254153.748375401</v>
      </c>
      <c r="H124" s="19">
        <f t="shared" si="14"/>
        <v>74291345.573375449</v>
      </c>
      <c r="I124" s="19">
        <f t="shared" si="14"/>
        <v>107367396.23635146</v>
      </c>
      <c r="J124" s="19">
        <f t="shared" si="14"/>
        <v>138929778.04304782</v>
      </c>
      <c r="K124" s="19">
        <f t="shared" si="14"/>
        <v>174015816.06172952</v>
      </c>
      <c r="L124" s="161"/>
      <c r="M124" s="13"/>
      <c r="N124" s="13"/>
      <c r="O124" s="13"/>
      <c r="P124" s="13"/>
    </row>
    <row r="125" spans="1:16" x14ac:dyDescent="0.25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34"/>
      <c r="L125" s="34"/>
      <c r="M125" s="13"/>
      <c r="N125" s="13"/>
      <c r="O125" s="13"/>
      <c r="P125" s="13"/>
    </row>
    <row r="126" spans="1:16" x14ac:dyDescent="0.25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34"/>
      <c r="L126" s="34"/>
      <c r="M126" s="13"/>
      <c r="N126" s="13"/>
      <c r="O126" s="13"/>
      <c r="P126" s="13"/>
    </row>
    <row r="127" spans="1:16" x14ac:dyDescent="0.25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34"/>
      <c r="L127" s="34"/>
      <c r="M127" s="13"/>
      <c r="N127" s="13"/>
      <c r="O127" s="13"/>
      <c r="P127" s="13"/>
    </row>
    <row r="128" spans="1:16" x14ac:dyDescent="0.25">
      <c r="A128" s="13"/>
      <c r="B128" s="13"/>
      <c r="C128" s="13"/>
      <c r="D128" s="13"/>
      <c r="E128" s="13"/>
      <c r="F128" s="13"/>
      <c r="G128" s="34"/>
      <c r="H128" s="34"/>
      <c r="I128" s="34"/>
      <c r="J128" s="34"/>
      <c r="K128" s="34"/>
      <c r="L128" s="34"/>
      <c r="M128" s="13"/>
      <c r="N128" s="13"/>
      <c r="O128" s="13"/>
      <c r="P128" s="13"/>
    </row>
    <row r="129" spans="1:13" x14ac:dyDescent="0.25">
      <c r="A129" s="14" t="s">
        <v>59</v>
      </c>
      <c r="B129" s="14">
        <v>34</v>
      </c>
      <c r="C129" s="14" t="s">
        <v>254</v>
      </c>
      <c r="D129" s="13"/>
      <c r="E129" s="13"/>
      <c r="F129" s="13"/>
      <c r="G129" s="13"/>
      <c r="H129" s="13"/>
      <c r="I129" s="13"/>
      <c r="J129" s="13"/>
      <c r="K129" s="34"/>
      <c r="L129" s="34"/>
      <c r="M129" s="13"/>
    </row>
    <row r="130" spans="1:13" x14ac:dyDescent="0.25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34"/>
      <c r="L130" s="34"/>
      <c r="M130" s="13"/>
    </row>
    <row r="131" spans="1:13" x14ac:dyDescent="0.25">
      <c r="A131" s="13"/>
      <c r="B131" s="13"/>
      <c r="C131" s="13"/>
      <c r="D131" s="13"/>
      <c r="E131" s="13"/>
      <c r="F131" s="72" t="s">
        <v>187</v>
      </c>
      <c r="G131" s="72" t="s">
        <v>187</v>
      </c>
      <c r="H131" s="72" t="s">
        <v>187</v>
      </c>
      <c r="I131" s="72" t="s">
        <v>187</v>
      </c>
      <c r="J131" s="72" t="s">
        <v>187</v>
      </c>
      <c r="K131" s="72" t="s">
        <v>187</v>
      </c>
      <c r="L131" s="34"/>
      <c r="M131" s="13"/>
    </row>
    <row r="132" spans="1:13" x14ac:dyDescent="0.25">
      <c r="A132" s="13"/>
      <c r="B132" s="13"/>
      <c r="C132" s="13"/>
      <c r="D132" s="160"/>
      <c r="E132" s="164"/>
      <c r="F132" s="144">
        <v>0</v>
      </c>
      <c r="G132" s="144">
        <v>1</v>
      </c>
      <c r="H132" s="144">
        <v>2</v>
      </c>
      <c r="I132" s="144">
        <v>3</v>
      </c>
      <c r="J132" s="144">
        <v>4</v>
      </c>
      <c r="K132" s="144">
        <v>5</v>
      </c>
      <c r="L132" s="34"/>
      <c r="M132" s="13"/>
    </row>
    <row r="133" spans="1:13" x14ac:dyDescent="0.25">
      <c r="A133" s="13"/>
      <c r="B133" s="13"/>
      <c r="C133" s="153" t="s">
        <v>255</v>
      </c>
      <c r="D133" s="148" t="s">
        <v>59</v>
      </c>
      <c r="E133" s="148">
        <v>33</v>
      </c>
      <c r="F133" s="28">
        <f>'COSTOS Y GASTOS'!E162</f>
        <v>23864208.103232723</v>
      </c>
      <c r="G133" s="97">
        <f>G124</f>
        <v>43254153.748375401</v>
      </c>
      <c r="H133" s="17">
        <f>H124</f>
        <v>74291345.573375449</v>
      </c>
      <c r="I133" s="17">
        <f>I124</f>
        <v>107367396.23635146</v>
      </c>
      <c r="J133" s="17">
        <f>J124</f>
        <v>138929778.04304782</v>
      </c>
      <c r="K133" s="17">
        <f>K124</f>
        <v>174015816.06172952</v>
      </c>
      <c r="L133" s="34"/>
      <c r="M133" s="13"/>
    </row>
    <row r="134" spans="1:13" x14ac:dyDescent="0.25">
      <c r="A134" s="13"/>
      <c r="B134" s="13"/>
      <c r="C134" s="47" t="s">
        <v>256</v>
      </c>
      <c r="D134" s="69"/>
      <c r="E134" s="69"/>
      <c r="F134" s="30">
        <f t="shared" ref="F134:K134" si="15">F133</f>
        <v>23864208.103232723</v>
      </c>
      <c r="G134" s="149">
        <f>G133</f>
        <v>43254153.748375401</v>
      </c>
      <c r="H134" s="19">
        <f t="shared" si="15"/>
        <v>74291345.573375449</v>
      </c>
      <c r="I134" s="19">
        <f t="shared" si="15"/>
        <v>107367396.23635146</v>
      </c>
      <c r="J134" s="19">
        <f t="shared" si="15"/>
        <v>138929778.04304782</v>
      </c>
      <c r="K134" s="19">
        <f t="shared" si="15"/>
        <v>174015816.06172952</v>
      </c>
      <c r="L134" s="34"/>
      <c r="M134" s="13"/>
    </row>
    <row r="135" spans="1:13" x14ac:dyDescent="0.25">
      <c r="A135" s="13"/>
      <c r="B135" s="13"/>
      <c r="C135" s="477"/>
      <c r="D135" s="478"/>
      <c r="E135" s="479"/>
      <c r="F135" s="28"/>
      <c r="G135" s="13"/>
      <c r="H135" s="13"/>
      <c r="I135" s="13"/>
      <c r="J135" s="13"/>
      <c r="K135" s="13"/>
      <c r="L135" s="34"/>
      <c r="M135" s="13"/>
    </row>
    <row r="136" spans="1:13" x14ac:dyDescent="0.25">
      <c r="A136" s="13"/>
      <c r="B136" s="13"/>
      <c r="C136" s="170" t="s">
        <v>257</v>
      </c>
      <c r="D136" s="136" t="s">
        <v>59</v>
      </c>
      <c r="E136" s="136">
        <v>1</v>
      </c>
      <c r="F136" s="28">
        <f>'INVERSIONES '!D42</f>
        <v>0</v>
      </c>
      <c r="G136" s="97">
        <f>'INVERSIONES '!E6</f>
        <v>0</v>
      </c>
      <c r="H136" s="17">
        <f t="shared" ref="H136:J137" si="16">G136</f>
        <v>0</v>
      </c>
      <c r="I136" s="17">
        <f>H136</f>
        <v>0</v>
      </c>
      <c r="J136" s="17">
        <f t="shared" si="16"/>
        <v>0</v>
      </c>
      <c r="K136" s="17">
        <f>J136</f>
        <v>0</v>
      </c>
      <c r="L136" s="34"/>
      <c r="M136" s="13"/>
    </row>
    <row r="137" spans="1:13" x14ac:dyDescent="0.25">
      <c r="A137" s="13"/>
      <c r="B137" s="13"/>
      <c r="C137" s="153" t="s">
        <v>258</v>
      </c>
      <c r="D137" s="148" t="s">
        <v>59</v>
      </c>
      <c r="E137" s="148">
        <v>2</v>
      </c>
      <c r="F137" s="28">
        <f>'INVERSIONES '!D43</f>
        <v>0</v>
      </c>
      <c r="G137" s="97">
        <f>'INVERSIONES '!E12</f>
        <v>0</v>
      </c>
      <c r="H137" s="17">
        <f t="shared" si="16"/>
        <v>0</v>
      </c>
      <c r="I137" s="17">
        <f>H137</f>
        <v>0</v>
      </c>
      <c r="J137" s="17">
        <f t="shared" si="16"/>
        <v>0</v>
      </c>
      <c r="K137" s="17">
        <f>J137</f>
        <v>0</v>
      </c>
      <c r="L137" s="34"/>
      <c r="M137" s="13"/>
    </row>
    <row r="138" spans="1:13" x14ac:dyDescent="0.25">
      <c r="A138" s="13"/>
      <c r="B138" s="13"/>
      <c r="C138" s="153" t="s">
        <v>259</v>
      </c>
      <c r="D138" s="148" t="s">
        <v>59</v>
      </c>
      <c r="E138" s="148">
        <v>3</v>
      </c>
      <c r="F138" s="17">
        <f>'INVERSIONES '!D44</f>
        <v>18000000</v>
      </c>
      <c r="G138" s="97">
        <f>'INVERSIONES '!D44</f>
        <v>18000000</v>
      </c>
      <c r="H138" s="97">
        <f>'INVERSIONES '!D44</f>
        <v>18000000</v>
      </c>
      <c r="I138" s="97">
        <f>'INVERSIONES '!D44</f>
        <v>18000000</v>
      </c>
      <c r="J138" s="97">
        <f>'INVERSIONES '!D44</f>
        <v>18000000</v>
      </c>
      <c r="K138" s="97">
        <f>'INVERSIONES '!D44</f>
        <v>18000000</v>
      </c>
      <c r="L138" s="34"/>
      <c r="M138" s="13"/>
    </row>
    <row r="139" spans="1:13" x14ac:dyDescent="0.25">
      <c r="A139" s="13"/>
      <c r="B139" s="13"/>
      <c r="C139" s="153" t="s">
        <v>260</v>
      </c>
      <c r="D139" s="148" t="s">
        <v>59</v>
      </c>
      <c r="E139" s="148">
        <v>4</v>
      </c>
      <c r="F139" s="17">
        <f>'INVERSIONES '!D45</f>
        <v>360000</v>
      </c>
      <c r="G139" s="97">
        <f>'INVERSIONES '!D45</f>
        <v>360000</v>
      </c>
      <c r="H139" s="97">
        <f>'INVERSIONES '!D45</f>
        <v>360000</v>
      </c>
      <c r="I139" s="97">
        <f>'INVERSIONES '!D45</f>
        <v>360000</v>
      </c>
      <c r="J139" s="97">
        <f>'INVERSIONES '!D45</f>
        <v>360000</v>
      </c>
      <c r="K139" s="97">
        <f>'INVERSIONES '!D45</f>
        <v>360000</v>
      </c>
      <c r="L139" s="34"/>
      <c r="M139" s="13"/>
    </row>
    <row r="140" spans="1:13" x14ac:dyDescent="0.25">
      <c r="A140" s="13"/>
      <c r="B140" s="13"/>
      <c r="C140" s="153" t="s">
        <v>261</v>
      </c>
      <c r="D140" s="148" t="s">
        <v>59</v>
      </c>
      <c r="E140" s="148">
        <v>5</v>
      </c>
      <c r="F140" s="17">
        <f>'INVERSIONES '!D46</f>
        <v>1650000</v>
      </c>
      <c r="G140" s="97">
        <f>'INVERSIONES '!D46</f>
        <v>1650000</v>
      </c>
      <c r="H140" s="97">
        <f>'INVERSIONES '!D46</f>
        <v>1650000</v>
      </c>
      <c r="I140" s="97">
        <f>'INVERSIONES '!D46</f>
        <v>1650000</v>
      </c>
      <c r="J140" s="97">
        <f>'INVERSIONES '!D46</f>
        <v>1650000</v>
      </c>
      <c r="K140" s="97">
        <f>'INVERSIONES '!D46</f>
        <v>1650000</v>
      </c>
      <c r="L140" s="34"/>
      <c r="M140" s="13"/>
    </row>
    <row r="141" spans="1:13" x14ac:dyDescent="0.25">
      <c r="A141" s="13"/>
      <c r="B141" s="13"/>
      <c r="C141" s="153" t="s">
        <v>81</v>
      </c>
      <c r="D141" s="148" t="s">
        <v>59</v>
      </c>
      <c r="E141" s="148">
        <v>6</v>
      </c>
      <c r="F141" s="17">
        <f>'INVERSIONES '!D47</f>
        <v>0</v>
      </c>
      <c r="G141" s="97">
        <f>'INVERSIONES '!D47</f>
        <v>0</v>
      </c>
      <c r="H141" s="97">
        <f>'INVERSIONES '!D47</f>
        <v>0</v>
      </c>
      <c r="I141" s="97">
        <f>'INVERSIONES '!D47</f>
        <v>0</v>
      </c>
      <c r="J141" s="97">
        <f>'INVERSIONES '!D47</f>
        <v>0</v>
      </c>
      <c r="K141" s="97">
        <f>'INVERSIONES '!D47</f>
        <v>0</v>
      </c>
      <c r="L141" s="34"/>
      <c r="M141" s="13"/>
    </row>
    <row r="142" spans="1:13" x14ac:dyDescent="0.25">
      <c r="A142" s="13"/>
      <c r="B142" s="13"/>
      <c r="C142" s="153" t="s">
        <v>262</v>
      </c>
      <c r="D142" s="148" t="s">
        <v>59</v>
      </c>
      <c r="E142" s="148">
        <v>13</v>
      </c>
      <c r="F142" s="17">
        <f>F78+F87</f>
        <v>0</v>
      </c>
      <c r="G142" s="97">
        <f>G78+G87</f>
        <v>-4002000</v>
      </c>
      <c r="H142" s="17">
        <f>G142+H78+H87</f>
        <v>-8004000</v>
      </c>
      <c r="I142" s="17">
        <f>H142+I78+I87</f>
        <v>-12006000</v>
      </c>
      <c r="J142" s="17">
        <f>I142+J78+J87</f>
        <v>-16008000</v>
      </c>
      <c r="K142" s="17">
        <f>J142+K78+K87</f>
        <v>-20010000</v>
      </c>
      <c r="L142" s="34"/>
      <c r="M142" s="13"/>
    </row>
    <row r="143" spans="1:13" x14ac:dyDescent="0.25">
      <c r="A143" s="13"/>
      <c r="B143" s="13"/>
      <c r="C143" s="182" t="s">
        <v>263</v>
      </c>
      <c r="D143" s="69"/>
      <c r="E143" s="69"/>
      <c r="F143" s="30">
        <f t="shared" ref="F143:K143" si="17">SUM(F136:F142)</f>
        <v>20010000</v>
      </c>
      <c r="G143" s="149">
        <f t="shared" si="17"/>
        <v>16008000</v>
      </c>
      <c r="H143" s="19">
        <f t="shared" si="17"/>
        <v>12006000</v>
      </c>
      <c r="I143" s="19">
        <f t="shared" si="17"/>
        <v>8004000</v>
      </c>
      <c r="J143" s="19">
        <f t="shared" si="17"/>
        <v>4002000</v>
      </c>
      <c r="K143" s="19">
        <f t="shared" si="17"/>
        <v>0</v>
      </c>
      <c r="L143" s="34"/>
      <c r="M143" s="13"/>
    </row>
    <row r="144" spans="1:13" x14ac:dyDescent="0.25">
      <c r="A144" s="13"/>
      <c r="B144" s="13"/>
      <c r="C144" s="153" t="s">
        <v>264</v>
      </c>
      <c r="D144" s="136" t="s">
        <v>59</v>
      </c>
      <c r="E144" s="136">
        <v>8</v>
      </c>
      <c r="F144" s="17">
        <f>'INVERSIONES '!D56</f>
        <v>0</v>
      </c>
      <c r="G144" s="97">
        <f>'INVERSIONES '!D56</f>
        <v>0</v>
      </c>
      <c r="H144" s="17">
        <f>G144</f>
        <v>0</v>
      </c>
      <c r="I144" s="17">
        <f>H144</f>
        <v>0</v>
      </c>
      <c r="J144" s="17">
        <f>I144</f>
        <v>0</v>
      </c>
      <c r="K144" s="17">
        <f>J144</f>
        <v>0</v>
      </c>
      <c r="L144" s="34"/>
      <c r="M144" s="34"/>
    </row>
    <row r="145" spans="3:12" x14ac:dyDescent="0.25">
      <c r="C145" s="153" t="s">
        <v>265</v>
      </c>
      <c r="D145" s="148"/>
      <c r="E145" s="148"/>
      <c r="F145" s="28"/>
      <c r="G145" s="97">
        <f>G86</f>
        <v>0</v>
      </c>
      <c r="H145" s="17">
        <f>G145+G86</f>
        <v>0</v>
      </c>
      <c r="I145" s="17">
        <f>H145+H86</f>
        <v>0</v>
      </c>
      <c r="J145" s="17">
        <f>I145+I86</f>
        <v>0</v>
      </c>
      <c r="K145" s="17">
        <f>J145+J86</f>
        <v>0</v>
      </c>
      <c r="L145" s="34"/>
    </row>
    <row r="146" spans="3:12" x14ac:dyDescent="0.25">
      <c r="C146" s="182" t="s">
        <v>266</v>
      </c>
      <c r="D146" s="90"/>
      <c r="E146" s="90"/>
      <c r="F146" s="30">
        <f t="shared" ref="F146:K146" si="18">SUM(F144:F145)</f>
        <v>0</v>
      </c>
      <c r="G146" s="149">
        <f t="shared" si="18"/>
        <v>0</v>
      </c>
      <c r="H146" s="19">
        <f t="shared" si="18"/>
        <v>0</v>
      </c>
      <c r="I146" s="19">
        <f t="shared" si="18"/>
        <v>0</v>
      </c>
      <c r="J146" s="19">
        <f t="shared" si="18"/>
        <v>0</v>
      </c>
      <c r="K146" s="19">
        <f t="shared" si="18"/>
        <v>0</v>
      </c>
      <c r="L146" s="34"/>
    </row>
    <row r="147" spans="3:12" x14ac:dyDescent="0.25">
      <c r="C147" s="47" t="s">
        <v>267</v>
      </c>
      <c r="D147" s="44"/>
      <c r="E147" s="44"/>
      <c r="F147" s="149">
        <f t="shared" ref="F147:K147" si="19">F146+F143+F134</f>
        <v>43874208.103232726</v>
      </c>
      <c r="G147" s="149">
        <f t="shared" si="19"/>
        <v>59262153.748375401</v>
      </c>
      <c r="H147" s="19">
        <f t="shared" si="19"/>
        <v>86297345.573375449</v>
      </c>
      <c r="I147" s="19">
        <f t="shared" si="19"/>
        <v>115371396.23635146</v>
      </c>
      <c r="J147" s="19">
        <f t="shared" si="19"/>
        <v>142931778.04304782</v>
      </c>
      <c r="K147" s="19">
        <f t="shared" si="19"/>
        <v>174015816.06172952</v>
      </c>
      <c r="L147" s="34"/>
    </row>
    <row r="148" spans="3:12" x14ac:dyDescent="0.25">
      <c r="C148" s="47"/>
      <c r="D148" s="48"/>
      <c r="E148" s="48"/>
      <c r="F148" s="28"/>
      <c r="G148" s="48"/>
      <c r="H148" s="48"/>
      <c r="I148" s="48"/>
      <c r="J148" s="48"/>
      <c r="K148" s="158"/>
      <c r="L148" s="34"/>
    </row>
    <row r="149" spans="3:12" x14ac:dyDescent="0.25">
      <c r="C149" s="153" t="s">
        <v>268</v>
      </c>
      <c r="D149" s="44"/>
      <c r="E149" s="183"/>
      <c r="F149" s="17">
        <f>CRÉDITO!O14</f>
        <v>20009999.999999996</v>
      </c>
      <c r="G149" s="97">
        <v>0</v>
      </c>
      <c r="H149" s="17">
        <v>0</v>
      </c>
      <c r="I149" s="17">
        <v>0</v>
      </c>
      <c r="J149" s="17">
        <v>0</v>
      </c>
      <c r="K149" s="17">
        <v>0</v>
      </c>
      <c r="L149" s="34" t="s">
        <v>2</v>
      </c>
    </row>
    <row r="150" spans="3:12" x14ac:dyDescent="0.25">
      <c r="C150" s="153" t="s">
        <v>269</v>
      </c>
      <c r="D150" s="44"/>
      <c r="E150" s="148"/>
      <c r="F150" s="28"/>
      <c r="G150" s="97">
        <f>F56</f>
        <v>12389280.975799935</v>
      </c>
      <c r="H150" s="17">
        <f>G56</f>
        <v>13798565.480279995</v>
      </c>
      <c r="I150" s="17">
        <f>H56</f>
        <v>15005415.6501396</v>
      </c>
      <c r="J150" s="17">
        <f>I56</f>
        <v>14898029.109892579</v>
      </c>
      <c r="K150" s="17">
        <f>J56</f>
        <v>16093723.495000999</v>
      </c>
      <c r="L150" s="34"/>
    </row>
    <row r="151" spans="3:12" x14ac:dyDescent="0.25">
      <c r="C151" s="47" t="s">
        <v>270</v>
      </c>
      <c r="D151" s="48"/>
      <c r="E151" s="48"/>
      <c r="F151" s="149">
        <f t="shared" ref="F151:K151" si="20">SUM(F149:F150)</f>
        <v>20009999.999999996</v>
      </c>
      <c r="G151" s="149">
        <f t="shared" si="20"/>
        <v>12389280.975799935</v>
      </c>
      <c r="H151" s="19">
        <f t="shared" si="20"/>
        <v>13798565.480279995</v>
      </c>
      <c r="I151" s="19">
        <f t="shared" si="20"/>
        <v>15005415.6501396</v>
      </c>
      <c r="J151" s="19">
        <f t="shared" si="20"/>
        <v>14898029.109892579</v>
      </c>
      <c r="K151" s="19">
        <f t="shared" si="20"/>
        <v>16093723.495000999</v>
      </c>
      <c r="L151" s="34"/>
    </row>
    <row r="152" spans="3:12" x14ac:dyDescent="0.25">
      <c r="C152" s="463" t="s">
        <v>271</v>
      </c>
      <c r="D152" s="464"/>
      <c r="E152" s="465"/>
      <c r="F152" s="97">
        <f>CRÉDITO!P14</f>
        <v>0</v>
      </c>
      <c r="G152" s="97">
        <v>0</v>
      </c>
      <c r="H152" s="17">
        <v>0</v>
      </c>
      <c r="I152" s="17">
        <v>0</v>
      </c>
      <c r="J152" s="17">
        <v>0</v>
      </c>
      <c r="K152" s="17">
        <v>0</v>
      </c>
      <c r="L152" s="34"/>
    </row>
    <row r="153" spans="3:12" x14ac:dyDescent="0.25">
      <c r="C153" s="47" t="s">
        <v>272</v>
      </c>
      <c r="D153" s="44"/>
      <c r="E153" s="44"/>
      <c r="F153" s="30">
        <f>SUM(F151:F152)</f>
        <v>20009999.999999996</v>
      </c>
      <c r="G153" s="149">
        <f>G151+G152</f>
        <v>12389280.975799935</v>
      </c>
      <c r="H153" s="19">
        <f>H151+H152</f>
        <v>13798565.480279995</v>
      </c>
      <c r="I153" s="19">
        <f>I151+I152</f>
        <v>15005415.6501396</v>
      </c>
      <c r="J153" s="19">
        <f>J151+J152</f>
        <v>14898029.109892579</v>
      </c>
      <c r="K153" s="19">
        <f>K151+K152</f>
        <v>16093723.495000999</v>
      </c>
      <c r="L153" s="34"/>
    </row>
    <row r="154" spans="3:12" x14ac:dyDescent="0.25">
      <c r="C154" s="47"/>
      <c r="D154" s="48"/>
      <c r="E154" s="48"/>
      <c r="F154" s="28"/>
      <c r="G154" s="48"/>
      <c r="H154" s="48"/>
      <c r="I154" s="48"/>
      <c r="J154" s="48"/>
      <c r="K154" s="158"/>
      <c r="L154" s="34"/>
    </row>
    <row r="155" spans="3:12" x14ac:dyDescent="0.25">
      <c r="C155" s="165" t="s">
        <v>273</v>
      </c>
      <c r="D155" s="184"/>
      <c r="E155" s="155"/>
      <c r="F155" s="28">
        <f>'COSTOS Y GASTOS'!D169</f>
        <v>23864208.103232726</v>
      </c>
      <c r="G155" s="97">
        <f>F155</f>
        <v>23864208.103232726</v>
      </c>
      <c r="H155" s="97">
        <f>G155</f>
        <v>23864208.103232726</v>
      </c>
      <c r="I155" s="97">
        <f>H155</f>
        <v>23864208.103232726</v>
      </c>
      <c r="J155" s="97">
        <f>I155</f>
        <v>23864208.103232726</v>
      </c>
      <c r="K155" s="97">
        <f>J155</f>
        <v>23864208.103232726</v>
      </c>
      <c r="L155" s="34"/>
    </row>
    <row r="156" spans="3:12" x14ac:dyDescent="0.25">
      <c r="C156" s="153" t="s">
        <v>274</v>
      </c>
      <c r="D156" s="44"/>
      <c r="E156" s="148"/>
      <c r="F156" s="28"/>
      <c r="G156" s="97"/>
      <c r="H156" s="17">
        <f>G157+G156</f>
        <v>18406931.735474192</v>
      </c>
      <c r="I156" s="17">
        <f>H157+H156</f>
        <v>38907657.591890186</v>
      </c>
      <c r="J156" s="17">
        <f>I157+I156</f>
        <v>61201417.986383304</v>
      </c>
      <c r="K156" s="17">
        <f>J157+J156</f>
        <v>83335632.663937986</v>
      </c>
      <c r="L156" s="34"/>
    </row>
    <row r="157" spans="3:12" x14ac:dyDescent="0.25">
      <c r="C157" s="153" t="s">
        <v>275</v>
      </c>
      <c r="D157" s="44"/>
      <c r="E157" s="148"/>
      <c r="F157" s="28"/>
      <c r="G157" s="97">
        <f>F62</f>
        <v>18406931.735474192</v>
      </c>
      <c r="H157" s="17">
        <f>G62</f>
        <v>20500725.856415994</v>
      </c>
      <c r="I157" s="17">
        <f>H62</f>
        <v>22293760.394493122</v>
      </c>
      <c r="J157" s="17">
        <f>I62</f>
        <v>22134214.677554689</v>
      </c>
      <c r="K157" s="17">
        <f>J62</f>
        <v>23910674.90685863</v>
      </c>
      <c r="L157" s="34"/>
    </row>
    <row r="158" spans="3:12" x14ac:dyDescent="0.25">
      <c r="C158" s="170" t="s">
        <v>276</v>
      </c>
      <c r="D158" s="160"/>
      <c r="E158" s="136"/>
      <c r="F158" s="28"/>
      <c r="G158" s="97">
        <f>F61</f>
        <v>4601732.9338685488</v>
      </c>
      <c r="H158" s="17">
        <f>G158+G61</f>
        <v>9726914.3979725465</v>
      </c>
      <c r="I158" s="17">
        <f>H158+H61</f>
        <v>15300354.496595826</v>
      </c>
      <c r="J158" s="17">
        <f>I158+I61</f>
        <v>20833908.1659845</v>
      </c>
      <c r="K158" s="17">
        <f>J158+J61</f>
        <v>26811576.89269916</v>
      </c>
      <c r="L158" s="34"/>
    </row>
    <row r="159" spans="3:12" x14ac:dyDescent="0.25">
      <c r="C159" s="47" t="s">
        <v>277</v>
      </c>
      <c r="D159" s="48"/>
      <c r="E159" s="48"/>
      <c r="F159" s="185">
        <f>SUM(F155:F158)</f>
        <v>23864208.103232726</v>
      </c>
      <c r="G159" s="185">
        <f t="shared" ref="G159:K159" si="21">SUM(G155:G158)</f>
        <v>46872872.772575468</v>
      </c>
      <c r="H159" s="125">
        <f t="shared" si="21"/>
        <v>72498780.093095452</v>
      </c>
      <c r="I159" s="125">
        <f t="shared" si="21"/>
        <v>100365980.58621186</v>
      </c>
      <c r="J159" s="125">
        <f t="shared" si="21"/>
        <v>128033748.93315522</v>
      </c>
      <c r="K159" s="125">
        <f t="shared" si="21"/>
        <v>157922092.5667285</v>
      </c>
      <c r="L159" s="34"/>
    </row>
    <row r="160" spans="3:12" x14ac:dyDescent="0.25">
      <c r="C160" s="47" t="s">
        <v>278</v>
      </c>
      <c r="D160" s="48"/>
      <c r="E160" s="48"/>
      <c r="F160" s="30">
        <f>F153+F159</f>
        <v>43874208.103232726</v>
      </c>
      <c r="G160" s="149">
        <f t="shared" ref="G160:K160" si="22">G153+G159</f>
        <v>59262153.748375401</v>
      </c>
      <c r="H160" s="19">
        <f t="shared" si="22"/>
        <v>86297345.573375449</v>
      </c>
      <c r="I160" s="19">
        <f t="shared" si="22"/>
        <v>115371396.23635146</v>
      </c>
      <c r="J160" s="19">
        <f t="shared" si="22"/>
        <v>142931778.04304782</v>
      </c>
      <c r="K160" s="19">
        <f t="shared" si="22"/>
        <v>174015816.06172949</v>
      </c>
      <c r="L160" s="34"/>
    </row>
    <row r="161" spans="3:12" x14ac:dyDescent="0.25">
      <c r="C161" s="13"/>
      <c r="D161" s="13"/>
      <c r="E161" s="13"/>
      <c r="F161" s="46"/>
      <c r="G161" s="13"/>
      <c r="H161" s="13"/>
      <c r="I161" s="13"/>
      <c r="J161" s="13"/>
      <c r="K161" s="13"/>
      <c r="L161" s="13"/>
    </row>
    <row r="162" spans="3:12" x14ac:dyDescent="0.25">
      <c r="C162" s="13"/>
      <c r="D162" s="13"/>
      <c r="E162" s="13"/>
      <c r="F162" s="46"/>
      <c r="G162" s="34"/>
      <c r="H162" s="34"/>
      <c r="I162" s="34"/>
      <c r="J162" s="34"/>
      <c r="K162" s="34"/>
      <c r="L162" s="13"/>
    </row>
    <row r="163" spans="3:12" x14ac:dyDescent="0.25">
      <c r="C163" s="47" t="s">
        <v>279</v>
      </c>
      <c r="D163" s="48"/>
      <c r="E163" s="48"/>
      <c r="F163" s="186">
        <f>(F147-F160)*-1</f>
        <v>0</v>
      </c>
      <c r="G163" s="19">
        <f>(G147-G160)*-1</f>
        <v>0</v>
      </c>
      <c r="H163" s="19">
        <f t="shared" ref="H163:K163" si="23">(H147-H160)*-1</f>
        <v>0</v>
      </c>
      <c r="I163" s="19">
        <f t="shared" si="23"/>
        <v>0</v>
      </c>
      <c r="J163" s="19">
        <f t="shared" si="23"/>
        <v>0</v>
      </c>
      <c r="K163" s="19">
        <f t="shared" si="23"/>
        <v>-2.9802322387695313E-8</v>
      </c>
      <c r="L163" s="13"/>
    </row>
    <row r="164" spans="3:12" ht="19.5" customHeight="1" x14ac:dyDescent="0.3">
      <c r="C164" s="13"/>
      <c r="D164" s="13"/>
      <c r="E164" s="13"/>
      <c r="F164" s="34"/>
      <c r="G164" s="187" t="s">
        <v>280</v>
      </c>
      <c r="H164" s="187"/>
      <c r="I164" s="187"/>
      <c r="J164" s="13"/>
      <c r="K164" s="13"/>
      <c r="L164" s="34"/>
    </row>
    <row r="165" spans="3:12" x14ac:dyDescent="0.25">
      <c r="C165" s="13"/>
      <c r="D165" s="13"/>
      <c r="E165" s="13"/>
      <c r="F165" s="34"/>
      <c r="G165" s="13"/>
      <c r="H165" s="34"/>
      <c r="I165" s="13"/>
      <c r="J165" s="34"/>
      <c r="K165" s="34"/>
      <c r="L165" s="13"/>
    </row>
    <row r="166" spans="3:12" x14ac:dyDescent="0.25">
      <c r="C166" s="13"/>
      <c r="D166" s="13"/>
      <c r="E166" s="13"/>
      <c r="F166" s="34"/>
      <c r="G166" s="13"/>
      <c r="H166" s="34"/>
      <c r="I166" s="13"/>
      <c r="J166" s="34"/>
      <c r="K166" s="13"/>
      <c r="L166" s="13"/>
    </row>
    <row r="167" spans="3:12" x14ac:dyDescent="0.25">
      <c r="C167" s="14" t="s">
        <v>281</v>
      </c>
      <c r="D167" s="13" t="s">
        <v>2</v>
      </c>
      <c r="E167" s="13"/>
      <c r="F167" s="34"/>
      <c r="G167" s="13"/>
      <c r="H167" s="34"/>
      <c r="I167" s="13"/>
      <c r="J167" s="34"/>
      <c r="K167" s="13"/>
      <c r="L167" s="13"/>
    </row>
    <row r="168" spans="3:12" x14ac:dyDescent="0.25">
      <c r="C168" s="13"/>
      <c r="D168" s="13"/>
      <c r="E168" s="13"/>
      <c r="F168" s="34"/>
      <c r="G168" s="34"/>
      <c r="H168" s="34"/>
      <c r="I168" s="34"/>
      <c r="J168" s="34"/>
      <c r="K168" s="13"/>
      <c r="L168" s="13"/>
    </row>
    <row r="170" spans="3:12" x14ac:dyDescent="0.25">
      <c r="C170" s="14" t="s">
        <v>282</v>
      </c>
      <c r="D170" s="13"/>
      <c r="E170" s="13"/>
      <c r="F170" s="49" t="s">
        <v>187</v>
      </c>
      <c r="G170" s="72" t="s">
        <v>187</v>
      </c>
      <c r="H170" s="188" t="s">
        <v>187</v>
      </c>
      <c r="I170" s="72" t="s">
        <v>187</v>
      </c>
      <c r="J170" s="50" t="s">
        <v>187</v>
      </c>
      <c r="K170" s="13"/>
      <c r="L170" s="13"/>
    </row>
    <row r="171" spans="3:12" x14ac:dyDescent="0.25">
      <c r="C171" s="14"/>
      <c r="D171" s="13"/>
      <c r="E171" s="13"/>
      <c r="F171" s="189">
        <f>G132</f>
        <v>1</v>
      </c>
      <c r="G171" s="132">
        <f>H132</f>
        <v>2</v>
      </c>
      <c r="H171" s="190">
        <f>I132</f>
        <v>3</v>
      </c>
      <c r="I171" s="132">
        <f>J132</f>
        <v>4</v>
      </c>
      <c r="J171" s="191">
        <f>K132</f>
        <v>5</v>
      </c>
      <c r="K171" s="13"/>
      <c r="L171" s="13"/>
    </row>
    <row r="172" spans="3:12" x14ac:dyDescent="0.25">
      <c r="C172" s="14"/>
      <c r="D172" s="13"/>
      <c r="E172" s="13"/>
      <c r="F172" s="192">
        <f>G134/G151</f>
        <v>3.4912561780513354</v>
      </c>
      <c r="G172" s="192">
        <f>H134/H151</f>
        <v>5.3839905082559323</v>
      </c>
      <c r="H172" s="192">
        <f>I134/I151</f>
        <v>7.1552430628839385</v>
      </c>
      <c r="I172" s="192">
        <f>J134/J151</f>
        <v>9.3253796873571524</v>
      </c>
      <c r="J172" s="192">
        <f>K134/K151</f>
        <v>10.81265103851088</v>
      </c>
      <c r="K172" s="13"/>
      <c r="L172" s="13"/>
    </row>
    <row r="173" spans="3:12" x14ac:dyDescent="0.25">
      <c r="C173" s="14"/>
      <c r="D173" s="13"/>
      <c r="E173" s="13"/>
      <c r="F173" s="193"/>
      <c r="G173" s="193"/>
      <c r="H173" s="193"/>
      <c r="I173" s="193"/>
      <c r="J173" s="193"/>
      <c r="K173" s="13"/>
      <c r="L173" s="13"/>
    </row>
    <row r="174" spans="3:12" x14ac:dyDescent="0.25">
      <c r="C174" s="14"/>
      <c r="D174" s="13"/>
      <c r="E174" s="13"/>
      <c r="F174" s="193"/>
      <c r="G174" s="193"/>
      <c r="H174" s="193"/>
      <c r="I174" s="193"/>
      <c r="J174" s="193"/>
      <c r="K174" s="13"/>
      <c r="L174" s="13"/>
    </row>
    <row r="175" spans="3:12" x14ac:dyDescent="0.25">
      <c r="C175" s="14"/>
      <c r="D175" s="13"/>
      <c r="E175" s="13"/>
      <c r="F175" s="193"/>
      <c r="G175" s="193"/>
      <c r="H175" s="193"/>
      <c r="I175" s="193"/>
      <c r="J175" s="193"/>
      <c r="K175" s="13"/>
      <c r="L175" s="13"/>
    </row>
    <row r="176" spans="3:12" x14ac:dyDescent="0.25">
      <c r="C176" s="14" t="s">
        <v>129</v>
      </c>
      <c r="D176" s="13"/>
      <c r="E176" s="13"/>
      <c r="F176" s="194" t="str">
        <f t="shared" ref="F176:J177" si="24">F170</f>
        <v>Año</v>
      </c>
      <c r="G176" s="195" t="str">
        <f t="shared" si="24"/>
        <v>Año</v>
      </c>
      <c r="H176" s="196" t="str">
        <f t="shared" si="24"/>
        <v>Año</v>
      </c>
      <c r="I176" s="195" t="str">
        <f t="shared" si="24"/>
        <v>Año</v>
      </c>
      <c r="J176" s="197" t="str">
        <f t="shared" si="24"/>
        <v>Año</v>
      </c>
      <c r="K176" s="13"/>
      <c r="L176" s="13"/>
    </row>
    <row r="177" spans="3:10" x14ac:dyDescent="0.25">
      <c r="C177" s="14"/>
      <c r="D177" s="13"/>
      <c r="E177" s="13"/>
      <c r="F177" s="198">
        <f t="shared" si="24"/>
        <v>1</v>
      </c>
      <c r="G177" s="199">
        <f t="shared" si="24"/>
        <v>2</v>
      </c>
      <c r="H177" s="200">
        <f t="shared" si="24"/>
        <v>3</v>
      </c>
      <c r="I177" s="199">
        <f t="shared" si="24"/>
        <v>4</v>
      </c>
      <c r="J177" s="201">
        <f t="shared" si="24"/>
        <v>5</v>
      </c>
    </row>
    <row r="178" spans="3:10" x14ac:dyDescent="0.25">
      <c r="C178" s="14"/>
      <c r="D178" s="13"/>
      <c r="E178" s="13"/>
      <c r="F178" s="123">
        <f>G134-G151</f>
        <v>30864872.772575468</v>
      </c>
      <c r="G178" s="123">
        <f>H134-H151</f>
        <v>60492780.093095452</v>
      </c>
      <c r="H178" s="123">
        <f>I134-I151</f>
        <v>92361980.58621186</v>
      </c>
      <c r="I178" s="123">
        <f>J134-J151</f>
        <v>124031748.93315524</v>
      </c>
      <c r="J178" s="123">
        <f>K134-K151</f>
        <v>157922092.56672853</v>
      </c>
    </row>
    <row r="179" spans="3:10" x14ac:dyDescent="0.25">
      <c r="C179" s="14"/>
      <c r="D179" s="13"/>
      <c r="E179" s="13"/>
      <c r="F179" s="34"/>
      <c r="G179" s="34"/>
      <c r="H179" s="34"/>
      <c r="I179" s="34"/>
      <c r="J179" s="34"/>
    </row>
    <row r="180" spans="3:10" x14ac:dyDescent="0.25">
      <c r="C180" s="14"/>
      <c r="D180" s="13"/>
      <c r="E180" s="13"/>
      <c r="F180" s="34"/>
      <c r="G180" s="34"/>
      <c r="H180" s="34"/>
      <c r="I180" s="34"/>
      <c r="J180" s="34"/>
    </row>
    <row r="181" spans="3:10" x14ac:dyDescent="0.25">
      <c r="C181" s="14"/>
      <c r="D181" s="13"/>
      <c r="E181" s="13"/>
      <c r="F181" s="34"/>
      <c r="G181" s="34"/>
      <c r="H181" s="34"/>
      <c r="I181" s="34"/>
      <c r="J181" s="34"/>
    </row>
    <row r="182" spans="3:10" x14ac:dyDescent="0.25">
      <c r="C182" s="14" t="s">
        <v>283</v>
      </c>
      <c r="D182" s="13"/>
      <c r="E182" s="13"/>
      <c r="F182" s="202" t="str">
        <f>F176</f>
        <v>Año</v>
      </c>
      <c r="G182" s="203" t="str">
        <f>G176</f>
        <v>Año</v>
      </c>
      <c r="H182" s="204" t="str">
        <f>H176</f>
        <v>Año</v>
      </c>
      <c r="I182" s="203" t="str">
        <f>I176</f>
        <v>Año</v>
      </c>
      <c r="J182" s="205" t="str">
        <f>J176</f>
        <v>Año</v>
      </c>
    </row>
    <row r="183" spans="3:10" x14ac:dyDescent="0.25">
      <c r="C183" s="14"/>
      <c r="D183" s="13"/>
      <c r="E183" s="13"/>
      <c r="F183" s="189">
        <f>F171</f>
        <v>1</v>
      </c>
      <c r="G183" s="132">
        <f>G171</f>
        <v>2</v>
      </c>
      <c r="H183" s="190">
        <f>H171</f>
        <v>3</v>
      </c>
      <c r="I183" s="132">
        <f>I171</f>
        <v>4</v>
      </c>
      <c r="J183" s="191">
        <f>J171</f>
        <v>5</v>
      </c>
    </row>
    <row r="184" spans="3:10" x14ac:dyDescent="0.25">
      <c r="C184" s="14"/>
      <c r="D184" s="13"/>
      <c r="E184" s="13"/>
      <c r="F184" s="206">
        <f>G153/G147</f>
        <v>0.2090589050881326</v>
      </c>
      <c r="G184" s="206">
        <f>H153/H147</f>
        <v>0.15989559572892753</v>
      </c>
      <c r="H184" s="206">
        <f>I153/I147</f>
        <v>0.13006183629258761</v>
      </c>
      <c r="I184" s="206">
        <f>J153/J147</f>
        <v>0.10423174827787862</v>
      </c>
      <c r="J184" s="206">
        <f>K153/K147</f>
        <v>9.2484257231492048E-2</v>
      </c>
    </row>
    <row r="185" spans="3:10" x14ac:dyDescent="0.25">
      <c r="C185" s="14"/>
      <c r="D185" s="13"/>
      <c r="E185" s="13"/>
      <c r="F185" s="207"/>
      <c r="G185" s="207"/>
      <c r="H185" s="207"/>
      <c r="I185" s="207"/>
      <c r="J185" s="207"/>
    </row>
    <row r="186" spans="3:10" x14ac:dyDescent="0.25">
      <c r="C186" s="14"/>
      <c r="D186" s="13"/>
      <c r="E186" s="13"/>
      <c r="F186" s="207"/>
      <c r="G186" s="207"/>
      <c r="H186" s="207"/>
      <c r="I186" s="207"/>
      <c r="J186" s="207"/>
    </row>
    <row r="187" spans="3:10" x14ac:dyDescent="0.25">
      <c r="C187" s="14"/>
      <c r="D187" s="13"/>
      <c r="E187" s="13"/>
      <c r="F187" s="13"/>
      <c r="G187" s="13"/>
      <c r="H187" s="13"/>
      <c r="I187" s="13"/>
      <c r="J187" s="13"/>
    </row>
    <row r="188" spans="3:10" x14ac:dyDescent="0.25">
      <c r="C188" s="14" t="s">
        <v>284</v>
      </c>
      <c r="D188" s="13"/>
      <c r="E188" s="13"/>
      <c r="F188" s="202" t="str">
        <f t="shared" ref="F188:J189" si="25">F182</f>
        <v>Año</v>
      </c>
      <c r="G188" s="203" t="str">
        <f t="shared" si="25"/>
        <v>Año</v>
      </c>
      <c r="H188" s="204" t="str">
        <f t="shared" si="25"/>
        <v>Año</v>
      </c>
      <c r="I188" s="203" t="str">
        <f t="shared" si="25"/>
        <v>Año</v>
      </c>
      <c r="J188" s="205" t="str">
        <f t="shared" si="25"/>
        <v>Año</v>
      </c>
    </row>
    <row r="189" spans="3:10" x14ac:dyDescent="0.25">
      <c r="C189" s="14"/>
      <c r="D189" s="13"/>
      <c r="E189" s="13"/>
      <c r="F189" s="198">
        <f t="shared" si="25"/>
        <v>1</v>
      </c>
      <c r="G189" s="199">
        <f t="shared" si="25"/>
        <v>2</v>
      </c>
      <c r="H189" s="200">
        <f t="shared" si="25"/>
        <v>3</v>
      </c>
      <c r="I189" s="199">
        <f t="shared" si="25"/>
        <v>4</v>
      </c>
      <c r="J189" s="201">
        <f t="shared" si="25"/>
        <v>5</v>
      </c>
    </row>
    <row r="190" spans="3:10" x14ac:dyDescent="0.25">
      <c r="C190" s="14"/>
      <c r="D190" s="13"/>
      <c r="E190" s="13"/>
      <c r="F190" s="208">
        <f>F31/G147</f>
        <v>2.2597896216971569</v>
      </c>
      <c r="G190" s="208">
        <f>G31/H147</f>
        <v>1.6602726196042352</v>
      </c>
      <c r="H190" s="208">
        <f>H31/I147</f>
        <v>1.3347481422910956</v>
      </c>
      <c r="I190" s="208">
        <f>I31/J147</f>
        <v>1.1295168932928044</v>
      </c>
      <c r="J190" s="208">
        <f>J31/K147</f>
        <v>0.99517980603272893</v>
      </c>
    </row>
    <row r="191" spans="3:10" x14ac:dyDescent="0.25">
      <c r="C191" s="14"/>
      <c r="D191" s="13"/>
      <c r="E191" s="13"/>
      <c r="F191" s="7"/>
      <c r="G191" s="7"/>
      <c r="H191" s="7"/>
      <c r="I191" s="7"/>
      <c r="J191" s="7"/>
    </row>
    <row r="192" spans="3:10" x14ac:dyDescent="0.25">
      <c r="C192" s="14"/>
      <c r="D192" s="13"/>
      <c r="E192" s="13"/>
      <c r="F192" s="7"/>
      <c r="G192" s="7"/>
      <c r="H192" s="7"/>
      <c r="I192" s="7"/>
      <c r="J192" s="7"/>
    </row>
    <row r="193" spans="3:10" x14ac:dyDescent="0.25">
      <c r="C193" s="14"/>
      <c r="D193" s="13"/>
      <c r="E193" s="13"/>
      <c r="F193" s="13"/>
      <c r="G193" s="13"/>
      <c r="H193" s="13"/>
      <c r="I193" s="13"/>
      <c r="J193" s="13"/>
    </row>
    <row r="194" spans="3:10" x14ac:dyDescent="0.25">
      <c r="C194" s="14" t="s">
        <v>285</v>
      </c>
      <c r="D194" s="13"/>
      <c r="E194" s="13"/>
      <c r="F194" s="202" t="str">
        <f t="shared" ref="F194:J195" si="26">F188</f>
        <v>Año</v>
      </c>
      <c r="G194" s="203" t="str">
        <f t="shared" si="26"/>
        <v>Año</v>
      </c>
      <c r="H194" s="204" t="str">
        <f t="shared" si="26"/>
        <v>Año</v>
      </c>
      <c r="I194" s="203" t="str">
        <f t="shared" si="26"/>
        <v>Año</v>
      </c>
      <c r="J194" s="205" t="str">
        <f t="shared" si="26"/>
        <v>Año</v>
      </c>
    </row>
    <row r="195" spans="3:10" x14ac:dyDescent="0.25">
      <c r="C195" s="14"/>
      <c r="D195" s="13"/>
      <c r="E195" s="13"/>
      <c r="F195" s="198">
        <f t="shared" si="26"/>
        <v>1</v>
      </c>
      <c r="G195" s="199">
        <f t="shared" si="26"/>
        <v>2</v>
      </c>
      <c r="H195" s="200">
        <f t="shared" si="26"/>
        <v>3</v>
      </c>
      <c r="I195" s="199">
        <f t="shared" si="26"/>
        <v>4</v>
      </c>
      <c r="J195" s="201">
        <f t="shared" si="26"/>
        <v>5</v>
      </c>
    </row>
    <row r="196" spans="3:10" x14ac:dyDescent="0.25">
      <c r="C196" s="14"/>
      <c r="D196" s="13"/>
      <c r="E196" s="13"/>
      <c r="F196" s="206">
        <f>F40/F31</f>
        <v>0.29476130107526882</v>
      </c>
      <c r="G196" s="206">
        <f>G40/G31</f>
        <v>0.29471644726527157</v>
      </c>
      <c r="H196" s="206">
        <f>H40/H31</f>
        <v>0.29789337168894481</v>
      </c>
      <c r="I196" s="206">
        <f>I40/I31</f>
        <v>0.28346096157083633</v>
      </c>
      <c r="J196" s="206">
        <f>J40/J31</f>
        <v>0.2852851601766308</v>
      </c>
    </row>
    <row r="197" spans="3:10" x14ac:dyDescent="0.25">
      <c r="C197" s="14"/>
      <c r="D197" s="13"/>
      <c r="E197" s="13"/>
      <c r="F197" s="207"/>
      <c r="G197" s="207"/>
      <c r="H197" s="207"/>
      <c r="I197" s="207"/>
      <c r="J197" s="207"/>
    </row>
    <row r="198" spans="3:10" x14ac:dyDescent="0.25">
      <c r="C198" s="14"/>
      <c r="D198" s="13"/>
      <c r="E198" s="13"/>
      <c r="F198" s="207"/>
      <c r="G198" s="207"/>
      <c r="H198" s="207"/>
      <c r="I198" s="207"/>
      <c r="J198" s="207"/>
    </row>
    <row r="199" spans="3:10" x14ac:dyDescent="0.25">
      <c r="C199" s="14"/>
      <c r="D199" s="13"/>
      <c r="E199" s="13"/>
      <c r="F199" s="13"/>
      <c r="G199" s="13"/>
      <c r="H199" s="13"/>
      <c r="I199" s="13"/>
      <c r="J199" s="13"/>
    </row>
    <row r="200" spans="3:10" x14ac:dyDescent="0.25">
      <c r="C200" s="14" t="s">
        <v>286</v>
      </c>
      <c r="D200" s="13"/>
      <c r="E200" s="13"/>
      <c r="F200" s="203" t="str">
        <f t="shared" ref="F200:J201" si="27">F194</f>
        <v>Año</v>
      </c>
      <c r="G200" s="204" t="str">
        <f t="shared" si="27"/>
        <v>Año</v>
      </c>
      <c r="H200" s="203" t="str">
        <f t="shared" si="27"/>
        <v>Año</v>
      </c>
      <c r="I200" s="203" t="str">
        <f t="shared" si="27"/>
        <v>Año</v>
      </c>
      <c r="J200" s="205" t="str">
        <f t="shared" si="27"/>
        <v>Año</v>
      </c>
    </row>
    <row r="201" spans="3:10" x14ac:dyDescent="0.25">
      <c r="C201" s="13"/>
      <c r="D201" s="13"/>
      <c r="E201" s="13"/>
      <c r="F201" s="199">
        <f t="shared" si="27"/>
        <v>1</v>
      </c>
      <c r="G201" s="200">
        <f t="shared" si="27"/>
        <v>2</v>
      </c>
      <c r="H201" s="199">
        <f t="shared" si="27"/>
        <v>3</v>
      </c>
      <c r="I201" s="199">
        <f t="shared" si="27"/>
        <v>4</v>
      </c>
      <c r="J201" s="201">
        <f t="shared" si="27"/>
        <v>5</v>
      </c>
    </row>
    <row r="202" spans="3:10" x14ac:dyDescent="0.25">
      <c r="C202" s="13"/>
      <c r="D202" s="13"/>
      <c r="E202" s="13"/>
      <c r="F202" s="206">
        <f>F59/F31</f>
        <v>0.17180902530871223</v>
      </c>
      <c r="G202" s="209">
        <f>G59/G31</f>
        <v>0.17885554455952207</v>
      </c>
      <c r="H202" s="206">
        <f>H59/H31</f>
        <v>0.18096553394938864</v>
      </c>
      <c r="I202" s="206">
        <f>I59/I31</f>
        <v>0.17137702671932917</v>
      </c>
      <c r="J202" s="206">
        <f>J59/J31</f>
        <v>0.17258838721851988</v>
      </c>
    </row>
    <row r="203" spans="3:10" x14ac:dyDescent="0.25">
      <c r="C203" s="13"/>
      <c r="D203" s="13"/>
      <c r="E203" s="13"/>
      <c r="F203" s="13"/>
      <c r="G203" s="13"/>
      <c r="H203" s="13"/>
      <c r="I203" s="13"/>
      <c r="J203" s="13"/>
    </row>
  </sheetData>
  <mergeCells count="19">
    <mergeCell ref="C30:E30"/>
    <mergeCell ref="C135:E135"/>
    <mergeCell ref="C72:E72"/>
    <mergeCell ref="C98:E98"/>
    <mergeCell ref="C62:E62"/>
    <mergeCell ref="C152:E152"/>
    <mergeCell ref="C31:E31"/>
    <mergeCell ref="C68:E69"/>
    <mergeCell ref="C70:E70"/>
    <mergeCell ref="C71:E71"/>
    <mergeCell ref="C92:E92"/>
    <mergeCell ref="D9:E10"/>
    <mergeCell ref="D11:E11"/>
    <mergeCell ref="C12:F12"/>
    <mergeCell ref="C22:E22"/>
    <mergeCell ref="D17:E17"/>
    <mergeCell ref="D19:E19"/>
    <mergeCell ref="D21:E21"/>
    <mergeCell ref="D18:E18"/>
  </mergeCells>
  <pageMargins left="0.7" right="0.7" top="0.75" bottom="0.75" header="0.3" footer="0.3"/>
  <pageSetup paperSize="5" orientation="portrait" horizontalDpi="300" verticalDpi="300" r:id="rId1"/>
  <ignoredErrors>
    <ignoredError sqref="F152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Q133"/>
  <sheetViews>
    <sheetView showGridLines="0" topLeftCell="A27" zoomScaleNormal="100" workbookViewId="0">
      <selection activeCell="J105" sqref="J105"/>
    </sheetView>
  </sheetViews>
  <sheetFormatPr baseColWidth="10" defaultColWidth="11.44140625" defaultRowHeight="13.2" x14ac:dyDescent="0.25"/>
  <cols>
    <col min="1" max="1" width="7.5546875" style="15" customWidth="1"/>
    <col min="2" max="2" width="3.44140625" style="15" customWidth="1"/>
    <col min="3" max="3" width="32" style="15" customWidth="1"/>
    <col min="4" max="4" width="16.21875" style="15" customWidth="1"/>
    <col min="5" max="5" width="27" style="245" customWidth="1"/>
    <col min="6" max="6" width="32.5546875" style="15" customWidth="1"/>
    <col min="7" max="7" width="17.5546875" style="15" customWidth="1"/>
    <col min="8" max="8" width="17.77734375" style="15" customWidth="1"/>
    <col min="9" max="9" width="18" style="15" customWidth="1"/>
    <col min="10" max="10" width="17.77734375" style="15" customWidth="1"/>
    <col min="11" max="11" width="16.21875" style="15" customWidth="1"/>
    <col min="12" max="12" width="12.77734375" style="15" customWidth="1"/>
    <col min="13" max="13" width="15.21875" style="15" customWidth="1"/>
    <col min="14" max="16" width="12.5546875" style="15" customWidth="1"/>
    <col min="17" max="16384" width="11.44140625" style="15"/>
  </cols>
  <sheetData>
    <row r="2" spans="1:17" x14ac:dyDescent="0.25">
      <c r="A2" s="13"/>
      <c r="B2" s="13"/>
      <c r="C2" s="13" t="s">
        <v>287</v>
      </c>
      <c r="D2" s="13"/>
      <c r="E2" s="210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4" spans="1:17" x14ac:dyDescent="0.25">
      <c r="A4" s="14" t="s">
        <v>59</v>
      </c>
      <c r="B4" s="90">
        <v>35</v>
      </c>
      <c r="C4" s="14" t="s">
        <v>288</v>
      </c>
      <c r="D4" s="13"/>
      <c r="E4" s="210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</row>
    <row r="5" spans="1:17" x14ac:dyDescent="0.25">
      <c r="A5" s="13"/>
      <c r="B5" s="13"/>
      <c r="C5" s="13"/>
      <c r="D5" s="13"/>
      <c r="E5" s="210"/>
      <c r="F5" s="13"/>
      <c r="G5" s="72" t="s">
        <v>187</v>
      </c>
      <c r="H5" s="72" t="s">
        <v>187</v>
      </c>
      <c r="I5" s="72" t="s">
        <v>187</v>
      </c>
      <c r="J5" s="72" t="s">
        <v>187</v>
      </c>
      <c r="K5" s="72" t="s">
        <v>187</v>
      </c>
      <c r="L5" s="90"/>
      <c r="M5" s="90"/>
      <c r="N5" s="90"/>
      <c r="O5" s="90"/>
      <c r="P5" s="90"/>
      <c r="Q5" s="13"/>
    </row>
    <row r="6" spans="1:17" x14ac:dyDescent="0.25">
      <c r="A6" s="13"/>
      <c r="B6" s="13"/>
      <c r="C6" s="13"/>
      <c r="D6" s="13"/>
      <c r="E6" s="210"/>
      <c r="F6" s="13"/>
      <c r="G6" s="144">
        <f>PROYECCIONES!F29</f>
        <v>1</v>
      </c>
      <c r="H6" s="144">
        <f>PROYECCIONES!G29</f>
        <v>2</v>
      </c>
      <c r="I6" s="144">
        <f>PROYECCIONES!H29</f>
        <v>3</v>
      </c>
      <c r="J6" s="144">
        <f>PROYECCIONES!I29</f>
        <v>4</v>
      </c>
      <c r="K6" s="144">
        <f>PROYECCIONES!J29</f>
        <v>5</v>
      </c>
      <c r="L6" s="129"/>
      <c r="M6" s="129"/>
      <c r="N6" s="129"/>
      <c r="O6" s="129"/>
      <c r="P6" s="129"/>
      <c r="Q6" s="13"/>
    </row>
    <row r="7" spans="1:17" x14ac:dyDescent="0.25">
      <c r="A7" s="13"/>
      <c r="B7" s="13"/>
      <c r="C7" s="457" t="s">
        <v>219</v>
      </c>
      <c r="D7" s="457"/>
      <c r="E7" s="457"/>
      <c r="F7" s="104"/>
      <c r="G7" s="17">
        <f>PROYECCIONES!G70</f>
        <v>133920000</v>
      </c>
      <c r="H7" s="17">
        <f>PROYECCIONES!H70</f>
        <v>143277120</v>
      </c>
      <c r="I7" s="17">
        <f>PROYECCIONES!I70</f>
        <v>153991756.80000001</v>
      </c>
      <c r="J7" s="17">
        <f>PROYECCIONES!J70</f>
        <v>161443857.88800004</v>
      </c>
      <c r="K7" s="17">
        <f>PROYECCIONES!K70</f>
        <v>173177026.07493901</v>
      </c>
      <c r="L7" s="34"/>
      <c r="M7" s="34"/>
      <c r="N7" s="34"/>
      <c r="O7" s="34"/>
      <c r="P7" s="34"/>
      <c r="Q7" s="34"/>
    </row>
    <row r="8" spans="1:17" x14ac:dyDescent="0.25">
      <c r="A8" s="13"/>
      <c r="B8" s="13"/>
      <c r="C8" s="457" t="s">
        <v>220</v>
      </c>
      <c r="D8" s="457"/>
      <c r="E8" s="457"/>
      <c r="F8" s="104"/>
      <c r="G8" s="17"/>
      <c r="H8" s="17"/>
      <c r="I8" s="17"/>
      <c r="J8" s="17"/>
      <c r="K8" s="17"/>
      <c r="L8" s="34"/>
      <c r="M8" s="34"/>
      <c r="N8" s="34"/>
      <c r="O8" s="34"/>
      <c r="P8" s="34"/>
      <c r="Q8" s="13"/>
    </row>
    <row r="9" spans="1:17" x14ac:dyDescent="0.25">
      <c r="A9" s="13"/>
      <c r="B9" s="13"/>
      <c r="C9" s="457" t="s">
        <v>221</v>
      </c>
      <c r="D9" s="457"/>
      <c r="E9" s="457"/>
      <c r="F9" s="104"/>
      <c r="G9" s="19">
        <f>G7+G8</f>
        <v>133920000</v>
      </c>
      <c r="H9" s="19">
        <f>H7+H8</f>
        <v>143277120</v>
      </c>
      <c r="I9" s="19">
        <f>I7+I8</f>
        <v>153991756.80000001</v>
      </c>
      <c r="J9" s="19">
        <f>J7+J8</f>
        <v>161443857.88800004</v>
      </c>
      <c r="K9" s="19">
        <f>K7+K8</f>
        <v>173177026.07493901</v>
      </c>
      <c r="L9" s="91"/>
      <c r="M9" s="91"/>
      <c r="N9" s="91"/>
      <c r="O9" s="91"/>
      <c r="P9" s="91"/>
      <c r="Q9" s="13"/>
    </row>
    <row r="10" spans="1:17" hidden="1" x14ac:dyDescent="0.25">
      <c r="A10" s="13"/>
      <c r="B10" s="13"/>
      <c r="C10" s="13"/>
      <c r="D10" s="13"/>
      <c r="E10" s="210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</row>
    <row r="11" spans="1:17" x14ac:dyDescent="0.25">
      <c r="A11" s="13"/>
      <c r="B11" s="13"/>
      <c r="C11" s="14" t="s">
        <v>222</v>
      </c>
      <c r="D11" s="13"/>
      <c r="E11" s="210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</row>
    <row r="12" spans="1:17" x14ac:dyDescent="0.25">
      <c r="A12" s="13"/>
      <c r="B12" s="13"/>
      <c r="C12" s="165" t="s">
        <v>223</v>
      </c>
      <c r="D12" s="154" t="s">
        <v>59</v>
      </c>
      <c r="E12" s="211">
        <v>14</v>
      </c>
      <c r="F12" s="68"/>
      <c r="G12" s="17">
        <f>PROYECCIONES!G75</f>
        <v>3120000</v>
      </c>
      <c r="H12" s="17">
        <f>PROYECCIONES!H75</f>
        <v>3338400</v>
      </c>
      <c r="I12" s="17">
        <f>PROYECCIONES!I75</f>
        <v>3572088</v>
      </c>
      <c r="J12" s="17">
        <f>PROYECCIONES!J75</f>
        <v>3822134.16</v>
      </c>
      <c r="K12" s="17">
        <f>PROYECCIONES!K75</f>
        <v>4089683.5512000006</v>
      </c>
      <c r="L12" s="34"/>
      <c r="M12" s="34"/>
      <c r="N12" s="34"/>
      <c r="O12" s="34"/>
      <c r="P12" s="34"/>
      <c r="Q12" s="13"/>
    </row>
    <row r="13" spans="1:17" x14ac:dyDescent="0.25">
      <c r="A13" s="13"/>
      <c r="B13" s="13"/>
      <c r="C13" s="165" t="s">
        <v>224</v>
      </c>
      <c r="D13" s="154" t="s">
        <v>59</v>
      </c>
      <c r="E13" s="211">
        <v>11</v>
      </c>
      <c r="F13" s="68"/>
      <c r="G13" s="17">
        <f>PROYECCIONES!G76</f>
        <v>85623316.560000002</v>
      </c>
      <c r="H13" s="17">
        <f>PROYECCIONES!H76</f>
        <v>91616948.719200015</v>
      </c>
      <c r="I13" s="17">
        <f>PROYECCIONES!I76</f>
        <v>98030135.12954402</v>
      </c>
      <c r="J13" s="17">
        <f>PROYECCIONES!J76</f>
        <v>104892244.58861211</v>
      </c>
      <c r="K13" s="17">
        <f>PROYECCIONES!K76</f>
        <v>112234701.70981497</v>
      </c>
      <c r="L13" s="34"/>
      <c r="M13" s="34"/>
      <c r="N13" s="34"/>
      <c r="O13" s="34"/>
      <c r="P13" s="34"/>
      <c r="Q13" s="13"/>
    </row>
    <row r="14" spans="1:17" x14ac:dyDescent="0.25">
      <c r="A14" s="13"/>
      <c r="B14" s="13"/>
      <c r="C14" s="153" t="s">
        <v>225</v>
      </c>
      <c r="D14" s="148" t="s">
        <v>59</v>
      </c>
      <c r="E14" s="211">
        <v>15</v>
      </c>
      <c r="F14" s="68"/>
      <c r="G14" s="17">
        <f>PROYECCIONES!G77</f>
        <v>5558250</v>
      </c>
      <c r="H14" s="17">
        <f>PROYECCIONES!H77</f>
        <v>5947327.5</v>
      </c>
      <c r="I14" s="17">
        <f>PROYECCIONES!I77</f>
        <v>6363640.4250000007</v>
      </c>
      <c r="J14" s="17">
        <f>PROYECCIONES!J77</f>
        <v>6809095.2547500012</v>
      </c>
      <c r="K14" s="17">
        <f>PROYECCIONES!K77</f>
        <v>7285731.9225825015</v>
      </c>
      <c r="L14" s="34"/>
      <c r="M14" s="34"/>
      <c r="N14" s="34"/>
      <c r="O14" s="34"/>
      <c r="P14" s="34"/>
      <c r="Q14" s="13"/>
    </row>
    <row r="15" spans="1:17" x14ac:dyDescent="0.25">
      <c r="A15" s="13"/>
      <c r="B15" s="13"/>
      <c r="C15" s="170" t="s">
        <v>69</v>
      </c>
      <c r="D15" s="148" t="s">
        <v>59</v>
      </c>
      <c r="E15" s="211">
        <v>13</v>
      </c>
      <c r="F15" s="68"/>
      <c r="G15" s="17">
        <f>PROYECCIONES!G78</f>
        <v>-3697800</v>
      </c>
      <c r="H15" s="17">
        <f>PROYECCIONES!H78</f>
        <v>-3697800</v>
      </c>
      <c r="I15" s="17">
        <f>PROYECCIONES!I78</f>
        <v>-3697800</v>
      </c>
      <c r="J15" s="17">
        <f>PROYECCIONES!J78</f>
        <v>-3697800</v>
      </c>
      <c r="K15" s="17">
        <f>PROYECCIONES!K78</f>
        <v>-3697800</v>
      </c>
      <c r="L15" s="34"/>
      <c r="M15" s="34"/>
      <c r="N15" s="34"/>
      <c r="O15" s="34"/>
      <c r="P15" s="34"/>
      <c r="Q15" s="13"/>
    </row>
    <row r="16" spans="1:17" x14ac:dyDescent="0.25">
      <c r="A16" s="13"/>
      <c r="B16" s="13"/>
      <c r="C16" s="170" t="s">
        <v>226</v>
      </c>
      <c r="D16" s="136" t="s">
        <v>59</v>
      </c>
      <c r="E16" s="211">
        <v>15</v>
      </c>
      <c r="F16" s="68"/>
      <c r="G16" s="17">
        <f>PROYECCIONES!G79</f>
        <v>144000</v>
      </c>
      <c r="H16" s="17">
        <f>PROYECCIONES!H79</f>
        <v>148320.00000000003</v>
      </c>
      <c r="I16" s="17">
        <f>PROYECCIONES!I79</f>
        <v>152769.60000000003</v>
      </c>
      <c r="J16" s="17">
        <f>PROYECCIONES!J79</f>
        <v>157352.68800000005</v>
      </c>
      <c r="K16" s="17">
        <f>PROYECCIONES!K79</f>
        <v>162073.26864000005</v>
      </c>
      <c r="L16" s="34"/>
      <c r="M16" s="34"/>
      <c r="N16" s="34"/>
      <c r="O16" s="34"/>
      <c r="P16" s="34"/>
      <c r="Q16" s="13"/>
    </row>
    <row r="17" spans="3:16" x14ac:dyDescent="0.25">
      <c r="C17" s="47" t="s">
        <v>227</v>
      </c>
      <c r="D17" s="48"/>
      <c r="E17" s="212"/>
      <c r="F17" s="158"/>
      <c r="G17" s="19">
        <f>SUM(G12:G16)</f>
        <v>90747766.560000002</v>
      </c>
      <c r="H17" s="19">
        <f>SUM(H12:H16)</f>
        <v>97353196.219200015</v>
      </c>
      <c r="I17" s="19">
        <f>SUM(I12:I16)</f>
        <v>104420833.15454401</v>
      </c>
      <c r="J17" s="19">
        <f>SUM(J12:J16)</f>
        <v>111983026.6913621</v>
      </c>
      <c r="K17" s="19">
        <f>SUM(K12:K16)</f>
        <v>120074390.45223747</v>
      </c>
      <c r="L17" s="91"/>
      <c r="M17" s="91"/>
      <c r="N17" s="91"/>
      <c r="O17" s="91"/>
      <c r="P17" s="91"/>
    </row>
    <row r="18" spans="3:16" hidden="1" x14ac:dyDescent="0.25">
      <c r="C18" s="13"/>
      <c r="D18" s="13"/>
      <c r="E18" s="210"/>
      <c r="F18" s="13"/>
      <c r="G18" s="13"/>
      <c r="H18" s="13"/>
      <c r="I18" s="13"/>
      <c r="J18" s="13"/>
      <c r="K18" s="213"/>
      <c r="L18" s="13"/>
      <c r="M18" s="13"/>
      <c r="N18" s="13"/>
      <c r="O18" s="13"/>
      <c r="P18" s="13"/>
    </row>
    <row r="19" spans="3:16" x14ac:dyDescent="0.25">
      <c r="C19" s="47" t="s">
        <v>228</v>
      </c>
      <c r="D19" s="48"/>
      <c r="E19" s="212"/>
      <c r="F19" s="96"/>
      <c r="G19" s="19">
        <f>G9-G17</f>
        <v>43172233.439999998</v>
      </c>
      <c r="H19" s="19">
        <f>H9-H17</f>
        <v>45923923.780799985</v>
      </c>
      <c r="I19" s="19">
        <f>I9-I17</f>
        <v>49570923.645456001</v>
      </c>
      <c r="J19" s="19">
        <f>J9-J17</f>
        <v>49460831.196637943</v>
      </c>
      <c r="K19" s="19">
        <f>K9-K17</f>
        <v>53102635.622701541</v>
      </c>
      <c r="L19" s="91"/>
      <c r="M19" s="91"/>
      <c r="N19" s="91"/>
      <c r="O19" s="91"/>
      <c r="P19" s="91"/>
    </row>
    <row r="20" spans="3:16" hidden="1" x14ac:dyDescent="0.25">
      <c r="C20" s="13"/>
      <c r="D20" s="13"/>
      <c r="E20" s="210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</row>
    <row r="21" spans="3:16" x14ac:dyDescent="0.25">
      <c r="C21" s="14" t="s">
        <v>229</v>
      </c>
      <c r="D21" s="13"/>
      <c r="E21" s="210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3:16" x14ac:dyDescent="0.25">
      <c r="C22" s="153" t="s">
        <v>230</v>
      </c>
      <c r="D22" s="154" t="s">
        <v>59</v>
      </c>
      <c r="E22" s="211">
        <v>20</v>
      </c>
      <c r="F22" s="151"/>
      <c r="G22" s="17">
        <f>PROYECCIONES!G85</f>
        <v>2082750</v>
      </c>
      <c r="H22" s="17">
        <f>PROYECCIONES!H85</f>
        <v>2228542.5</v>
      </c>
      <c r="I22" s="17">
        <f>PROYECCIONES!I85</f>
        <v>2384540.4750000001</v>
      </c>
      <c r="J22" s="17">
        <f>PROYECCIONES!J85</f>
        <v>2551458.3082500002</v>
      </c>
      <c r="K22" s="17">
        <f>PROYECCIONES!K85</f>
        <v>2730060.3898275006</v>
      </c>
      <c r="L22" s="34"/>
      <c r="M22" s="34"/>
      <c r="N22" s="34"/>
      <c r="O22" s="34"/>
      <c r="P22" s="34"/>
    </row>
    <row r="23" spans="3:16" x14ac:dyDescent="0.25">
      <c r="C23" s="153" t="s">
        <v>231</v>
      </c>
      <c r="D23" s="154" t="s">
        <v>59</v>
      </c>
      <c r="E23" s="211">
        <v>8</v>
      </c>
      <c r="F23" s="151"/>
      <c r="G23" s="17">
        <f>PROYECCIONES!G86</f>
        <v>0</v>
      </c>
      <c r="H23" s="17">
        <f>PROYECCIONES!H86</f>
        <v>0</v>
      </c>
      <c r="I23" s="17">
        <f>PROYECCIONES!I86</f>
        <v>0</v>
      </c>
      <c r="J23" s="17">
        <f>PROYECCIONES!J86</f>
        <v>0</v>
      </c>
      <c r="K23" s="17">
        <f>PROYECCIONES!K86</f>
        <v>0</v>
      </c>
      <c r="L23" s="34"/>
      <c r="M23" s="34"/>
      <c r="N23" s="34"/>
      <c r="O23" s="34"/>
      <c r="P23" s="34"/>
    </row>
    <row r="24" spans="3:16" x14ac:dyDescent="0.25">
      <c r="C24" s="153" t="s">
        <v>69</v>
      </c>
      <c r="D24" s="154" t="s">
        <v>59</v>
      </c>
      <c r="E24" s="211">
        <v>13</v>
      </c>
      <c r="F24" s="151"/>
      <c r="G24" s="17">
        <f>PROYECCIONES!G87</f>
        <v>-304200</v>
      </c>
      <c r="H24" s="17">
        <f>PROYECCIONES!H87</f>
        <v>-304200</v>
      </c>
      <c r="I24" s="17">
        <f>PROYECCIONES!I87</f>
        <v>-304200</v>
      </c>
      <c r="J24" s="17">
        <f>PROYECCIONES!J87</f>
        <v>-304200</v>
      </c>
      <c r="K24" s="17">
        <f>PROYECCIONES!K87</f>
        <v>-304200</v>
      </c>
      <c r="L24" s="34"/>
      <c r="M24" s="34"/>
      <c r="N24" s="34"/>
      <c r="O24" s="34"/>
      <c r="P24" s="34"/>
    </row>
    <row r="25" spans="3:16" x14ac:dyDescent="0.25">
      <c r="C25" s="153" t="s">
        <v>232</v>
      </c>
      <c r="D25" s="154" t="s">
        <v>59</v>
      </c>
      <c r="E25" s="211">
        <v>20</v>
      </c>
      <c r="F25" s="151"/>
      <c r="G25" s="17">
        <f>PROYECCIONES!G88</f>
        <v>0</v>
      </c>
      <c r="H25" s="17">
        <f>PROYECCIONES!H88</f>
        <v>0</v>
      </c>
      <c r="I25" s="17">
        <f>PROYECCIONES!I88</f>
        <v>0</v>
      </c>
      <c r="J25" s="17">
        <f>PROYECCIONES!J88</f>
        <v>0</v>
      </c>
      <c r="K25" s="17">
        <f>PROYECCIONES!K88</f>
        <v>0</v>
      </c>
      <c r="L25" s="34"/>
      <c r="M25" s="34"/>
      <c r="N25" s="34"/>
      <c r="O25" s="34"/>
      <c r="P25" s="34"/>
    </row>
    <row r="26" spans="3:16" x14ac:dyDescent="0.25">
      <c r="C26" s="153" t="s">
        <v>233</v>
      </c>
      <c r="D26" s="154" t="s">
        <v>59</v>
      </c>
      <c r="E26" s="211">
        <v>32</v>
      </c>
      <c r="F26" s="151"/>
      <c r="G26" s="17">
        <f>PROYECCIONES!G89</f>
        <v>0</v>
      </c>
      <c r="H26" s="17">
        <f>PROYECCIONES!H89</f>
        <v>12389280.975799935</v>
      </c>
      <c r="I26" s="17">
        <f>PROYECCIONES!I89</f>
        <v>13798565.480279995</v>
      </c>
      <c r="J26" s="17">
        <f>PROYECCIONES!J89</f>
        <v>15005415.6501396</v>
      </c>
      <c r="K26" s="17">
        <f>PROYECCIONES!K89</f>
        <v>14898029.109892579</v>
      </c>
      <c r="L26" s="34"/>
      <c r="M26" s="34"/>
      <c r="N26" s="34"/>
      <c r="O26" s="34"/>
      <c r="P26" s="34"/>
    </row>
    <row r="27" spans="3:16" x14ac:dyDescent="0.25">
      <c r="C27" s="47" t="s">
        <v>234</v>
      </c>
      <c r="D27" s="48"/>
      <c r="E27" s="212"/>
      <c r="F27" s="214"/>
      <c r="G27" s="19">
        <f>SUM(G22:G26)</f>
        <v>1778550</v>
      </c>
      <c r="H27" s="19">
        <f>SUM(H22:H26)</f>
        <v>14313623.475799935</v>
      </c>
      <c r="I27" s="19">
        <f>SUM(I22:I26)</f>
        <v>15878905.955279995</v>
      </c>
      <c r="J27" s="19">
        <f>SUM(J22:J26)</f>
        <v>17252673.958389599</v>
      </c>
      <c r="K27" s="19">
        <f>SUM(K22:K26)</f>
        <v>17323889.499720078</v>
      </c>
      <c r="L27" s="91"/>
      <c r="M27" s="91"/>
      <c r="N27" s="91"/>
      <c r="O27" s="91"/>
      <c r="P27" s="91"/>
    </row>
    <row r="28" spans="3:16" hidden="1" x14ac:dyDescent="0.25">
      <c r="C28" s="13"/>
      <c r="D28" s="13"/>
      <c r="E28" s="210"/>
      <c r="F28" s="13"/>
      <c r="G28" s="13"/>
      <c r="H28" s="13"/>
      <c r="I28" s="13"/>
      <c r="J28" s="13"/>
      <c r="K28" s="213"/>
      <c r="L28" s="13"/>
      <c r="M28" s="13"/>
      <c r="N28" s="13"/>
      <c r="O28" s="13"/>
      <c r="P28" s="13"/>
    </row>
    <row r="29" spans="3:16" x14ac:dyDescent="0.25">
      <c r="C29" s="463" t="s">
        <v>235</v>
      </c>
      <c r="D29" s="464"/>
      <c r="E29" s="465"/>
      <c r="F29" s="158"/>
      <c r="G29" s="19">
        <f>G19-G27</f>
        <v>41393683.439999998</v>
      </c>
      <c r="H29" s="19">
        <f>H19-H27</f>
        <v>31610300.305000052</v>
      </c>
      <c r="I29" s="19">
        <f>I19-I27</f>
        <v>33692017.69017601</v>
      </c>
      <c r="J29" s="19">
        <f>J19-J27</f>
        <v>32208157.238248345</v>
      </c>
      <c r="K29" s="19">
        <f>K19-K27</f>
        <v>35778746.122981459</v>
      </c>
      <c r="L29" s="91"/>
      <c r="M29" s="91"/>
      <c r="N29" s="91"/>
      <c r="O29" s="91"/>
      <c r="P29" s="91"/>
    </row>
    <row r="30" spans="3:16" hidden="1" x14ac:dyDescent="0.25">
      <c r="C30" s="13"/>
      <c r="D30" s="13"/>
      <c r="E30" s="210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</row>
    <row r="31" spans="3:16" x14ac:dyDescent="0.25">
      <c r="C31" s="14" t="s">
        <v>236</v>
      </c>
      <c r="D31" s="13"/>
      <c r="E31" s="210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</row>
    <row r="32" spans="3:16" x14ac:dyDescent="0.25">
      <c r="C32" s="153" t="s">
        <v>27</v>
      </c>
      <c r="D32" s="154" t="s">
        <v>59</v>
      </c>
      <c r="E32" s="211">
        <v>7</v>
      </c>
      <c r="F32" s="17">
        <f>PROYECCIONES!F95</f>
        <v>20010000</v>
      </c>
      <c r="G32" s="17"/>
      <c r="H32" s="17"/>
      <c r="I32" s="17"/>
      <c r="J32" s="17"/>
      <c r="K32" s="17"/>
      <c r="L32" s="34"/>
      <c r="M32" s="34"/>
      <c r="N32" s="34"/>
      <c r="O32" s="34"/>
      <c r="P32" s="34"/>
    </row>
    <row r="33" spans="1:16" x14ac:dyDescent="0.25">
      <c r="A33" s="13"/>
      <c r="B33" s="13"/>
      <c r="C33" s="153" t="s">
        <v>143</v>
      </c>
      <c r="D33" s="154" t="s">
        <v>59</v>
      </c>
      <c r="E33" s="211">
        <v>8</v>
      </c>
      <c r="F33" s="17">
        <f>PROYECCIONES!F96</f>
        <v>0</v>
      </c>
      <c r="G33" s="17"/>
      <c r="H33" s="17"/>
      <c r="I33" s="17"/>
      <c r="J33" s="17"/>
      <c r="K33" s="17"/>
      <c r="L33" s="34"/>
      <c r="M33" s="34"/>
      <c r="N33" s="34"/>
      <c r="O33" s="34"/>
      <c r="P33" s="34"/>
    </row>
    <row r="34" spans="1:16" x14ac:dyDescent="0.25">
      <c r="A34" s="13"/>
      <c r="B34" s="13"/>
      <c r="C34" s="153" t="s">
        <v>144</v>
      </c>
      <c r="D34" s="154" t="s">
        <v>59</v>
      </c>
      <c r="E34" s="211">
        <v>22</v>
      </c>
      <c r="F34" s="17">
        <f>PROYECCIONES!F97</f>
        <v>23864208.103232723</v>
      </c>
      <c r="G34" s="17"/>
      <c r="H34" s="17"/>
      <c r="I34" s="17"/>
      <c r="J34" s="17"/>
      <c r="K34" s="17"/>
      <c r="L34" s="34"/>
      <c r="M34" s="34"/>
      <c r="N34" s="34"/>
      <c r="O34" s="34"/>
      <c r="P34" s="34"/>
    </row>
    <row r="35" spans="1:16" x14ac:dyDescent="0.25">
      <c r="A35" s="13"/>
      <c r="B35" s="13"/>
      <c r="C35" s="463" t="s">
        <v>237</v>
      </c>
      <c r="D35" s="464"/>
      <c r="E35" s="465"/>
      <c r="F35" s="17">
        <f>SUM(F32:F34)</f>
        <v>43874208.103232726</v>
      </c>
      <c r="G35" s="17">
        <f t="shared" ref="G35:K35" si="0">SUM(G32:G34)</f>
        <v>0</v>
      </c>
      <c r="H35" s="17">
        <f t="shared" si="0"/>
        <v>0</v>
      </c>
      <c r="I35" s="17">
        <f t="shared" si="0"/>
        <v>0</v>
      </c>
      <c r="J35" s="17">
        <f t="shared" si="0"/>
        <v>0</v>
      </c>
      <c r="K35" s="17">
        <f t="shared" si="0"/>
        <v>0</v>
      </c>
      <c r="L35" s="34"/>
      <c r="M35" s="34"/>
      <c r="N35" s="34"/>
      <c r="O35" s="34"/>
      <c r="P35" s="34"/>
    </row>
    <row r="36" spans="1:16" hidden="1" x14ac:dyDescent="0.25">
      <c r="A36" s="13"/>
      <c r="B36" s="13"/>
      <c r="C36" s="13"/>
      <c r="D36" s="137"/>
      <c r="E36" s="215"/>
      <c r="F36" s="34"/>
      <c r="G36" s="13"/>
      <c r="H36" s="13"/>
      <c r="I36" s="13"/>
      <c r="J36" s="13"/>
      <c r="K36" s="213"/>
      <c r="L36" s="13"/>
      <c r="M36" s="13"/>
      <c r="N36" s="13"/>
      <c r="O36" s="13"/>
      <c r="P36" s="13"/>
    </row>
    <row r="37" spans="1:16" x14ac:dyDescent="0.25">
      <c r="A37" s="13"/>
      <c r="B37" s="13"/>
      <c r="C37" s="47" t="s">
        <v>238</v>
      </c>
      <c r="D37" s="69"/>
      <c r="E37" s="216"/>
      <c r="F37" s="19">
        <f>F29-F35</f>
        <v>-43874208.103232726</v>
      </c>
      <c r="G37" s="19">
        <f>G29</f>
        <v>41393683.439999998</v>
      </c>
      <c r="H37" s="19">
        <f>H29</f>
        <v>31610300.305000052</v>
      </c>
      <c r="I37" s="19">
        <f>I29</f>
        <v>33692017.69017601</v>
      </c>
      <c r="J37" s="19">
        <f>J29</f>
        <v>32208157.238248345</v>
      </c>
      <c r="K37" s="19">
        <f>K29</f>
        <v>35778746.122981459</v>
      </c>
      <c r="L37" s="91"/>
      <c r="M37" s="91"/>
      <c r="N37" s="91"/>
      <c r="O37" s="91"/>
      <c r="P37" s="91"/>
    </row>
    <row r="41" spans="1:16" x14ac:dyDescent="0.25">
      <c r="A41" s="14" t="s">
        <v>47</v>
      </c>
      <c r="B41" s="14">
        <v>36</v>
      </c>
      <c r="C41" s="14" t="s">
        <v>289</v>
      </c>
      <c r="D41" s="14"/>
      <c r="E41" s="217"/>
      <c r="F41" s="14"/>
      <c r="G41" s="13"/>
      <c r="H41" s="13"/>
      <c r="I41" s="13"/>
      <c r="J41" s="13"/>
      <c r="K41" s="13"/>
      <c r="L41" s="13"/>
      <c r="M41" s="13"/>
      <c r="N41" s="13"/>
      <c r="O41" s="13"/>
      <c r="P41" s="13"/>
    </row>
    <row r="42" spans="1:16" x14ac:dyDescent="0.25">
      <c r="A42" s="14"/>
      <c r="B42" s="14"/>
      <c r="C42" s="14"/>
      <c r="D42" s="14"/>
      <c r="E42" s="217"/>
      <c r="F42" s="14"/>
      <c r="G42" s="13"/>
      <c r="H42" s="13"/>
      <c r="I42" s="13"/>
      <c r="J42" s="13"/>
      <c r="K42" s="13"/>
      <c r="L42" s="13"/>
      <c r="M42" s="13"/>
      <c r="N42" s="13"/>
      <c r="O42" s="13"/>
      <c r="P42" s="13"/>
    </row>
    <row r="44" spans="1:16" x14ac:dyDescent="0.25">
      <c r="A44" s="13"/>
      <c r="B44" s="13"/>
      <c r="C44" s="25" t="s">
        <v>290</v>
      </c>
      <c r="D44" s="218">
        <v>0.12690000000000001</v>
      </c>
      <c r="E44" s="210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</row>
    <row r="45" spans="1:16" x14ac:dyDescent="0.25">
      <c r="A45" s="13"/>
      <c r="B45" s="13"/>
      <c r="C45" s="25" t="s">
        <v>325</v>
      </c>
      <c r="D45" s="219">
        <v>0.15</v>
      </c>
      <c r="E45" s="210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</row>
    <row r="46" spans="1:16" x14ac:dyDescent="0.25">
      <c r="A46" s="13"/>
      <c r="B46" s="13"/>
      <c r="C46" s="16" t="s">
        <v>291</v>
      </c>
      <c r="D46" s="220">
        <f>((1+D44)*(1+D45))-1</f>
        <v>0.29593499999999984</v>
      </c>
      <c r="E46" s="210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</row>
    <row r="48" spans="1:16" ht="13.5" customHeight="1" x14ac:dyDescent="0.25">
      <c r="A48" s="13"/>
      <c r="B48" s="13"/>
      <c r="C48" s="415" t="s">
        <v>292</v>
      </c>
      <c r="D48" s="415"/>
      <c r="E48" s="221">
        <f>D46</f>
        <v>0.29593499999999984</v>
      </c>
      <c r="F48" s="16" t="s">
        <v>156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52" spans="1:9" x14ac:dyDescent="0.25">
      <c r="A52" s="14" t="s">
        <v>59</v>
      </c>
      <c r="B52" s="14">
        <v>37</v>
      </c>
      <c r="C52" s="484" t="s">
        <v>293</v>
      </c>
      <c r="D52" s="484"/>
      <c r="E52" s="210"/>
      <c r="F52" s="13"/>
      <c r="G52" s="13"/>
      <c r="H52" s="13"/>
      <c r="I52" s="13"/>
    </row>
    <row r="54" spans="1:9" x14ac:dyDescent="0.25">
      <c r="A54" s="13"/>
      <c r="B54" s="13"/>
      <c r="C54" s="14" t="s">
        <v>294</v>
      </c>
      <c r="D54" s="437" t="s">
        <v>78</v>
      </c>
      <c r="E54" s="437"/>
      <c r="F54" s="437" t="s">
        <v>295</v>
      </c>
      <c r="G54" s="437" t="s">
        <v>296</v>
      </c>
      <c r="H54" s="437" t="s">
        <v>297</v>
      </c>
      <c r="I54" s="437" t="s">
        <v>298</v>
      </c>
    </row>
    <row r="55" spans="1:9" x14ac:dyDescent="0.25">
      <c r="A55" s="13"/>
      <c r="B55" s="13"/>
      <c r="C55" s="13"/>
      <c r="D55" s="435"/>
      <c r="E55" s="435"/>
      <c r="F55" s="437"/>
      <c r="G55" s="437"/>
      <c r="H55" s="437"/>
      <c r="I55" s="437"/>
    </row>
    <row r="56" spans="1:9" x14ac:dyDescent="0.25">
      <c r="A56" s="13"/>
      <c r="B56" s="13"/>
      <c r="C56" s="13"/>
      <c r="D56" s="23" t="s">
        <v>187</v>
      </c>
      <c r="E56" s="222">
        <v>0</v>
      </c>
      <c r="F56" s="97">
        <f>F37</f>
        <v>-43874208.103232726</v>
      </c>
      <c r="G56" s="135">
        <f>E48</f>
        <v>0.29593499999999984</v>
      </c>
      <c r="H56" s="223">
        <f t="shared" ref="H56:H61" si="1">1/((1+G56)^E56)</f>
        <v>1</v>
      </c>
      <c r="I56" s="17">
        <f t="shared" ref="I56:I61" si="2">F56*H56</f>
        <v>-43874208.103232726</v>
      </c>
    </row>
    <row r="57" spans="1:9" x14ac:dyDescent="0.25">
      <c r="A57" s="13"/>
      <c r="B57" s="13"/>
      <c r="C57" s="13"/>
      <c r="D57" s="224" t="s">
        <v>187</v>
      </c>
      <c r="E57" s="225">
        <v>1</v>
      </c>
      <c r="F57" s="97">
        <f>G37</f>
        <v>41393683.439999998</v>
      </c>
      <c r="G57" s="135">
        <f>G56</f>
        <v>0.29593499999999984</v>
      </c>
      <c r="H57" s="223">
        <f t="shared" si="1"/>
        <v>0.7716436395343903</v>
      </c>
      <c r="I57" s="17">
        <f t="shared" si="2"/>
        <v>31941172.543376021</v>
      </c>
    </row>
    <row r="58" spans="1:9" x14ac:dyDescent="0.25">
      <c r="A58" s="13"/>
      <c r="B58" s="13"/>
      <c r="C58" s="13"/>
      <c r="D58" s="226" t="s">
        <v>187</v>
      </c>
      <c r="E58" s="227">
        <v>2</v>
      </c>
      <c r="F58" s="97">
        <f>H37</f>
        <v>31610300.305000052</v>
      </c>
      <c r="G58" s="135">
        <f>G57</f>
        <v>0.29593499999999984</v>
      </c>
      <c r="H58" s="223">
        <f t="shared" si="1"/>
        <v>0.59543390643388017</v>
      </c>
      <c r="I58" s="17">
        <f t="shared" si="2"/>
        <v>18821844.594154254</v>
      </c>
    </row>
    <row r="59" spans="1:9" x14ac:dyDescent="0.25">
      <c r="A59" s="13"/>
      <c r="B59" s="13"/>
      <c r="C59" s="13"/>
      <c r="D59" s="23" t="s">
        <v>187</v>
      </c>
      <c r="E59" s="222">
        <v>3</v>
      </c>
      <c r="F59" s="97">
        <f>I37</f>
        <v>33692017.69017601</v>
      </c>
      <c r="G59" s="135">
        <f>G58</f>
        <v>0.29593499999999984</v>
      </c>
      <c r="H59" s="223">
        <f t="shared" si="1"/>
        <v>0.45946278666281887</v>
      </c>
      <c r="I59" s="17">
        <f t="shared" si="2"/>
        <v>15480228.336221259</v>
      </c>
    </row>
    <row r="60" spans="1:9" x14ac:dyDescent="0.25">
      <c r="A60" s="13"/>
      <c r="B60" s="13"/>
      <c r="C60" s="13"/>
      <c r="D60" s="226" t="s">
        <v>187</v>
      </c>
      <c r="E60" s="227">
        <v>4</v>
      </c>
      <c r="F60" s="97">
        <f>J37</f>
        <v>32208157.238248345</v>
      </c>
      <c r="G60" s="135">
        <f>G59</f>
        <v>0.29593499999999984</v>
      </c>
      <c r="H60" s="223">
        <f t="shared" si="1"/>
        <v>0.35454153693111073</v>
      </c>
      <c r="I60" s="17">
        <f t="shared" si="2"/>
        <v>11419129.568967447</v>
      </c>
    </row>
    <row r="61" spans="1:9" x14ac:dyDescent="0.25">
      <c r="A61" s="13"/>
      <c r="B61" s="13"/>
      <c r="C61" s="13"/>
      <c r="D61" s="23" t="s">
        <v>187</v>
      </c>
      <c r="E61" s="222">
        <v>5</v>
      </c>
      <c r="F61" s="97">
        <f>K37</f>
        <v>35778746.122981459</v>
      </c>
      <c r="G61" s="135">
        <f>G60</f>
        <v>0.29593499999999984</v>
      </c>
      <c r="H61" s="223">
        <f t="shared" si="1"/>
        <v>0.27357972192363877</v>
      </c>
      <c r="I61" s="17">
        <f t="shared" si="2"/>
        <v>9788339.4151017368</v>
      </c>
    </row>
    <row r="62" spans="1:9" x14ac:dyDescent="0.25">
      <c r="A62" s="13"/>
      <c r="B62" s="13"/>
      <c r="C62" s="13"/>
      <c r="D62" s="483" t="s">
        <v>299</v>
      </c>
      <c r="E62" s="483"/>
      <c r="F62" s="415"/>
      <c r="G62" s="415"/>
      <c r="H62" s="415"/>
      <c r="I62" s="19">
        <f>SUM(I56:I61)</f>
        <v>43576506.354587987</v>
      </c>
    </row>
    <row r="65" spans="1:12" x14ac:dyDescent="0.25">
      <c r="A65" s="13"/>
      <c r="B65" s="13"/>
      <c r="C65" s="14" t="s">
        <v>300</v>
      </c>
      <c r="D65" s="13"/>
      <c r="E65" s="210"/>
      <c r="F65" s="13"/>
      <c r="G65" s="13"/>
      <c r="H65" s="13"/>
      <c r="I65" s="13"/>
      <c r="J65" s="13"/>
      <c r="K65" s="13"/>
      <c r="L65" s="13"/>
    </row>
    <row r="66" spans="1:12" x14ac:dyDescent="0.25">
      <c r="A66" s="13"/>
      <c r="B66" s="13"/>
      <c r="C66" s="13"/>
      <c r="D66" s="462" t="s">
        <v>301</v>
      </c>
      <c r="E66" s="462"/>
      <c r="F66" s="17">
        <f>F56</f>
        <v>-43874208.103232726</v>
      </c>
      <c r="G66" s="13"/>
      <c r="H66" s="13"/>
      <c r="I66" s="13"/>
      <c r="J66" s="13"/>
      <c r="K66" s="13"/>
      <c r="L66" s="13"/>
    </row>
    <row r="67" spans="1:12" x14ac:dyDescent="0.25">
      <c r="A67" s="13"/>
      <c r="B67" s="13"/>
      <c r="C67" s="13"/>
      <c r="D67" s="462" t="s">
        <v>302</v>
      </c>
      <c r="E67" s="462"/>
      <c r="F67" s="17">
        <f t="shared" ref="F67:F71" si="3">F57</f>
        <v>41393683.439999998</v>
      </c>
      <c r="G67" s="13"/>
      <c r="H67" s="13"/>
      <c r="I67" s="13"/>
      <c r="J67" s="13"/>
      <c r="K67" s="14"/>
      <c r="L67" s="14"/>
    </row>
    <row r="68" spans="1:12" x14ac:dyDescent="0.25">
      <c r="A68" s="13"/>
      <c r="B68" s="13"/>
      <c r="C68" s="13"/>
      <c r="D68" s="462" t="s">
        <v>303</v>
      </c>
      <c r="E68" s="462"/>
      <c r="F68" s="17">
        <f t="shared" si="3"/>
        <v>31610300.305000052</v>
      </c>
      <c r="G68" s="13"/>
      <c r="H68" s="13"/>
      <c r="I68" s="13"/>
      <c r="J68" s="13"/>
      <c r="K68" s="14"/>
      <c r="L68" s="14"/>
    </row>
    <row r="69" spans="1:12" x14ac:dyDescent="0.25">
      <c r="A69" s="13"/>
      <c r="B69" s="13"/>
      <c r="C69" s="13"/>
      <c r="D69" s="462" t="s">
        <v>304</v>
      </c>
      <c r="E69" s="462"/>
      <c r="F69" s="17">
        <f t="shared" si="3"/>
        <v>33692017.69017601</v>
      </c>
      <c r="G69" s="13"/>
      <c r="H69" s="13"/>
      <c r="I69" s="13"/>
      <c r="J69" s="13"/>
      <c r="K69" s="13"/>
      <c r="L69" s="13"/>
    </row>
    <row r="70" spans="1:12" x14ac:dyDescent="0.25">
      <c r="A70" s="13"/>
      <c r="B70" s="13"/>
      <c r="C70" s="13"/>
      <c r="D70" s="462" t="s">
        <v>305</v>
      </c>
      <c r="E70" s="462"/>
      <c r="F70" s="17">
        <f t="shared" si="3"/>
        <v>32208157.238248345</v>
      </c>
      <c r="G70" s="13"/>
      <c r="H70" s="13"/>
      <c r="I70" s="13"/>
      <c r="J70" s="13"/>
      <c r="K70" s="13"/>
      <c r="L70" s="13"/>
    </row>
    <row r="71" spans="1:12" x14ac:dyDescent="0.25">
      <c r="A71" s="13"/>
      <c r="B71" s="13"/>
      <c r="C71" s="13"/>
      <c r="D71" s="462" t="s">
        <v>306</v>
      </c>
      <c r="E71" s="462"/>
      <c r="F71" s="17">
        <f t="shared" si="3"/>
        <v>35778746.122981459</v>
      </c>
      <c r="G71" s="13"/>
      <c r="H71" s="13"/>
      <c r="I71" s="13"/>
      <c r="J71" s="13"/>
      <c r="K71" s="13"/>
      <c r="L71" s="13"/>
    </row>
    <row r="72" spans="1:12" x14ac:dyDescent="0.25">
      <c r="A72" s="13"/>
      <c r="B72" s="13"/>
      <c r="C72" s="13"/>
      <c r="D72" s="443"/>
      <c r="E72" s="482"/>
      <c r="F72" s="25"/>
      <c r="G72" s="13"/>
      <c r="H72" s="13"/>
      <c r="I72" s="13"/>
      <c r="J72" s="13"/>
      <c r="K72" s="13"/>
      <c r="L72" s="13"/>
    </row>
    <row r="73" spans="1:12" x14ac:dyDescent="0.25">
      <c r="A73" s="13"/>
      <c r="B73" s="13"/>
      <c r="C73" s="13"/>
      <c r="D73" s="415" t="s">
        <v>307</v>
      </c>
      <c r="E73" s="415"/>
      <c r="F73" s="228">
        <f>E48</f>
        <v>0.29593499999999984</v>
      </c>
      <c r="G73" s="13"/>
      <c r="H73" s="13"/>
      <c r="I73" s="13"/>
      <c r="J73" s="13"/>
      <c r="K73" s="13"/>
      <c r="L73" s="13"/>
    </row>
    <row r="74" spans="1:12" x14ac:dyDescent="0.25">
      <c r="A74" s="13"/>
      <c r="B74" s="13"/>
      <c r="C74" s="13"/>
      <c r="D74" s="443"/>
      <c r="E74" s="482"/>
      <c r="F74" s="25"/>
      <c r="G74" s="13"/>
      <c r="H74" s="13"/>
      <c r="I74" s="13"/>
      <c r="J74" s="13"/>
      <c r="K74" s="13"/>
      <c r="L74" s="13"/>
    </row>
    <row r="75" spans="1:12" x14ac:dyDescent="0.25">
      <c r="A75" s="13"/>
      <c r="B75" s="13"/>
      <c r="C75" s="13"/>
      <c r="D75" s="415" t="s">
        <v>308</v>
      </c>
      <c r="E75" s="415"/>
      <c r="F75" s="19">
        <f>NPV(F73,F67:F71)+F66</f>
        <v>43576506.354587987</v>
      </c>
      <c r="G75" s="13"/>
      <c r="H75" s="13"/>
      <c r="I75" s="13"/>
      <c r="J75" s="13"/>
      <c r="K75" s="13"/>
      <c r="L75" s="13"/>
    </row>
    <row r="79" spans="1:12" x14ac:dyDescent="0.25">
      <c r="A79" s="14" t="s">
        <v>59</v>
      </c>
      <c r="B79" s="14">
        <v>38</v>
      </c>
      <c r="C79" s="14" t="s">
        <v>309</v>
      </c>
      <c r="D79" s="13"/>
      <c r="E79" s="210"/>
      <c r="F79" s="13"/>
      <c r="G79" s="13"/>
      <c r="H79" s="13"/>
      <c r="I79" s="13"/>
      <c r="J79" s="13"/>
      <c r="K79" s="13"/>
      <c r="L79" s="13"/>
    </row>
    <row r="80" spans="1:12" x14ac:dyDescent="0.25">
      <c r="A80" s="14"/>
      <c r="B80" s="14"/>
      <c r="C80" s="14"/>
      <c r="D80" s="13"/>
      <c r="E80" s="210"/>
      <c r="F80" s="13"/>
      <c r="G80" s="13"/>
      <c r="H80" s="13"/>
      <c r="I80" s="13"/>
      <c r="J80" s="13"/>
      <c r="K80" s="13"/>
      <c r="L80" s="13"/>
    </row>
    <row r="81" spans="1:12" x14ac:dyDescent="0.25">
      <c r="A81" s="13"/>
      <c r="B81" s="13"/>
      <c r="C81" s="13"/>
      <c r="D81" s="462" t="s">
        <v>301</v>
      </c>
      <c r="E81" s="462"/>
      <c r="F81" s="17">
        <f>F66</f>
        <v>-43874208.103232726</v>
      </c>
      <c r="G81" s="13"/>
      <c r="H81" s="60"/>
      <c r="I81" s="13"/>
      <c r="J81" s="13"/>
      <c r="K81" s="13"/>
      <c r="L81" s="13"/>
    </row>
    <row r="82" spans="1:12" x14ac:dyDescent="0.25">
      <c r="A82" s="13"/>
      <c r="B82" s="13"/>
      <c r="C82" s="13"/>
      <c r="D82" s="462" t="s">
        <v>302</v>
      </c>
      <c r="E82" s="462"/>
      <c r="F82" s="17">
        <f t="shared" ref="F82:F86" si="4">F67</f>
        <v>41393683.439999998</v>
      </c>
      <c r="G82" s="13"/>
      <c r="H82" s="13"/>
      <c r="I82" s="13"/>
      <c r="J82" s="13"/>
      <c r="K82" s="13"/>
      <c r="L82" s="13"/>
    </row>
    <row r="83" spans="1:12" x14ac:dyDescent="0.25">
      <c r="A83" s="13"/>
      <c r="B83" s="13"/>
      <c r="C83" s="13"/>
      <c r="D83" s="462" t="s">
        <v>303</v>
      </c>
      <c r="E83" s="462"/>
      <c r="F83" s="17">
        <f t="shared" si="4"/>
        <v>31610300.305000052</v>
      </c>
      <c r="G83" s="13"/>
      <c r="H83" s="13"/>
      <c r="I83" s="13"/>
      <c r="J83" s="13"/>
      <c r="K83" s="13"/>
      <c r="L83" s="13"/>
    </row>
    <row r="84" spans="1:12" x14ac:dyDescent="0.25">
      <c r="A84" s="13"/>
      <c r="B84" s="13"/>
      <c r="C84" s="13"/>
      <c r="D84" s="462" t="s">
        <v>304</v>
      </c>
      <c r="E84" s="462"/>
      <c r="F84" s="17">
        <f t="shared" si="4"/>
        <v>33692017.69017601</v>
      </c>
      <c r="G84" s="13"/>
      <c r="H84" s="13"/>
      <c r="I84" s="13"/>
      <c r="J84" s="13"/>
      <c r="K84" s="13"/>
      <c r="L84" s="13"/>
    </row>
    <row r="85" spans="1:12" x14ac:dyDescent="0.25">
      <c r="A85" s="13"/>
      <c r="B85" s="13"/>
      <c r="C85" s="13"/>
      <c r="D85" s="462" t="s">
        <v>305</v>
      </c>
      <c r="E85" s="462"/>
      <c r="F85" s="17">
        <f t="shared" si="4"/>
        <v>32208157.238248345</v>
      </c>
      <c r="G85" s="13"/>
      <c r="H85" s="14"/>
      <c r="I85" s="14"/>
      <c r="J85" s="13"/>
      <c r="K85" s="13"/>
      <c r="L85" s="13"/>
    </row>
    <row r="86" spans="1:12" x14ac:dyDescent="0.25">
      <c r="A86" s="13"/>
      <c r="B86" s="13"/>
      <c r="C86" s="13"/>
      <c r="D86" s="462" t="s">
        <v>306</v>
      </c>
      <c r="E86" s="462"/>
      <c r="F86" s="17">
        <f t="shared" si="4"/>
        <v>35778746.122981459</v>
      </c>
      <c r="G86" s="13"/>
      <c r="H86" s="14"/>
      <c r="I86" s="14"/>
      <c r="J86" s="13"/>
      <c r="K86" s="13"/>
      <c r="L86" s="13"/>
    </row>
    <row r="87" spans="1:12" hidden="1" x14ac:dyDescent="0.25">
      <c r="A87" s="13"/>
      <c r="B87" s="13"/>
      <c r="C87" s="13"/>
      <c r="D87" s="443"/>
      <c r="E87" s="482"/>
      <c r="F87" s="25"/>
      <c r="G87" s="13"/>
      <c r="H87" s="13"/>
      <c r="I87" s="13"/>
      <c r="J87" s="13"/>
      <c r="K87" s="13"/>
      <c r="L87" s="13"/>
    </row>
    <row r="88" spans="1:12" x14ac:dyDescent="0.25">
      <c r="A88" s="13"/>
      <c r="B88" s="13"/>
      <c r="C88" s="13"/>
      <c r="D88" s="415" t="s">
        <v>310</v>
      </c>
      <c r="E88" s="415"/>
      <c r="F88" s="228">
        <f>IRR(F81:F86)</f>
        <v>0.79162580932179316</v>
      </c>
      <c r="G88" s="14" t="s">
        <v>156</v>
      </c>
      <c r="H88" s="13"/>
      <c r="I88" s="13"/>
      <c r="J88" s="13"/>
      <c r="K88" s="13"/>
      <c r="L88" s="13"/>
    </row>
    <row r="95" spans="1:12" ht="14.4" x14ac:dyDescent="0.3">
      <c r="A95" s="13"/>
      <c r="B95" s="13"/>
      <c r="C95"/>
      <c r="D95"/>
      <c r="E95" s="229"/>
      <c r="F95"/>
      <c r="G95"/>
      <c r="H95" s="230"/>
      <c r="I95"/>
      <c r="J95"/>
      <c r="K95"/>
      <c r="L95"/>
    </row>
    <row r="96" spans="1:12" x14ac:dyDescent="0.25">
      <c r="A96" s="14" t="s">
        <v>47</v>
      </c>
      <c r="B96" s="14">
        <v>39</v>
      </c>
      <c r="C96" s="231" t="s">
        <v>311</v>
      </c>
      <c r="D96"/>
      <c r="E96" s="229"/>
      <c r="F96"/>
      <c r="G96"/>
      <c r="H96"/>
      <c r="I96"/>
      <c r="J96"/>
      <c r="K96"/>
      <c r="L96"/>
    </row>
    <row r="97" spans="1:12" ht="12.75" customHeight="1" x14ac:dyDescent="0.25">
      <c r="A97" s="13"/>
      <c r="B97" s="13"/>
      <c r="C97"/>
      <c r="D97"/>
      <c r="E97" s="229"/>
      <c r="F97"/>
      <c r="G97"/>
      <c r="H97"/>
      <c r="I97"/>
      <c r="J97" s="481"/>
      <c r="K97" s="481"/>
      <c r="L97" s="481"/>
    </row>
    <row r="98" spans="1:12" ht="14.4" x14ac:dyDescent="0.3">
      <c r="A98" s="13"/>
      <c r="B98" s="13"/>
      <c r="C98" s="232" t="s">
        <v>312</v>
      </c>
      <c r="D98" s="233" t="s">
        <v>313</v>
      </c>
      <c r="E98" s="234" t="s">
        <v>314</v>
      </c>
      <c r="F98" s="233" t="s">
        <v>315</v>
      </c>
      <c r="G98" s="235" t="s">
        <v>316</v>
      </c>
      <c r="H98" s="233" t="s">
        <v>153</v>
      </c>
      <c r="I98"/>
      <c r="J98" s="481"/>
      <c r="K98" s="481"/>
      <c r="L98" s="481"/>
    </row>
    <row r="99" spans="1:12" ht="12.75" customHeight="1" x14ac:dyDescent="0.25">
      <c r="A99" s="13"/>
      <c r="B99" s="13"/>
      <c r="C99" s="2" t="s">
        <v>301</v>
      </c>
      <c r="D99" s="236">
        <f>F81</f>
        <v>-43874208.103232726</v>
      </c>
      <c r="E99" s="237"/>
      <c r="F99" s="236">
        <f>F81</f>
        <v>-43874208.103232726</v>
      </c>
      <c r="G99" s="238">
        <v>0</v>
      </c>
      <c r="H99" s="239">
        <f>-F100/(E101)*10</f>
        <v>0.78472037256804061</v>
      </c>
      <c r="I99"/>
      <c r="J99" s="481"/>
      <c r="K99" s="481"/>
      <c r="L99" s="481"/>
    </row>
    <row r="100" spans="1:12" ht="14.4" x14ac:dyDescent="0.3">
      <c r="A100" s="13"/>
      <c r="B100" s="13"/>
      <c r="C100" s="2" t="s">
        <v>302</v>
      </c>
      <c r="D100" s="236"/>
      <c r="E100" s="240">
        <f>F82</f>
        <v>41393683.439999998</v>
      </c>
      <c r="F100" s="236">
        <f>F99+E100</f>
        <v>-2480524.6632327288</v>
      </c>
      <c r="G100" s="241"/>
      <c r="H100" s="242"/>
      <c r="I100"/>
      <c r="J100" s="481"/>
      <c r="K100" s="481"/>
      <c r="L100" s="481"/>
    </row>
    <row r="101" spans="1:12" ht="14.4" x14ac:dyDescent="0.25">
      <c r="A101" s="13"/>
      <c r="B101" s="13"/>
      <c r="C101" s="2" t="s">
        <v>303</v>
      </c>
      <c r="D101" s="236"/>
      <c r="E101" s="240">
        <f>F83</f>
        <v>31610300.305000052</v>
      </c>
      <c r="F101" s="236">
        <f>E101+F100</f>
        <v>29129775.641767323</v>
      </c>
      <c r="G101"/>
      <c r="H101"/>
      <c r="I101"/>
      <c r="J101"/>
      <c r="K101"/>
      <c r="L101"/>
    </row>
    <row r="102" spans="1:12" ht="14.4" x14ac:dyDescent="0.25">
      <c r="A102" s="13"/>
      <c r="B102" s="13"/>
      <c r="C102" s="2" t="s">
        <v>317</v>
      </c>
      <c r="D102" s="236"/>
      <c r="E102" s="240">
        <f>F84</f>
        <v>33692017.69017601</v>
      </c>
      <c r="F102" s="236">
        <f>E102+F101</f>
        <v>62821793.331943333</v>
      </c>
      <c r="G102" s="243"/>
      <c r="I102"/>
      <c r="J102" s="244"/>
      <c r="K102"/>
      <c r="L102"/>
    </row>
    <row r="103" spans="1:12" ht="14.4" x14ac:dyDescent="0.25">
      <c r="A103" s="13"/>
      <c r="B103" s="13"/>
      <c r="C103" s="2" t="s">
        <v>305</v>
      </c>
      <c r="D103" s="236"/>
      <c r="E103" s="240">
        <f>F85</f>
        <v>32208157.238248345</v>
      </c>
      <c r="F103" s="236">
        <f>E103+F102</f>
        <v>95029950.570191681</v>
      </c>
      <c r="G103"/>
      <c r="H103"/>
      <c r="I103"/>
      <c r="J103"/>
      <c r="K103"/>
      <c r="L103"/>
    </row>
    <row r="104" spans="1:12" ht="14.4" x14ac:dyDescent="0.25">
      <c r="A104" s="13"/>
      <c r="B104" s="13"/>
      <c r="C104" s="2" t="s">
        <v>306</v>
      </c>
      <c r="D104" s="236"/>
      <c r="E104" s="240">
        <f>F86</f>
        <v>35778746.122981459</v>
      </c>
      <c r="F104" s="236">
        <f>E104+F103</f>
        <v>130808696.69317314</v>
      </c>
      <c r="G104"/>
      <c r="H104" s="243"/>
      <c r="I104" s="13"/>
      <c r="J104"/>
      <c r="K104"/>
      <c r="L104"/>
    </row>
    <row r="106" spans="1:12" x14ac:dyDescent="0.25">
      <c r="A106" s="13"/>
      <c r="B106" s="13"/>
      <c r="C106" s="13"/>
      <c r="D106" s="13"/>
      <c r="E106" s="210"/>
      <c r="F106" s="137"/>
      <c r="G106" s="16" t="s">
        <v>316</v>
      </c>
      <c r="H106" s="16" t="s">
        <v>153</v>
      </c>
      <c r="J106" s="13"/>
      <c r="K106" s="13"/>
      <c r="L106" s="13"/>
    </row>
    <row r="107" spans="1:12" ht="14.4" x14ac:dyDescent="0.3">
      <c r="A107" s="13"/>
      <c r="B107" s="13"/>
      <c r="C107" s="8"/>
      <c r="D107" s="13"/>
      <c r="E107" s="210"/>
      <c r="F107" s="16" t="s">
        <v>318</v>
      </c>
      <c r="G107" s="16">
        <f>G100</f>
        <v>0</v>
      </c>
      <c r="H107" s="356">
        <f>ROUNDDOWN(H99,1)*10</f>
        <v>7</v>
      </c>
      <c r="J107" s="13"/>
      <c r="K107" s="13"/>
      <c r="L107" s="13"/>
    </row>
    <row r="108" spans="1:12" x14ac:dyDescent="0.25">
      <c r="H108" s="13" t="s">
        <v>402</v>
      </c>
    </row>
    <row r="110" spans="1:12" x14ac:dyDescent="0.25">
      <c r="H110" s="13" t="s">
        <v>2</v>
      </c>
      <c r="I110" s="13"/>
    </row>
    <row r="112" spans="1:12" x14ac:dyDescent="0.25">
      <c r="A112" s="14" t="s">
        <v>47</v>
      </c>
      <c r="B112" s="14">
        <v>40</v>
      </c>
      <c r="C112" s="14" t="s">
        <v>319</v>
      </c>
      <c r="D112" s="13"/>
      <c r="E112" s="210"/>
      <c r="F112" s="13"/>
      <c r="G112" s="13"/>
      <c r="H112" s="13"/>
      <c r="I112" s="13"/>
      <c r="J112" s="13"/>
      <c r="K112" s="13"/>
      <c r="L112" s="13"/>
    </row>
    <row r="114" spans="3:11" x14ac:dyDescent="0.25">
      <c r="C114" s="51" t="s">
        <v>320</v>
      </c>
      <c r="D114" s="16" t="s">
        <v>302</v>
      </c>
      <c r="E114" s="246" t="s">
        <v>303</v>
      </c>
      <c r="F114" s="16" t="s">
        <v>317</v>
      </c>
      <c r="G114" s="16" t="s">
        <v>305</v>
      </c>
      <c r="H114" s="16" t="s">
        <v>306</v>
      </c>
      <c r="I114" s="13"/>
      <c r="J114" s="13"/>
      <c r="K114" s="13"/>
    </row>
    <row r="115" spans="3:11" x14ac:dyDescent="0.25">
      <c r="C115" s="25" t="s">
        <v>165</v>
      </c>
      <c r="D115" s="247">
        <f>'COSTOS RESUMEN'!F18</f>
        <v>93264316.560000002</v>
      </c>
      <c r="E115" s="248">
        <f>+D115*(1.07)</f>
        <v>99792818.719200015</v>
      </c>
      <c r="F115" s="248">
        <f t="shared" ref="F115:H115" si="5">+E115*(1.07)</f>
        <v>106778316.02954403</v>
      </c>
      <c r="G115" s="248">
        <f>+F115*(1.07)</f>
        <v>114252798.15161212</v>
      </c>
      <c r="H115" s="248">
        <f t="shared" si="5"/>
        <v>122250494.02222498</v>
      </c>
      <c r="I115" s="13"/>
      <c r="J115" s="13"/>
      <c r="K115" s="13"/>
    </row>
    <row r="116" spans="3:11" x14ac:dyDescent="0.25">
      <c r="C116" s="25" t="s">
        <v>321</v>
      </c>
      <c r="D116" s="247">
        <f>+PROYECCIONES!D21</f>
        <v>7750</v>
      </c>
      <c r="E116" s="247">
        <f>+PROYECCIONES!F21</f>
        <v>8050</v>
      </c>
      <c r="F116" s="247">
        <f>+PROYECCIONES!G21</f>
        <v>8400</v>
      </c>
      <c r="G116" s="247">
        <f>+PROYECCIONES!H21</f>
        <v>8550</v>
      </c>
      <c r="H116" s="247">
        <f>+PROYECCIONES!I21</f>
        <v>8950</v>
      </c>
      <c r="I116" s="13"/>
      <c r="J116" s="13"/>
      <c r="K116" s="13"/>
    </row>
    <row r="117" spans="3:11" x14ac:dyDescent="0.25">
      <c r="C117" s="25" t="s">
        <v>322</v>
      </c>
      <c r="D117" s="247">
        <f>'COSTOS RESUMEN'!G36</f>
        <v>188.88888888888889</v>
      </c>
      <c r="E117" s="247">
        <f>+D117*(1.07)</f>
        <v>202.11111111111111</v>
      </c>
      <c r="F117" s="247">
        <f t="shared" ref="F117:H117" si="6">+E117*(1.07)</f>
        <v>216.25888888888892</v>
      </c>
      <c r="G117" s="247">
        <f t="shared" si="6"/>
        <v>231.39701111111117</v>
      </c>
      <c r="H117" s="247">
        <f t="shared" si="6"/>
        <v>247.59480188888895</v>
      </c>
      <c r="I117" s="13"/>
      <c r="J117" s="13"/>
      <c r="K117" s="13"/>
    </row>
    <row r="118" spans="3:11" ht="12.75" customHeight="1" x14ac:dyDescent="0.25">
      <c r="C118" s="16" t="s">
        <v>323</v>
      </c>
      <c r="D118" s="82">
        <f>D115/(D116-D117)</f>
        <v>12334.736944011756</v>
      </c>
      <c r="E118" s="82">
        <f>E115/(E116-E117)</f>
        <v>12715.880682317964</v>
      </c>
      <c r="F118" s="82">
        <f>F115/(F116-F117)</f>
        <v>13047.616558223048</v>
      </c>
      <c r="G118" s="82">
        <f>G115/(G116-G117)</f>
        <v>13734.61364897675</v>
      </c>
      <c r="H118" s="82">
        <f>H115/(H116-H117)</f>
        <v>14047.897246701394</v>
      </c>
      <c r="I118" s="13"/>
      <c r="J118" s="13"/>
      <c r="K118" s="13"/>
    </row>
    <row r="119" spans="3:11" x14ac:dyDescent="0.25">
      <c r="C119" s="13"/>
      <c r="D119" s="13"/>
      <c r="E119" s="249"/>
      <c r="F119" s="249"/>
      <c r="G119" s="249"/>
      <c r="H119" s="249"/>
      <c r="I119" s="13"/>
      <c r="J119" s="13"/>
      <c r="K119" s="13"/>
    </row>
    <row r="120" spans="3:11" x14ac:dyDescent="0.25">
      <c r="C120" s="13"/>
      <c r="D120" s="13"/>
      <c r="E120" s="249"/>
      <c r="F120" s="249"/>
      <c r="G120" s="249"/>
      <c r="H120" s="249"/>
      <c r="I120" s="13"/>
      <c r="J120" s="13"/>
      <c r="K120" s="13"/>
    </row>
    <row r="121" spans="3:11" x14ac:dyDescent="0.25">
      <c r="C121" s="13"/>
      <c r="D121" s="13"/>
      <c r="E121" s="249"/>
      <c r="F121" s="249"/>
      <c r="G121" s="249"/>
      <c r="H121" s="249"/>
      <c r="I121" s="13"/>
      <c r="J121" s="13"/>
      <c r="K121" s="13"/>
    </row>
    <row r="122" spans="3:11" x14ac:dyDescent="0.25">
      <c r="C122" s="13"/>
      <c r="D122" s="13"/>
      <c r="E122" s="249"/>
      <c r="F122" s="249"/>
      <c r="G122" s="249"/>
      <c r="H122" s="249"/>
      <c r="I122" s="13"/>
      <c r="J122" s="13"/>
      <c r="K122" s="13"/>
    </row>
    <row r="123" spans="3:11" x14ac:dyDescent="0.25">
      <c r="C123" s="13"/>
      <c r="D123" s="13"/>
      <c r="E123" s="249"/>
      <c r="F123" s="249"/>
      <c r="G123" s="249"/>
      <c r="H123" s="249"/>
      <c r="I123" s="13"/>
      <c r="J123" s="13"/>
      <c r="K123" s="13"/>
    </row>
    <row r="125" spans="3:11" x14ac:dyDescent="0.25">
      <c r="C125" s="13"/>
      <c r="D125" s="13"/>
      <c r="E125" s="250"/>
      <c r="F125" s="250"/>
      <c r="G125" s="250"/>
      <c r="H125" s="250"/>
      <c r="I125" s="250"/>
      <c r="J125" s="250"/>
      <c r="K125" s="250"/>
    </row>
    <row r="126" spans="3:11" x14ac:dyDescent="0.25">
      <c r="C126" s="13"/>
      <c r="D126" s="13"/>
      <c r="E126" s="250"/>
      <c r="F126" s="250"/>
      <c r="G126" s="250"/>
      <c r="H126" s="250"/>
      <c r="I126" s="250"/>
      <c r="J126" s="250"/>
      <c r="K126" s="250"/>
    </row>
    <row r="127" spans="3:11" x14ac:dyDescent="0.25">
      <c r="C127" s="13"/>
      <c r="D127" s="13"/>
      <c r="E127" s="250"/>
      <c r="F127" s="250"/>
      <c r="G127" s="250"/>
      <c r="H127" s="250"/>
      <c r="I127" s="250"/>
      <c r="J127" s="250"/>
      <c r="K127" s="250"/>
    </row>
    <row r="128" spans="3:11" x14ac:dyDescent="0.25">
      <c r="C128" s="13"/>
      <c r="D128" s="13"/>
      <c r="E128" s="250"/>
      <c r="F128" s="250"/>
      <c r="G128" s="250"/>
      <c r="H128" s="250"/>
      <c r="I128" s="250"/>
      <c r="J128" s="250"/>
      <c r="K128" s="250"/>
    </row>
    <row r="129" spans="5:11" x14ac:dyDescent="0.25">
      <c r="E129" s="250"/>
      <c r="F129" s="250"/>
      <c r="G129" s="250"/>
      <c r="H129" s="250"/>
      <c r="I129" s="250"/>
      <c r="J129" s="250"/>
      <c r="K129" s="250"/>
    </row>
    <row r="130" spans="5:11" x14ac:dyDescent="0.25">
      <c r="E130" s="250"/>
      <c r="F130" s="250"/>
      <c r="G130" s="250"/>
      <c r="H130" s="250"/>
      <c r="I130" s="250"/>
      <c r="J130" s="250"/>
      <c r="K130" s="250"/>
    </row>
    <row r="131" spans="5:11" x14ac:dyDescent="0.25">
      <c r="E131" s="250"/>
      <c r="F131" s="250"/>
      <c r="G131" s="250"/>
      <c r="H131" s="250"/>
      <c r="I131" s="250"/>
      <c r="J131" s="250"/>
      <c r="K131" s="250"/>
    </row>
    <row r="132" spans="5:11" x14ac:dyDescent="0.25">
      <c r="E132" s="250"/>
      <c r="F132" s="250"/>
      <c r="G132" s="250"/>
      <c r="H132" s="250"/>
      <c r="I132" s="250"/>
      <c r="J132" s="250"/>
      <c r="K132" s="250"/>
    </row>
    <row r="133" spans="5:11" x14ac:dyDescent="0.25">
      <c r="E133" s="250"/>
      <c r="F133" s="250"/>
      <c r="G133" s="250"/>
      <c r="H133" s="250"/>
      <c r="I133" s="250"/>
      <c r="J133" s="250"/>
      <c r="K133" s="250"/>
    </row>
  </sheetData>
  <mergeCells count="32">
    <mergeCell ref="J97:L100"/>
    <mergeCell ref="C48:D48"/>
    <mergeCell ref="D85:E85"/>
    <mergeCell ref="D86:E86"/>
    <mergeCell ref="D87:E87"/>
    <mergeCell ref="D88:E88"/>
    <mergeCell ref="I54:I55"/>
    <mergeCell ref="D62:H62"/>
    <mergeCell ref="D81:E81"/>
    <mergeCell ref="D82:E82"/>
    <mergeCell ref="H54:H55"/>
    <mergeCell ref="D54:E55"/>
    <mergeCell ref="D72:E72"/>
    <mergeCell ref="D74:E74"/>
    <mergeCell ref="D66:E66"/>
    <mergeCell ref="C52:D52"/>
    <mergeCell ref="D83:E83"/>
    <mergeCell ref="D84:E84"/>
    <mergeCell ref="D71:E71"/>
    <mergeCell ref="D73:E73"/>
    <mergeCell ref="D75:E75"/>
    <mergeCell ref="C7:E7"/>
    <mergeCell ref="C8:E8"/>
    <mergeCell ref="C9:E9"/>
    <mergeCell ref="C29:E29"/>
    <mergeCell ref="C35:E35"/>
    <mergeCell ref="D67:E67"/>
    <mergeCell ref="D68:E68"/>
    <mergeCell ref="D69:E69"/>
    <mergeCell ref="D70:E70"/>
    <mergeCell ref="G54:G55"/>
    <mergeCell ref="F54:F55"/>
  </mergeCells>
  <pageMargins left="0.7" right="0.7" top="0.75" bottom="0.75" header="0.3" footer="0.3"/>
  <pageSetup orientation="portrait" r:id="rId1"/>
  <ignoredErrors>
    <ignoredError sqref="G116:H116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062B2784FA664FAA27846AD4D0E69D" ma:contentTypeVersion="14" ma:contentTypeDescription="Create a new document." ma:contentTypeScope="" ma:versionID="8f04dfb36d261e78a57b9a415f227879">
  <xsd:schema xmlns:xsd="http://www.w3.org/2001/XMLSchema" xmlns:xs="http://www.w3.org/2001/XMLSchema" xmlns:p="http://schemas.microsoft.com/office/2006/metadata/properties" xmlns:ns3="a33c46cb-0093-479a-b925-bca0c80f089f" xmlns:ns4="f1d828b1-255d-4e45-9b11-ad30cc831e6f" targetNamespace="http://schemas.microsoft.com/office/2006/metadata/properties" ma:root="true" ma:fieldsID="51bc25aef0ba890eec0e6dc1b5124b21" ns3:_="" ns4:_="">
    <xsd:import namespace="a33c46cb-0093-479a-b925-bca0c80f089f"/>
    <xsd:import namespace="f1d828b1-255d-4e45-9b11-ad30cc831e6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_activity" minOccurs="0"/>
                <xsd:element ref="ns4:MediaServiceDateTaken" minOccurs="0"/>
                <xsd:element ref="ns4:MediaLengthInSeconds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3c46cb-0093-479a-b925-bca0c80f089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d828b1-255d-4e45-9b11-ad30cc831e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f1d828b1-255d-4e45-9b11-ad30cc831e6f" xsi:nil="true"/>
  </documentManagement>
</p:properties>
</file>

<file path=customXml/itemProps1.xml><?xml version="1.0" encoding="utf-8"?>
<ds:datastoreItem xmlns:ds="http://schemas.openxmlformats.org/officeDocument/2006/customXml" ds:itemID="{9F529BCB-DB69-4361-858E-3D6D3DAE13F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C2E4CA4-F4FE-4335-B1BB-FD6D4901DD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3c46cb-0093-479a-b925-bca0c80f089f"/>
    <ds:schemaRef ds:uri="f1d828b1-255d-4e45-9b11-ad30cc831e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0AC4341-9CA4-4F75-88DB-B7C8D2D3A6BF}">
  <ds:schemaRefs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33c46cb-0093-479a-b925-bca0c80f089f"/>
    <ds:schemaRef ds:uri="http://www.w3.org/XML/1998/namespace"/>
    <ds:schemaRef ds:uri="http://schemas.microsoft.com/office/2006/documentManagement/types"/>
    <ds:schemaRef ds:uri="http://purl.org/dc/elements/1.1/"/>
    <ds:schemaRef ds:uri="f1d828b1-255d-4e45-9b11-ad30cc831e6f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Estructura salarial </vt:lpstr>
      <vt:lpstr>Equipos y muebles</vt:lpstr>
      <vt:lpstr>INVERSIONES </vt:lpstr>
      <vt:lpstr>COSTOS Y GASTOS</vt:lpstr>
      <vt:lpstr>CRÉDITO</vt:lpstr>
      <vt:lpstr>COSTOS RESUMEN</vt:lpstr>
      <vt:lpstr>PROYECCIONES</vt:lpstr>
      <vt:lpstr>EVALUACIÓN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Personal</dc:creator>
  <cp:keywords/>
  <dc:description/>
  <cp:lastModifiedBy>Usuario</cp:lastModifiedBy>
  <cp:revision/>
  <dcterms:created xsi:type="dcterms:W3CDTF">2008-08-27T13:35:26Z</dcterms:created>
  <dcterms:modified xsi:type="dcterms:W3CDTF">2025-03-10T16:38:19Z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0x010100DA062B2784FA664FAA27846AD4D0E69D</vt:lpwstr>
  </property>
</Properties>
</file>