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lloa\OneDrive\Escritorio\TS\"/>
    </mc:Choice>
  </mc:AlternateContent>
  <xr:revisionPtr revIDLastSave="0" documentId="13_ncr:1_{43597124-32C6-46B0-9BB3-B110442A17FC}" xr6:coauthVersionLast="47" xr6:coauthVersionMax="47" xr10:uidLastSave="{00000000-0000-0000-0000-000000000000}"/>
  <bookViews>
    <workbookView xWindow="5292" yWindow="1560" windowWidth="23040" windowHeight="9420" activeTab="4" xr2:uid="{0C3D22D8-3FF5-45AC-8AE7-AAA92BE54FB9}"/>
  </bookViews>
  <sheets>
    <sheet name="servicios industriales CUT" sheetId="17" r:id="rId1"/>
    <sheet name="Mano de Obra" sheetId="16" r:id="rId2"/>
    <sheet name="Materia Prima CMR" sheetId="19" r:id="rId3"/>
    <sheet name="Costo COM" sheetId="20" r:id="rId4"/>
    <sheet name="Graficas de opex y capex" sheetId="21" r:id="rId5"/>
  </sheets>
  <definedNames>
    <definedName name="CEPCI">'Costo COM'!$E$4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3" i="17" l="1"/>
  <c r="D46" i="21" l="1"/>
  <c r="C46" i="21"/>
  <c r="C43" i="21"/>
  <c r="H8" i="21"/>
  <c r="C6" i="21"/>
  <c r="C4" i="21"/>
  <c r="H20" i="20"/>
  <c r="D20" i="20"/>
  <c r="M12" i="20"/>
  <c r="H8" i="20" l="1"/>
  <c r="I8" i="20" s="1"/>
  <c r="E7" i="20"/>
  <c r="I7" i="20" s="1"/>
  <c r="D8" i="20"/>
  <c r="E8" i="20" s="1"/>
  <c r="E22" i="17"/>
  <c r="F22" i="17" s="1"/>
  <c r="G22" i="17" s="1"/>
  <c r="D22" i="17"/>
  <c r="D7" i="17"/>
  <c r="E7" i="17"/>
  <c r="E6" i="20" l="1"/>
  <c r="I6" i="20" s="1"/>
  <c r="I9" i="20" s="1"/>
  <c r="D6" i="20"/>
  <c r="H6" i="20" s="1"/>
  <c r="O14" i="16"/>
  <c r="O36" i="16"/>
  <c r="C14" i="16"/>
  <c r="B1" i="20"/>
  <c r="F9" i="19"/>
  <c r="F22" i="19"/>
  <c r="F8" i="19"/>
  <c r="F18" i="19"/>
  <c r="F15" i="19"/>
  <c r="F7" i="19"/>
  <c r="F5" i="19"/>
  <c r="E7" i="19"/>
  <c r="K9" i="19"/>
  <c r="D7" i="19" s="1"/>
  <c r="D5" i="19"/>
  <c r="C7" i="19"/>
  <c r="L5" i="19"/>
  <c r="L4" i="19"/>
  <c r="E9" i="19"/>
  <c r="D15" i="19"/>
  <c r="E15" i="19" s="1"/>
  <c r="C15" i="19"/>
  <c r="P4" i="19"/>
  <c r="E5" i="19"/>
  <c r="C5" i="19"/>
  <c r="I10" i="19"/>
  <c r="S1" i="19"/>
  <c r="I7" i="19"/>
  <c r="D6" i="19"/>
  <c r="K13" i="17"/>
  <c r="J8" i="17"/>
  <c r="R2" i="16"/>
  <c r="K1" i="17"/>
  <c r="O5" i="16"/>
  <c r="N5" i="16"/>
  <c r="H10" i="21" l="1"/>
  <c r="G29" i="17"/>
  <c r="G35" i="17" s="1"/>
  <c r="D7" i="20" s="1"/>
  <c r="D9" i="20" s="1"/>
  <c r="C29" i="17"/>
  <c r="D29" i="17"/>
  <c r="F29" i="17"/>
  <c r="E4" i="16"/>
  <c r="O30" i="16"/>
  <c r="J13" i="16"/>
  <c r="J12" i="16"/>
  <c r="J11" i="16"/>
  <c r="J10" i="16"/>
  <c r="J9" i="16"/>
  <c r="J8" i="16"/>
  <c r="J7" i="16"/>
  <c r="J6" i="16"/>
  <c r="J5" i="16"/>
  <c r="O35" i="16"/>
  <c r="O33" i="16"/>
  <c r="O34" i="16" s="1"/>
  <c r="O32" i="16"/>
  <c r="O29" i="16"/>
  <c r="O28" i="16"/>
  <c r="O27" i="16"/>
  <c r="K35" i="16"/>
  <c r="K33" i="16"/>
  <c r="K34" i="16"/>
  <c r="K32" i="16"/>
  <c r="K30" i="16"/>
  <c r="K29" i="16"/>
  <c r="K28" i="16"/>
  <c r="K27" i="16"/>
  <c r="M35" i="16"/>
  <c r="M33" i="16"/>
  <c r="M34" i="16"/>
  <c r="M32" i="16"/>
  <c r="M30" i="16"/>
  <c r="M29" i="16"/>
  <c r="M28" i="16"/>
  <c r="M27" i="16"/>
  <c r="L12" i="16" s="1"/>
  <c r="E35" i="16"/>
  <c r="E33" i="16"/>
  <c r="E34" i="16"/>
  <c r="E32" i="16"/>
  <c r="E30" i="16"/>
  <c r="E29" i="16"/>
  <c r="E28" i="16"/>
  <c r="E27" i="16"/>
  <c r="L6" i="16" s="1"/>
  <c r="C33" i="16"/>
  <c r="C34" i="16"/>
  <c r="C35" i="16"/>
  <c r="C32" i="16"/>
  <c r="C30" i="16"/>
  <c r="C29" i="16"/>
  <c r="C28" i="16"/>
  <c r="C27" i="16"/>
  <c r="L5" i="16" s="1"/>
  <c r="M36" i="16"/>
  <c r="E36" i="16"/>
  <c r="C36" i="16"/>
  <c r="I35" i="16"/>
  <c r="G35" i="16"/>
  <c r="I33" i="16"/>
  <c r="I34" i="16"/>
  <c r="G33" i="16"/>
  <c r="G34" i="16"/>
  <c r="I32" i="16"/>
  <c r="G32" i="16"/>
  <c r="I30" i="16"/>
  <c r="I29" i="16"/>
  <c r="I28" i="16"/>
  <c r="I27" i="16"/>
  <c r="L9" i="16" s="1"/>
  <c r="E6" i="19"/>
  <c r="F6" i="19" s="1"/>
  <c r="G30" i="16"/>
  <c r="G29" i="16"/>
  <c r="G28" i="16"/>
  <c r="G27" i="16"/>
  <c r="C9" i="16"/>
  <c r="E8" i="16"/>
  <c r="E7" i="16"/>
  <c r="E6" i="16"/>
  <c r="E5" i="16"/>
  <c r="G36" i="16"/>
  <c r="I36" i="16"/>
  <c r="H7" i="20" l="1"/>
  <c r="D17" i="20"/>
  <c r="D21" i="20" s="1"/>
  <c r="D22" i="20" s="1"/>
  <c r="C5" i="21"/>
  <c r="C7" i="21" s="1"/>
  <c r="D8" i="17"/>
  <c r="C8" i="17"/>
  <c r="E9" i="16"/>
  <c r="D14" i="16" s="1"/>
  <c r="I13" i="16" s="1"/>
  <c r="L13" i="16" s="1"/>
  <c r="L10" i="16"/>
  <c r="L7" i="16"/>
  <c r="L8" i="16"/>
  <c r="L11" i="16"/>
  <c r="K36" i="16"/>
  <c r="K5" i="16"/>
  <c r="J14" i="16"/>
  <c r="K6" i="16"/>
  <c r="M6" i="16" s="1"/>
  <c r="N6" i="16" s="1"/>
  <c r="O6" i="16" s="1"/>
  <c r="K7" i="16"/>
  <c r="M7" i="16" s="1"/>
  <c r="N7" i="16" s="1"/>
  <c r="O7" i="16" s="1"/>
  <c r="K8" i="16"/>
  <c r="M8" i="16" s="1"/>
  <c r="N8" i="16" s="1"/>
  <c r="O8" i="16" s="1"/>
  <c r="K9" i="16"/>
  <c r="M9" i="16" s="1"/>
  <c r="N9" i="16" s="1"/>
  <c r="O9" i="16" s="1"/>
  <c r="K10" i="16"/>
  <c r="M10" i="16" s="1"/>
  <c r="N10" i="16" s="1"/>
  <c r="O10" i="16" s="1"/>
  <c r="K11" i="16"/>
  <c r="M11" i="16" s="1"/>
  <c r="N11" i="16" s="1"/>
  <c r="O11" i="16" s="1"/>
  <c r="K12" i="16"/>
  <c r="M12" i="16" s="1"/>
  <c r="N12" i="16" s="1"/>
  <c r="O12" i="16" s="1"/>
  <c r="D4" i="21"/>
  <c r="D5" i="21"/>
  <c r="D6" i="21"/>
  <c r="D44" i="21"/>
  <c r="D43" i="21"/>
  <c r="E9" i="20"/>
  <c r="I8" i="21"/>
  <c r="I7" i="21"/>
  <c r="H9" i="20" l="1"/>
  <c r="H17" i="20"/>
  <c r="H21" i="20" s="1"/>
  <c r="H22" i="20" s="1"/>
  <c r="D7" i="21"/>
  <c r="K13" i="16"/>
  <c r="M13" i="16" s="1"/>
  <c r="N13" i="16" s="1"/>
  <c r="O13" i="16" s="1"/>
  <c r="I14" i="16"/>
  <c r="E16" i="19"/>
  <c r="F16" i="19"/>
  <c r="G7" i="17"/>
  <c r="E8" i="17"/>
  <c r="M5" i="16"/>
  <c r="K14" i="16"/>
  <c r="L14" i="16"/>
  <c r="I5" i="21"/>
  <c r="I4" i="21"/>
  <c r="I6" i="21"/>
  <c r="G8" i="17" l="1"/>
  <c r="H7" i="17"/>
  <c r="H8" i="17" s="1"/>
  <c r="I10" i="21"/>
  <c r="M14" i="16"/>
  <c r="N14" i="16" l="1"/>
  <c r="F21" i="19"/>
  <c r="E8" i="19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Jovany Ulloa Suarez</author>
  </authors>
  <commentList>
    <comment ref="L3" authorId="0" shapeId="0" xr:uid="{03FFA7F1-C525-4052-8509-D52A59D6719E}">
      <text>
        <r>
          <rPr>
            <b/>
            <sz val="9"/>
            <color indexed="81"/>
            <rFont val="Century Gothic"/>
            <family val="2"/>
          </rPr>
          <t>Comentario:</t>
        </r>
        <r>
          <rPr>
            <sz val="9"/>
            <color indexed="81"/>
            <rFont val="Century Gothic"/>
            <family val="2"/>
          </rPr>
          <t xml:space="preserve">
Se estimo el valor del costo de Vapor emplenado La herramienta de TLV, disponible en: https://toolbox.tlv.com/global/LA/calculator/steam-unit-cost.html?advanced=on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<sst xmlns="http://schemas.openxmlformats.org/spreadsheetml/2006/main" count="265" uniqueCount="140">
  <si>
    <t>Concepto</t>
  </si>
  <si>
    <t>EQUIPOS</t>
  </si>
  <si>
    <t xml:space="preserve">PERSONAL DE TRABAJO </t>
  </si>
  <si>
    <t>Precio dólar</t>
  </si>
  <si>
    <t>Equipos</t>
  </si>
  <si>
    <t>Numero eq</t>
  </si>
  <si>
    <t>Factor Und</t>
  </si>
  <si>
    <t>Factor Total</t>
  </si>
  <si>
    <t>Cargo</t>
  </si>
  <si>
    <t># personas</t>
  </si>
  <si>
    <t>Salario base por persona [COP]</t>
  </si>
  <si>
    <t>Salario base [COP]</t>
  </si>
  <si>
    <t>Auxilios y otros [COP]</t>
  </si>
  <si>
    <t>Salario total mensual [COP]</t>
  </si>
  <si>
    <t>Salario total anual [COP]</t>
  </si>
  <si>
    <t>Salario total anual [USD]</t>
  </si>
  <si>
    <t>Contador</t>
  </si>
  <si>
    <t>Abogado</t>
  </si>
  <si>
    <t>Encargadas del aseo</t>
  </si>
  <si>
    <t>Intercambiador</t>
  </si>
  <si>
    <t>Celadores</t>
  </si>
  <si>
    <t>Total</t>
  </si>
  <si>
    <t>Laboratorista</t>
  </si>
  <si>
    <t>Secretaria</t>
  </si>
  <si>
    <t>Gerente</t>
  </si>
  <si>
    <t>Sub gerente</t>
  </si>
  <si>
    <t>Operarios/año</t>
  </si>
  <si>
    <t>Operarios</t>
  </si>
  <si>
    <t>Operarios totales</t>
  </si>
  <si>
    <t>TOTAL</t>
  </si>
  <si>
    <t xml:space="preserve">Contador </t>
  </si>
  <si>
    <t>Encargadas del aseo/Celador/Secretaria</t>
  </si>
  <si>
    <t>Sub-gerente</t>
  </si>
  <si>
    <t xml:space="preserve">Salario base </t>
  </si>
  <si>
    <t xml:space="preserve">Salud obligatoria </t>
  </si>
  <si>
    <t>Pensión obligatoria</t>
  </si>
  <si>
    <t>Caja de compensación</t>
  </si>
  <si>
    <t>ARL</t>
  </si>
  <si>
    <t xml:space="preserve">Subsidio de transporte </t>
  </si>
  <si>
    <t>Vacaciones</t>
  </si>
  <si>
    <t xml:space="preserve">Prima de servicios </t>
  </si>
  <si>
    <t xml:space="preserve">Cesantías </t>
  </si>
  <si>
    <t>Intereses sobre cesantías</t>
  </si>
  <si>
    <t>EQUIPOS CON CONSUMO DE AGUA DE ENFRIAMIENTO  COMO SERVICIO INDUSTRIAL</t>
  </si>
  <si>
    <t>Con valor final de cada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</si>
  <si>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</si>
  <si>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</si>
  <si>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</si>
  <si>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</si>
  <si>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</si>
  <si>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</si>
  <si>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</si>
  <si>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</si>
  <si>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</si>
  <si>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Valor promedio</t>
  </si>
  <si>
    <t>Intercambiadores</t>
  </si>
  <si>
    <t>Factor de Penalización</t>
  </si>
  <si>
    <t>[USD/Año]</t>
  </si>
  <si>
    <t>[COP/Año]</t>
  </si>
  <si>
    <t>Valor Agua 2021</t>
  </si>
  <si>
    <t>E-101</t>
  </si>
  <si>
    <t>E-102</t>
  </si>
  <si>
    <t>Dolares</t>
  </si>
  <si>
    <t>Cepci 2021</t>
  </si>
  <si>
    <t>Costo Total</t>
  </si>
  <si>
    <t>-</t>
  </si>
  <si>
    <t>EQUIPOS CON CONSUMO DE ENERGIA COMO SERVICIO INDUSTRIAL</t>
  </si>
  <si>
    <t>[MW]/hr</t>
  </si>
  <si>
    <t>[USD/MWH]</t>
  </si>
  <si>
    <t>[USD]/Hr</t>
  </si>
  <si>
    <t>CUT TOTAL [COP/AÑO]</t>
  </si>
  <si>
    <t>CUT TOTAL [USD/AÑO]</t>
  </si>
  <si>
    <t>Compras de materia prima</t>
  </si>
  <si>
    <t>SUSTANCIAS</t>
  </si>
  <si>
    <t>[COP/Kg]</t>
  </si>
  <si>
    <t>[Kg/Año]</t>
  </si>
  <si>
    <t>Total [COP/Año]</t>
  </si>
  <si>
    <t>Total USD/año</t>
  </si>
  <si>
    <t>1 dólar</t>
  </si>
  <si>
    <t>Productos a vender</t>
  </si>
  <si>
    <t>Gastos operativos (OPEX)</t>
  </si>
  <si>
    <t>Gastos de capital (CAPEX)</t>
  </si>
  <si>
    <t>Variable</t>
  </si>
  <si>
    <t>USD/año</t>
  </si>
  <si>
    <t>COP/año</t>
  </si>
  <si>
    <t>Equipo</t>
  </si>
  <si>
    <t>Mano de obra (COL)</t>
  </si>
  <si>
    <t>Servicios Industriales(CUT)</t>
  </si>
  <si>
    <t>Materia prima (CRM)</t>
  </si>
  <si>
    <t>CALCULO DE COM</t>
  </si>
  <si>
    <t>TOTAL FIC</t>
  </si>
  <si>
    <t>COM</t>
  </si>
  <si>
    <t xml:space="preserve">Gastos totales </t>
  </si>
  <si>
    <t>Costo economico de la planta</t>
  </si>
  <si>
    <t>Gastos de operación (OPEX)</t>
  </si>
  <si>
    <t>Total Capex</t>
  </si>
  <si>
    <t>Porcentaje</t>
  </si>
  <si>
    <t>COL</t>
  </si>
  <si>
    <t>CUT</t>
  </si>
  <si>
    <t>CRM</t>
  </si>
  <si>
    <t>Materia Prima</t>
  </si>
  <si>
    <t>Sustancias</t>
  </si>
  <si>
    <t>Gasificador</t>
  </si>
  <si>
    <t>Bombba (FAN)</t>
  </si>
  <si>
    <t>Turbina</t>
  </si>
  <si>
    <t>Calculo Operarios</t>
  </si>
  <si>
    <r>
      <t>Coldwater [m</t>
    </r>
    <r>
      <rPr>
        <b/>
        <vertAlign val="superscript"/>
        <sz val="12"/>
        <color theme="1"/>
        <rFont val="Century Gothic"/>
        <family val="2"/>
      </rPr>
      <t>3</t>
    </r>
    <r>
      <rPr>
        <b/>
        <sz val="12"/>
        <color theme="1"/>
        <rFont val="Century Gothic"/>
        <family val="2"/>
      </rPr>
      <t>/hora]</t>
    </r>
  </si>
  <si>
    <r>
      <t>Coldwater [m</t>
    </r>
    <r>
      <rPr>
        <b/>
        <vertAlign val="superscript"/>
        <sz val="12"/>
        <color theme="1"/>
        <rFont val="Century Gothic"/>
        <family val="2"/>
      </rPr>
      <t>3</t>
    </r>
    <r>
      <rPr>
        <b/>
        <sz val="12"/>
        <color theme="1"/>
        <rFont val="Century Gothic"/>
        <family val="2"/>
      </rPr>
      <t>/año]</t>
    </r>
  </si>
  <si>
    <r>
      <t>[USD/m</t>
    </r>
    <r>
      <rPr>
        <b/>
        <vertAlign val="superscript"/>
        <sz val="12"/>
        <color theme="1"/>
        <rFont val="Century Gothic"/>
        <family val="2"/>
      </rPr>
      <t>3</t>
    </r>
    <r>
      <rPr>
        <b/>
        <sz val="12"/>
        <color theme="1"/>
        <rFont val="Century Gothic"/>
        <family val="2"/>
      </rPr>
      <t>]</t>
    </r>
  </si>
  <si>
    <t>Cepci 2024</t>
  </si>
  <si>
    <t>Valor 2024</t>
  </si>
  <si>
    <t>Residuos Plasticos</t>
  </si>
  <si>
    <t>Energía Electrica Generada</t>
  </si>
  <si>
    <t>[kWatt/h]</t>
  </si>
  <si>
    <t>[kWatt/Año]</t>
  </si>
  <si>
    <t>Residuos Plásticos</t>
  </si>
  <si>
    <t>Agente Gasificannte</t>
  </si>
  <si>
    <t xml:space="preserve">Residuos Platicos </t>
  </si>
  <si>
    <t>Energía Electrica</t>
  </si>
  <si>
    <t>Vapor de Agua Como Agente Gasificanmte</t>
  </si>
  <si>
    <t>TOTAL Agente Gasificante Aire</t>
  </si>
  <si>
    <t>TOTAL Agente Gasificante Agua</t>
  </si>
  <si>
    <t>Aire</t>
  </si>
  <si>
    <t>Vapor de Agua</t>
  </si>
  <si>
    <t>Valor 2021</t>
  </si>
  <si>
    <t>Cantidad de RP a tratar KG/AÑO</t>
  </si>
  <si>
    <t>Dólar</t>
  </si>
  <si>
    <t>Cantidad de EE Producida</t>
  </si>
  <si>
    <t>Total a ganar 1</t>
  </si>
  <si>
    <t>Ganancia obtenida1</t>
  </si>
  <si>
    <t>Ganancia obtenida2</t>
  </si>
  <si>
    <t>Valor ton</t>
  </si>
  <si>
    <t>Valor Kg</t>
  </si>
  <si>
    <t>Valor Cop</t>
  </si>
  <si>
    <t>Cantidad de Vapor Requerida K</t>
  </si>
  <si>
    <t>Ciclón</t>
  </si>
  <si>
    <t>Agente Gasificador AIRE</t>
  </si>
  <si>
    <t>Agente Gasificador AGUA</t>
  </si>
  <si>
    <t xml:space="preserve">Intercambiador </t>
  </si>
  <si>
    <t>Ciclon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</si>
</sst>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_);_(* \(#,##0\);_(* &quot;-&quot;_);_(@_)"/>
    <numFmt numFmtId="165" formatCode="_-&quot;XDR&quot;* #,##0.00_-;\-&quot;XDR&quot;* #,##0.00_-;_-&quot;XDR&quot;* &quot;-&quot;??_-;_-@_-"/>
    <numFmt numFmtId="166" formatCode="&quot;$&quot;\ #,##0.00"/>
    <numFmt numFmtId="167" formatCode="[$$-240A]\ #,##0.00"/>
    <numFmt numFmtId="168" formatCode="0.E+00"/>
    <numFmt numFmtId="169" formatCode="0.000.E+00"/>
    <numFmt numFmtId="170" formatCode="[$USD]\ #,##0.00"/>
    <numFmt numFmtId="171" formatCode="_-[$$-240A]\ * #,##0.00_-;\-[$$-240A]\ * #,##0.00_-;_-[$$-240A]\ * &quot;-&quot;??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9"/>
      <color theme="1"/>
      <name val="Century Gothic"/>
      <family val="2"/>
    </font>
    <font>
      <sz val="12"/>
      <color theme="1"/>
      <name val="Century Gothic"/>
      <family val="2"/>
    </font>
    <font>
      <sz val="9"/>
      <color theme="1"/>
      <name val="Century Gothic"/>
      <family val="2"/>
    </font>
    <font>
      <b/>
      <sz val="12"/>
      <color theme="1"/>
      <name val="Century Gothic"/>
      <family val="2"/>
    </font>
    <font>
      <b/>
      <sz val="11"/>
      <color theme="0"/>
      <name val="Century Gothic"/>
      <family val="2"/>
    </font>
    <font>
      <b/>
      <sz val="9"/>
      <color theme="0"/>
      <name val="Century Gothic"/>
      <family val="2"/>
    </font>
    <font>
      <b/>
      <vertAlign val="superscript"/>
      <sz val="12"/>
      <color theme="1"/>
      <name val="Century Gothic"/>
      <family val="2"/>
    </font>
    <font>
      <sz val="12"/>
      <color rgb="FF000000"/>
      <name val="Century Gothic"/>
      <family val="2"/>
    </font>
    <font>
      <sz val="9"/>
      <color indexed="81"/>
      <name val="Tahoma"/>
      <family val="2"/>
    </font>
    <font>
      <sz val="9"/>
      <color indexed="81"/>
      <name val="Century Gothic"/>
      <family val="2"/>
    </font>
    <font>
      <b/>
      <sz val="9"/>
      <color indexed="81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1685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</cellStyleXfs>
  <cellXfs count="23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10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170" fontId="1" fillId="10" borderId="1" xfId="0" applyNumberFormat="1" applyFont="1" applyFill="1" applyBorder="1" applyAlignment="1">
      <alignment horizontal="center"/>
    </xf>
    <xf numFmtId="170" fontId="0" fillId="0" borderId="1" xfId="0" applyNumberFormat="1" applyBorder="1" applyAlignment="1">
      <alignment horizontal="center" vertical="center"/>
    </xf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170" fontId="0" fillId="0" borderId="1" xfId="0" applyNumberFormat="1" applyBorder="1" applyAlignment="1">
      <alignment horizontal="center"/>
    </xf>
    <xf numFmtId="170" fontId="1" fillId="10" borderId="1" xfId="0" applyNumberFormat="1" applyFont="1" applyFill="1" applyBorder="1"/>
    <xf numFmtId="0" fontId="4" fillId="12" borderId="16" xfId="0" applyFont="1" applyFill="1" applyBorder="1" applyAlignment="1">
      <alignment horizontal="center"/>
    </xf>
    <xf numFmtId="0" fontId="1" fillId="12" borderId="16" xfId="0" applyFont="1" applyFill="1" applyBorder="1" applyAlignment="1">
      <alignment horizontal="center"/>
    </xf>
    <xf numFmtId="0" fontId="1" fillId="12" borderId="1" xfId="0" applyFont="1" applyFill="1" applyBorder="1"/>
    <xf numFmtId="0" fontId="4" fillId="10" borderId="1" xfId="0" applyFont="1" applyFill="1" applyBorder="1" applyAlignment="1">
      <alignment horizontal="center"/>
    </xf>
    <xf numFmtId="0" fontId="1" fillId="10" borderId="1" xfId="0" applyFont="1" applyFill="1" applyBorder="1"/>
    <xf numFmtId="0" fontId="5" fillId="0" borderId="0" xfId="0" applyFont="1"/>
    <xf numFmtId="0" fontId="5" fillId="8" borderId="0" xfId="0" applyFont="1" applyFill="1"/>
    <xf numFmtId="0" fontId="6" fillId="7" borderId="16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/>
    </xf>
    <xf numFmtId="170" fontId="9" fillId="0" borderId="1" xfId="0" applyNumberFormat="1" applyFont="1" applyBorder="1" applyAlignment="1">
      <alignment horizontal="center"/>
    </xf>
    <xf numFmtId="0" fontId="6" fillId="3" borderId="15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left"/>
    </xf>
    <xf numFmtId="166" fontId="5" fillId="0" borderId="10" xfId="0" applyNumberFormat="1" applyFont="1" applyBorder="1"/>
    <xf numFmtId="0" fontId="5" fillId="0" borderId="9" xfId="0" applyFont="1" applyBorder="1"/>
    <xf numFmtId="0" fontId="5" fillId="0" borderId="6" xfId="0" applyFont="1" applyBorder="1"/>
    <xf numFmtId="166" fontId="5" fillId="0" borderId="8" xfId="0" applyNumberFormat="1" applyFont="1" applyBorder="1"/>
    <xf numFmtId="166" fontId="5" fillId="0" borderId="0" xfId="0" applyNumberFormat="1" applyFont="1"/>
    <xf numFmtId="0" fontId="11" fillId="14" borderId="11" xfId="0" applyFont="1" applyFill="1" applyBorder="1" applyAlignment="1">
      <alignment horizontal="left"/>
    </xf>
    <xf numFmtId="166" fontId="11" fillId="14" borderId="13" xfId="0" applyNumberFormat="1" applyFont="1" applyFill="1" applyBorder="1"/>
    <xf numFmtId="0" fontId="11" fillId="14" borderId="11" xfId="0" applyFont="1" applyFill="1" applyBorder="1"/>
    <xf numFmtId="0" fontId="12" fillId="14" borderId="1" xfId="0" applyFont="1" applyFill="1" applyBorder="1" applyAlignment="1">
      <alignment horizontal="center" vertical="center" wrapText="1"/>
    </xf>
    <xf numFmtId="166" fontId="12" fillId="14" borderId="1" xfId="0" applyNumberFormat="1" applyFont="1" applyFill="1" applyBorder="1" applyAlignment="1">
      <alignment horizontal="center" vertical="center" wrapText="1"/>
    </xf>
    <xf numFmtId="166" fontId="12" fillId="14" borderId="1" xfId="0" applyNumberFormat="1" applyFont="1" applyFill="1" applyBorder="1" applyAlignment="1">
      <alignment horizontal="center"/>
    </xf>
    <xf numFmtId="170" fontId="12" fillId="14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8" borderId="1" xfId="0" applyFont="1" applyFill="1" applyBorder="1"/>
    <xf numFmtId="166" fontId="5" fillId="0" borderId="1" xfId="0" applyNumberFormat="1" applyFont="1" applyBorder="1" applyAlignment="1">
      <alignment horizontal="center"/>
    </xf>
    <xf numFmtId="166" fontId="5" fillId="10" borderId="1" xfId="0" applyNumberFormat="1" applyFont="1" applyFill="1" applyBorder="1" applyAlignment="1">
      <alignment horizontal="center"/>
    </xf>
    <xf numFmtId="0" fontId="14" fillId="11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167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6" fontId="8" fillId="0" borderId="1" xfId="0" applyNumberFormat="1" applyFont="1" applyBorder="1" applyAlignment="1">
      <alignment horizontal="center" vertical="center"/>
    </xf>
    <xf numFmtId="0" fontId="10" fillId="10" borderId="1" xfId="0" applyFont="1" applyFill="1" applyBorder="1" applyAlignment="1">
      <alignment vertical="center" wrapText="1"/>
    </xf>
    <xf numFmtId="0" fontId="5" fillId="3" borderId="1" xfId="0" applyFont="1" applyFill="1" applyBorder="1"/>
    <xf numFmtId="0" fontId="5" fillId="0" borderId="1" xfId="0" applyFont="1" applyBorder="1"/>
    <xf numFmtId="0" fontId="6" fillId="3" borderId="1" xfId="0" applyFont="1" applyFill="1" applyBorder="1"/>
    <xf numFmtId="0" fontId="6" fillId="0" borderId="0" xfId="0" applyFont="1" applyAlignment="1">
      <alignment horizontal="center" vertical="center" wrapText="1"/>
    </xf>
    <xf numFmtId="168" fontId="8" fillId="0" borderId="1" xfId="0" applyNumberFormat="1" applyFont="1" applyBorder="1" applyAlignment="1">
      <alignment horizontal="center"/>
    </xf>
    <xf numFmtId="169" fontId="8" fillId="0" borderId="1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166" fontId="8" fillId="0" borderId="15" xfId="0" applyNumberFormat="1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11" fontId="6" fillId="10" borderId="1" xfId="0" applyNumberFormat="1" applyFont="1" applyFill="1" applyBorder="1" applyAlignment="1">
      <alignment horizontal="center" vertical="center"/>
    </xf>
    <xf numFmtId="170" fontId="5" fillId="0" borderId="0" xfId="0" applyNumberFormat="1" applyFont="1"/>
    <xf numFmtId="0" fontId="5" fillId="15" borderId="0" xfId="0" applyFont="1" applyFill="1"/>
    <xf numFmtId="0" fontId="10" fillId="10" borderId="1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 vertical="center"/>
    </xf>
    <xf numFmtId="170" fontId="10" fillId="10" borderId="2" xfId="0" applyNumberFormat="1" applyFont="1" applyFill="1" applyBorder="1" applyAlignment="1">
      <alignment horizontal="center" vertical="center" wrapText="1"/>
    </xf>
    <xf numFmtId="166" fontId="10" fillId="10" borderId="1" xfId="0" applyNumberFormat="1" applyFont="1" applyFill="1" applyBorder="1" applyAlignment="1">
      <alignment horizontal="center" vertical="center"/>
    </xf>
    <xf numFmtId="166" fontId="5" fillId="7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Border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66" fontId="10" fillId="10" borderId="1" xfId="0" applyNumberFormat="1" applyFont="1" applyFill="1" applyBorder="1" applyAlignment="1">
      <alignment horizontal="center"/>
    </xf>
    <xf numFmtId="170" fontId="10" fillId="10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170" fontId="10" fillId="8" borderId="1" xfId="0" applyNumberFormat="1" applyFont="1" applyFill="1" applyBorder="1" applyAlignment="1">
      <alignment horizontal="center"/>
    </xf>
    <xf numFmtId="170" fontId="10" fillId="0" borderId="1" xfId="0" applyNumberFormat="1" applyFont="1" applyBorder="1"/>
    <xf numFmtId="0" fontId="8" fillId="0" borderId="1" xfId="0" applyFont="1" applyBorder="1" applyAlignment="1">
      <alignment horizontal="center" wrapText="1"/>
    </xf>
    <xf numFmtId="166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horizontal="center" wrapText="1"/>
    </xf>
    <xf numFmtId="170" fontId="8" fillId="0" borderId="1" xfId="0" applyNumberFormat="1" applyFont="1" applyBorder="1" applyAlignment="1">
      <alignment horizontal="center" wrapText="1"/>
    </xf>
    <xf numFmtId="166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70" fontId="8" fillId="0" borderId="1" xfId="0" applyNumberFormat="1" applyFont="1" applyBorder="1" applyAlignment="1">
      <alignment horizontal="center" vertical="center" wrapText="1"/>
    </xf>
    <xf numFmtId="0" fontId="10" fillId="10" borderId="2" xfId="0" applyFont="1" applyFill="1" applyBorder="1" applyAlignment="1">
      <alignment horizontal="center"/>
    </xf>
    <xf numFmtId="0" fontId="10" fillId="10" borderId="23" xfId="0" applyFont="1" applyFill="1" applyBorder="1" applyAlignment="1">
      <alignment horizontal="center"/>
    </xf>
    <xf numFmtId="0" fontId="10" fillId="10" borderId="3" xfId="0" applyFont="1" applyFill="1" applyBorder="1" applyAlignment="1">
      <alignment horizontal="center"/>
    </xf>
    <xf numFmtId="0" fontId="0" fillId="0" borderId="0" xfId="0" applyAlignment="1"/>
    <xf numFmtId="170" fontId="10" fillId="0" borderId="1" xfId="0" applyNumberFormat="1" applyFont="1" applyBorder="1" applyAlignment="1">
      <alignment horizontal="center" vertical="center"/>
    </xf>
    <xf numFmtId="170" fontId="8" fillId="0" borderId="0" xfId="0" applyNumberFormat="1" applyFont="1"/>
    <xf numFmtId="166" fontId="8" fillId="0" borderId="0" xfId="0" applyNumberFormat="1" applyFont="1" applyAlignment="1">
      <alignment horizontal="center" vertical="center"/>
    </xf>
    <xf numFmtId="166" fontId="10" fillId="4" borderId="1" xfId="2" applyNumberFormat="1" applyFont="1" applyFill="1" applyBorder="1" applyAlignment="1">
      <alignment horizontal="center"/>
    </xf>
    <xf numFmtId="170" fontId="10" fillId="4" borderId="1" xfId="2" applyNumberFormat="1" applyFont="1" applyFill="1" applyBorder="1" applyAlignment="1">
      <alignment horizontal="center"/>
    </xf>
    <xf numFmtId="166" fontId="10" fillId="5" borderId="1" xfId="2" applyNumberFormat="1" applyFont="1" applyFill="1" applyBorder="1" applyAlignment="1">
      <alignment horizontal="center"/>
    </xf>
    <xf numFmtId="170" fontId="10" fillId="5" borderId="1" xfId="2" applyNumberFormat="1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 vertical="center"/>
    </xf>
    <xf numFmtId="170" fontId="5" fillId="0" borderId="1" xfId="0" applyNumberFormat="1" applyFont="1" applyBorder="1" applyAlignment="1">
      <alignment horizontal="center" vertical="center"/>
    </xf>
    <xf numFmtId="170" fontId="6" fillId="10" borderId="1" xfId="0" applyNumberFormat="1" applyFont="1" applyFill="1" applyBorder="1" applyAlignment="1">
      <alignment horizontal="center"/>
    </xf>
    <xf numFmtId="170" fontId="6" fillId="0" borderId="1" xfId="0" applyNumberFormat="1" applyFont="1" applyBorder="1"/>
    <xf numFmtId="170" fontId="5" fillId="0" borderId="1" xfId="0" applyNumberFormat="1" applyFont="1" applyBorder="1"/>
    <xf numFmtId="170" fontId="8" fillId="7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/>
    </xf>
    <xf numFmtId="170" fontId="6" fillId="8" borderId="1" xfId="0" applyNumberFormat="1" applyFont="1" applyFill="1" applyBorder="1" applyAlignment="1">
      <alignment vertical="center"/>
    </xf>
    <xf numFmtId="2" fontId="5" fillId="0" borderId="1" xfId="0" applyNumberFormat="1" applyFont="1" applyBorder="1" applyAlignment="1">
      <alignment horizontal="center" vertical="center"/>
    </xf>
    <xf numFmtId="0" fontId="5" fillId="0" borderId="7" xfId="0" applyFont="1" applyBorder="1"/>
    <xf numFmtId="0" fontId="5" fillId="0" borderId="0" xfId="0" applyFont="1" applyBorder="1"/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6" fontId="5" fillId="0" borderId="18" xfId="0" applyNumberFormat="1" applyFont="1" applyBorder="1" applyAlignment="1">
      <alignment horizontal="center" vertical="center"/>
    </xf>
    <xf numFmtId="0" fontId="6" fillId="10" borderId="17" xfId="0" applyFont="1" applyFill="1" applyBorder="1" applyAlignment="1">
      <alignment horizontal="center" vertical="center"/>
    </xf>
    <xf numFmtId="0" fontId="5" fillId="0" borderId="10" xfId="0" applyFont="1" applyBorder="1"/>
    <xf numFmtId="0" fontId="6" fillId="10" borderId="17" xfId="0" applyFont="1" applyFill="1" applyBorder="1" applyAlignment="1">
      <alignment horizontal="center"/>
    </xf>
    <xf numFmtId="0" fontId="5" fillId="0" borderId="12" xfId="0" applyFont="1" applyBorder="1"/>
    <xf numFmtId="0" fontId="5" fillId="0" borderId="13" xfId="0" applyFont="1" applyBorder="1"/>
    <xf numFmtId="0" fontId="6" fillId="6" borderId="2" xfId="0" applyFont="1" applyFill="1" applyBorder="1" applyAlignment="1">
      <alignment horizontal="center" vertical="center"/>
    </xf>
    <xf numFmtId="171" fontId="5" fillId="0" borderId="2" xfId="1" applyNumberFormat="1" applyFont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10" borderId="3" xfId="0" applyFont="1" applyFill="1" applyBorder="1" applyAlignment="1">
      <alignment horizontal="center" vertical="center"/>
    </xf>
    <xf numFmtId="0" fontId="5" fillId="7" borderId="28" xfId="0" applyFont="1" applyFill="1" applyBorder="1"/>
    <xf numFmtId="0" fontId="5" fillId="7" borderId="29" xfId="0" applyFont="1" applyFill="1" applyBorder="1"/>
    <xf numFmtId="0" fontId="5" fillId="7" borderId="30" xfId="0" applyFont="1" applyFill="1" applyBorder="1"/>
    <xf numFmtId="0" fontId="8" fillId="0" borderId="17" xfId="0" applyFont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/>
    </xf>
    <xf numFmtId="170" fontId="6" fillId="10" borderId="33" xfId="0" applyNumberFormat="1" applyFont="1" applyFill="1" applyBorder="1"/>
    <xf numFmtId="0" fontId="6" fillId="6" borderId="22" xfId="0" applyFont="1" applyFill="1" applyBorder="1" applyAlignment="1">
      <alignment horizontal="center" vertical="center"/>
    </xf>
    <xf numFmtId="0" fontId="10" fillId="10" borderId="34" xfId="0" applyFont="1" applyFill="1" applyBorder="1" applyAlignment="1">
      <alignment horizontal="center" vertical="center" wrapText="1"/>
    </xf>
    <xf numFmtId="170" fontId="5" fillId="7" borderId="18" xfId="0" applyNumberFormat="1" applyFont="1" applyFill="1" applyBorder="1"/>
    <xf numFmtId="0" fontId="5" fillId="0" borderId="8" xfId="0" applyFont="1" applyBorder="1"/>
    <xf numFmtId="0" fontId="6" fillId="0" borderId="17" xfId="0" applyFont="1" applyBorder="1"/>
    <xf numFmtId="0" fontId="6" fillId="10" borderId="19" xfId="0" applyFont="1" applyFill="1" applyBorder="1"/>
    <xf numFmtId="170" fontId="6" fillId="10" borderId="20" xfId="0" applyNumberFormat="1" applyFont="1" applyFill="1" applyBorder="1"/>
    <xf numFmtId="171" fontId="6" fillId="10" borderId="2" xfId="1" applyNumberFormat="1" applyFont="1" applyFill="1" applyBorder="1" applyAlignment="1">
      <alignment horizontal="center" vertical="center"/>
    </xf>
    <xf numFmtId="166" fontId="6" fillId="10" borderId="18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10" fillId="13" borderId="1" xfId="0" applyFont="1" applyFill="1" applyBorder="1" applyAlignment="1">
      <alignment horizontal="center" vertical="center" wrapText="1"/>
    </xf>
    <xf numFmtId="0" fontId="6" fillId="16" borderId="6" xfId="0" applyFont="1" applyFill="1" applyBorder="1" applyAlignment="1">
      <alignment horizontal="center" vertical="center" wrapText="1"/>
    </xf>
    <xf numFmtId="0" fontId="6" fillId="16" borderId="7" xfId="0" applyFont="1" applyFill="1" applyBorder="1" applyAlignment="1">
      <alignment horizontal="center" vertical="center" wrapText="1"/>
    </xf>
    <xf numFmtId="0" fontId="6" fillId="16" borderId="8" xfId="0" applyFont="1" applyFill="1" applyBorder="1" applyAlignment="1">
      <alignment horizontal="center" vertical="center" wrapText="1"/>
    </xf>
    <xf numFmtId="0" fontId="6" fillId="16" borderId="11" xfId="0" applyFont="1" applyFill="1" applyBorder="1" applyAlignment="1">
      <alignment horizontal="center" vertical="center" wrapText="1"/>
    </xf>
    <xf numFmtId="0" fontId="6" fillId="16" borderId="12" xfId="0" applyFont="1" applyFill="1" applyBorder="1" applyAlignment="1">
      <alignment horizontal="center" vertical="center" wrapText="1"/>
    </xf>
    <xf numFmtId="0" fontId="6" fillId="16" borderId="13" xfId="0" applyFont="1" applyFill="1" applyBorder="1" applyAlignment="1">
      <alignment horizontal="center" vertical="center" wrapText="1"/>
    </xf>
    <xf numFmtId="0" fontId="11" fillId="15" borderId="6" xfId="0" applyFont="1" applyFill="1" applyBorder="1" applyAlignment="1">
      <alignment horizontal="center" vertical="center"/>
    </xf>
    <xf numFmtId="0" fontId="11" fillId="15" borderId="7" xfId="0" applyFont="1" applyFill="1" applyBorder="1" applyAlignment="1">
      <alignment horizontal="center" vertical="center"/>
    </xf>
    <xf numFmtId="0" fontId="11" fillId="15" borderId="8" xfId="0" applyFont="1" applyFill="1" applyBorder="1" applyAlignment="1">
      <alignment horizontal="center" vertical="center"/>
    </xf>
    <xf numFmtId="0" fontId="11" fillId="15" borderId="11" xfId="0" applyFont="1" applyFill="1" applyBorder="1" applyAlignment="1">
      <alignment horizontal="center" vertical="center"/>
    </xf>
    <xf numFmtId="0" fontId="11" fillId="15" borderId="12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10" fillId="10" borderId="15" xfId="0" applyFont="1" applyFill="1" applyBorder="1" applyAlignment="1">
      <alignment horizontal="center" vertical="center" wrapText="1"/>
    </xf>
    <xf numFmtId="0" fontId="10" fillId="10" borderId="16" xfId="0" applyFont="1" applyFill="1" applyBorder="1" applyAlignment="1">
      <alignment horizontal="center" vertical="center" wrapText="1"/>
    </xf>
    <xf numFmtId="0" fontId="10" fillId="10" borderId="15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170" fontId="10" fillId="10" borderId="15" xfId="0" applyNumberFormat="1" applyFont="1" applyFill="1" applyBorder="1" applyAlignment="1">
      <alignment horizontal="center" vertical="center"/>
    </xf>
    <xf numFmtId="170" fontId="10" fillId="10" borderId="16" xfId="0" applyNumberFormat="1" applyFont="1" applyFill="1" applyBorder="1" applyAlignment="1">
      <alignment horizontal="center" vertical="center"/>
    </xf>
    <xf numFmtId="166" fontId="10" fillId="10" borderId="15" xfId="0" applyNumberFormat="1" applyFont="1" applyFill="1" applyBorder="1" applyAlignment="1">
      <alignment horizontal="center" vertical="center"/>
    </xf>
    <xf numFmtId="166" fontId="10" fillId="10" borderId="16" xfId="0" applyNumberFormat="1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/>
    </xf>
    <xf numFmtId="0" fontId="7" fillId="7" borderId="24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6" fillId="10" borderId="15" xfId="0" applyFont="1" applyFill="1" applyBorder="1" applyAlignment="1">
      <alignment horizontal="center" vertical="center" wrapText="1"/>
    </xf>
    <xf numFmtId="0" fontId="6" fillId="10" borderId="16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/>
    </xf>
    <xf numFmtId="0" fontId="5" fillId="9" borderId="0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0" fontId="12" fillId="14" borderId="1" xfId="0" applyFont="1" applyFill="1" applyBorder="1" applyAlignment="1">
      <alignment horizontal="center" vertical="center" wrapText="1"/>
    </xf>
    <xf numFmtId="0" fontId="8" fillId="13" borderId="6" xfId="0" applyFont="1" applyFill="1" applyBorder="1" applyAlignment="1">
      <alignment horizontal="center" vertical="center" wrapText="1"/>
    </xf>
    <xf numFmtId="0" fontId="8" fillId="13" borderId="8" xfId="0" applyFont="1" applyFill="1" applyBorder="1" applyAlignment="1">
      <alignment horizontal="center" vertical="center" wrapText="1"/>
    </xf>
    <xf numFmtId="0" fontId="8" fillId="13" borderId="11" xfId="0" applyFont="1" applyFill="1" applyBorder="1" applyAlignment="1">
      <alignment horizontal="center" vertical="center" wrapText="1"/>
    </xf>
    <xf numFmtId="0" fontId="8" fillId="13" borderId="13" xfId="0" applyFont="1" applyFill="1" applyBorder="1" applyAlignment="1">
      <alignment horizontal="center" vertical="center" wrapText="1"/>
    </xf>
    <xf numFmtId="0" fontId="5" fillId="0" borderId="7" xfId="1" applyNumberFormat="1" applyFont="1" applyBorder="1" applyAlignment="1">
      <alignment horizontal="center" wrapText="1"/>
    </xf>
    <xf numFmtId="0" fontId="10" fillId="5" borderId="2" xfId="0" applyFont="1" applyFill="1" applyBorder="1" applyAlignment="1">
      <alignment horizontal="center" vertical="center"/>
    </xf>
    <xf numFmtId="0" fontId="10" fillId="5" borderId="2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vertical="center"/>
    </xf>
    <xf numFmtId="0" fontId="8" fillId="13" borderId="5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0" fillId="0" borderId="0" xfId="0"/>
    <xf numFmtId="0" fontId="6" fillId="3" borderId="3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8" xfId="0" applyFont="1" applyFill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3" borderId="17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4">
    <cellStyle name="Millares [0]" xfId="2" builtinId="6"/>
    <cellStyle name="Millares [0] 2" xfId="3" xr:uid="{06C6D849-8A3F-4C6C-8401-6226321C889D}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16851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776159230096238"/>
          <c:y val="0.16245370370370371"/>
          <c:w val="0.79668285214348211"/>
          <c:h val="0.62836431904345291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'Graficas de opex y capex'!$B$4:$B$6</c:f>
              <c:strCache>
                <c:ptCount val="3"/>
                <c:pt idx="0">
                  <c:v>COL</c:v>
                </c:pt>
                <c:pt idx="1">
                  <c:v>CUT</c:v>
                </c:pt>
                <c:pt idx="2">
                  <c:v>CRM</c:v>
                </c:pt>
              </c:strCache>
            </c:strRef>
          </c:cat>
          <c:val>
            <c:numRef>
              <c:f>'Graficas de opex y capex'!$B$11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E2C3-48F3-AB96-5EA3498A3500}"/>
            </c:ext>
          </c:extLst>
        </c:ser>
        <c:ser>
          <c:idx val="1"/>
          <c:order val="1"/>
          <c:tx>
            <c:strRef>
              <c:f>'Graficas de opex y capex'!$B$4:$B$6</c:f>
              <c:strCache>
                <c:ptCount val="3"/>
                <c:pt idx="0">
                  <c:v>COL</c:v>
                </c:pt>
                <c:pt idx="1">
                  <c:v>CUT</c:v>
                </c:pt>
                <c:pt idx="2">
                  <c:v>CRM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2C3-48F3-AB96-5EA3498A3500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2C3-48F3-AB96-5EA3498A3500}"/>
              </c:ext>
            </c:extLst>
          </c:dPt>
          <c:cat>
            <c:strRef>
              <c:f>'Graficas de opex y capex'!$B$4:$B$6</c:f>
              <c:strCache>
                <c:ptCount val="3"/>
                <c:pt idx="0">
                  <c:v>COL</c:v>
                </c:pt>
                <c:pt idx="1">
                  <c:v>CUT</c:v>
                </c:pt>
                <c:pt idx="2">
                  <c:v>CRM</c:v>
                </c:pt>
              </c:strCache>
            </c:strRef>
          </c:cat>
          <c:val>
            <c:numRef>
              <c:f>'Graficas de opex y capex'!$C$4:$C$6</c:f>
              <c:numCache>
                <c:formatCode>[$USD]\ #,##0.00</c:formatCode>
                <c:ptCount val="3"/>
                <c:pt idx="0">
                  <c:v>206887.00469693347</c:v>
                </c:pt>
                <c:pt idx="1">
                  <c:v>516043.35718605993</c:v>
                </c:pt>
                <c:pt idx="2">
                  <c:v>19543.403230171938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C3-48F3-AB96-5EA3498A35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68452816"/>
        <c:axId val="68444496"/>
      </c:barChart>
      <c:catAx>
        <c:axId val="68452816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Variables</a:t>
                </a:r>
                <a:r>
                  <a:rPr lang="es-CO" baseline="0"/>
                  <a:t> Opex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444496"/>
        <c:crosses val="autoZero"/>
        <c:auto val="0"/>
        <c:lblAlgn val="ctr"/>
        <c:lblOffset val="100"/>
        <c:noMultiLvlLbl val="0"/>
      </c:catAx>
      <c:valAx>
        <c:axId val="684444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 baseline="0"/>
                  <a:t>Costo variables (USD)</a:t>
                </a:r>
                <a:endParaRPr lang="es-CO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84528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O" baseline="0"/>
              <a:t>Gastos operativos (OPEX)</a:t>
            </a:r>
            <a:endParaRPr lang="es-CO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BF0-483C-BACE-4C19A183DAFE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6E8-4934-B756-E7176411A560}"/>
              </c:ext>
            </c:extLst>
          </c:dPt>
          <c:dPt>
            <c:idx val="2"/>
            <c:bubble3D val="0"/>
            <c:spPr>
              <a:solidFill>
                <a:srgbClr val="FFC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6E8-4934-B756-E7176411A560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.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'Graficas de opex y capex'!$B$4:$B$6</c:f>
              <c:strCache>
                <c:ptCount val="3"/>
                <c:pt idx="0">
                  <c:v>COL</c:v>
                </c:pt>
                <c:pt idx="1">
                  <c:v>CUT</c:v>
                </c:pt>
                <c:pt idx="2">
                  <c:v>CRM</c:v>
                </c:pt>
              </c:strCache>
            </c:strRef>
          </c:cat>
          <c:val>
            <c:numRef>
              <c:f>'Graficas de opex y capex'!$D$4:$D$6</c:f>
              <c:numCache>
                <c:formatCode>General</c:formatCode>
                <c:ptCount val="3"/>
                <c:pt idx="0">
                  <c:v>27.8645541994875</c:v>
                </c:pt>
                <c:pt idx="1">
                  <c:v>69.503244617324142</c:v>
                </c:pt>
                <c:pt idx="2">
                  <c:v>2.6322011831883652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E8-4934-B756-E7176411A56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1490637250440697"/>
          <c:y val="0.18978778077911007"/>
          <c:w val="0.72989175315911747"/>
          <c:h val="0.5401714426721429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'Graficas de opex y capex'!$G$4:$G$8</c:f>
              <c:strCache>
                <c:ptCount val="5"/>
                <c:pt idx="0">
                  <c:v>Gasificador</c:v>
                </c:pt>
                <c:pt idx="1">
                  <c:v>Bombba (FAN)</c:v>
                </c:pt>
                <c:pt idx="2">
                  <c:v>Turbina</c:v>
                </c:pt>
                <c:pt idx="3">
                  <c:v>Ciclón</c:v>
                </c:pt>
                <c:pt idx="4">
                  <c:v>Intercambiadores</c:v>
                </c:pt>
              </c:strCache>
            </c:strRef>
          </c:cat>
          <c:val>
            <c:numRef>
              <c:f>'Graficas de opex y capex'!$G$14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D47-45A0-A212-A323D126A157}"/>
            </c:ext>
          </c:extLst>
        </c:ser>
        <c:ser>
          <c:idx val="1"/>
          <c:order val="1"/>
          <c:tx>
            <c:strRef>
              <c:f>'Graficas de opex y capex'!$G$4:$G$8</c:f>
              <c:strCache>
                <c:ptCount val="5"/>
                <c:pt idx="0">
                  <c:v>Gasificador</c:v>
                </c:pt>
                <c:pt idx="1">
                  <c:v>Bombba (FAN)</c:v>
                </c:pt>
                <c:pt idx="2">
                  <c:v>Turbina</c:v>
                </c:pt>
                <c:pt idx="3">
                  <c:v>Ciclón</c:v>
                </c:pt>
                <c:pt idx="4">
                  <c:v>Intercambiadores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D47-45A0-A212-A323D126A15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D47-45A0-A212-A323D126A15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7D47-45A0-A212-A323D126A15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D47-45A0-A212-A323D126A157}"/>
              </c:ext>
            </c:extLst>
          </c:dPt>
          <c:cat>
            <c:strRef>
              <c:f>'Graficas de opex y capex'!$G$4:$G$8</c:f>
              <c:strCache>
                <c:ptCount val="5"/>
                <c:pt idx="0">
                  <c:v>Gasificador</c:v>
                </c:pt>
                <c:pt idx="1">
                  <c:v>Bombba (FAN)</c:v>
                </c:pt>
                <c:pt idx="2">
                  <c:v>Turbina</c:v>
                </c:pt>
                <c:pt idx="3">
                  <c:v>Ciclón</c:v>
                </c:pt>
                <c:pt idx="4">
                  <c:v>Intercambiadores</c:v>
                </c:pt>
              </c:strCache>
            </c:strRef>
          </c:cat>
          <c:val>
            <c:numRef>
              <c:f>'Graficas de opex y capex'!$H$4:$H$8</c:f>
              <c:numCache>
                <c:formatCode>[$USD]\ #,##0.00</c:formatCode>
                <c:ptCount val="5"/>
                <c:pt idx="0">
                  <c:v>1660000</c:v>
                </c:pt>
                <c:pt idx="1">
                  <c:v>57000</c:v>
                </c:pt>
                <c:pt idx="2">
                  <c:v>1060000</c:v>
                </c:pt>
                <c:pt idx="3">
                  <c:v>12900</c:v>
                </c:pt>
                <c:pt idx="4">
                  <c:v>248000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47-45A0-A212-A323D126A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377082367"/>
        <c:axId val="377078207"/>
      </c:barChart>
      <c:catAx>
        <c:axId val="377082367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Equipos</a:t>
                </a:r>
              </a:p>
            </c:rich>
          </c:tx>
          <c:layout>
            <c:manualLayout>
              <c:xMode val="edge"/>
              <c:yMode val="edge"/>
              <c:x val="2.9362699115146551E-2"/>
              <c:y val="0.451245317672880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7078207"/>
        <c:crosses val="autoZero"/>
        <c:auto val="1"/>
        <c:lblAlgn val="ctr"/>
        <c:lblOffset val="100"/>
        <c:noMultiLvlLbl val="0"/>
      </c:catAx>
      <c:valAx>
        <c:axId val="377078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Costo</a:t>
                </a:r>
                <a:r>
                  <a:rPr lang="es-CO" baseline="0"/>
                  <a:t> de los equipos (USD)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0.43516087585337315"/>
              <c:y val="0.8233950979987250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.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37708236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Gastos de capital (CAPEX)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'Graficas de opex y capex'!$G$4:$G$8</c:f>
              <c:strCache>
                <c:ptCount val="5"/>
                <c:pt idx="0">
                  <c:v>Gasificador</c:v>
                </c:pt>
                <c:pt idx="1">
                  <c:v>Bombba (FAN)</c:v>
                </c:pt>
                <c:pt idx="2">
                  <c:v>Turbina</c:v>
                </c:pt>
                <c:pt idx="3">
                  <c:v>Ciclón</c:v>
                </c:pt>
                <c:pt idx="4">
                  <c:v>Intercambiadores</c:v>
                </c:pt>
              </c:strCache>
            </c:strRef>
          </c:tx>
          <c:dPt>
            <c:idx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08-46E9-8BA2-1C772096B242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E86-48AE-BDE5-B212FB45838E}"/>
              </c:ext>
            </c:extLst>
          </c:dPt>
          <c:dPt>
            <c:idx val="2"/>
            <c:bubble3D val="0"/>
            <c:spPr>
              <a:solidFill>
                <a:srgbClr val="0070C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5808-46E9-8BA2-1C772096B242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E86-48AE-BDE5-B212FB45838E}"/>
              </c:ext>
            </c:extLst>
          </c:dPt>
          <c:dPt>
            <c:idx val="4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08-46E9-8BA2-1C772096B242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'Graficas de opex y capex'!$G$4:$G$8</c:f>
              <c:strCache>
                <c:ptCount val="5"/>
                <c:pt idx="0">
                  <c:v>Gasificador</c:v>
                </c:pt>
                <c:pt idx="1">
                  <c:v>Bombba (FAN)</c:v>
                </c:pt>
                <c:pt idx="2">
                  <c:v>Turbina</c:v>
                </c:pt>
                <c:pt idx="3">
                  <c:v>Ciclón</c:v>
                </c:pt>
                <c:pt idx="4">
                  <c:v>Intercambiadores</c:v>
                </c:pt>
              </c:strCache>
            </c:strRef>
          </c:cat>
          <c:val>
            <c:numRef>
              <c:f>'Graficas de opex y capex'!$I$4:$I$8</c:f>
              <c:numCache>
                <c:formatCode>General</c:formatCode>
                <c:ptCount val="5"/>
                <c:pt idx="0">
                  <c:v>54.643009973995191</c:v>
                </c:pt>
                <c:pt idx="1">
                  <c:v>1.8762961256130879</c:v>
                </c:pt>
                <c:pt idx="2">
                  <c:v>34.892524441225845</c:v>
                </c:pt>
                <c:pt idx="3">
                  <c:v>0.42463543895454098</c:v>
                </c:pt>
                <c:pt idx="4">
                  <c:v>8.1635340202113298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808-46E9-8BA2-1C772096B2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7015048118985127"/>
          <c:y val="0.13930555555555557"/>
          <c:w val="0.74940507436570425"/>
          <c:h val="0.65607283464566923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'Graficas de opex y capex'!$B$43:$B$44</c:f>
              <c:strCache>
                <c:ptCount val="2"/>
                <c:pt idx="0">
                  <c:v>Residuos Plasticos</c:v>
                </c:pt>
                <c:pt idx="1">
                  <c:v>Aire</c:v>
                </c:pt>
              </c:strCache>
            </c:strRef>
          </c:cat>
          <c:val>
            <c:numRef>
              <c:f>'Graficas de opex y capex'!$B$48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AB7A-45F6-B6B6-3351F5B8A654}"/>
            </c:ext>
          </c:extLst>
        </c:ser>
        <c:ser>
          <c:idx val="1"/>
          <c:order val="1"/>
          <c:tx>
            <c:strRef>
              <c:f>'Graficas de opex y capex'!$B$43:$B$44</c:f>
              <c:strCache>
                <c:ptCount val="2"/>
                <c:pt idx="0">
                  <c:v>Residuos Plasticos</c:v>
                </c:pt>
                <c:pt idx="1">
                  <c:v>Aire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AB7A-45F6-B6B6-3351F5B8A654}"/>
              </c:ext>
            </c:extLst>
          </c:dPt>
          <c:cat>
            <c:strRef>
              <c:f>'Graficas de opex y capex'!$B$43:$B$44</c:f>
              <c:strCache>
                <c:ptCount val="2"/>
                <c:pt idx="0">
                  <c:v>Residuos Plasticos</c:v>
                </c:pt>
                <c:pt idx="1">
                  <c:v>Aire</c:v>
                </c:pt>
              </c:strCache>
            </c:strRef>
          </c:cat>
          <c:val>
            <c:numRef>
              <c:f>'Graficas de opex y capex'!$C$43:$C$44</c:f>
              <c:numCache>
                <c:formatCode>[$USD]\ #,##0.00</c:formatCode>
                <c:ptCount val="2"/>
                <c:pt idx="0">
                  <c:v>87600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B7A-45F6-B6B6-3351F5B8A6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axId val="442993711"/>
        <c:axId val="442987055"/>
      </c:barChart>
      <c:catAx>
        <c:axId val="442993711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Materia</a:t>
                </a:r>
                <a:r>
                  <a:rPr lang="es-CO" baseline="0"/>
                  <a:t> prima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3.2944444444444443E-2"/>
              <c:y val="0.3296453047535724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2987055"/>
        <c:crosses val="autoZero"/>
        <c:auto val="1"/>
        <c:lblAlgn val="ctr"/>
        <c:lblOffset val="100"/>
        <c:noMultiLvlLbl val="0"/>
      </c:catAx>
      <c:valAx>
        <c:axId val="442987055"/>
        <c:scaling>
          <c:orientation val="minMax"/>
          <c:max val="23000000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Precio</a:t>
                </a:r>
                <a:r>
                  <a:rPr lang="es-CO" baseline="0"/>
                  <a:t> de materia (USD)</a:t>
                </a:r>
                <a:endParaRPr lang="es-CO"/>
              </a:p>
            </c:rich>
          </c:tx>
          <c:layout>
            <c:manualLayout>
              <c:xMode val="edge"/>
              <c:yMode val="edge"/>
              <c:x val="0.37733202099737534"/>
              <c:y val="0.9074074074074074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.00E+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442993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aseline="0"/>
              <a:t>Costo de la materia prima (CRM)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'Graficas de opex y capex'!$B$43:$B$44</c:f>
              <c:strCache>
                <c:ptCount val="2"/>
                <c:pt idx="0">
                  <c:v>Residuos Plasticos</c:v>
                </c:pt>
                <c:pt idx="1">
                  <c:v>Aire</c:v>
                </c:pt>
              </c:strCache>
            </c:strRef>
          </c:tx>
          <c:dPt>
            <c:idx val="0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43E-44D6-AC32-BF16E265D02A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343E-44D6-AC32-BF16E265D02A}"/>
              </c:ext>
            </c:extLst>
          </c:dPt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eparator>. 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'Graficas de opex y capex'!$B$43:$B$44</c:f>
              <c:strCache>
                <c:ptCount val="2"/>
                <c:pt idx="0">
                  <c:v>Residuos Plasticos</c:v>
                </c:pt>
                <c:pt idx="1">
                  <c:v>Aire</c:v>
                </c:pt>
              </c:strCache>
            </c:strRef>
          </c:cat>
          <c:val>
            <c:numRef>
              <c:f>'Graficas de opex y capex'!$D$43:$D$44</c:f>
              <c:numCache>
                <c:formatCode>General</c:formatCode>
                <c:ptCount val="2"/>
                <c:pt idx="0">
                  <c:v>100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43E-44D6-AC32-BF16E265D0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575733</xdr:colOff>
      <xdr:row>1</xdr:row>
      <xdr:rowOff>78318</xdr:rowOff>
    </xdr:from>
    <xdr:to>
      <xdr:col>24</xdr:col>
      <xdr:colOff>701675</xdr:colOff>
      <xdr:row>10</xdr:row>
      <xdr:rowOff>92075</xdr:rowOff>
    </xdr:to>
    <xdr:sp macro="" textlink="">
      <xdr:nvSpPr>
        <xdr:cNvPr id="9" name="CuadroTexto 1">
          <a:extLst>
            <a:ext uri="{FF2B5EF4-FFF2-40B4-BE49-F238E27FC236}">
              <a16:creationId xmlns:a16="http://schemas.microsoft.com/office/drawing/2014/main" id="{B24D3BE6-A98D-9758-4834-00EEDD0F7D73}"/>
            </a:ext>
          </a:extLst>
        </xdr:cNvPr>
        <xdr:cNvSpPr txBox="1"/>
      </xdr:nvSpPr>
      <xdr:spPr>
        <a:xfrm>
          <a:off x="21006858" y="268818"/>
          <a:ext cx="4078817" cy="16425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/>
            <a:t>REFERENCIAS</a:t>
          </a:r>
          <a:r>
            <a:rPr lang="es-CO" sz="1100" b="1" baseline="0"/>
            <a:t> BIBLIOGRAFICAS:</a:t>
          </a:r>
        </a:p>
        <a:p>
          <a:r>
            <a:rPr lang="es-CO" sz="1100" b="1" i="0" u="sng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1.</a:t>
          </a:r>
          <a:r>
            <a:rPr lang="es-CO" sz="1100" b="0" i="0" u="sng" strike="noStrike">
              <a:solidFill>
                <a:srgbClr val="0563C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>
                <a:extLst>
                  <a:ext uri="{A12FA001-AC4F-418D-AE19-62706E023703}">
                    <ahyp:hlinkClr xmlns:ahyp="http://schemas.microsoft.com/office/drawing/2018/hyperlinkcolor" val="tx"/>
                  </a:ext>
                </a:extLst>
              </a:hlinkClick>
            </a:rPr>
            <a:t>    Microsoft Word - PublicaciÃ³n pagina web EPM_consumos_enero_2021</a:t>
          </a:r>
          <a:r>
            <a:rPr lang="es-CO"/>
            <a:t> </a:t>
          </a:r>
        </a:p>
        <a:p>
          <a:r>
            <a:rPr lang="es-CO" sz="1100" b="1"/>
            <a:t>2.  Rawinun Junsittiwate, Thongchai Rohitatisha Srinophakun, Somboon Sukpancharoen,Techno-economic, environmental, and heat integration of palm empty fruit bunch upgrading for power generation,Energy for Sustainable Development,Volume 66,2022,</a:t>
          </a:r>
        </a:p>
        <a:p>
          <a:r>
            <a:rPr lang="es-CO" sz="1100" b="1"/>
            <a:t>Pages 140-150,ISSN 0973-0826,https://doi.org/10.1016/j.esd.2021.12.001.</a:t>
          </a:r>
        </a:p>
        <a:p>
          <a:r>
            <a:rPr lang="es-CO" sz="1100" b="1"/>
            <a:t>3.</a:t>
          </a:r>
          <a:r>
            <a:rPr lang="es-CO">
              <a:hlinkClick xmlns:r="http://schemas.openxmlformats.org/officeDocument/2006/relationships" r:id=""/>
            </a:rPr>
            <a:t>Colombia precios de la electricidad, marzo 2022 | GlobalPetrolPrices.com</a:t>
          </a:r>
          <a:endParaRPr lang="es-CO" sz="1100" b="1"/>
        </a:p>
      </xdr:txBody>
    </xdr:sp>
    <xdr:clientData/>
  </xdr:twoCellAnchor>
  <xdr:twoCellAnchor>
    <xdr:from>
      <xdr:col>11</xdr:col>
      <xdr:colOff>730249</xdr:colOff>
      <xdr:row>5</xdr:row>
      <xdr:rowOff>52917</xdr:rowOff>
    </xdr:from>
    <xdr:to>
      <xdr:col>18</xdr:col>
      <xdr:colOff>0</xdr:colOff>
      <xdr:row>6</xdr:row>
      <xdr:rowOff>148167</xdr:rowOff>
    </xdr:to>
    <xdr:sp macro="" textlink="">
      <xdr:nvSpPr>
        <xdr:cNvPr id="17" name="CuadroTexto 2">
          <a:extLst>
            <a:ext uri="{FF2B5EF4-FFF2-40B4-BE49-F238E27FC236}">
              <a16:creationId xmlns:a16="http://schemas.microsoft.com/office/drawing/2014/main" id="{C4ED47DC-08D4-F59D-EBE6-59A503F134BD}"/>
            </a:ext>
          </a:extLst>
        </xdr:cNvPr>
        <xdr:cNvSpPr txBox="1"/>
      </xdr:nvSpPr>
      <xdr:spPr>
        <a:xfrm>
          <a:off x="13536082" y="984250"/>
          <a:ext cx="4804833" cy="285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/>
            <a:t>Pesos colombianos en medellin agua para zona industrial según Epm.</a:t>
          </a:r>
        </a:p>
      </xdr:txBody>
    </xdr:sp>
    <xdr:clientData/>
  </xdr:twoCellAnchor>
  <xdr:twoCellAnchor editAs="oneCell">
    <xdr:from>
      <xdr:col>11</xdr:col>
      <xdr:colOff>465666</xdr:colOff>
      <xdr:row>7</xdr:row>
      <xdr:rowOff>147383</xdr:rowOff>
    </xdr:from>
    <xdr:to>
      <xdr:col>18</xdr:col>
      <xdr:colOff>1189139</xdr:colOff>
      <xdr:row>20</xdr:row>
      <xdr:rowOff>113800</xdr:rowOff>
    </xdr:to>
    <xdr:pic>
      <xdr:nvPicPr>
        <xdr:cNvPr id="16" name="Imagen 4">
          <a:extLst>
            <a:ext uri="{FF2B5EF4-FFF2-40B4-BE49-F238E27FC236}">
              <a16:creationId xmlns:a16="http://schemas.microsoft.com/office/drawing/2014/main" id="{E78A947C-EEAE-A2D0-8F56-7A307DB5B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71499" y="1449133"/>
          <a:ext cx="6272738" cy="2327664"/>
        </a:xfrm>
        <a:prstGeom prst="rect">
          <a:avLst/>
        </a:prstGeom>
      </xdr:spPr>
    </xdr:pic>
    <xdr:clientData/>
  </xdr:twoCellAnchor>
  <xdr:twoCellAnchor>
    <xdr:from>
      <xdr:col>12</xdr:col>
      <xdr:colOff>451338</xdr:colOff>
      <xdr:row>13</xdr:row>
      <xdr:rowOff>35658</xdr:rowOff>
    </xdr:from>
    <xdr:to>
      <xdr:col>13</xdr:col>
      <xdr:colOff>128953</xdr:colOff>
      <xdr:row>13</xdr:row>
      <xdr:rowOff>134815</xdr:rowOff>
    </xdr:to>
    <xdr:sp macro="" textlink="">
      <xdr:nvSpPr>
        <xdr:cNvPr id="12" name="Rectángulo 5">
          <a:extLst>
            <a:ext uri="{FF2B5EF4-FFF2-40B4-BE49-F238E27FC236}">
              <a16:creationId xmlns:a16="http://schemas.microsoft.com/office/drawing/2014/main" id="{C6FD6E16-E96B-6923-43C5-CC427B610CC4}"/>
            </a:ext>
          </a:extLst>
        </xdr:cNvPr>
        <xdr:cNvSpPr/>
      </xdr:nvSpPr>
      <xdr:spPr>
        <a:xfrm>
          <a:off x="14905892" y="2427166"/>
          <a:ext cx="468923" cy="99157"/>
        </a:xfrm>
        <a:prstGeom prst="rect">
          <a:avLst/>
        </a:prstGeom>
        <a:noFill/>
        <a:ln w="28575" cap="flat" cmpd="sng" algn="ctr">
          <a:solidFill>
            <a:schemeClr val="accent2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47626</xdr:colOff>
      <xdr:row>8</xdr:row>
      <xdr:rowOff>152401</xdr:rowOff>
    </xdr:from>
    <xdr:to>
      <xdr:col>23</xdr:col>
      <xdr:colOff>581026</xdr:colOff>
      <xdr:row>15</xdr:row>
      <xdr:rowOff>38100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FF0F3793-12A5-4051-92DD-75FF487F1D10}"/>
            </a:ext>
          </a:extLst>
        </xdr:cNvPr>
        <xdr:cNvSpPr txBox="1"/>
      </xdr:nvSpPr>
      <xdr:spPr>
        <a:xfrm>
          <a:off x="22479001" y="1743076"/>
          <a:ext cx="5791200" cy="11810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1100"/>
            <a:t>- Las encargadas</a:t>
          </a:r>
          <a:r>
            <a:rPr lang="es-ES" sz="1100" baseline="0"/>
            <a:t> del aseo, celadores y secretaria devengan 1 SMMLV</a:t>
          </a:r>
        </a:p>
        <a:p>
          <a:r>
            <a:rPr lang="es-ES" sz="1100" baseline="0"/>
            <a:t>- Los salarios del abogado y el contador se tomaron de una publicación del tiempo</a:t>
          </a:r>
        </a:p>
        <a:p>
          <a:r>
            <a:rPr lang="es-ES" sz="1100" baseline="0"/>
            <a:t>- Para el gerente se considera un profesional con experiencia de 1-3 años y con maestría </a:t>
          </a:r>
        </a:p>
        <a:p>
          <a:r>
            <a:rPr lang="es-ES" sz="1100" baseline="0"/>
            <a:t>- Para el subgerente y el laboratorista se consideran profesionales con especialización en su campo y experiencia de 1-3 años</a:t>
          </a:r>
        </a:p>
        <a:p>
          <a:r>
            <a:rPr lang="es-ES" sz="1100" baseline="0"/>
            <a:t>- Para los operarios de planta se consideran tecnólogos con experiencia de 1-3 años</a:t>
          </a:r>
          <a:endParaRPr lang="es-ES" sz="1100"/>
        </a:p>
      </xdr:txBody>
    </xdr:sp>
    <xdr:clientData/>
  </xdr:twoCellAnchor>
  <xdr:twoCellAnchor>
    <xdr:from>
      <xdr:col>16</xdr:col>
      <xdr:colOff>38100</xdr:colOff>
      <xdr:row>2</xdr:row>
      <xdr:rowOff>114300</xdr:rowOff>
    </xdr:from>
    <xdr:to>
      <xdr:col>23</xdr:col>
      <xdr:colOff>247650</xdr:colOff>
      <xdr:row>8</xdr:row>
      <xdr:rowOff>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60627549-DCB0-D2E6-5325-085B79D10E6C}"/>
            </a:ext>
          </a:extLst>
        </xdr:cNvPr>
        <xdr:cNvSpPr txBox="1"/>
      </xdr:nvSpPr>
      <xdr:spPr>
        <a:xfrm>
          <a:off x="22469475" y="466725"/>
          <a:ext cx="5467350" cy="1123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/>
            <a:t>REFERENCIAS</a:t>
          </a:r>
          <a:r>
            <a:rPr lang="es-CO" sz="1100" b="1" baseline="0"/>
            <a:t> BIBLIOGRAFICAS: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baseline="0"/>
            <a:t>1.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https://www.eltiempo.com/economia/sectores/salario-de-profesionales-en-colombia-2022-668732</a:t>
          </a:r>
          <a:endParaRPr lang="es-CO" sz="1100" b="1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O" sz="1100" b="1" baseline="0"/>
            <a:t>2. </a:t>
          </a:r>
          <a:r>
            <a:rPr lang="es-E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https://www.larepublica.co/economia/aumento-del-minimo-representaria-un-costo-mensual-al-empleador-de-16-millones-3277286</a:t>
          </a:r>
          <a:endParaRPr lang="es-CO" sz="1100" b="1" baseline="0"/>
        </a:p>
        <a:p>
          <a:r>
            <a:rPr lang="es-CO" sz="1100" b="1" baseline="0"/>
            <a:t>3. </a:t>
          </a:r>
          <a:r>
            <a:rPr lang="es-CO" sz="1100" b="0" baseline="0"/>
            <a:t>https://medellin.unal.edu.co/egresados/124-actualidad/971-propuesta-de-la-escala-minima-de-remuneracion-salarial-2022.html</a:t>
          </a:r>
        </a:p>
        <a:p>
          <a:endParaRPr lang="es-CO" sz="11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105832</xdr:colOff>
      <xdr:row>16</xdr:row>
      <xdr:rowOff>43655</xdr:rowOff>
    </xdr:from>
    <xdr:to>
      <xdr:col>13</xdr:col>
      <xdr:colOff>504030</xdr:colOff>
      <xdr:row>23</xdr:row>
      <xdr:rowOff>149489</xdr:rowOff>
    </xdr:to>
    <xdr:sp macro="" textlink="">
      <xdr:nvSpPr>
        <xdr:cNvPr id="8" name="CuadroTexto 1">
          <a:extLst>
            <a:ext uri="{FF2B5EF4-FFF2-40B4-BE49-F238E27FC236}">
              <a16:creationId xmlns:a16="http://schemas.microsoft.com/office/drawing/2014/main" id="{2E6A0464-3C6A-9DEF-538F-68E0EA149806}"/>
            </a:ext>
          </a:extLst>
        </xdr:cNvPr>
        <xdr:cNvSpPr txBox="1"/>
      </xdr:nvSpPr>
      <xdr:spPr>
        <a:xfrm>
          <a:off x="8487832" y="3032124"/>
          <a:ext cx="5970323" cy="139170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CO" sz="1100" b="1"/>
            <a:t>REFERENCIAS BIBLIOGRAFICAS:</a:t>
          </a:r>
        </a:p>
        <a:p>
          <a:r>
            <a:rPr lang="es-CO" sz="1100"/>
            <a:t>1. Techno-economic barriers of an industrial-scale methanol CCU-plant.</a:t>
          </a:r>
        </a:p>
        <a:p>
          <a:r>
            <a:rPr lang="es-CO" sz="1100"/>
            <a:t>2. Lee, S. H. (s. f.). Optimization and Economic Analysis for Small-Scale Movable LNG Liquefaction Process with Leakage Considerations. MDPI. Recuperado 3 de noviembre de 2022, de https://www.mdpi.com/2076-3417/10/15/5391</a:t>
          </a:r>
        </a:p>
        <a:p>
          <a:endParaRPr lang="es-CO" sz="1100"/>
        </a:p>
      </xdr:txBody>
    </xdr:sp>
    <xdr:clientData/>
  </xdr:twoCellAnchor>
  <xdr:twoCellAnchor editAs="oneCell">
    <xdr:from>
      <xdr:col>7</xdr:col>
      <xdr:colOff>0</xdr:colOff>
      <xdr:row>54</xdr:row>
      <xdr:rowOff>0</xdr:rowOff>
    </xdr:from>
    <xdr:to>
      <xdr:col>7</xdr:col>
      <xdr:colOff>304800</xdr:colOff>
      <xdr:row>55</xdr:row>
      <xdr:rowOff>102394</xdr:rowOff>
    </xdr:to>
    <xdr:sp macro="" textlink="">
      <xdr:nvSpPr>
        <xdr:cNvPr id="17410" name="AutoShape 2">
          <a:extLst>
            <a:ext uri="{FF2B5EF4-FFF2-40B4-BE49-F238E27FC236}">
              <a16:creationId xmlns:a16="http://schemas.microsoft.com/office/drawing/2014/main" id="{E48A657A-63BF-8428-E935-6973A578B286}"/>
            </a:ext>
          </a:extLst>
        </xdr:cNvPr>
        <xdr:cNvSpPr>
          <a:spLocks noChangeAspect="1" noChangeArrowheads="1"/>
        </xdr:cNvSpPr>
      </xdr:nvSpPr>
      <xdr:spPr bwMode="auto">
        <a:xfrm>
          <a:off x="7829550" y="9906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163829</xdr:colOff>
      <xdr:row>11</xdr:row>
      <xdr:rowOff>82397</xdr:rowOff>
    </xdr:from>
    <xdr:to>
      <xdr:col>6</xdr:col>
      <xdr:colOff>1866900</xdr:colOff>
      <xdr:row>14</xdr:row>
      <xdr:rowOff>136847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13292E9-DCEA-90F4-F4E8-20BE1DA7E2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490209" y="2170277"/>
          <a:ext cx="4202431" cy="61833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638175</xdr:colOff>
      <xdr:row>9</xdr:row>
      <xdr:rowOff>61912</xdr:rowOff>
    </xdr:from>
    <xdr:to>
      <xdr:col>4</xdr:col>
      <xdr:colOff>590550</xdr:colOff>
      <xdr:row>23</xdr:row>
      <xdr:rowOff>138112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F12B0BD-00F6-80BD-19ED-AC5B08C396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671512</xdr:colOff>
      <xdr:row>24</xdr:row>
      <xdr:rowOff>14287</xdr:rowOff>
    </xdr:from>
    <xdr:to>
      <xdr:col>4</xdr:col>
      <xdr:colOff>623887</xdr:colOff>
      <xdr:row>38</xdr:row>
      <xdr:rowOff>90487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ED6C9565-907B-C8B1-BA46-C66808D750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628650</xdr:colOff>
      <xdr:row>11</xdr:row>
      <xdr:rowOff>1586</xdr:rowOff>
    </xdr:from>
    <xdr:to>
      <xdr:col>10</xdr:col>
      <xdr:colOff>404812</xdr:colOff>
      <xdr:row>26</xdr:row>
      <xdr:rowOff>25399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ECC70F7-B763-E1F7-21D2-F0B6C7BEFB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10</xdr:col>
      <xdr:colOff>712788</xdr:colOff>
      <xdr:row>10</xdr:row>
      <xdr:rowOff>169862</xdr:rowOff>
    </xdr:from>
    <xdr:to>
      <xdr:col>15</xdr:col>
      <xdr:colOff>537884</xdr:colOff>
      <xdr:row>25</xdr:row>
      <xdr:rowOff>77787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A9CA357-22FD-F9D0-E1C2-E9E4CDB0B1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738187</xdr:colOff>
      <xdr:row>47</xdr:row>
      <xdr:rowOff>80962</xdr:rowOff>
    </xdr:from>
    <xdr:to>
      <xdr:col>4</xdr:col>
      <xdr:colOff>404812</xdr:colOff>
      <xdr:row>61</xdr:row>
      <xdr:rowOff>157162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EFB2284D-46E4-85E5-CCE1-45EE0A7A136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128587</xdr:colOff>
      <xdr:row>62</xdr:row>
      <xdr:rowOff>166687</xdr:rowOff>
    </xdr:from>
    <xdr:to>
      <xdr:col>4</xdr:col>
      <xdr:colOff>557212</xdr:colOff>
      <xdr:row>77</xdr:row>
      <xdr:rowOff>52387</xdr:rowOff>
    </xdr:to>
    <xdr:graphicFrame macro="">
      <xdr:nvGraphicFramePr>
        <xdr:cNvPr id="7" name="Gráfico 6">
          <a:extLst>
            <a:ext uri="{FF2B5EF4-FFF2-40B4-BE49-F238E27FC236}">
              <a16:creationId xmlns:a16="http://schemas.microsoft.com/office/drawing/2014/main" id="{9EE8F1B5-101F-9040-7C26-190CC8E9CA7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8C0A0-C417-4482-B59A-F0641D1C0546}">
  <dimension ref="B1:R43"/>
  <sheetViews>
    <sheetView topLeftCell="A4" zoomScale="85" zoomScaleNormal="85" workbookViewId="0">
      <selection activeCell="G38" sqref="G38"/>
    </sheetView>
  </sheetViews>
  <sheetFormatPr baseColWidth="10" defaultColWidth="11.5546875" defaultRowHeight="13.8" x14ac:dyDescent="0.25"/>
  <cols>
    <col min="1" max="1" width="11.5546875" style="19"/>
    <col min="2" max="2" width="22.88671875" style="19" customWidth="1"/>
    <col min="3" max="4" width="15.88671875" style="19" customWidth="1"/>
    <col min="5" max="5" width="17.77734375" style="19" customWidth="1"/>
    <col min="6" max="6" width="22.88671875" style="19" customWidth="1"/>
    <col min="7" max="7" width="24" style="19" customWidth="1"/>
    <col min="8" max="8" width="24.109375" style="19" customWidth="1"/>
    <col min="9" max="9" width="11.5546875" style="19"/>
    <col min="10" max="10" width="19.5546875" style="19" customWidth="1"/>
    <col min="11" max="11" width="17.88671875" style="19" customWidth="1"/>
    <col min="12" max="18" width="11.5546875" style="19"/>
    <col min="19" max="19" width="17.88671875" style="19" customWidth="1"/>
    <col min="20" max="16384" width="11.5546875" style="19"/>
  </cols>
  <sheetData>
    <row r="1" spans="2:18" ht="15" customHeight="1" x14ac:dyDescent="0.25">
      <c r="B1" s="162" t="s">
        <v>43</v>
      </c>
      <c r="C1" s="163"/>
      <c r="D1" s="163"/>
      <c r="E1" s="163"/>
      <c r="F1" s="163"/>
      <c r="G1" s="163"/>
      <c r="H1" s="164"/>
      <c r="J1" s="48" t="s">
        <v>54</v>
      </c>
      <c r="K1" s="50">
        <f>AVERAGE(J4:R4)</f>
        <v>3959.9888888888891</v>
      </c>
    </row>
    <row r="2" spans="2:18" ht="15" customHeight="1" thickBot="1" x14ac:dyDescent="0.3">
      <c r="B2" s="165"/>
      <c r="C2" s="166"/>
      <c r="D2" s="166"/>
      <c r="E2" s="166"/>
      <c r="F2" s="166"/>
      <c r="G2" s="166"/>
      <c r="H2" s="167"/>
      <c r="M2" s="19" t="s">
        <v>44</v>
      </c>
    </row>
    <row r="3" spans="2:18" x14ac:dyDescent="0.25">
      <c r="F3" s="70"/>
      <c r="J3" s="47" t="s">
        <v>45</v>
      </c>
      <c r="K3" s="47" t="s">
        <v>46</v>
      </c>
      <c r="L3" s="47" t="s">
        <v>47</v>
      </c>
      <c r="M3" s="47" t="s">
        <v>48</v>
      </c>
      <c r="N3" s="47" t="s">
        <v>49</v>
      </c>
      <c r="O3" s="47" t="s">
        <v>50</v>
      </c>
      <c r="P3" s="47" t="s">
        <v>51</v>
      </c>
      <c r="Q3" s="47" t="s">
        <v>52</v>
      </c>
      <c r="R3" s="47" t="s">
        <v>53</v>
      </c>
    </row>
    <row r="4" spans="2:18" x14ac:dyDescent="0.25">
      <c r="J4" s="76">
        <v>3822.05</v>
      </c>
      <c r="K4" s="76">
        <v>3915.56</v>
      </c>
      <c r="L4" s="76">
        <v>3931.31</v>
      </c>
      <c r="M4" s="76">
        <v>3842.3</v>
      </c>
      <c r="N4" s="76">
        <v>3899.07</v>
      </c>
      <c r="O4" s="76">
        <v>3860.92</v>
      </c>
      <c r="P4" s="76">
        <v>4148.04</v>
      </c>
      <c r="Q4" s="76">
        <v>4060.34</v>
      </c>
      <c r="R4" s="76">
        <v>4160.3100000000004</v>
      </c>
    </row>
    <row r="5" spans="2:18" x14ac:dyDescent="0.25">
      <c r="B5" s="155" t="s">
        <v>55</v>
      </c>
      <c r="C5" s="155" t="s">
        <v>106</v>
      </c>
      <c r="D5" s="155" t="s">
        <v>107</v>
      </c>
      <c r="E5" s="155" t="s">
        <v>108</v>
      </c>
      <c r="F5" s="155" t="s">
        <v>56</v>
      </c>
      <c r="G5" s="155" t="s">
        <v>57</v>
      </c>
      <c r="H5" s="155" t="s">
        <v>58</v>
      </c>
    </row>
    <row r="6" spans="2:18" x14ac:dyDescent="0.25">
      <c r="B6" s="155"/>
      <c r="C6" s="155"/>
      <c r="D6" s="155"/>
      <c r="E6" s="155"/>
      <c r="F6" s="155"/>
      <c r="G6" s="155"/>
      <c r="H6" s="155"/>
      <c r="J6" s="46" t="s">
        <v>59</v>
      </c>
      <c r="K6" s="29"/>
    </row>
    <row r="7" spans="2:18" ht="15" x14ac:dyDescent="0.25">
      <c r="B7" s="22" t="s">
        <v>60</v>
      </c>
      <c r="C7" s="51">
        <v>50</v>
      </c>
      <c r="D7" s="22">
        <f>C7*24*365</f>
        <v>438000</v>
      </c>
      <c r="E7" s="95">
        <f>K13</f>
        <v>1.1184579983965208</v>
      </c>
      <c r="F7" s="52">
        <v>1.05</v>
      </c>
      <c r="G7" s="22">
        <f>D7*E7*F7</f>
        <v>514378.83346255997</v>
      </c>
      <c r="H7" s="53">
        <f>K1*G7</f>
        <v>2036934465.1913657</v>
      </c>
      <c r="J7" s="54">
        <v>3856</v>
      </c>
      <c r="K7" s="29"/>
    </row>
    <row r="8" spans="2:18" ht="15" x14ac:dyDescent="0.25">
      <c r="B8" s="56" t="s">
        <v>64</v>
      </c>
      <c r="C8" s="71">
        <f>SUM(C7)</f>
        <v>50</v>
      </c>
      <c r="D8" s="71">
        <f>SUM(D7)</f>
        <v>438000</v>
      </c>
      <c r="E8" s="72">
        <f>E7</f>
        <v>1.1184579983965208</v>
      </c>
      <c r="F8" s="73" t="s">
        <v>65</v>
      </c>
      <c r="G8" s="74">
        <f>SUM(G7)</f>
        <v>514378.83346255997</v>
      </c>
      <c r="H8" s="75">
        <f>SUM(H7)</f>
        <v>2036934465.1913657</v>
      </c>
      <c r="J8" s="49">
        <f>J7/K1</f>
        <v>0.973740105892553</v>
      </c>
      <c r="K8" s="29" t="s">
        <v>62</v>
      </c>
    </row>
    <row r="10" spans="2:18" ht="15.75" customHeight="1" x14ac:dyDescent="0.25">
      <c r="J10" s="57" t="s">
        <v>63</v>
      </c>
      <c r="K10" s="58">
        <v>699.97</v>
      </c>
    </row>
    <row r="11" spans="2:18" x14ac:dyDescent="0.25">
      <c r="J11" s="57" t="s">
        <v>109</v>
      </c>
      <c r="K11" s="58">
        <v>804</v>
      </c>
    </row>
    <row r="12" spans="2:18" ht="14.4" customHeight="1" x14ac:dyDescent="0.25"/>
    <row r="13" spans="2:18" ht="14.4" customHeight="1" x14ac:dyDescent="0.25">
      <c r="J13" s="59" t="s">
        <v>110</v>
      </c>
      <c r="K13" s="77">
        <f>(J8)*(K11/K10)</f>
        <v>1.1184579983965208</v>
      </c>
    </row>
    <row r="14" spans="2:18" ht="13.8" customHeight="1" x14ac:dyDescent="0.25"/>
    <row r="15" spans="2:18" x14ac:dyDescent="0.25">
      <c r="B15" s="60"/>
      <c r="C15" s="60"/>
      <c r="D15" s="60"/>
      <c r="E15" s="60"/>
    </row>
    <row r="16" spans="2:18" ht="14.4" thickBot="1" x14ac:dyDescent="0.3">
      <c r="C16" s="60"/>
      <c r="D16" s="60"/>
      <c r="E16" s="60"/>
    </row>
    <row r="17" spans="2:7" x14ac:dyDescent="0.25">
      <c r="B17" s="156" t="s">
        <v>66</v>
      </c>
      <c r="C17" s="157"/>
      <c r="D17" s="157"/>
      <c r="E17" s="157"/>
      <c r="F17" s="157"/>
      <c r="G17" s="158"/>
    </row>
    <row r="18" spans="2:7" ht="14.4" thickBot="1" x14ac:dyDescent="0.3">
      <c r="B18" s="159"/>
      <c r="C18" s="160"/>
      <c r="D18" s="160"/>
      <c r="E18" s="160"/>
      <c r="F18" s="160"/>
      <c r="G18" s="161"/>
    </row>
    <row r="19" spans="2:7" ht="14.4" customHeight="1" x14ac:dyDescent="0.25"/>
    <row r="20" spans="2:7" ht="14.4" customHeight="1" x14ac:dyDescent="0.25">
      <c r="B20" s="152" t="s">
        <v>138</v>
      </c>
      <c r="C20" s="152" t="s">
        <v>67</v>
      </c>
      <c r="D20" s="152" t="s">
        <v>68</v>
      </c>
      <c r="E20" s="152" t="s">
        <v>69</v>
      </c>
      <c r="F20" s="152" t="s">
        <v>57</v>
      </c>
      <c r="G20" s="150" t="s">
        <v>58</v>
      </c>
    </row>
    <row r="21" spans="2:7" ht="15" customHeight="1" x14ac:dyDescent="0.25">
      <c r="B21" s="153"/>
      <c r="C21" s="153"/>
      <c r="D21" s="153"/>
      <c r="E21" s="153"/>
      <c r="F21" s="153"/>
      <c r="G21" s="151"/>
    </row>
    <row r="22" spans="2:7" ht="15" x14ac:dyDescent="0.25">
      <c r="B22" s="22" t="s">
        <v>61</v>
      </c>
      <c r="C22" s="22">
        <v>11.33</v>
      </c>
      <c r="D22" s="114">
        <f>'Materia Prima CMR'!C15*0.01</f>
        <v>9.9602000000000004</v>
      </c>
      <c r="E22" s="115">
        <f>C22*D22</f>
        <v>112.84906600000001</v>
      </c>
      <c r="F22" s="62">
        <f>E22*(354/24)</f>
        <v>1664.5237235000002</v>
      </c>
      <c r="G22" s="63">
        <f>F22*K1</f>
        <v>6591495.4503519619</v>
      </c>
    </row>
    <row r="23" spans="2:7" ht="14.4" hidden="1" customHeight="1" x14ac:dyDescent="0.25">
      <c r="B23" s="22"/>
      <c r="C23" s="22"/>
      <c r="D23" s="52"/>
      <c r="E23" s="61"/>
      <c r="F23" s="62"/>
      <c r="G23" s="63"/>
    </row>
    <row r="24" spans="2:7" ht="14.4" hidden="1" customHeight="1" x14ac:dyDescent="0.25">
      <c r="B24" s="64"/>
      <c r="C24" s="64"/>
      <c r="D24" s="52"/>
      <c r="E24" s="61"/>
      <c r="F24" s="62"/>
      <c r="G24" s="65"/>
    </row>
    <row r="25" spans="2:7" ht="15" hidden="1" x14ac:dyDescent="0.25">
      <c r="B25" s="22"/>
      <c r="C25" s="52"/>
      <c r="D25" s="52"/>
      <c r="E25" s="61"/>
      <c r="F25" s="62"/>
      <c r="G25" s="63"/>
    </row>
    <row r="26" spans="2:7" ht="15" hidden="1" x14ac:dyDescent="0.25">
      <c r="B26" s="64"/>
      <c r="C26" s="66"/>
      <c r="D26" s="52"/>
      <c r="E26" s="61"/>
      <c r="F26" s="62"/>
      <c r="G26" s="63"/>
    </row>
    <row r="27" spans="2:7" ht="15" hidden="1" x14ac:dyDescent="0.25">
      <c r="B27" s="52"/>
      <c r="C27" s="52"/>
      <c r="D27" s="52"/>
      <c r="E27" s="61"/>
      <c r="F27" s="62"/>
      <c r="G27" s="63"/>
    </row>
    <row r="28" spans="2:7" ht="15" hidden="1" x14ac:dyDescent="0.25">
      <c r="B28" s="52"/>
      <c r="C28" s="52"/>
      <c r="D28" s="52"/>
      <c r="E28" s="61"/>
      <c r="F28" s="62"/>
      <c r="G28" s="63"/>
    </row>
    <row r="29" spans="2:7" x14ac:dyDescent="0.25">
      <c r="B29" s="168" t="s">
        <v>29</v>
      </c>
      <c r="C29" s="170">
        <f>SUM(C22:C28)</f>
        <v>11.33</v>
      </c>
      <c r="D29" s="170">
        <f>SUM(D22:D28)</f>
        <v>9.9602000000000004</v>
      </c>
      <c r="E29" s="170" t="s">
        <v>65</v>
      </c>
      <c r="F29" s="172">
        <f>SUM(F22:F28)</f>
        <v>1664.5237235000002</v>
      </c>
      <c r="G29" s="174">
        <f>SUM(G22:G28)</f>
        <v>6591495.4503519619</v>
      </c>
    </row>
    <row r="30" spans="2:7" x14ac:dyDescent="0.25">
      <c r="B30" s="169"/>
      <c r="C30" s="171"/>
      <c r="D30" s="171"/>
      <c r="E30" s="171"/>
      <c r="F30" s="173"/>
      <c r="G30" s="175"/>
    </row>
    <row r="33" spans="2:7" ht="14.25" customHeight="1" x14ac:dyDescent="0.25">
      <c r="E33" s="149" t="s">
        <v>70</v>
      </c>
      <c r="F33" s="149"/>
      <c r="G33" s="67">
        <f>G29+H8</f>
        <v>2043525960.6417177</v>
      </c>
    </row>
    <row r="34" spans="2:7" ht="14.25" customHeight="1" x14ac:dyDescent="0.25">
      <c r="E34" s="149"/>
      <c r="F34" s="149"/>
      <c r="G34" s="68"/>
    </row>
    <row r="35" spans="2:7" ht="15" customHeight="1" x14ac:dyDescent="0.25">
      <c r="E35" s="149" t="s">
        <v>71</v>
      </c>
      <c r="F35" s="149"/>
      <c r="G35" s="116">
        <f>G33/K1</f>
        <v>516043.35718605993</v>
      </c>
    </row>
    <row r="36" spans="2:7" x14ac:dyDescent="0.25">
      <c r="E36" s="149"/>
      <c r="F36" s="149"/>
      <c r="G36" s="116"/>
    </row>
    <row r="38" spans="2:7" x14ac:dyDescent="0.25">
      <c r="B38" s="154"/>
      <c r="C38" s="154"/>
      <c r="G38" s="69">
        <v>2043525960.6417201</v>
      </c>
    </row>
    <row r="39" spans="2:7" x14ac:dyDescent="0.25">
      <c r="B39" s="58"/>
      <c r="C39" s="58"/>
    </row>
    <row r="40" spans="2:7" ht="13.95" customHeight="1" x14ac:dyDescent="0.25">
      <c r="B40" s="58"/>
      <c r="C40" s="58"/>
    </row>
    <row r="41" spans="2:7" x14ac:dyDescent="0.25">
      <c r="B41" s="58"/>
      <c r="C41" s="58"/>
    </row>
    <row r="42" spans="2:7" x14ac:dyDescent="0.25">
      <c r="B42" s="58"/>
      <c r="C42" s="58"/>
    </row>
    <row r="43" spans="2:7" x14ac:dyDescent="0.25">
      <c r="B43" s="58"/>
      <c r="C43" s="58"/>
    </row>
  </sheetData>
  <mergeCells count="24">
    <mergeCell ref="B1:H2"/>
    <mergeCell ref="B29:B30"/>
    <mergeCell ref="C29:C30"/>
    <mergeCell ref="D29:D30"/>
    <mergeCell ref="E29:E30"/>
    <mergeCell ref="F29:F30"/>
    <mergeCell ref="G29:G30"/>
    <mergeCell ref="B20:B21"/>
    <mergeCell ref="B38:C38"/>
    <mergeCell ref="H5:H6"/>
    <mergeCell ref="B5:B6"/>
    <mergeCell ref="C5:C6"/>
    <mergeCell ref="D5:D6"/>
    <mergeCell ref="E5:E6"/>
    <mergeCell ref="F5:F6"/>
    <mergeCell ref="G5:G6"/>
    <mergeCell ref="B17:G18"/>
    <mergeCell ref="E33:F34"/>
    <mergeCell ref="E35:F36"/>
    <mergeCell ref="G20:G21"/>
    <mergeCell ref="C20:C21"/>
    <mergeCell ref="D20:D21"/>
    <mergeCell ref="E20:E21"/>
    <mergeCell ref="F20:F2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65F51-F9BF-4078-A6DC-4983B7007583}">
  <dimension ref="B1:R36"/>
  <sheetViews>
    <sheetView zoomScale="80" zoomScaleNormal="80" workbookViewId="0">
      <selection activeCell="O19" sqref="O19"/>
    </sheetView>
  </sheetViews>
  <sheetFormatPr baseColWidth="10" defaultColWidth="10.6640625" defaultRowHeight="13.8" x14ac:dyDescent="0.25"/>
  <cols>
    <col min="1" max="1" width="10.6640625" style="19"/>
    <col min="2" max="2" width="26.88671875" style="19" bestFit="1" customWidth="1"/>
    <col min="3" max="3" width="14.33203125" style="19" bestFit="1" customWidth="1"/>
    <col min="4" max="4" width="26.88671875" style="19" customWidth="1"/>
    <col min="5" max="5" width="14.33203125" style="19" bestFit="1" customWidth="1"/>
    <col min="6" max="6" width="26.88671875" style="19" customWidth="1"/>
    <col min="7" max="7" width="14.33203125" style="19" bestFit="1" customWidth="1"/>
    <col min="8" max="8" width="26.88671875" style="19" customWidth="1"/>
    <col min="9" max="9" width="14.33203125" style="19" bestFit="1" customWidth="1"/>
    <col min="10" max="10" width="26.88671875" style="19" bestFit="1" customWidth="1"/>
    <col min="11" max="11" width="16.21875" style="19" bestFit="1" customWidth="1"/>
    <col min="12" max="12" width="26.88671875" style="19" bestFit="1" customWidth="1"/>
    <col min="13" max="13" width="23.21875" style="19" bestFit="1" customWidth="1"/>
    <col min="14" max="14" width="26.88671875" style="19" bestFit="1" customWidth="1"/>
    <col min="15" max="15" width="20.44140625" style="19" bestFit="1" customWidth="1"/>
    <col min="16" max="16" width="10.6640625" style="19"/>
    <col min="17" max="17" width="13.33203125" style="19" bestFit="1" customWidth="1"/>
    <col min="18" max="18" width="9.88671875" style="19" bestFit="1" customWidth="1"/>
    <col min="19" max="16384" width="10.6640625" style="19"/>
  </cols>
  <sheetData>
    <row r="1" spans="2:18" ht="14.4" thickBot="1" x14ac:dyDescent="0.3">
      <c r="B1" s="176" t="s">
        <v>105</v>
      </c>
      <c r="C1" s="176"/>
      <c r="D1" s="176"/>
      <c r="E1" s="176"/>
    </row>
    <row r="2" spans="2:18" x14ac:dyDescent="0.25">
      <c r="B2" s="187" t="s">
        <v>1</v>
      </c>
      <c r="C2" s="188"/>
      <c r="D2" s="188"/>
      <c r="E2" s="188"/>
      <c r="G2" s="181" t="s">
        <v>2</v>
      </c>
      <c r="H2" s="181"/>
      <c r="I2" s="181"/>
      <c r="J2" s="181"/>
      <c r="K2" s="181"/>
      <c r="L2" s="181"/>
      <c r="M2" s="181"/>
      <c r="N2" s="181"/>
      <c r="O2" s="181"/>
      <c r="Q2" s="20" t="s">
        <v>3</v>
      </c>
      <c r="R2" s="19">
        <f>'servicios industriales CUT'!K1</f>
        <v>3959.9888888888891</v>
      </c>
    </row>
    <row r="3" spans="2:18" ht="22.2" customHeight="1" x14ac:dyDescent="0.25">
      <c r="B3" s="21" t="s">
        <v>4</v>
      </c>
      <c r="C3" s="21" t="s">
        <v>5</v>
      </c>
      <c r="D3" s="21" t="s">
        <v>6</v>
      </c>
      <c r="E3" s="21" t="s">
        <v>7</v>
      </c>
      <c r="G3" s="183" t="s">
        <v>8</v>
      </c>
      <c r="H3" s="183"/>
      <c r="I3" s="183" t="s">
        <v>9</v>
      </c>
      <c r="J3" s="182" t="s">
        <v>10</v>
      </c>
      <c r="K3" s="182" t="s">
        <v>11</v>
      </c>
      <c r="L3" s="183" t="s">
        <v>12</v>
      </c>
      <c r="M3" s="182" t="s">
        <v>13</v>
      </c>
      <c r="N3" s="182" t="s">
        <v>14</v>
      </c>
      <c r="O3" s="182" t="s">
        <v>15</v>
      </c>
    </row>
    <row r="4" spans="2:18" ht="15" x14ac:dyDescent="0.25">
      <c r="B4" s="22" t="s">
        <v>102</v>
      </c>
      <c r="C4" s="22">
        <v>1</v>
      </c>
      <c r="D4" s="22">
        <v>0.5</v>
      </c>
      <c r="E4" s="22">
        <f>C4*D4</f>
        <v>0.5</v>
      </c>
      <c r="G4" s="189"/>
      <c r="H4" s="189"/>
      <c r="I4" s="189"/>
      <c r="J4" s="183"/>
      <c r="K4" s="183"/>
      <c r="L4" s="189"/>
      <c r="M4" s="183"/>
      <c r="N4" s="183"/>
      <c r="O4" s="183"/>
    </row>
    <row r="5" spans="2:18" ht="15" x14ac:dyDescent="0.3">
      <c r="B5" s="22" t="s">
        <v>103</v>
      </c>
      <c r="C5" s="22">
        <v>1</v>
      </c>
      <c r="D5" s="22">
        <v>0.35</v>
      </c>
      <c r="E5" s="22">
        <f t="shared" ref="E5:E8" si="0">C5*D5</f>
        <v>0.35</v>
      </c>
      <c r="G5" s="186" t="s">
        <v>16</v>
      </c>
      <c r="H5" s="186"/>
      <c r="I5" s="23">
        <v>1</v>
      </c>
      <c r="J5" s="24">
        <f>C26</f>
        <v>2181785</v>
      </c>
      <c r="K5" s="25">
        <f>I5*J5</f>
        <v>2181785</v>
      </c>
      <c r="L5" s="24">
        <f>I5*SUM(C27:C35)</f>
        <v>1022282.6343666665</v>
      </c>
      <c r="M5" s="24">
        <f>SUM(K5:L5)</f>
        <v>3204067.6343666664</v>
      </c>
      <c r="N5" s="24">
        <f>12*M5</f>
        <v>38448811.612399995</v>
      </c>
      <c r="O5" s="26">
        <f>N5/$R$2</f>
        <v>9709.3231044868244</v>
      </c>
    </row>
    <row r="6" spans="2:18" ht="15" x14ac:dyDescent="0.3">
      <c r="B6" s="22" t="s">
        <v>104</v>
      </c>
      <c r="C6" s="22">
        <v>1</v>
      </c>
      <c r="D6" s="22">
        <v>0.35</v>
      </c>
      <c r="E6" s="22">
        <f t="shared" si="0"/>
        <v>0.35</v>
      </c>
      <c r="G6" s="186" t="s">
        <v>17</v>
      </c>
      <c r="H6" s="186"/>
      <c r="I6" s="23">
        <v>1</v>
      </c>
      <c r="J6" s="24">
        <f>E26</f>
        <v>2484337</v>
      </c>
      <c r="K6" s="25">
        <f t="shared" ref="K6:K13" si="1">I6*J6</f>
        <v>2484337</v>
      </c>
      <c r="L6" s="24">
        <f>I6*SUM(E27:E35)</f>
        <v>1164044.3824733335</v>
      </c>
      <c r="M6" s="24">
        <f t="shared" ref="M6:M13" si="2">SUM(J6:L6)</f>
        <v>6132718.3824733337</v>
      </c>
      <c r="N6" s="24">
        <f t="shared" ref="N6:N13" si="3">12*M6</f>
        <v>73592620.589680001</v>
      </c>
      <c r="O6" s="26">
        <f t="shared" ref="O6:O13" si="4">N6/$R$2</f>
        <v>18584.047242195404</v>
      </c>
    </row>
    <row r="7" spans="2:18" ht="15" x14ac:dyDescent="0.3">
      <c r="B7" s="22" t="s">
        <v>139</v>
      </c>
      <c r="C7" s="22">
        <v>1</v>
      </c>
      <c r="D7" s="22">
        <v>0.15</v>
      </c>
      <c r="E7" s="22">
        <f t="shared" si="0"/>
        <v>0.15</v>
      </c>
      <c r="G7" s="186" t="s">
        <v>18</v>
      </c>
      <c r="H7" s="186"/>
      <c r="I7" s="23">
        <v>3</v>
      </c>
      <c r="J7" s="24">
        <f>G26</f>
        <v>1000000</v>
      </c>
      <c r="K7" s="25">
        <f t="shared" si="1"/>
        <v>3000000</v>
      </c>
      <c r="L7" s="24">
        <f>I7*SUM(G27:G35)</f>
        <v>1819284.2200000002</v>
      </c>
      <c r="M7" s="24">
        <f t="shared" si="2"/>
        <v>5819284.2200000007</v>
      </c>
      <c r="N7" s="24">
        <f t="shared" si="3"/>
        <v>69831410.640000015</v>
      </c>
      <c r="O7" s="26">
        <f t="shared" si="4"/>
        <v>17634.244084859951</v>
      </c>
    </row>
    <row r="8" spans="2:18" ht="15" x14ac:dyDescent="0.3">
      <c r="B8" s="22" t="s">
        <v>19</v>
      </c>
      <c r="C8" s="22">
        <v>2</v>
      </c>
      <c r="D8" s="22">
        <v>0.1</v>
      </c>
      <c r="E8" s="22">
        <f t="shared" si="0"/>
        <v>0.2</v>
      </c>
      <c r="G8" s="186" t="s">
        <v>20</v>
      </c>
      <c r="H8" s="186"/>
      <c r="I8" s="23">
        <v>4</v>
      </c>
      <c r="J8" s="24">
        <f>G26</f>
        <v>1000000</v>
      </c>
      <c r="K8" s="25">
        <f t="shared" si="1"/>
        <v>4000000</v>
      </c>
      <c r="L8" s="24">
        <f>I8*SUM(G27:G35)</f>
        <v>2425712.2933333335</v>
      </c>
      <c r="M8" s="24">
        <f t="shared" si="2"/>
        <v>7425712.293333333</v>
      </c>
      <c r="N8" s="24">
        <f t="shared" si="3"/>
        <v>89108547.519999996</v>
      </c>
      <c r="O8" s="26">
        <f t="shared" si="4"/>
        <v>22502.221602193047</v>
      </c>
    </row>
    <row r="9" spans="2:18" ht="14.4" x14ac:dyDescent="0.3">
      <c r="B9" s="184" t="s">
        <v>21</v>
      </c>
      <c r="C9" s="184">
        <f>SUM(C4:C8)</f>
        <v>6</v>
      </c>
      <c r="D9" s="168"/>
      <c r="E9" s="184">
        <f>SUM(E4:E8)</f>
        <v>1.5499999999999998</v>
      </c>
      <c r="G9" s="186" t="s">
        <v>22</v>
      </c>
      <c r="H9" s="186"/>
      <c r="I9" s="23">
        <v>1</v>
      </c>
      <c r="J9" s="24">
        <f>I26</f>
        <v>3652801</v>
      </c>
      <c r="K9" s="25">
        <f t="shared" si="1"/>
        <v>3652801</v>
      </c>
      <c r="L9" s="24">
        <f>I9*SUM(I27:I35)</f>
        <v>1711532.0845533332</v>
      </c>
      <c r="M9" s="24">
        <f t="shared" si="2"/>
        <v>9017134.084553333</v>
      </c>
      <c r="N9" s="24">
        <f t="shared" si="3"/>
        <v>108205609.01464</v>
      </c>
      <c r="O9" s="26">
        <f t="shared" si="4"/>
        <v>27324.725409772753</v>
      </c>
    </row>
    <row r="10" spans="2:18" ht="14.4" x14ac:dyDescent="0.3">
      <c r="B10" s="185"/>
      <c r="C10" s="185"/>
      <c r="D10" s="169"/>
      <c r="E10" s="185"/>
      <c r="G10" s="186" t="s">
        <v>23</v>
      </c>
      <c r="H10" s="186"/>
      <c r="I10" s="23">
        <v>1</v>
      </c>
      <c r="J10" s="24">
        <f>G26</f>
        <v>1000000</v>
      </c>
      <c r="K10" s="25">
        <f t="shared" si="1"/>
        <v>1000000</v>
      </c>
      <c r="L10" s="24">
        <f>I10*SUM(G27:G35)</f>
        <v>606428.07333333336</v>
      </c>
      <c r="M10" s="24">
        <f t="shared" si="2"/>
        <v>2606428.0733333332</v>
      </c>
      <c r="N10" s="24">
        <f t="shared" si="3"/>
        <v>31277136.879999999</v>
      </c>
      <c r="O10" s="26">
        <f t="shared" si="4"/>
        <v>7898.2890501937427</v>
      </c>
    </row>
    <row r="11" spans="2:18" ht="15" customHeight="1" x14ac:dyDescent="0.3">
      <c r="G11" s="186" t="s">
        <v>24</v>
      </c>
      <c r="H11" s="186"/>
      <c r="I11" s="23">
        <v>1</v>
      </c>
      <c r="J11" s="24">
        <f>K26</f>
        <v>4549475</v>
      </c>
      <c r="K11" s="25">
        <f t="shared" si="1"/>
        <v>4549475</v>
      </c>
      <c r="L11" s="24">
        <f>I11*SUM(K27:K35)</f>
        <v>2131671.6761666667</v>
      </c>
      <c r="M11" s="24">
        <f t="shared" si="2"/>
        <v>11230621.676166667</v>
      </c>
      <c r="N11" s="24">
        <f t="shared" si="3"/>
        <v>134767460.11399999</v>
      </c>
      <c r="O11" s="26">
        <f t="shared" si="4"/>
        <v>34032.282386482562</v>
      </c>
    </row>
    <row r="12" spans="2:18" ht="15" customHeight="1" x14ac:dyDescent="0.3">
      <c r="G12" s="186" t="s">
        <v>25</v>
      </c>
      <c r="H12" s="186"/>
      <c r="I12" s="23">
        <v>1</v>
      </c>
      <c r="J12" s="24">
        <f>M26</f>
        <v>3652801</v>
      </c>
      <c r="K12" s="25">
        <f t="shared" si="1"/>
        <v>3652801</v>
      </c>
      <c r="L12" s="24">
        <f>I12*SUM(M27:M35)</f>
        <v>1711532.0845533332</v>
      </c>
      <c r="M12" s="24">
        <f t="shared" si="2"/>
        <v>9017134.084553333</v>
      </c>
      <c r="N12" s="24">
        <f t="shared" si="3"/>
        <v>108205609.01464</v>
      </c>
      <c r="O12" s="26">
        <f t="shared" si="4"/>
        <v>27324.725409772753</v>
      </c>
    </row>
    <row r="13" spans="2:18" ht="15" customHeight="1" x14ac:dyDescent="0.3">
      <c r="B13" s="27" t="s">
        <v>26</v>
      </c>
      <c r="C13" s="28">
        <v>3.65</v>
      </c>
      <c r="D13" s="29"/>
      <c r="G13" s="190" t="s">
        <v>27</v>
      </c>
      <c r="H13" s="190"/>
      <c r="I13" s="30">
        <f>D14</f>
        <v>5</v>
      </c>
      <c r="J13" s="25">
        <f>O26</f>
        <v>1538527</v>
      </c>
      <c r="K13" s="25">
        <f t="shared" si="1"/>
        <v>7692635</v>
      </c>
      <c r="L13" s="25">
        <f>I13*SUM(O27:O35)</f>
        <v>4588257.5391666675</v>
      </c>
      <c r="M13" s="24">
        <f t="shared" si="2"/>
        <v>13819419.539166667</v>
      </c>
      <c r="N13" s="24">
        <f t="shared" si="3"/>
        <v>165833034.47</v>
      </c>
      <c r="O13" s="26">
        <f t="shared" si="4"/>
        <v>41877.146406976448</v>
      </c>
    </row>
    <row r="14" spans="2:18" ht="15" customHeight="1" x14ac:dyDescent="0.25">
      <c r="B14" s="31" t="s">
        <v>28</v>
      </c>
      <c r="C14" s="32">
        <f>C13*E9</f>
        <v>5.6574999999999989</v>
      </c>
      <c r="D14" s="32">
        <f>INT(C14)</f>
        <v>5</v>
      </c>
      <c r="G14" s="191" t="s">
        <v>29</v>
      </c>
      <c r="H14" s="191"/>
      <c r="I14" s="42">
        <f t="shared" ref="I14:M14" si="5">SUM(I5:I13)</f>
        <v>18</v>
      </c>
      <c r="J14" s="43">
        <f t="shared" si="5"/>
        <v>21059726</v>
      </c>
      <c r="K14" s="44">
        <f t="shared" si="5"/>
        <v>32213834</v>
      </c>
      <c r="L14" s="43">
        <f t="shared" si="5"/>
        <v>17180744.987946667</v>
      </c>
      <c r="M14" s="43">
        <f t="shared" si="5"/>
        <v>68272519.987946659</v>
      </c>
      <c r="N14" s="43">
        <f>SUM(N5:N13)</f>
        <v>819270239.85535991</v>
      </c>
      <c r="O14" s="45">
        <f>SUM(O5:O13)</f>
        <v>206887.00469693347</v>
      </c>
    </row>
    <row r="16" spans="2:18" ht="15" customHeight="1" x14ac:dyDescent="0.25"/>
    <row r="17" spans="2:15" ht="15" customHeight="1" x14ac:dyDescent="0.25"/>
    <row r="18" spans="2:15" ht="15" customHeight="1" x14ac:dyDescent="0.25"/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4.4" thickBot="1" x14ac:dyDescent="0.3"/>
    <row r="25" spans="2:15" ht="33" customHeight="1" thickBot="1" x14ac:dyDescent="0.3">
      <c r="B25" s="177" t="s">
        <v>30</v>
      </c>
      <c r="C25" s="178"/>
      <c r="D25" s="177" t="s">
        <v>17</v>
      </c>
      <c r="E25" s="178"/>
      <c r="F25" s="179" t="s">
        <v>31</v>
      </c>
      <c r="G25" s="180"/>
      <c r="H25" s="177" t="s">
        <v>22</v>
      </c>
      <c r="I25" s="178"/>
      <c r="J25" s="177" t="s">
        <v>24</v>
      </c>
      <c r="K25" s="178"/>
      <c r="L25" s="177" t="s">
        <v>32</v>
      </c>
      <c r="M25" s="178"/>
      <c r="N25" s="177" t="s">
        <v>27</v>
      </c>
      <c r="O25" s="178"/>
    </row>
    <row r="26" spans="2:15" x14ac:dyDescent="0.25">
      <c r="B26" s="33" t="s">
        <v>33</v>
      </c>
      <c r="C26" s="34">
        <v>2181785</v>
      </c>
      <c r="D26" s="35" t="s">
        <v>33</v>
      </c>
      <c r="E26" s="34">
        <v>2484337</v>
      </c>
      <c r="F26" s="35" t="s">
        <v>33</v>
      </c>
      <c r="G26" s="34">
        <v>1000000</v>
      </c>
      <c r="H26" s="35" t="s">
        <v>33</v>
      </c>
      <c r="I26" s="34">
        <v>3652801</v>
      </c>
      <c r="J26" s="35" t="s">
        <v>33</v>
      </c>
      <c r="K26" s="34">
        <v>4549475</v>
      </c>
      <c r="L26" s="35" t="s">
        <v>33</v>
      </c>
      <c r="M26" s="34">
        <v>3652801</v>
      </c>
      <c r="N26" s="36" t="s">
        <v>33</v>
      </c>
      <c r="O26" s="37">
        <v>1538527</v>
      </c>
    </row>
    <row r="27" spans="2:15" x14ac:dyDescent="0.25">
      <c r="B27" s="33" t="s">
        <v>34</v>
      </c>
      <c r="C27" s="34">
        <f>C26*0.085</f>
        <v>185451.72500000001</v>
      </c>
      <c r="D27" s="35" t="s">
        <v>34</v>
      </c>
      <c r="E27" s="34">
        <f>E26*0.085</f>
        <v>211168.64500000002</v>
      </c>
      <c r="F27" s="35" t="s">
        <v>34</v>
      </c>
      <c r="G27" s="34">
        <f>G26*0.085</f>
        <v>85000</v>
      </c>
      <c r="H27" s="35" t="s">
        <v>34</v>
      </c>
      <c r="I27" s="34">
        <f>I26*0.085</f>
        <v>310488.08500000002</v>
      </c>
      <c r="J27" s="35" t="s">
        <v>34</v>
      </c>
      <c r="K27" s="34">
        <f>K26*0.085</f>
        <v>386705.375</v>
      </c>
      <c r="L27" s="35" t="s">
        <v>34</v>
      </c>
      <c r="M27" s="34">
        <f>M26*0.085</f>
        <v>310488.08500000002</v>
      </c>
      <c r="N27" s="35" t="s">
        <v>34</v>
      </c>
      <c r="O27" s="34">
        <f>O26*0.085</f>
        <v>130774.79500000001</v>
      </c>
    </row>
    <row r="28" spans="2:15" x14ac:dyDescent="0.25">
      <c r="B28" s="33" t="s">
        <v>35</v>
      </c>
      <c r="C28" s="34">
        <f>C26*0.12</f>
        <v>261814.19999999998</v>
      </c>
      <c r="D28" s="35" t="s">
        <v>35</v>
      </c>
      <c r="E28" s="34">
        <f>E26*0.12</f>
        <v>298120.44</v>
      </c>
      <c r="F28" s="35" t="s">
        <v>35</v>
      </c>
      <c r="G28" s="34">
        <f>G26*0.12</f>
        <v>120000</v>
      </c>
      <c r="H28" s="35" t="s">
        <v>35</v>
      </c>
      <c r="I28" s="34">
        <f>I26*0.12</f>
        <v>438336.12</v>
      </c>
      <c r="J28" s="35" t="s">
        <v>35</v>
      </c>
      <c r="K28" s="34">
        <f>K26*0.12</f>
        <v>545937</v>
      </c>
      <c r="L28" s="35" t="s">
        <v>35</v>
      </c>
      <c r="M28" s="34">
        <f>M26*0.12</f>
        <v>438336.12</v>
      </c>
      <c r="N28" s="35" t="s">
        <v>35</v>
      </c>
      <c r="O28" s="34">
        <f>O26*0.12</f>
        <v>184623.24</v>
      </c>
    </row>
    <row r="29" spans="2:15" x14ac:dyDescent="0.25">
      <c r="B29" s="33" t="s">
        <v>36</v>
      </c>
      <c r="C29" s="34">
        <f>C26*0.04</f>
        <v>87271.400000000009</v>
      </c>
      <c r="D29" s="35" t="s">
        <v>36</v>
      </c>
      <c r="E29" s="34">
        <f>E26*0.04</f>
        <v>99373.48</v>
      </c>
      <c r="F29" s="35" t="s">
        <v>36</v>
      </c>
      <c r="G29" s="34">
        <f>G26*0.04</f>
        <v>40000</v>
      </c>
      <c r="H29" s="35" t="s">
        <v>36</v>
      </c>
      <c r="I29" s="34">
        <f>I26*0.04</f>
        <v>146112.04</v>
      </c>
      <c r="J29" s="35" t="s">
        <v>36</v>
      </c>
      <c r="K29" s="34">
        <f>K26*0.04</f>
        <v>181979</v>
      </c>
      <c r="L29" s="35" t="s">
        <v>36</v>
      </c>
      <c r="M29" s="34">
        <f>M26*0.04</f>
        <v>146112.04</v>
      </c>
      <c r="N29" s="35" t="s">
        <v>36</v>
      </c>
      <c r="O29" s="34">
        <f>O26*0.04</f>
        <v>61541.08</v>
      </c>
    </row>
    <row r="30" spans="2:15" x14ac:dyDescent="0.25">
      <c r="B30" s="33" t="s">
        <v>37</v>
      </c>
      <c r="C30" s="34">
        <f>C26*0.00522</f>
        <v>11388.9177</v>
      </c>
      <c r="D30" s="35" t="s">
        <v>37</v>
      </c>
      <c r="E30" s="34">
        <f>E26*0.00522</f>
        <v>12968.23914</v>
      </c>
      <c r="F30" s="35" t="s">
        <v>37</v>
      </c>
      <c r="G30" s="34">
        <f>G26*0.00522</f>
        <v>5220</v>
      </c>
      <c r="H30" s="35" t="s">
        <v>37</v>
      </c>
      <c r="I30" s="34">
        <f>I26*0.00522</f>
        <v>19067.621220000001</v>
      </c>
      <c r="J30" s="35" t="s">
        <v>37</v>
      </c>
      <c r="K30" s="34">
        <f>K26*0.00522</f>
        <v>23748.2595</v>
      </c>
      <c r="L30" s="35" t="s">
        <v>37</v>
      </c>
      <c r="M30" s="34">
        <f>M26*0.00522</f>
        <v>19067.621220000001</v>
      </c>
      <c r="N30" s="35" t="s">
        <v>37</v>
      </c>
      <c r="O30" s="34">
        <f>O26*0.0435</f>
        <v>66925.924499999994</v>
      </c>
    </row>
    <row r="31" spans="2:15" x14ac:dyDescent="0.25">
      <c r="B31" s="33" t="s">
        <v>38</v>
      </c>
      <c r="C31" s="34">
        <v>0</v>
      </c>
      <c r="D31" s="35" t="s">
        <v>38</v>
      </c>
      <c r="E31" s="34">
        <v>0</v>
      </c>
      <c r="F31" s="35" t="s">
        <v>38</v>
      </c>
      <c r="G31" s="34">
        <v>117174</v>
      </c>
      <c r="H31" s="35" t="s">
        <v>38</v>
      </c>
      <c r="I31" s="34">
        <v>0</v>
      </c>
      <c r="J31" s="35" t="s">
        <v>38</v>
      </c>
      <c r="K31" s="34">
        <v>0</v>
      </c>
      <c r="L31" s="35" t="s">
        <v>38</v>
      </c>
      <c r="M31" s="34">
        <v>0</v>
      </c>
      <c r="N31" s="35" t="s">
        <v>38</v>
      </c>
      <c r="O31" s="34">
        <v>117174</v>
      </c>
    </row>
    <row r="32" spans="2:15" x14ac:dyDescent="0.25">
      <c r="B32" s="33" t="s">
        <v>39</v>
      </c>
      <c r="C32" s="38">
        <f>(C26/2)/12</f>
        <v>90907.708333333328</v>
      </c>
      <c r="D32" s="35" t="s">
        <v>39</v>
      </c>
      <c r="E32" s="38">
        <f>(E26/2)/12</f>
        <v>103514.04166666667</v>
      </c>
      <c r="F32" s="35" t="s">
        <v>39</v>
      </c>
      <c r="G32" s="38">
        <f>(G26/2)/12</f>
        <v>41666.666666666664</v>
      </c>
      <c r="H32" s="35" t="s">
        <v>39</v>
      </c>
      <c r="I32" s="34">
        <f>(I26/2)/12</f>
        <v>152200.04166666666</v>
      </c>
      <c r="J32" s="35" t="s">
        <v>39</v>
      </c>
      <c r="K32" s="34">
        <f>(K26/2)/12</f>
        <v>189561.45833333334</v>
      </c>
      <c r="L32" s="35" t="s">
        <v>39</v>
      </c>
      <c r="M32" s="34">
        <f>(M26/2)/12</f>
        <v>152200.04166666666</v>
      </c>
      <c r="N32" s="35" t="s">
        <v>39</v>
      </c>
      <c r="O32" s="34">
        <f>(O26/2)/12</f>
        <v>64105.291666666664</v>
      </c>
    </row>
    <row r="33" spans="2:15" x14ac:dyDescent="0.25">
      <c r="B33" s="33" t="s">
        <v>40</v>
      </c>
      <c r="C33" s="34">
        <f>(C26+C31)/12</f>
        <v>181815.41666666666</v>
      </c>
      <c r="D33" s="35" t="s">
        <v>40</v>
      </c>
      <c r="E33" s="34">
        <f>(E26+E31)/12</f>
        <v>207028.08333333334</v>
      </c>
      <c r="F33" s="35" t="s">
        <v>40</v>
      </c>
      <c r="G33" s="34">
        <f>(G26+G31)/12</f>
        <v>93097.833333333328</v>
      </c>
      <c r="H33" s="35" t="s">
        <v>40</v>
      </c>
      <c r="I33" s="34">
        <f>(I26+I31)/12</f>
        <v>304400.08333333331</v>
      </c>
      <c r="J33" s="35" t="s">
        <v>40</v>
      </c>
      <c r="K33" s="34">
        <f>(K26+K31)/12</f>
        <v>379122.91666666669</v>
      </c>
      <c r="L33" s="35" t="s">
        <v>40</v>
      </c>
      <c r="M33" s="34">
        <f>(M26+M31)/12</f>
        <v>304400.08333333331</v>
      </c>
      <c r="N33" s="35" t="s">
        <v>40</v>
      </c>
      <c r="O33" s="34">
        <f>(O26+O31)/12</f>
        <v>137975.08333333334</v>
      </c>
    </row>
    <row r="34" spans="2:15" x14ac:dyDescent="0.25">
      <c r="B34" s="33" t="s">
        <v>41</v>
      </c>
      <c r="C34" s="34">
        <f>C33</f>
        <v>181815.41666666666</v>
      </c>
      <c r="D34" s="35" t="s">
        <v>41</v>
      </c>
      <c r="E34" s="34">
        <f>E33</f>
        <v>207028.08333333334</v>
      </c>
      <c r="F34" s="35" t="s">
        <v>41</v>
      </c>
      <c r="G34" s="34">
        <f>G33</f>
        <v>93097.833333333328</v>
      </c>
      <c r="H34" s="35" t="s">
        <v>41</v>
      </c>
      <c r="I34" s="34">
        <f>I33</f>
        <v>304400.08333333331</v>
      </c>
      <c r="J34" s="35" t="s">
        <v>41</v>
      </c>
      <c r="K34" s="34">
        <f>K33</f>
        <v>379122.91666666669</v>
      </c>
      <c r="L34" s="35" t="s">
        <v>41</v>
      </c>
      <c r="M34" s="34">
        <f>M33</f>
        <v>304400.08333333331</v>
      </c>
      <c r="N34" s="35" t="s">
        <v>41</v>
      </c>
      <c r="O34" s="34">
        <f>O33</f>
        <v>137975.08333333334</v>
      </c>
    </row>
    <row r="35" spans="2:15" x14ac:dyDescent="0.25">
      <c r="B35" s="33" t="s">
        <v>42</v>
      </c>
      <c r="C35" s="34">
        <f>(C26+C31)*0.01</f>
        <v>21817.850000000002</v>
      </c>
      <c r="D35" s="35" t="s">
        <v>42</v>
      </c>
      <c r="E35" s="34">
        <f>(E26+E31)*0.01</f>
        <v>24843.37</v>
      </c>
      <c r="F35" s="35" t="s">
        <v>42</v>
      </c>
      <c r="G35" s="34">
        <f>(G26+G31)*0.01</f>
        <v>11171.74</v>
      </c>
      <c r="H35" s="35" t="s">
        <v>42</v>
      </c>
      <c r="I35" s="34">
        <f>(I26+I31)*0.01</f>
        <v>36528.01</v>
      </c>
      <c r="J35" s="35" t="s">
        <v>42</v>
      </c>
      <c r="K35" s="34">
        <f>(K26+K31)*0.01</f>
        <v>45494.75</v>
      </c>
      <c r="L35" s="35" t="s">
        <v>42</v>
      </c>
      <c r="M35" s="34">
        <f>(M26+M31)*0.01</f>
        <v>36528.01</v>
      </c>
      <c r="N35" s="35" t="s">
        <v>42</v>
      </c>
      <c r="O35" s="34">
        <f>(O26+O31)*0.01</f>
        <v>16557.010000000002</v>
      </c>
    </row>
    <row r="36" spans="2:15" ht="14.4" thickBot="1" x14ac:dyDescent="0.3">
      <c r="B36" s="39" t="s">
        <v>21</v>
      </c>
      <c r="C36" s="40">
        <f>SUM(C26:C35)</f>
        <v>3204067.6343666669</v>
      </c>
      <c r="D36" s="41" t="s">
        <v>21</v>
      </c>
      <c r="E36" s="40">
        <f>SUM(E26:E35)</f>
        <v>3648381.3824733337</v>
      </c>
      <c r="F36" s="41" t="s">
        <v>21</v>
      </c>
      <c r="G36" s="40">
        <f>SUM(G26:G35)</f>
        <v>1606428.0733333332</v>
      </c>
      <c r="H36" s="41" t="s">
        <v>21</v>
      </c>
      <c r="I36" s="40">
        <f>SUM(I26:I35)</f>
        <v>5364333.084553333</v>
      </c>
      <c r="J36" s="41" t="s">
        <v>21</v>
      </c>
      <c r="K36" s="40">
        <f>SUM(K26:K35)</f>
        <v>6681146.6761666667</v>
      </c>
      <c r="L36" s="41" t="s">
        <v>21</v>
      </c>
      <c r="M36" s="40">
        <f>SUM(M26:M35)</f>
        <v>5364333.084553333</v>
      </c>
      <c r="N36" s="41" t="s">
        <v>21</v>
      </c>
      <c r="O36" s="40">
        <f>SUM(O26:O35)</f>
        <v>2456178.5078333332</v>
      </c>
    </row>
  </sheetData>
  <mergeCells count="32">
    <mergeCell ref="I3:I4"/>
    <mergeCell ref="J3:J4"/>
    <mergeCell ref="K3:K4"/>
    <mergeCell ref="N25:O25"/>
    <mergeCell ref="G13:H13"/>
    <mergeCell ref="M3:M4"/>
    <mergeCell ref="N3:N4"/>
    <mergeCell ref="G11:H11"/>
    <mergeCell ref="G12:H12"/>
    <mergeCell ref="G14:H14"/>
    <mergeCell ref="G5:H5"/>
    <mergeCell ref="G6:H6"/>
    <mergeCell ref="G7:H7"/>
    <mergeCell ref="G8:H8"/>
    <mergeCell ref="G9:H9"/>
    <mergeCell ref="L3:L4"/>
    <mergeCell ref="B1:E1"/>
    <mergeCell ref="B25:C25"/>
    <mergeCell ref="H25:I25"/>
    <mergeCell ref="D25:E25"/>
    <mergeCell ref="L25:M25"/>
    <mergeCell ref="J25:K25"/>
    <mergeCell ref="F25:G25"/>
    <mergeCell ref="G2:O2"/>
    <mergeCell ref="O3:O4"/>
    <mergeCell ref="B9:B10"/>
    <mergeCell ref="C9:C10"/>
    <mergeCell ref="D9:D10"/>
    <mergeCell ref="E9:E10"/>
    <mergeCell ref="G10:H10"/>
    <mergeCell ref="B2:E2"/>
    <mergeCell ref="G3:H4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6DB3E-FFAC-4E7A-83F6-52210696B30C}">
  <dimension ref="B1:T99"/>
  <sheetViews>
    <sheetView zoomScale="80" zoomScaleNormal="80" workbookViewId="0">
      <selection activeCell="E15" sqref="E15"/>
    </sheetView>
  </sheetViews>
  <sheetFormatPr baseColWidth="10" defaultColWidth="11.5546875" defaultRowHeight="15" x14ac:dyDescent="0.25"/>
  <cols>
    <col min="1" max="1" width="11.5546875" style="78"/>
    <col min="2" max="2" width="23" style="78" bestFit="1" customWidth="1"/>
    <col min="3" max="3" width="29" style="78" customWidth="1"/>
    <col min="4" max="4" width="18.5546875" style="78" customWidth="1"/>
    <col min="5" max="5" width="24.44140625" style="78" customWidth="1"/>
    <col min="6" max="6" width="41.5546875" style="78" customWidth="1"/>
    <col min="7" max="7" width="12.44140625" style="78" customWidth="1"/>
    <col min="8" max="8" width="16.33203125" style="78" customWidth="1"/>
    <col min="9" max="9" width="16.109375" style="78" bestFit="1" customWidth="1"/>
    <col min="10" max="10" width="14.5546875" style="78" customWidth="1"/>
    <col min="11" max="11" width="17.88671875" style="78" customWidth="1"/>
    <col min="12" max="12" width="17.44140625" style="78" bestFit="1" customWidth="1"/>
    <col min="13" max="14" width="11.5546875" style="78"/>
    <col min="15" max="15" width="16" style="78" customWidth="1"/>
    <col min="16" max="16" width="15.88671875" style="78" bestFit="1" customWidth="1"/>
    <col min="17" max="17" width="12.88671875" style="78" bestFit="1" customWidth="1"/>
    <col min="18" max="16384" width="11.5546875" style="78"/>
  </cols>
  <sheetData>
    <row r="1" spans="2:19" ht="34.200000000000003" customHeight="1" thickBot="1" x14ac:dyDescent="0.3">
      <c r="H1" s="203" t="s">
        <v>117</v>
      </c>
      <c r="I1" s="204"/>
      <c r="J1" s="79"/>
      <c r="K1" s="201" t="s">
        <v>119</v>
      </c>
      <c r="L1" s="202"/>
      <c r="O1" s="205" t="s">
        <v>118</v>
      </c>
      <c r="P1" s="206"/>
      <c r="R1" s="80" t="s">
        <v>78</v>
      </c>
      <c r="S1" s="81">
        <f>'servicios industriales CUT'!K1</f>
        <v>3959.9888888888891</v>
      </c>
    </row>
    <row r="2" spans="2:19" x14ac:dyDescent="0.25">
      <c r="H2" s="79"/>
      <c r="I2" s="79"/>
      <c r="J2" s="79"/>
      <c r="K2" s="79"/>
      <c r="L2" s="79"/>
      <c r="O2" s="79"/>
      <c r="P2" s="79"/>
    </row>
    <row r="3" spans="2:19" x14ac:dyDescent="0.25">
      <c r="B3" s="207" t="s">
        <v>72</v>
      </c>
      <c r="C3" s="207"/>
      <c r="D3" s="207"/>
      <c r="E3" s="207"/>
      <c r="F3" s="207"/>
      <c r="H3" s="80" t="s">
        <v>63</v>
      </c>
      <c r="I3" s="54">
        <v>699.97</v>
      </c>
      <c r="J3" s="79"/>
      <c r="K3" s="80" t="s">
        <v>131</v>
      </c>
      <c r="L3" s="94">
        <v>2338.9699999999998</v>
      </c>
      <c r="O3" s="83" t="s">
        <v>110</v>
      </c>
      <c r="P3" s="81">
        <v>996.02</v>
      </c>
    </row>
    <row r="4" spans="2:19" x14ac:dyDescent="0.25">
      <c r="B4" s="82" t="s">
        <v>73</v>
      </c>
      <c r="C4" s="82" t="s">
        <v>74</v>
      </c>
      <c r="D4" s="82" t="s">
        <v>75</v>
      </c>
      <c r="E4" s="82" t="s">
        <v>76</v>
      </c>
      <c r="F4" s="82" t="s">
        <v>77</v>
      </c>
      <c r="H4" s="83" t="s">
        <v>124</v>
      </c>
      <c r="I4" s="81">
        <v>773</v>
      </c>
      <c r="J4" s="79"/>
      <c r="K4" s="83" t="s">
        <v>132</v>
      </c>
      <c r="L4" s="94">
        <f>L3/1000</f>
        <v>2.3389699999999998</v>
      </c>
      <c r="O4" s="80" t="s">
        <v>126</v>
      </c>
      <c r="P4" s="102">
        <f>P3/S$1</f>
        <v>0.2515209077466547</v>
      </c>
      <c r="Q4" s="103"/>
    </row>
    <row r="5" spans="2:19" ht="16.2" thickBot="1" x14ac:dyDescent="0.35">
      <c r="B5" s="91" t="s">
        <v>111</v>
      </c>
      <c r="C5" s="92">
        <f>I7</f>
        <v>883.46643427575464</v>
      </c>
      <c r="D5" s="93">
        <f>H14</f>
        <v>87600</v>
      </c>
      <c r="E5" s="92">
        <f>C5*D5</f>
        <v>77391659.642556101</v>
      </c>
      <c r="F5" s="94">
        <f>E5/S$1</f>
        <v>19543.403230171938</v>
      </c>
      <c r="H5" s="79"/>
      <c r="I5" s="79"/>
      <c r="J5"/>
      <c r="K5" s="83" t="s">
        <v>133</v>
      </c>
      <c r="L5" s="55">
        <f>L4*S$1</f>
        <v>9262.2952114444433</v>
      </c>
      <c r="M5"/>
      <c r="O5" s="79"/>
      <c r="P5" s="79"/>
    </row>
    <row r="6" spans="2:19" ht="16.2" thickBot="1" x14ac:dyDescent="0.35">
      <c r="B6" s="91" t="s">
        <v>122</v>
      </c>
      <c r="C6" s="92">
        <v>0</v>
      </c>
      <c r="D6" s="93">
        <f>C6*(24)*(365)</f>
        <v>0</v>
      </c>
      <c r="E6" s="92">
        <f>C6*D6</f>
        <v>0</v>
      </c>
      <c r="F6" s="94">
        <f>E6/S1</f>
        <v>0</v>
      </c>
      <c r="H6" s="80" t="s">
        <v>109</v>
      </c>
      <c r="I6" s="81">
        <v>800</v>
      </c>
      <c r="J6"/>
      <c r="K6"/>
      <c r="L6"/>
      <c r="M6"/>
      <c r="O6" s="192" t="s">
        <v>127</v>
      </c>
      <c r="P6" s="193"/>
    </row>
    <row r="7" spans="2:19" ht="16.2" thickBot="1" x14ac:dyDescent="0.35">
      <c r="B7" s="91" t="s">
        <v>123</v>
      </c>
      <c r="C7" s="104">
        <f>L5</f>
        <v>9262.2952114444433</v>
      </c>
      <c r="D7" s="93">
        <f>K9</f>
        <v>131400</v>
      </c>
      <c r="E7" s="92">
        <f>D7*C7</f>
        <v>1217065590.7837999</v>
      </c>
      <c r="F7" s="94">
        <f>E7/S$1</f>
        <v>307340.65799999994</v>
      </c>
      <c r="H7" s="83" t="s">
        <v>110</v>
      </c>
      <c r="I7" s="81">
        <f>(I4)*(I6/I3)</f>
        <v>883.46643427575464</v>
      </c>
      <c r="J7"/>
      <c r="K7" s="192" t="s">
        <v>134</v>
      </c>
      <c r="L7" s="193"/>
      <c r="M7"/>
      <c r="O7" s="194"/>
      <c r="P7" s="195"/>
    </row>
    <row r="8" spans="2:19" ht="16.2" thickBot="1" x14ac:dyDescent="0.35">
      <c r="B8" s="208" t="s">
        <v>120</v>
      </c>
      <c r="C8" s="209"/>
      <c r="D8" s="210"/>
      <c r="E8" s="105">
        <f ca="1">SUM(E5:E8)</f>
        <v>0</v>
      </c>
      <c r="F8" s="106">
        <f>F5+F6</f>
        <v>19543.403230171938</v>
      </c>
      <c r="H8" s="79"/>
      <c r="I8" s="79"/>
      <c r="J8"/>
      <c r="K8" s="194"/>
      <c r="L8" s="195"/>
      <c r="M8"/>
      <c r="O8" s="196">
        <v>640000</v>
      </c>
      <c r="P8" s="196"/>
    </row>
    <row r="9" spans="2:19" ht="15.6" x14ac:dyDescent="0.3">
      <c r="B9" s="197" t="s">
        <v>121</v>
      </c>
      <c r="C9" s="198"/>
      <c r="D9" s="199"/>
      <c r="E9" s="107">
        <f>E5+E7</f>
        <v>1294457250.4263561</v>
      </c>
      <c r="F9" s="108">
        <f>F5+F7</f>
        <v>326884.06123017188</v>
      </c>
      <c r="I9"/>
      <c r="J9"/>
      <c r="K9" s="196">
        <f>H14*1.5</f>
        <v>131400</v>
      </c>
      <c r="L9" s="196"/>
      <c r="M9"/>
      <c r="N9"/>
      <c r="O9"/>
      <c r="P9"/>
    </row>
    <row r="10" spans="2:19" ht="15.6" x14ac:dyDescent="0.3">
      <c r="H10" s="80" t="s">
        <v>126</v>
      </c>
      <c r="I10" s="102">
        <f>I7/S1</f>
        <v>0.22309821039009065</v>
      </c>
      <c r="J10"/>
      <c r="K10"/>
      <c r="L10"/>
      <c r="M10"/>
      <c r="O10"/>
      <c r="P10"/>
    </row>
    <row r="11" spans="2:19" ht="16.2" thickBot="1" x14ac:dyDescent="0.35"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2:19" ht="16.2" customHeight="1" x14ac:dyDescent="0.3">
      <c r="G12"/>
      <c r="H12" s="192" t="s">
        <v>125</v>
      </c>
      <c r="I12" s="193"/>
      <c r="J12"/>
      <c r="K12"/>
      <c r="L12"/>
      <c r="M12"/>
      <c r="N12"/>
      <c r="Q12"/>
      <c r="R12"/>
      <c r="S12"/>
    </row>
    <row r="13" spans="2:19" ht="16.2" customHeight="1" thickBot="1" x14ac:dyDescent="0.35">
      <c r="B13" s="200" t="s">
        <v>79</v>
      </c>
      <c r="C13" s="200"/>
      <c r="D13" s="200"/>
      <c r="E13" s="200"/>
      <c r="F13" s="200"/>
      <c r="G13"/>
      <c r="H13" s="194"/>
      <c r="I13" s="195"/>
      <c r="J13"/>
      <c r="K13"/>
      <c r="L13"/>
      <c r="M13"/>
      <c r="N13"/>
      <c r="Q13"/>
      <c r="R13"/>
      <c r="S13"/>
    </row>
    <row r="14" spans="2:19" ht="15.6" x14ac:dyDescent="0.3">
      <c r="B14" s="85" t="s">
        <v>73</v>
      </c>
      <c r="C14" s="85" t="s">
        <v>113</v>
      </c>
      <c r="D14" s="85" t="s">
        <v>114</v>
      </c>
      <c r="E14" s="85" t="s">
        <v>76</v>
      </c>
      <c r="F14" s="82" t="s">
        <v>77</v>
      </c>
      <c r="G14"/>
      <c r="H14" s="196">
        <v>87600</v>
      </c>
      <c r="I14" s="196"/>
      <c r="J14"/>
      <c r="K14"/>
      <c r="L14"/>
      <c r="M14"/>
      <c r="N14"/>
      <c r="Q14"/>
      <c r="R14"/>
      <c r="S14"/>
    </row>
    <row r="15" spans="2:19" ht="30" x14ac:dyDescent="0.3">
      <c r="B15" s="22" t="s">
        <v>112</v>
      </c>
      <c r="C15" s="95">
        <f>P3</f>
        <v>996.02</v>
      </c>
      <c r="D15" s="96">
        <f>O8</f>
        <v>640000</v>
      </c>
      <c r="E15" s="95">
        <f>C15*D15</f>
        <v>637452800</v>
      </c>
      <c r="F15" s="97">
        <f>E15/S1</f>
        <v>160973.38095785902</v>
      </c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2:19" x14ac:dyDescent="0.25">
      <c r="B16" s="98" t="s">
        <v>29</v>
      </c>
      <c r="C16" s="99"/>
      <c r="D16" s="100"/>
      <c r="E16" s="86">
        <f>E15</f>
        <v>637452800</v>
      </c>
      <c r="F16" s="87">
        <f>F15</f>
        <v>160973.38095785902</v>
      </c>
    </row>
    <row r="17" spans="2:20" ht="15.6" x14ac:dyDescent="0.3">
      <c r="B17"/>
      <c r="C17"/>
      <c r="D17"/>
      <c r="E17"/>
      <c r="F17"/>
    </row>
    <row r="18" spans="2:20" x14ac:dyDescent="0.25">
      <c r="E18" s="88" t="s">
        <v>128</v>
      </c>
      <c r="F18" s="89">
        <f>F16</f>
        <v>160973.38095785902</v>
      </c>
    </row>
    <row r="19" spans="2:20" ht="15.6" x14ac:dyDescent="0.3">
      <c r="B19"/>
      <c r="C19"/>
      <c r="D19"/>
      <c r="E19"/>
      <c r="F19"/>
    </row>
    <row r="21" spans="2:20" x14ac:dyDescent="0.25">
      <c r="E21" s="88" t="s">
        <v>129</v>
      </c>
      <c r="F21" s="90">
        <f>F18-F8</f>
        <v>141429.97772768707</v>
      </c>
    </row>
    <row r="22" spans="2:20" x14ac:dyDescent="0.25">
      <c r="E22" s="88" t="s">
        <v>130</v>
      </c>
      <c r="F22" s="90">
        <f>F18-F9</f>
        <v>-165910.68027231286</v>
      </c>
    </row>
    <row r="25" spans="2:20" ht="15.6" x14ac:dyDescent="0.3">
      <c r="B25"/>
      <c r="C25"/>
      <c r="D25"/>
    </row>
    <row r="26" spans="2:20" ht="15.6" x14ac:dyDescent="0.3">
      <c r="B26" s="101"/>
      <c r="C26" s="101"/>
      <c r="D26" s="101"/>
    </row>
    <row r="27" spans="2:20" ht="15.6" x14ac:dyDescent="0.3">
      <c r="B27"/>
      <c r="C27"/>
      <c r="D27"/>
      <c r="F27" s="84"/>
      <c r="G27" s="211" t="s">
        <v>115</v>
      </c>
      <c r="H27" s="211"/>
      <c r="I27" s="211"/>
      <c r="J27" s="211"/>
      <c r="L27" s="211" t="s">
        <v>116</v>
      </c>
      <c r="M27" s="211"/>
      <c r="N27" s="211"/>
      <c r="O27" s="211"/>
      <c r="Q27" s="212"/>
      <c r="R27" s="212"/>
      <c r="S27" s="212"/>
      <c r="T27" s="212"/>
    </row>
    <row r="28" spans="2:20" ht="15.6" x14ac:dyDescent="0.3">
      <c r="B28"/>
      <c r="C28"/>
      <c r="D28"/>
    </row>
    <row r="29" spans="2:20" ht="15.6" x14ac:dyDescent="0.3">
      <c r="B29"/>
      <c r="C29"/>
      <c r="D29"/>
    </row>
    <row r="30" spans="2:20" ht="15.6" x14ac:dyDescent="0.3">
      <c r="B30"/>
      <c r="C30"/>
      <c r="D30"/>
    </row>
    <row r="31" spans="2:20" ht="15.6" x14ac:dyDescent="0.3">
      <c r="B31"/>
      <c r="C31"/>
      <c r="D31"/>
    </row>
    <row r="32" spans="2:20" ht="15.6" x14ac:dyDescent="0.3">
      <c r="B32"/>
      <c r="C32"/>
      <c r="D32"/>
    </row>
    <row r="33" spans="2:10" ht="15.6" x14ac:dyDescent="0.3">
      <c r="B33"/>
      <c r="C33"/>
      <c r="D33"/>
    </row>
    <row r="34" spans="2:10" ht="15.6" x14ac:dyDescent="0.3">
      <c r="B34"/>
      <c r="C34"/>
      <c r="D34"/>
    </row>
    <row r="35" spans="2:10" ht="15.6" x14ac:dyDescent="0.3">
      <c r="B35"/>
      <c r="C35"/>
      <c r="D35"/>
    </row>
    <row r="36" spans="2:10" ht="15.6" x14ac:dyDescent="0.3">
      <c r="B36"/>
      <c r="C36"/>
      <c r="D36"/>
    </row>
    <row r="37" spans="2:10" ht="15.6" x14ac:dyDescent="0.3">
      <c r="B37"/>
      <c r="C37"/>
      <c r="D37"/>
    </row>
    <row r="38" spans="2:10" ht="15.6" x14ac:dyDescent="0.3">
      <c r="B38"/>
      <c r="C38"/>
      <c r="D38"/>
    </row>
    <row r="39" spans="2:10" ht="15.6" x14ac:dyDescent="0.3">
      <c r="B39"/>
      <c r="C39"/>
      <c r="D39"/>
    </row>
    <row r="40" spans="2:10" ht="15.6" x14ac:dyDescent="0.3">
      <c r="B40"/>
      <c r="C40"/>
      <c r="D40"/>
    </row>
    <row r="41" spans="2:10" ht="15.6" x14ac:dyDescent="0.3">
      <c r="B41"/>
      <c r="C41"/>
      <c r="D41"/>
    </row>
    <row r="42" spans="2:10" ht="15.6" x14ac:dyDescent="0.3">
      <c r="B42"/>
      <c r="C42"/>
      <c r="D42"/>
      <c r="E42"/>
      <c r="F42"/>
      <c r="G42"/>
      <c r="H42"/>
      <c r="I42"/>
      <c r="J42"/>
    </row>
    <row r="43" spans="2:10" ht="15.6" x14ac:dyDescent="0.3">
      <c r="B43"/>
      <c r="C43"/>
      <c r="D43"/>
      <c r="E43"/>
      <c r="F43"/>
      <c r="G43"/>
      <c r="H43"/>
      <c r="I43"/>
      <c r="J43"/>
    </row>
    <row r="44" spans="2:10" ht="15.6" x14ac:dyDescent="0.3">
      <c r="B44"/>
      <c r="C44"/>
      <c r="D44"/>
      <c r="E44"/>
      <c r="F44"/>
      <c r="G44"/>
      <c r="H44"/>
      <c r="I44"/>
      <c r="J44"/>
    </row>
    <row r="45" spans="2:10" ht="15.6" x14ac:dyDescent="0.3">
      <c r="B45"/>
      <c r="C45"/>
      <c r="D45"/>
      <c r="E45"/>
      <c r="F45"/>
      <c r="G45"/>
      <c r="H45"/>
      <c r="I45"/>
      <c r="J45"/>
    </row>
    <row r="46" spans="2:10" ht="15.6" x14ac:dyDescent="0.3">
      <c r="B46"/>
      <c r="C46"/>
      <c r="D46"/>
      <c r="E46"/>
      <c r="F46"/>
      <c r="G46"/>
      <c r="H46"/>
      <c r="I46"/>
      <c r="J46"/>
    </row>
    <row r="47" spans="2:10" ht="15.6" x14ac:dyDescent="0.3">
      <c r="B47"/>
      <c r="C47"/>
      <c r="D47"/>
      <c r="E47"/>
      <c r="F47"/>
      <c r="G47"/>
      <c r="H47"/>
      <c r="I47"/>
      <c r="J47"/>
    </row>
    <row r="48" spans="2:10" ht="15.6" x14ac:dyDescent="0.3">
      <c r="B48" s="101"/>
      <c r="C48" s="101"/>
      <c r="D48"/>
      <c r="E48"/>
      <c r="F48"/>
      <c r="G48"/>
      <c r="H48"/>
      <c r="I48"/>
      <c r="J48"/>
    </row>
    <row r="49" spans="2:16" ht="15.6" x14ac:dyDescent="0.3">
      <c r="B49"/>
      <c r="C49"/>
      <c r="D49"/>
      <c r="E49"/>
      <c r="F49"/>
      <c r="G49"/>
      <c r="H49"/>
      <c r="I49"/>
      <c r="J49"/>
    </row>
    <row r="50" spans="2:16" ht="15.6" x14ac:dyDescent="0.3">
      <c r="B50"/>
      <c r="C50"/>
      <c r="D50"/>
      <c r="E50"/>
      <c r="F50"/>
      <c r="G50"/>
      <c r="H50"/>
      <c r="I50"/>
      <c r="J50"/>
    </row>
    <row r="51" spans="2:16" ht="15.6" x14ac:dyDescent="0.3">
      <c r="B51"/>
      <c r="C51"/>
      <c r="D51"/>
      <c r="E51"/>
      <c r="F51"/>
      <c r="G51"/>
      <c r="H51"/>
      <c r="I51"/>
      <c r="J51"/>
    </row>
    <row r="52" spans="2:16" ht="15.6" x14ac:dyDescent="0.3">
      <c r="B52"/>
      <c r="C52"/>
      <c r="D52"/>
      <c r="E52"/>
      <c r="F52"/>
      <c r="G52"/>
      <c r="H52"/>
      <c r="I52"/>
      <c r="J52"/>
    </row>
    <row r="53" spans="2:16" ht="15.6" x14ac:dyDescent="0.3">
      <c r="B53"/>
      <c r="C53"/>
      <c r="D53"/>
      <c r="E53"/>
      <c r="F53"/>
      <c r="G53"/>
      <c r="H53" s="101"/>
      <c r="I53" s="101"/>
      <c r="J53" s="101"/>
      <c r="N53" s="101"/>
      <c r="O53" s="101"/>
      <c r="P53" s="101"/>
    </row>
    <row r="54" spans="2:16" ht="15.6" x14ac:dyDescent="0.3">
      <c r="B54"/>
      <c r="C54"/>
      <c r="D54"/>
      <c r="E54"/>
      <c r="F54"/>
      <c r="G54"/>
      <c r="H54"/>
      <c r="I54"/>
      <c r="J54"/>
    </row>
    <row r="55" spans="2:16" ht="15.6" x14ac:dyDescent="0.3">
      <c r="B55"/>
      <c r="C55"/>
      <c r="D55" s="101"/>
      <c r="E55" s="101"/>
      <c r="F55"/>
      <c r="G55"/>
      <c r="H55"/>
      <c r="I55"/>
      <c r="J55"/>
    </row>
    <row r="56" spans="2:16" ht="15.6" x14ac:dyDescent="0.3">
      <c r="B56"/>
      <c r="C56"/>
      <c r="D56"/>
      <c r="E56"/>
      <c r="F56"/>
      <c r="G56"/>
      <c r="H56"/>
      <c r="I56"/>
      <c r="J56"/>
    </row>
    <row r="57" spans="2:16" ht="15.6" x14ac:dyDescent="0.3">
      <c r="B57"/>
      <c r="C57"/>
      <c r="D57"/>
      <c r="E57"/>
      <c r="F57"/>
      <c r="G57"/>
      <c r="H57"/>
      <c r="I57"/>
      <c r="J57"/>
    </row>
    <row r="58" spans="2:16" ht="15.6" x14ac:dyDescent="0.3">
      <c r="B58"/>
      <c r="C58"/>
      <c r="D58"/>
      <c r="E58"/>
      <c r="F58"/>
      <c r="G58"/>
      <c r="H58"/>
      <c r="I58"/>
      <c r="J58"/>
    </row>
    <row r="69" spans="2:6" ht="15.6" x14ac:dyDescent="0.3">
      <c r="B69"/>
      <c r="C69"/>
      <c r="D69"/>
      <c r="E69"/>
      <c r="F69"/>
    </row>
    <row r="70" spans="2:6" ht="15.6" x14ac:dyDescent="0.3">
      <c r="B70"/>
      <c r="C70"/>
      <c r="D70"/>
      <c r="E70"/>
      <c r="F70"/>
    </row>
    <row r="71" spans="2:6" ht="15.6" x14ac:dyDescent="0.3">
      <c r="B71"/>
      <c r="C71"/>
      <c r="D71"/>
      <c r="E71"/>
      <c r="F71"/>
    </row>
    <row r="72" spans="2:6" ht="15.6" x14ac:dyDescent="0.3">
      <c r="B72"/>
      <c r="C72"/>
      <c r="D72"/>
      <c r="E72"/>
      <c r="F72"/>
    </row>
    <row r="73" spans="2:6" ht="15.6" x14ac:dyDescent="0.3">
      <c r="B73"/>
      <c r="C73"/>
      <c r="D73"/>
      <c r="E73"/>
      <c r="F73"/>
    </row>
    <row r="74" spans="2:6" ht="15.6" x14ac:dyDescent="0.3">
      <c r="B74"/>
      <c r="C74"/>
      <c r="D74"/>
      <c r="E74"/>
      <c r="F74"/>
    </row>
    <row r="75" spans="2:6" ht="15.6" x14ac:dyDescent="0.3">
      <c r="B75"/>
      <c r="C75"/>
      <c r="D75"/>
      <c r="E75"/>
      <c r="F75"/>
    </row>
    <row r="76" spans="2:6" ht="15.6" x14ac:dyDescent="0.3">
      <c r="B76"/>
      <c r="C76"/>
      <c r="D76"/>
      <c r="E76"/>
      <c r="F76"/>
    </row>
    <row r="77" spans="2:6" ht="15.6" x14ac:dyDescent="0.3">
      <c r="B77"/>
      <c r="C77"/>
      <c r="D77"/>
      <c r="E77"/>
      <c r="F77"/>
    </row>
    <row r="78" spans="2:6" ht="15.6" x14ac:dyDescent="0.3">
      <c r="B78"/>
      <c r="C78"/>
      <c r="D78"/>
      <c r="E78"/>
      <c r="F78"/>
    </row>
    <row r="79" spans="2:6" ht="15.6" x14ac:dyDescent="0.3">
      <c r="B79"/>
      <c r="C79"/>
      <c r="D79"/>
      <c r="E79"/>
      <c r="F79"/>
    </row>
    <row r="80" spans="2:6" ht="15.6" x14ac:dyDescent="0.3">
      <c r="B80"/>
      <c r="C80"/>
      <c r="D80"/>
      <c r="E80"/>
      <c r="F80"/>
    </row>
    <row r="81" spans="2:6" ht="15.6" x14ac:dyDescent="0.3">
      <c r="B81"/>
      <c r="C81"/>
      <c r="D81"/>
      <c r="E81"/>
      <c r="F81"/>
    </row>
    <row r="82" spans="2:6" ht="15.6" x14ac:dyDescent="0.3">
      <c r="B82"/>
      <c r="C82"/>
      <c r="D82"/>
      <c r="E82"/>
      <c r="F82"/>
    </row>
    <row r="83" spans="2:6" ht="15.6" x14ac:dyDescent="0.3">
      <c r="B83"/>
      <c r="C83"/>
      <c r="D83"/>
      <c r="E83"/>
      <c r="F83"/>
    </row>
    <row r="84" spans="2:6" ht="15.6" x14ac:dyDescent="0.3">
      <c r="B84"/>
      <c r="C84"/>
      <c r="D84"/>
      <c r="E84"/>
      <c r="F84"/>
    </row>
    <row r="85" spans="2:6" ht="15.6" x14ac:dyDescent="0.3">
      <c r="B85"/>
      <c r="C85"/>
      <c r="D85"/>
      <c r="E85"/>
      <c r="F85"/>
    </row>
    <row r="86" spans="2:6" ht="15.6" x14ac:dyDescent="0.3">
      <c r="B86"/>
      <c r="C86"/>
      <c r="D86"/>
      <c r="E86"/>
      <c r="F86"/>
    </row>
    <row r="87" spans="2:6" ht="15.6" x14ac:dyDescent="0.3">
      <c r="B87"/>
      <c r="C87"/>
      <c r="D87"/>
      <c r="E87"/>
      <c r="F87"/>
    </row>
    <row r="88" spans="2:6" ht="15.6" x14ac:dyDescent="0.3">
      <c r="B88"/>
      <c r="C88"/>
      <c r="D88"/>
      <c r="E88"/>
      <c r="F88"/>
    </row>
    <row r="89" spans="2:6" ht="15.6" x14ac:dyDescent="0.3">
      <c r="B89"/>
      <c r="C89"/>
      <c r="D89"/>
      <c r="E89"/>
      <c r="F89"/>
    </row>
    <row r="90" spans="2:6" ht="15.6" x14ac:dyDescent="0.3">
      <c r="B90"/>
      <c r="C90"/>
      <c r="D90"/>
      <c r="E90"/>
      <c r="F90"/>
    </row>
    <row r="91" spans="2:6" ht="15.6" x14ac:dyDescent="0.3">
      <c r="B91"/>
      <c r="C91"/>
      <c r="D91"/>
      <c r="E91"/>
      <c r="F91"/>
    </row>
    <row r="92" spans="2:6" ht="15.6" x14ac:dyDescent="0.3">
      <c r="B92"/>
      <c r="C92"/>
      <c r="D92"/>
      <c r="E92"/>
      <c r="F92"/>
    </row>
    <row r="93" spans="2:6" ht="15.6" x14ac:dyDescent="0.3">
      <c r="B93"/>
      <c r="C93"/>
      <c r="D93"/>
      <c r="E93"/>
      <c r="F93"/>
    </row>
    <row r="94" spans="2:6" ht="15.6" x14ac:dyDescent="0.3">
      <c r="B94"/>
      <c r="C94"/>
      <c r="D94"/>
      <c r="E94"/>
      <c r="F94"/>
    </row>
    <row r="95" spans="2:6" ht="15.6" x14ac:dyDescent="0.3">
      <c r="B95"/>
      <c r="C95"/>
      <c r="D95"/>
      <c r="E95"/>
      <c r="F95"/>
    </row>
    <row r="96" spans="2:6" ht="15.6" x14ac:dyDescent="0.3">
      <c r="B96"/>
      <c r="C96"/>
      <c r="D96"/>
      <c r="E96"/>
      <c r="F96"/>
    </row>
    <row r="97" spans="2:6" ht="15.6" x14ac:dyDescent="0.3">
      <c r="B97"/>
      <c r="C97"/>
      <c r="D97"/>
      <c r="E97"/>
      <c r="F97"/>
    </row>
    <row r="98" spans="2:6" ht="15.6" x14ac:dyDescent="0.3">
      <c r="B98"/>
      <c r="C98"/>
      <c r="D98"/>
      <c r="E98"/>
      <c r="F98"/>
    </row>
    <row r="99" spans="2:6" ht="15.6" x14ac:dyDescent="0.3">
      <c r="B99"/>
      <c r="C99"/>
      <c r="D99"/>
      <c r="E99"/>
      <c r="F99"/>
    </row>
  </sheetData>
  <mergeCells count="16">
    <mergeCell ref="Q27:T27"/>
    <mergeCell ref="O1:P1"/>
    <mergeCell ref="B3:F3"/>
    <mergeCell ref="B8:D8"/>
    <mergeCell ref="G27:J27"/>
    <mergeCell ref="L27:O27"/>
    <mergeCell ref="H12:I13"/>
    <mergeCell ref="H14:I14"/>
    <mergeCell ref="B13:F13"/>
    <mergeCell ref="K1:L1"/>
    <mergeCell ref="H1:I1"/>
    <mergeCell ref="O6:P7"/>
    <mergeCell ref="O8:P8"/>
    <mergeCell ref="K7:L8"/>
    <mergeCell ref="K9:L9"/>
    <mergeCell ref="B9:D9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62CEF-0AE8-44B3-9AC5-F8330BC2DF76}">
  <dimension ref="A1:Q36"/>
  <sheetViews>
    <sheetView workbookViewId="0">
      <selection activeCell="K16" sqref="K16"/>
    </sheetView>
  </sheetViews>
  <sheetFormatPr baseColWidth="10" defaultColWidth="11.44140625" defaultRowHeight="13.8" x14ac:dyDescent="0.25"/>
  <cols>
    <col min="1" max="1" width="11.44140625" style="19"/>
    <col min="2" max="2" width="12.5546875" style="19" bestFit="1" customWidth="1"/>
    <col min="3" max="3" width="31.5546875" style="19" bestFit="1" customWidth="1"/>
    <col min="4" max="4" width="22.109375" style="19" customWidth="1"/>
    <col min="5" max="5" width="25" style="19" bestFit="1" customWidth="1"/>
    <col min="6" max="6" width="11.44140625" style="19"/>
    <col min="7" max="7" width="29.33203125" style="19" bestFit="1" customWidth="1"/>
    <col min="8" max="8" width="17.109375" style="19" bestFit="1" customWidth="1"/>
    <col min="9" max="9" width="22" style="19" bestFit="1" customWidth="1"/>
    <col min="10" max="11" width="11.44140625" style="19"/>
    <col min="12" max="12" width="30.21875" style="19" customWidth="1"/>
    <col min="13" max="13" width="21.88671875" style="19" customWidth="1"/>
    <col min="14" max="14" width="16.88671875" style="19" customWidth="1"/>
    <col min="15" max="15" width="29.6640625" style="19" bestFit="1" customWidth="1"/>
    <col min="16" max="16" width="22.6640625" style="19" customWidth="1"/>
    <col min="17" max="16384" width="11.44140625" style="19"/>
  </cols>
  <sheetData>
    <row r="1" spans="1:17" ht="14.4" x14ac:dyDescent="0.3">
      <c r="A1" s="57" t="s">
        <v>3</v>
      </c>
      <c r="B1" s="117">
        <f>'servicios industriales CUT'!K1</f>
        <v>3959.9888888888891</v>
      </c>
      <c r="O1"/>
      <c r="P1"/>
      <c r="Q1"/>
    </row>
    <row r="2" spans="1:17" ht="15" thickBot="1" x14ac:dyDescent="0.35">
      <c r="O2"/>
      <c r="P2"/>
      <c r="Q2"/>
    </row>
    <row r="3" spans="1:17" ht="15" thickBot="1" x14ac:dyDescent="0.35">
      <c r="C3" s="216" t="s">
        <v>136</v>
      </c>
      <c r="D3" s="217"/>
      <c r="E3" s="217"/>
      <c r="F3" s="134"/>
      <c r="G3" s="217" t="s">
        <v>137</v>
      </c>
      <c r="H3" s="217"/>
      <c r="I3" s="218"/>
      <c r="O3"/>
      <c r="P3"/>
      <c r="Q3"/>
    </row>
    <row r="4" spans="1:17" ht="14.4" x14ac:dyDescent="0.3">
      <c r="C4" s="226" t="s">
        <v>80</v>
      </c>
      <c r="D4" s="214"/>
      <c r="E4" s="227"/>
      <c r="F4" s="135"/>
      <c r="G4" s="213" t="s">
        <v>80</v>
      </c>
      <c r="H4" s="214"/>
      <c r="I4" s="215"/>
      <c r="L4" s="222" t="s">
        <v>81</v>
      </c>
      <c r="M4" s="223"/>
      <c r="O4" s="101"/>
      <c r="P4" s="101"/>
      <c r="Q4" s="101"/>
    </row>
    <row r="5" spans="1:17" ht="14.4" x14ac:dyDescent="0.3">
      <c r="C5" s="120" t="s">
        <v>82</v>
      </c>
      <c r="D5" s="109" t="s">
        <v>83</v>
      </c>
      <c r="E5" s="129" t="s">
        <v>84</v>
      </c>
      <c r="F5" s="135"/>
      <c r="G5" s="131" t="s">
        <v>82</v>
      </c>
      <c r="H5" s="109" t="s">
        <v>83</v>
      </c>
      <c r="I5" s="121" t="s">
        <v>84</v>
      </c>
      <c r="L5" s="140" t="s">
        <v>85</v>
      </c>
      <c r="M5" s="138" t="s">
        <v>83</v>
      </c>
      <c r="O5"/>
      <c r="P5"/>
      <c r="Q5"/>
    </row>
    <row r="6" spans="1:17" ht="15" x14ac:dyDescent="0.3">
      <c r="C6" s="122" t="s">
        <v>86</v>
      </c>
      <c r="D6" s="110">
        <f>'Mano de Obra'!O14</f>
        <v>206887.00469693347</v>
      </c>
      <c r="E6" s="130">
        <f>'Mano de Obra'!N14</f>
        <v>819270239.85535991</v>
      </c>
      <c r="F6" s="135"/>
      <c r="G6" s="132" t="s">
        <v>86</v>
      </c>
      <c r="H6" s="110">
        <f>D6</f>
        <v>206887.00469693347</v>
      </c>
      <c r="I6" s="123">
        <f>E6</f>
        <v>819270239.85535991</v>
      </c>
      <c r="L6" s="137" t="s">
        <v>102</v>
      </c>
      <c r="M6" s="142">
        <v>1660000</v>
      </c>
      <c r="O6"/>
      <c r="P6"/>
      <c r="Q6"/>
    </row>
    <row r="7" spans="1:17" ht="15" x14ac:dyDescent="0.3">
      <c r="C7" s="122" t="s">
        <v>87</v>
      </c>
      <c r="D7" s="110">
        <f>'servicios industriales CUT'!G35</f>
        <v>516043.35718605993</v>
      </c>
      <c r="E7" s="130">
        <f>'servicios industriales CUT'!G33</f>
        <v>2043525960.6417177</v>
      </c>
      <c r="F7" s="135"/>
      <c r="G7" s="132" t="s">
        <v>87</v>
      </c>
      <c r="H7" s="110">
        <f>D7</f>
        <v>516043.35718605993</v>
      </c>
      <c r="I7" s="123">
        <f>E7</f>
        <v>2043525960.6417177</v>
      </c>
      <c r="L7" s="137" t="s">
        <v>103</v>
      </c>
      <c r="M7" s="142">
        <v>57000</v>
      </c>
      <c r="O7"/>
      <c r="P7"/>
      <c r="Q7"/>
    </row>
    <row r="8" spans="1:17" ht="15" x14ac:dyDescent="0.3">
      <c r="C8" s="122" t="s">
        <v>88</v>
      </c>
      <c r="D8" s="110">
        <f>'Materia Prima CMR'!F8</f>
        <v>19543.403230171938</v>
      </c>
      <c r="E8" s="130">
        <f>D8*'Mano de Obra'!R2</f>
        <v>77391659.642556101</v>
      </c>
      <c r="F8" s="135"/>
      <c r="G8" s="132" t="s">
        <v>88</v>
      </c>
      <c r="H8" s="110">
        <f>'Materia Prima CMR'!F9</f>
        <v>326884.06123017188</v>
      </c>
      <c r="I8" s="123">
        <f>H8*'Mano de Obra'!R2</f>
        <v>1294457250.4263558</v>
      </c>
      <c r="L8" s="137" t="s">
        <v>104</v>
      </c>
      <c r="M8" s="142">
        <v>1060000</v>
      </c>
      <c r="O8"/>
      <c r="P8"/>
      <c r="Q8"/>
    </row>
    <row r="9" spans="1:17" ht="15" x14ac:dyDescent="0.3">
      <c r="C9" s="124" t="s">
        <v>21</v>
      </c>
      <c r="D9" s="111">
        <f>SUM(D6:D8)</f>
        <v>742473.76511316525</v>
      </c>
      <c r="E9" s="147">
        <f>SUM(E6:E8)</f>
        <v>2940187860.1396337</v>
      </c>
      <c r="F9" s="135"/>
      <c r="G9" s="133" t="s">
        <v>21</v>
      </c>
      <c r="H9" s="111">
        <f>SUM(H6:H8)</f>
        <v>1049814.4231131652</v>
      </c>
      <c r="I9" s="148">
        <f>SUM(I6:I8)</f>
        <v>4157253450.9234333</v>
      </c>
      <c r="L9" s="137" t="s">
        <v>135</v>
      </c>
      <c r="M9" s="142">
        <v>12900</v>
      </c>
      <c r="O9"/>
      <c r="P9"/>
      <c r="Q9"/>
    </row>
    <row r="10" spans="1:17" ht="15.6" thickBot="1" x14ac:dyDescent="0.3">
      <c r="C10" s="35"/>
      <c r="D10" s="119"/>
      <c r="E10" s="119"/>
      <c r="F10" s="135"/>
      <c r="G10" s="119"/>
      <c r="H10" s="119"/>
      <c r="I10" s="125"/>
      <c r="L10" s="137" t="s">
        <v>19</v>
      </c>
      <c r="M10" s="142">
        <v>103000</v>
      </c>
    </row>
    <row r="11" spans="1:17" ht="15.6" thickBot="1" x14ac:dyDescent="0.3">
      <c r="C11" s="219" t="s">
        <v>89</v>
      </c>
      <c r="D11" s="220"/>
      <c r="E11" s="220"/>
      <c r="F11" s="220"/>
      <c r="G11" s="220"/>
      <c r="H11" s="220"/>
      <c r="I11" s="221"/>
      <c r="L11" s="137" t="s">
        <v>19</v>
      </c>
      <c r="M11" s="142">
        <v>145000</v>
      </c>
      <c r="N11" s="69"/>
    </row>
    <row r="12" spans="1:17" ht="15.6" thickBot="1" x14ac:dyDescent="0.3">
      <c r="C12" s="35"/>
      <c r="D12" s="119"/>
      <c r="E12" s="119"/>
      <c r="F12" s="135"/>
      <c r="G12" s="119"/>
      <c r="H12" s="119"/>
      <c r="I12" s="125"/>
      <c r="L12" s="141" t="s">
        <v>90</v>
      </c>
      <c r="M12" s="139">
        <f>SUM(M6:M11)</f>
        <v>3037900</v>
      </c>
    </row>
    <row r="13" spans="1:17" ht="14.4" x14ac:dyDescent="0.3">
      <c r="C13" s="35"/>
      <c r="D13" s="119"/>
      <c r="E13" s="119"/>
      <c r="F13" s="135"/>
      <c r="G13" s="119"/>
      <c r="H13" s="119"/>
      <c r="I13" s="125"/>
      <c r="L13"/>
      <c r="M13"/>
    </row>
    <row r="14" spans="1:17" ht="14.4" x14ac:dyDescent="0.3">
      <c r="C14" s="35"/>
      <c r="D14" s="119"/>
      <c r="E14" s="119"/>
      <c r="F14" s="135"/>
      <c r="G14" s="119"/>
      <c r="H14" s="119"/>
      <c r="I14" s="125"/>
      <c r="L14"/>
      <c r="M14"/>
    </row>
    <row r="15" spans="1:17" ht="15" thickBot="1" x14ac:dyDescent="0.35">
      <c r="C15" s="35"/>
      <c r="D15" s="119"/>
      <c r="E15" s="119"/>
      <c r="F15" s="135"/>
      <c r="G15" s="119"/>
      <c r="H15" s="119"/>
      <c r="I15" s="125"/>
      <c r="L15"/>
      <c r="M15"/>
    </row>
    <row r="16" spans="1:17" ht="14.4" x14ac:dyDescent="0.3">
      <c r="C16" s="224" t="s">
        <v>93</v>
      </c>
      <c r="D16" s="225"/>
      <c r="E16" s="118"/>
      <c r="F16" s="134"/>
      <c r="G16" s="224" t="s">
        <v>93</v>
      </c>
      <c r="H16" s="225"/>
      <c r="I16" s="143"/>
      <c r="L16"/>
      <c r="M16"/>
    </row>
    <row r="17" spans="2:16" ht="14.4" x14ac:dyDescent="0.3">
      <c r="C17" s="126" t="s">
        <v>91</v>
      </c>
      <c r="D17" s="112">
        <f>(0.28*M12)+(2.73*D6)+1.23*(D7+D8)</f>
        <v>2074185.2381345937</v>
      </c>
      <c r="E17" s="119"/>
      <c r="F17" s="135"/>
      <c r="G17" s="126" t="s">
        <v>91</v>
      </c>
      <c r="H17" s="112">
        <f>(0.28*M12)+(2.73*H6)+1.23*(H7+H8)</f>
        <v>2452214.2474745936</v>
      </c>
      <c r="I17" s="125"/>
      <c r="L17"/>
      <c r="M17"/>
    </row>
    <row r="18" spans="2:16" ht="14.4" x14ac:dyDescent="0.3">
      <c r="C18" s="35"/>
      <c r="D18" s="119"/>
      <c r="E18" s="119"/>
      <c r="F18" s="135"/>
      <c r="G18" s="35"/>
      <c r="H18" s="119"/>
      <c r="I18" s="125"/>
      <c r="L18"/>
      <c r="M18"/>
    </row>
    <row r="19" spans="2:16" ht="14.4" x14ac:dyDescent="0.3">
      <c r="C19" s="226" t="s">
        <v>92</v>
      </c>
      <c r="D19" s="214"/>
      <c r="E19" s="119"/>
      <c r="F19" s="135"/>
      <c r="G19" s="226" t="s">
        <v>92</v>
      </c>
      <c r="H19" s="214"/>
      <c r="I19" s="125"/>
      <c r="L19"/>
      <c r="M19"/>
    </row>
    <row r="20" spans="2:16" ht="14.4" x14ac:dyDescent="0.3">
      <c r="C20" s="144" t="s">
        <v>81</v>
      </c>
      <c r="D20" s="113">
        <f>M12</f>
        <v>3037900</v>
      </c>
      <c r="E20" s="119"/>
      <c r="F20" s="135"/>
      <c r="G20" s="144" t="s">
        <v>81</v>
      </c>
      <c r="H20" s="113">
        <f>M12</f>
        <v>3037900</v>
      </c>
      <c r="I20" s="125"/>
      <c r="L20"/>
      <c r="M20"/>
    </row>
    <row r="21" spans="2:16" x14ac:dyDescent="0.25">
      <c r="C21" s="144" t="s">
        <v>94</v>
      </c>
      <c r="D21" s="113">
        <f>D17</f>
        <v>2074185.2381345937</v>
      </c>
      <c r="E21" s="119"/>
      <c r="F21" s="135"/>
      <c r="G21" s="144" t="s">
        <v>94</v>
      </c>
      <c r="H21" s="113">
        <f>H17</f>
        <v>2452214.2474745936</v>
      </c>
      <c r="I21" s="125"/>
      <c r="N21" s="69"/>
    </row>
    <row r="22" spans="2:16" ht="14.4" thickBot="1" x14ac:dyDescent="0.3">
      <c r="C22" s="145" t="s">
        <v>21</v>
      </c>
      <c r="D22" s="146">
        <f>SUM(D20:D21)</f>
        <v>5112085.2381345937</v>
      </c>
      <c r="E22" s="127"/>
      <c r="F22" s="136"/>
      <c r="G22" s="145" t="s">
        <v>21</v>
      </c>
      <c r="H22" s="146">
        <f>SUM(H20:H21)</f>
        <v>5490114.247474594</v>
      </c>
      <c r="I22" s="128"/>
    </row>
    <row r="24" spans="2:16" ht="14.4" customHeight="1" x14ac:dyDescent="0.3">
      <c r="B24" s="101"/>
      <c r="C24" s="101"/>
      <c r="D24" s="101"/>
      <c r="E24" s="101"/>
      <c r="F24" s="101"/>
      <c r="G24" s="101"/>
      <c r="H24" s="101"/>
      <c r="I24" s="101"/>
      <c r="J24" s="101"/>
      <c r="K24" s="101"/>
      <c r="L24" s="101"/>
    </row>
    <row r="25" spans="2:16" ht="14.4" customHeight="1" x14ac:dyDescent="0.3">
      <c r="B25" s="101"/>
      <c r="C25" s="101"/>
      <c r="D25" s="101"/>
      <c r="E25" s="101"/>
      <c r="F25" s="101"/>
      <c r="G25" s="101"/>
      <c r="H25" s="101"/>
      <c r="I25" s="101"/>
      <c r="J25" s="101"/>
      <c r="K25" s="101"/>
      <c r="L25" s="101"/>
      <c r="P25" s="69"/>
    </row>
    <row r="26" spans="2:16" ht="14.4" customHeight="1" x14ac:dyDescent="0.3"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</row>
    <row r="27" spans="2:16" ht="14.4" customHeight="1" x14ac:dyDescent="0.3"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</row>
    <row r="28" spans="2:16" ht="14.4" customHeight="1" x14ac:dyDescent="0.3">
      <c r="B28" s="101"/>
      <c r="C28" s="101"/>
      <c r="D28" s="101"/>
      <c r="E28" s="101"/>
      <c r="F28" s="101"/>
      <c r="G28" s="101"/>
      <c r="H28" s="101"/>
      <c r="I28" s="101"/>
      <c r="J28" s="101"/>
      <c r="K28" s="101"/>
      <c r="L28" s="101"/>
    </row>
    <row r="29" spans="2:16" ht="14.4" customHeight="1" x14ac:dyDescent="0.3">
      <c r="B29" s="101"/>
      <c r="C29" s="101"/>
      <c r="D29" s="101"/>
      <c r="E29" s="101"/>
      <c r="F29" s="101"/>
      <c r="G29" s="101"/>
      <c r="H29" s="101"/>
      <c r="I29" s="101"/>
      <c r="J29" s="101"/>
      <c r="K29" s="101"/>
      <c r="L29" s="101"/>
    </row>
    <row r="30" spans="2:16" ht="14.4" customHeight="1" x14ac:dyDescent="0.3">
      <c r="B30" s="101"/>
      <c r="C30" s="101"/>
      <c r="D30" s="101"/>
      <c r="E30" s="101"/>
      <c r="F30" s="101"/>
      <c r="G30" s="101"/>
      <c r="H30" s="101"/>
      <c r="I30" s="101"/>
      <c r="J30" s="101"/>
      <c r="K30" s="101"/>
      <c r="L30" s="101"/>
    </row>
    <row r="31" spans="2:16" ht="14.4" customHeight="1" x14ac:dyDescent="0.3">
      <c r="B31" s="101"/>
      <c r="C31" s="101"/>
      <c r="D31" s="101"/>
      <c r="E31" s="101"/>
      <c r="F31" s="101"/>
      <c r="G31" s="101"/>
      <c r="H31" s="101"/>
      <c r="I31" s="101"/>
      <c r="J31" s="101"/>
      <c r="K31" s="101"/>
      <c r="L31" s="101"/>
    </row>
    <row r="32" spans="2:16" ht="14.4" customHeight="1" x14ac:dyDescent="0.3"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1"/>
    </row>
    <row r="33" spans="2:12" ht="14.4" customHeight="1" x14ac:dyDescent="0.3">
      <c r="B33" s="101"/>
      <c r="C33" s="101"/>
      <c r="D33" s="101"/>
      <c r="E33" s="101"/>
      <c r="F33" s="101"/>
      <c r="G33" s="101"/>
      <c r="H33" s="101"/>
      <c r="I33" s="101"/>
      <c r="J33" s="101"/>
      <c r="K33" s="101"/>
      <c r="L33" s="101"/>
    </row>
    <row r="34" spans="2:12" ht="14.4" customHeight="1" x14ac:dyDescent="0.3">
      <c r="B34" s="101"/>
      <c r="C34" s="101"/>
      <c r="D34" s="101"/>
      <c r="E34" s="101"/>
      <c r="F34" s="101"/>
      <c r="G34" s="101"/>
      <c r="H34" s="101"/>
      <c r="I34" s="101"/>
      <c r="J34" s="101"/>
      <c r="K34" s="101"/>
      <c r="L34" s="101"/>
    </row>
    <row r="35" spans="2:12" ht="14.4" customHeight="1" x14ac:dyDescent="0.3">
      <c r="B35" s="101"/>
      <c r="C35" s="101"/>
      <c r="D35" s="101"/>
      <c r="E35" s="101"/>
      <c r="F35" s="101"/>
      <c r="G35" s="101"/>
      <c r="H35" s="101"/>
      <c r="I35" s="101"/>
      <c r="J35" s="101"/>
      <c r="K35" s="101"/>
      <c r="L35" s="101"/>
    </row>
    <row r="36" spans="2:12" ht="14.4" customHeight="1" x14ac:dyDescent="0.3">
      <c r="B36" s="101"/>
      <c r="C36" s="101"/>
      <c r="D36" s="101"/>
      <c r="E36" s="101"/>
      <c r="F36" s="101"/>
      <c r="G36" s="101"/>
      <c r="H36" s="101"/>
      <c r="I36" s="101"/>
      <c r="J36" s="101"/>
      <c r="K36" s="101"/>
      <c r="L36" s="101"/>
    </row>
  </sheetData>
  <mergeCells count="10">
    <mergeCell ref="C16:D16"/>
    <mergeCell ref="C4:E4"/>
    <mergeCell ref="G16:H16"/>
    <mergeCell ref="C19:D19"/>
    <mergeCell ref="G19:H19"/>
    <mergeCell ref="G4:I4"/>
    <mergeCell ref="C3:E3"/>
    <mergeCell ref="G3:I3"/>
    <mergeCell ref="C11:I11"/>
    <mergeCell ref="L4:M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83332-417B-409D-A449-654F61D2D742}">
  <dimension ref="B2:I46"/>
  <sheetViews>
    <sheetView tabSelected="1" zoomScale="85" zoomScaleNormal="85" workbookViewId="0">
      <selection activeCell="K8" sqref="K8"/>
    </sheetView>
  </sheetViews>
  <sheetFormatPr baseColWidth="10" defaultColWidth="11.44140625" defaultRowHeight="14.4" x14ac:dyDescent="0.3"/>
  <cols>
    <col min="2" max="2" width="29.44140625" customWidth="1"/>
    <col min="3" max="3" width="21.33203125" customWidth="1"/>
    <col min="7" max="7" width="20.5546875" customWidth="1"/>
    <col min="8" max="8" width="18.44140625" customWidth="1"/>
    <col min="9" max="9" width="16.88671875" bestFit="1" customWidth="1"/>
  </cols>
  <sheetData>
    <row r="2" spans="2:9" x14ac:dyDescent="0.3">
      <c r="B2" s="228" t="s">
        <v>80</v>
      </c>
      <c r="C2" s="228"/>
      <c r="D2" s="228"/>
      <c r="G2" s="229" t="s">
        <v>95</v>
      </c>
      <c r="H2" s="230"/>
      <c r="I2" s="231"/>
    </row>
    <row r="3" spans="2:9" x14ac:dyDescent="0.3">
      <c r="B3" s="7" t="s">
        <v>0</v>
      </c>
      <c r="C3" s="7" t="s">
        <v>83</v>
      </c>
      <c r="D3" s="10" t="s">
        <v>96</v>
      </c>
      <c r="G3" s="11" t="s">
        <v>85</v>
      </c>
      <c r="H3" s="7" t="s">
        <v>83</v>
      </c>
      <c r="I3" s="11" t="s">
        <v>96</v>
      </c>
    </row>
    <row r="4" spans="2:9" ht="15" x14ac:dyDescent="0.3">
      <c r="B4" s="5" t="s">
        <v>97</v>
      </c>
      <c r="C4" s="9">
        <f>'Costo COM'!D6</f>
        <v>206887.00469693347</v>
      </c>
      <c r="D4" s="3">
        <f>C4/$C$7*100</f>
        <v>27.8645541994875</v>
      </c>
      <c r="G4" s="137" t="s">
        <v>102</v>
      </c>
      <c r="H4" s="142">
        <v>1660000</v>
      </c>
      <c r="I4" s="2">
        <f>(H4/H10)*100</f>
        <v>54.643009973995191</v>
      </c>
    </row>
    <row r="5" spans="2:9" ht="15" x14ac:dyDescent="0.3">
      <c r="B5" s="5" t="s">
        <v>98</v>
      </c>
      <c r="C5" s="9">
        <f>'Costo COM'!D7</f>
        <v>516043.35718605993</v>
      </c>
      <c r="D5" s="3">
        <f>C5/$C$7*100</f>
        <v>69.503244617324142</v>
      </c>
      <c r="G5" s="137" t="s">
        <v>103</v>
      </c>
      <c r="H5" s="142">
        <v>57000</v>
      </c>
      <c r="I5" s="2">
        <f>(H5/H10)*100</f>
        <v>1.8762961256130879</v>
      </c>
    </row>
    <row r="6" spans="2:9" ht="15" x14ac:dyDescent="0.3">
      <c r="B6" s="5" t="s">
        <v>99</v>
      </c>
      <c r="C6" s="9">
        <f>'Costo COM'!D8</f>
        <v>19543.403230171938</v>
      </c>
      <c r="D6" s="3">
        <f>C6/$C$7*100</f>
        <v>2.6322011831883652</v>
      </c>
      <c r="G6" s="137" t="s">
        <v>104</v>
      </c>
      <c r="H6" s="142">
        <v>1060000</v>
      </c>
      <c r="I6" s="2">
        <f>(H6/H10)*100</f>
        <v>34.892524441225845</v>
      </c>
    </row>
    <row r="7" spans="2:9" ht="15" x14ac:dyDescent="0.3">
      <c r="B7" s="4" t="s">
        <v>21</v>
      </c>
      <c r="C7" s="8">
        <f>SUM(C4:C6)</f>
        <v>742473.76511316525</v>
      </c>
      <c r="D7" s="4">
        <f>SUM(D4:D6)</f>
        <v>100.00000000000001</v>
      </c>
      <c r="G7" s="137" t="s">
        <v>135</v>
      </c>
      <c r="H7" s="142">
        <v>12900</v>
      </c>
      <c r="I7" s="2">
        <f>(H7/H10)*100</f>
        <v>0.42463543895454098</v>
      </c>
    </row>
    <row r="8" spans="2:9" ht="15" x14ac:dyDescent="0.3">
      <c r="G8" s="137" t="s">
        <v>55</v>
      </c>
      <c r="H8" s="142">
        <f>'Costo COM'!M10+'Costo COM'!M11</f>
        <v>248000</v>
      </c>
      <c r="I8" s="2">
        <f>(H8/H10)*100</f>
        <v>8.1635340202113298</v>
      </c>
    </row>
    <row r="9" spans="2:9" x14ac:dyDescent="0.3">
      <c r="H9" s="142"/>
      <c r="I9" s="1"/>
    </row>
    <row r="10" spans="2:9" x14ac:dyDescent="0.3">
      <c r="G10" s="18" t="s">
        <v>21</v>
      </c>
      <c r="H10" s="13">
        <f>SUM(H4:H8)</f>
        <v>3037900</v>
      </c>
      <c r="I10" s="4">
        <f>SUM(I4:I8)</f>
        <v>100</v>
      </c>
    </row>
    <row r="41" spans="2:9" x14ac:dyDescent="0.3">
      <c r="B41" s="232" t="s">
        <v>100</v>
      </c>
      <c r="C41" s="232"/>
      <c r="D41" s="232"/>
    </row>
    <row r="42" spans="2:9" ht="15.6" x14ac:dyDescent="0.3">
      <c r="B42" s="14" t="s">
        <v>101</v>
      </c>
      <c r="C42" s="15" t="s">
        <v>77</v>
      </c>
      <c r="D42" s="16" t="s">
        <v>96</v>
      </c>
    </row>
    <row r="43" spans="2:9" ht="15.6" x14ac:dyDescent="0.3">
      <c r="B43" s="91" t="s">
        <v>111</v>
      </c>
      <c r="C43" s="12">
        <f>'Materia Prima CMR'!D5</f>
        <v>87600</v>
      </c>
      <c r="D43" s="3">
        <f>(C43/$C$46)*100</f>
        <v>100</v>
      </c>
    </row>
    <row r="44" spans="2:9" ht="15.6" x14ac:dyDescent="0.3">
      <c r="B44" s="6" t="s">
        <v>122</v>
      </c>
      <c r="C44" s="12">
        <v>0</v>
      </c>
      <c r="D44" s="3">
        <f>(C44/$C$46)*100</f>
        <v>0</v>
      </c>
    </row>
    <row r="45" spans="2:9" x14ac:dyDescent="0.3">
      <c r="G45" s="101"/>
      <c r="H45" s="101"/>
      <c r="I45" s="101"/>
    </row>
    <row r="46" spans="2:9" ht="15.6" x14ac:dyDescent="0.3">
      <c r="B46" s="17" t="s">
        <v>21</v>
      </c>
      <c r="C46" s="13">
        <f>SUM(C43:C44)</f>
        <v>87600</v>
      </c>
      <c r="D46" s="4">
        <f>SUM(D43:D44)</f>
        <v>100</v>
      </c>
    </row>
  </sheetData>
  <mergeCells count="3">
    <mergeCell ref="B2:D2"/>
    <mergeCell ref="G2:I2"/>
    <mergeCell ref="B41:D4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servicios industriales CUT</vt:lpstr>
      <vt:lpstr>Mano de Obra</vt:lpstr>
      <vt:lpstr>Materia Prima CMR</vt:lpstr>
      <vt:lpstr>Costo COM</vt:lpstr>
      <vt:lpstr>Graficas de opex y capex</vt:lpstr>
      <vt:lpstr>CEPCI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Lynda</dc:creator>
  <cp:keywords/>
  <dc:description/>
  <cp:lastModifiedBy>Carlos Jovany</cp:lastModifiedBy>
  <cp:revision/>
  <dcterms:created xsi:type="dcterms:W3CDTF">2022-10-04T14:52:56Z</dcterms:created>
  <dcterms:modified xsi:type="dcterms:W3CDTF">2024-09-28T02:39:21Z</dcterms:modified>
  <cp:category/>
  <cp:contentStatus/>
</cp:coreProperties>
</file>