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lloa\OneDrive\Escritorio\TS\"/>
    </mc:Choice>
  </mc:AlternateContent>
  <xr:revisionPtr revIDLastSave="0" documentId="13_ncr:1_{459704D9-E207-4C96-B0BD-AEE96861432E}" xr6:coauthVersionLast="47" xr6:coauthVersionMax="47" xr10:uidLastSave="{00000000-0000-0000-0000-000000000000}"/>
  <bookViews>
    <workbookView xWindow="-108" yWindow="-108" windowWidth="30936" windowHeight="12456" tabRatio="836" activeTab="8" xr2:uid="{00000000-000D-0000-FFFF-FFFF00000000}"/>
  </bookViews>
  <sheets>
    <sheet name="Equipment Summary" sheetId="2" r:id="rId1"/>
    <sheet name="COM Summary" sheetId="10" state="hidden" r:id="rId2"/>
    <sheet name="Utilities Summary" sheetId="1" state="hidden" r:id="rId3"/>
    <sheet name="Cash Flow Analysis" sheetId="11" state="hidden" r:id="rId4"/>
    <sheet name="Monte Carlo Simulation" sheetId="12" state="hidden" r:id="rId5"/>
    <sheet name="User Options" sheetId="9" state="hidden" r:id="rId6"/>
    <sheet name="Equipment Cost Data" sheetId="3" state="hidden" r:id="rId7"/>
    <sheet name="CEPCI 2016" sheetId="13" state="hidden" r:id="rId8"/>
    <sheet name="Hoja1" sheetId="15" r:id="rId9"/>
  </sheets>
  <functionGroups builtInGroupCount="19"/>
  <definedNames>
    <definedName name="analysisHelp">#REF!</definedName>
    <definedName name="_xlnm.Print_Area" localSheetId="1">'COM Summary'!$A$1:$F$60</definedName>
    <definedName name="_xlnm.Print_Area" localSheetId="6">'Equipment Cost Data'!$A$1:$S$259</definedName>
    <definedName name="_xlnm.Print_Area" localSheetId="0">'Equipment Summary'!$A$1:$I$73</definedName>
    <definedName name="_xlnm.Print_Area" localSheetId="5">'User Options'!$A$1:$I$68</definedName>
    <definedName name="_xlnm.Print_Area" localSheetId="2">'Utilities Summary'!$A$1:$K$17</definedName>
    <definedName name="blenderKneaderFBM">'Equipment Cost Data'!$H$4</definedName>
    <definedName name="blenderKneaderK1">'Equipment Cost Data'!$C$4</definedName>
    <definedName name="blenderKneaderK2">'Equipment Cost Data'!$D$4</definedName>
    <definedName name="blenderKneaderK3">'Equipment Cost Data'!$E$4</definedName>
    <definedName name="blenderKneaderVmax">'Equipment Cost Data'!$G$4</definedName>
    <definedName name="blenderKneaderVmin">'Equipment Cost Data'!$F$4</definedName>
    <definedName name="blenderRibbonFBM">'Equipment Cost Data'!$H$5</definedName>
    <definedName name="blenderRibbonK1">'Equipment Cost Data'!$C$5</definedName>
    <definedName name="blenderRibbonK2">'Equipment Cost Data'!$D$5</definedName>
    <definedName name="blenderRibbonK3">'Equipment Cost Data'!$E$5</definedName>
    <definedName name="blenderRibbonVmax">'Equipment Cost Data'!$G$5</definedName>
    <definedName name="blenderRibbonVmin">'Equipment Cost Data'!$F$5</definedName>
    <definedName name="blenderRotaryFBM">'Equipment Cost Data'!$H$6</definedName>
    <definedName name="blenderRotaryK1">'Equipment Cost Data'!$C$6</definedName>
    <definedName name="blenderRotaryK2">'Equipment Cost Data'!$D$6</definedName>
    <definedName name="blenderRotaryK3">'Equipment Cost Data'!$E$6</definedName>
    <definedName name="blenderRotaryVmax">'Equipment Cost Data'!$G$6</definedName>
    <definedName name="blenderRotaryVmin">'Equipment Cost Data'!$F$6</definedName>
    <definedName name="capitalDistribution">'COM Summary'!$C$48</definedName>
    <definedName name="CCP">'Cash Flow Analysis'!$I$38</definedName>
    <definedName name="CCPBin">'Monte Carlo Simulation'!$B$96</definedName>
    <definedName name="centrifugeAutoBatchDmax">'Equipment Cost Data'!$G$11</definedName>
    <definedName name="centrifugeAutoBatchDmin">'Equipment Cost Data'!$F$11</definedName>
    <definedName name="centrifugeAutoBatchFBM">'Equipment Cost Data'!$H$11</definedName>
    <definedName name="centrifugeAutoBatchK1">'Equipment Cost Data'!$C$11</definedName>
    <definedName name="centrifugeAutoBatchK2">'Equipment Cost Data'!$D$11</definedName>
    <definedName name="centrifugeAutoBatchK3">'Equipment Cost Data'!$E$11</definedName>
    <definedName name="centrifugeCentrifugalDmax">'Equipment Cost Data'!$G$12</definedName>
    <definedName name="centrifugeCentrifugalDmin">'Equipment Cost Data'!$F$12</definedName>
    <definedName name="centrifugeCentrifugalFBM">'Equipment Cost Data'!$H$12</definedName>
    <definedName name="centrifugeCentrifugalK1">'Equipment Cost Data'!$C$12</definedName>
    <definedName name="centrifugeCentrifugalK2">'Equipment Cost Data'!$D$12</definedName>
    <definedName name="centrifugeCentrifugalK3">'Equipment Cost Data'!$E$12</definedName>
    <definedName name="centrifugeOscillatingDmax">'Equipment Cost Data'!$G$13</definedName>
    <definedName name="centrifugeOscillatingDmin">'Equipment Cost Data'!$F$13</definedName>
    <definedName name="centrifugeOscillatingFBM">'Equipment Cost Data'!$H$13</definedName>
    <definedName name="centrifugeOscillatingK1">'Equipment Cost Data'!$C$13</definedName>
    <definedName name="centrifugeOscillatingK2">'Equipment Cost Data'!$D$13</definedName>
    <definedName name="centrifugeOscillatingK3">'Equipment Cost Data'!$E$13</definedName>
    <definedName name="centrifugeSolidBowlDmax">'Equipment Cost Data'!$G$14</definedName>
    <definedName name="centrifugeSolidBowlDmin">'Equipment Cost Data'!$F$14</definedName>
    <definedName name="centrifugeSolidBowlFBM">'Equipment Cost Data'!$H$14</definedName>
    <definedName name="centrifugeSolidBowlK1">'Equipment Cost Data'!$C$14</definedName>
    <definedName name="centrifugeSolidBowlK2">'Equipment Cost Data'!$D$14</definedName>
    <definedName name="centrifugeSolidBowlK3">'Equipment Cost Data'!$E$14</definedName>
    <definedName name="CEPCI">'Equipment Summary'!$E$4</definedName>
    <definedName name="CFDHelp">#REF!</definedName>
    <definedName name="CFDTable">'Cash Flow Analysis'!$B$47</definedName>
    <definedName name="COMd">'COM Summary'!$C$35</definedName>
    <definedName name="compressorAxialFBMCS">'Equipment Cost Data'!$F$20</definedName>
    <definedName name="compressorAxialFBMNi">'Equipment Cost Data'!$H$20</definedName>
    <definedName name="compressorAxialFBMSS">'Equipment Cost Data'!$G$20</definedName>
    <definedName name="compressorAxialK1">'Equipment Cost Data'!$C$20</definedName>
    <definedName name="compressorAxialK2">'Equipment Cost Data'!$D$20</definedName>
    <definedName name="compressorAxialK3">'Equipment Cost Data'!$E$20</definedName>
    <definedName name="compressorAxialWmax">'Equipment Cost Data'!$J$20</definedName>
    <definedName name="compressorAxialWmin">'Equipment Cost Data'!$I$20</definedName>
    <definedName name="compressorCentrifugalFBMCS">'Equipment Cost Data'!$F$19</definedName>
    <definedName name="compressorCentrifugalFBMNi">'Equipment Cost Data'!$H$19</definedName>
    <definedName name="compressorCentrifugalFBMSS">'Equipment Cost Data'!$G$19</definedName>
    <definedName name="compressorCentrifugalK1">'Equipment Cost Data'!$C$19</definedName>
    <definedName name="compressorCentrifugalK2">'Equipment Cost Data'!$D$19</definedName>
    <definedName name="compressorCentrifugalK3">'Equipment Cost Data'!$E$19</definedName>
    <definedName name="compressorCentrifugalWmax">'Equipment Cost Data'!$J$19</definedName>
    <definedName name="compressorCentrifugalWmin">'Equipment Cost Data'!$I$19</definedName>
    <definedName name="compressorEfficiency">'User Options'!#REF!</definedName>
    <definedName name="compressorReciprocatingFBMCS">'Equipment Cost Data'!$F$22</definedName>
    <definedName name="compressorReciprocatingFBMNi">'Equipment Cost Data'!$H$22</definedName>
    <definedName name="compressorReciprocatingFBMSS">'Equipment Cost Data'!$G$22</definedName>
    <definedName name="compressorReciprocatingK1">'Equipment Cost Data'!$C$22</definedName>
    <definedName name="compressorReciprocatingK2">'Equipment Cost Data'!$D$22</definedName>
    <definedName name="compressorReciprocatingK3">'Equipment Cost Data'!$E$22</definedName>
    <definedName name="compressorReciprocatingWmax">'Equipment Cost Data'!$J$22</definedName>
    <definedName name="compressorReciprocatingWmin">'Equipment Cost Data'!$I$22</definedName>
    <definedName name="compressorRotaryFBMCS">'Equipment Cost Data'!$F$21</definedName>
    <definedName name="compressorRotaryFBMNi">'Equipment Cost Data'!$H$21</definedName>
    <definedName name="compressorRotaryFBMSS">'Equipment Cost Data'!$G$21</definedName>
    <definedName name="compressorRotaryK1">'Equipment Cost Data'!$C$21</definedName>
    <definedName name="compressorRotaryK2">'Equipment Cost Data'!$D$21</definedName>
    <definedName name="compressorRotaryK3">'Equipment Cost Data'!$E$21</definedName>
    <definedName name="compressorRotaryWmax">'Equipment Cost Data'!$J$21</definedName>
    <definedName name="compressorRotaryWmin">'Equipment Cost Data'!$I$21</definedName>
    <definedName name="constructionPeriod">'COM Summary'!$C$45</definedName>
    <definedName name="conveyorApronAmax">'Equipment Cost Data'!$G$27</definedName>
    <definedName name="conveyorApronAmin">'Equipment Cost Data'!$F$27</definedName>
    <definedName name="conveyorApronFBM">'Equipment Cost Data'!$H$27</definedName>
    <definedName name="conveyorApronK1">'Equipment Cost Data'!$C$27</definedName>
    <definedName name="conveyorApronK2">'Equipment Cost Data'!$D$27</definedName>
    <definedName name="conveyorApronK3">'Equipment Cost Data'!$E$27</definedName>
    <definedName name="conveyorBeltAmax">'Equipment Cost Data'!$G$28</definedName>
    <definedName name="conveyorBeltAmin">'Equipment Cost Data'!$F$28</definedName>
    <definedName name="conveyorBeltFBM">'Equipment Cost Data'!$H$28</definedName>
    <definedName name="conveyorBeltK1">'Equipment Cost Data'!$C$28</definedName>
    <definedName name="conveyorBeltK2">'Equipment Cost Data'!$D$28</definedName>
    <definedName name="conveyorBeltK3">'Equipment Cost Data'!$E$28</definedName>
    <definedName name="conveyorPneumaticAmax">'Equipment Cost Data'!$G$29</definedName>
    <definedName name="conveyorPneumaticAmin">'Equipment Cost Data'!$F$29</definedName>
    <definedName name="conveyorPneumaticFBM">'Equipment Cost Data'!$H$29</definedName>
    <definedName name="conveyorPneumaticK1">'Equipment Cost Data'!$C$29</definedName>
    <definedName name="conveyorPneumaticK2">'Equipment Cost Data'!$D$29</definedName>
    <definedName name="conveyorPneumaticK3">'Equipment Cost Data'!$E$29</definedName>
    <definedName name="conveyorScrewAmax">'Equipment Cost Data'!$G$30</definedName>
    <definedName name="conveyorScrewAmin">'Equipment Cost Data'!$F$30</definedName>
    <definedName name="conveyorScrewFBM">'Equipment Cost Data'!$H$30</definedName>
    <definedName name="conveyorScrewK1">'Equipment Cost Data'!$C$30</definedName>
    <definedName name="conveyorScrewK2">'Equipment Cost Data'!$D$30</definedName>
    <definedName name="conveyorScrewK3">'Equipment Cost Data'!$E$30</definedName>
    <definedName name="costCoal">'User Options'!$C$18</definedName>
    <definedName name="costCW">'User Options'!$C$7</definedName>
    <definedName name="costElectricity">'User Options'!$C$6</definedName>
    <definedName name="costFuelOil">'User Options'!$C$16</definedName>
    <definedName name="costHPS">'User Options'!$C$13</definedName>
    <definedName name="costLabor">'User Options'!$C$51</definedName>
    <definedName name="costLand">'COM Summary'!$C$13</definedName>
    <definedName name="costLPS">'User Options'!$C$11</definedName>
    <definedName name="costMPS">'User Options'!$C$12</definedName>
    <definedName name="costNaturalGas">'User Options'!$C$17</definedName>
    <definedName name="costOperatingLabor">'COM Summary'!$C$27</definedName>
    <definedName name="costRawMaterials">'COM Summary'!$C$24</definedName>
    <definedName name="costRefrigerationLow">'User Options'!$C$26</definedName>
    <definedName name="costRefrigerationLower">'User Options'!$C$27</definedName>
    <definedName name="costRefrigerationLowest">'User Options'!$C$28</definedName>
    <definedName name="costRW">'User Options'!$C$8</definedName>
    <definedName name="costSteam">'User Options'!$C$37</definedName>
    <definedName name="costSummary">'Utilities Summary'!$B$5</definedName>
    <definedName name="costSummaryHelp">#REF!</definedName>
    <definedName name="costThermalHigh">'User Options'!$C$23</definedName>
    <definedName name="costThermalLow">'User Options'!$C$21</definedName>
    <definedName name="costThermalMedium">'User Options'!$C$22</definedName>
    <definedName name="costUtilities">'COM Summary'!$C$25</definedName>
    <definedName name="costWasteHazardous">'User Options'!$C$33</definedName>
    <definedName name="costWasteNonHazardous">'User Options'!$C$32</definedName>
    <definedName name="costWasteTreatment">'COM Summary'!$C$26</definedName>
    <definedName name="crystallizerBatchFBM">'Equipment Cost Data'!$H$35</definedName>
    <definedName name="crystallizerBatchK1">'Equipment Cost Data'!$C$35</definedName>
    <definedName name="crystallizerBatchK2">'Equipment Cost Data'!$D$35</definedName>
    <definedName name="crystallizerBatchK3">'Equipment Cost Data'!$E$35</definedName>
    <definedName name="crystallizerBatchVmax">'Equipment Cost Data'!$G$35</definedName>
    <definedName name="crystallizerBatchVmin">'Equipment Cost Data'!$F$35</definedName>
    <definedName name="CSGRC">'Utilities Summary'!$E$16</definedName>
    <definedName name="CSTMC">'Utilities Summary'!$C$16</definedName>
    <definedName name="CSUtility">'Utilities Summary'!$K$16</definedName>
    <definedName name="DataHelp">#REF!</definedName>
    <definedName name="DCFROR">'Cash Flow Analysis'!$E$40</definedName>
    <definedName name="DCFRORBin">'Monte Carlo Simulation'!$B$52</definedName>
    <definedName name="demisterAmax">'Equipment Cost Data'!$G$250</definedName>
    <definedName name="demisterAmin">'Equipment Cost Data'!$F$250</definedName>
    <definedName name="demisterK1">'Equipment Cost Data'!$C$250</definedName>
    <definedName name="demisterK2">'Equipment Cost Data'!$D$250</definedName>
    <definedName name="demisterK3">'Equipment Cost Data'!$E$250</definedName>
    <definedName name="demisterMOCCS">'Equipment Cost Data'!$M$243</definedName>
    <definedName name="demisterMOCF">'Equipment Cost Data'!$M$245</definedName>
    <definedName name="demisterMOCNi">'Equipment Cost Data'!$M$246</definedName>
    <definedName name="demisterMOCSS">'Equipment Cost Data'!$M$244</definedName>
    <definedName name="DPBP">'Cash Flow Analysis'!$E$42</definedName>
    <definedName name="DPBPBin">'Monte Carlo Simulation'!$B$74</definedName>
    <definedName name="driveEEPFbm">'Equipment Cost Data'!$F$40</definedName>
    <definedName name="driveEEPK1">'Equipment Cost Data'!$C$40</definedName>
    <definedName name="driveEEPK2">'Equipment Cost Data'!$D$40</definedName>
    <definedName name="driveEEPK3">'Equipment Cost Data'!$E$40</definedName>
    <definedName name="driveEEPWmax">'Equipment Cost Data'!$H$40</definedName>
    <definedName name="driveEEPWmin">'Equipment Cost Data'!$G$40</definedName>
    <definedName name="driveEfficiency">'User Options'!$C$42</definedName>
    <definedName name="driveEODPFbm">'Equipment Cost Data'!$F$42</definedName>
    <definedName name="driveEODPK1">'Equipment Cost Data'!$C$42</definedName>
    <definedName name="driveEODPK2">'Equipment Cost Data'!$D$42</definedName>
    <definedName name="driveEODPK3">'Equipment Cost Data'!$E$42</definedName>
    <definedName name="driveEODPWmax">'Equipment Cost Data'!$H$42</definedName>
    <definedName name="driveEODPWmin">'Equipment Cost Data'!$G$42</definedName>
    <definedName name="driveETEFbm">'Equipment Cost Data'!$F$41</definedName>
    <definedName name="driveETEK1">'Equipment Cost Data'!$C$41</definedName>
    <definedName name="driveETEK2">'Equipment Cost Data'!$D$41</definedName>
    <definedName name="driveETEK3">'Equipment Cost Data'!$E$41</definedName>
    <definedName name="driveETEWmax">'Equipment Cost Data'!$H$41</definedName>
    <definedName name="driveETEWmin">'Equipment Cost Data'!$G$41</definedName>
    <definedName name="driveGasFbm">'Equipment Cost Data'!$F$45</definedName>
    <definedName name="driveGasK1">'Equipment Cost Data'!$C$45</definedName>
    <definedName name="driveGasK2">'Equipment Cost Data'!$D$45</definedName>
    <definedName name="driveGasK3">'Equipment Cost Data'!$E$45</definedName>
    <definedName name="driveGasWmax">'Equipment Cost Data'!$H$45</definedName>
    <definedName name="driveGasWmin">'Equipment Cost Data'!$G$45</definedName>
    <definedName name="driveICEFbm">'Equipment Cost Data'!$F$47</definedName>
    <definedName name="driveICEK1">'Equipment Cost Data'!$C$47</definedName>
    <definedName name="driveICEK2">'Equipment Cost Data'!$D$47</definedName>
    <definedName name="driveICEK3">'Equipment Cost Data'!$E$47</definedName>
    <definedName name="driveICEWmax">'Equipment Cost Data'!$H$47</definedName>
    <definedName name="driveICEWmin">'Equipment Cost Data'!$G$47</definedName>
    <definedName name="driveSteamFbm">'Equipment Cost Data'!$F$46</definedName>
    <definedName name="driveSteamK1">'Equipment Cost Data'!$C$46</definedName>
    <definedName name="driveSteamK2">'Equipment Cost Data'!$D$46</definedName>
    <definedName name="driveSteamK3">'Equipment Cost Data'!$E$46</definedName>
    <definedName name="driveSteamWmax">'Equipment Cost Data'!$H$46</definedName>
    <definedName name="driveSteamWmin">'Equipment Cost Data'!$G$46</definedName>
    <definedName name="dryerDrumAmax">'Equipment Cost Data'!$G$52</definedName>
    <definedName name="dryerDrumAmin">'Equipment Cost Data'!$F$52</definedName>
    <definedName name="dryerDrumFBM">'Equipment Cost Data'!$H$52</definedName>
    <definedName name="dryerDrumK1">'Equipment Cost Data'!$C$52</definedName>
    <definedName name="dryerDrumK2">'Equipment Cost Data'!$D$52</definedName>
    <definedName name="dryerDrumK3">'Equipment Cost Data'!$E$52</definedName>
    <definedName name="dryerRotaryAmax">'Equipment Cost Data'!$G$53</definedName>
    <definedName name="dryerRotaryAmin">'Equipment Cost Data'!$F$53</definedName>
    <definedName name="dryerRotaryFBM">'Equipment Cost Data'!$H$53</definedName>
    <definedName name="dryerRotaryK1">'Equipment Cost Data'!$C$53</definedName>
    <definedName name="dryerRotaryK2">'Equipment Cost Data'!$D$53</definedName>
    <definedName name="dryerRotaryK3">'Equipment Cost Data'!$E$53</definedName>
    <definedName name="dryerTrayAmax">'Equipment Cost Data'!$G$54</definedName>
    <definedName name="dryerTrayAmin">'Equipment Cost Data'!$F$54</definedName>
    <definedName name="dryerTrayFBM">'Equipment Cost Data'!$H$54</definedName>
    <definedName name="dryerTrayK1">'Equipment Cost Data'!$C$54</definedName>
    <definedName name="dryerTrayK2">'Equipment Cost Data'!$D$54</definedName>
    <definedName name="dryerTrayK3">'Equipment Cost Data'!$E$54</definedName>
    <definedName name="dustCollectorBaghouse">'Equipment Cost Data'!$H$59</definedName>
    <definedName name="dustCollectorBaghouseFBM">'Equipment Cost Data'!$H$59</definedName>
    <definedName name="dustCollectorBaghouseK1">'Equipment Cost Data'!$C$59</definedName>
    <definedName name="dustCollectorBaghouseK2">'Equipment Cost Data'!$D$59</definedName>
    <definedName name="dustCollectorBaghouseK3">'Equipment Cost Data'!$E$59</definedName>
    <definedName name="dustCollectorBaghouseVmax">'Equipment Cost Data'!$G$59</definedName>
    <definedName name="dustCollectorBaghouseVmin">'Equipment Cost Data'!$F$59</definedName>
    <definedName name="dustCollectorCycloneFBM">'Equipment Cost Data'!$H$60</definedName>
    <definedName name="dustCollectorCycloneK1">'Equipment Cost Data'!$C$60</definedName>
    <definedName name="dustCollectorCycloneK2">'Equipment Cost Data'!$D$60</definedName>
    <definedName name="dustCollectorCycloneK3">'Equipment Cost Data'!$E$60</definedName>
    <definedName name="dustCollectorCycloneVmax">'Equipment Cost Data'!$G$60</definedName>
    <definedName name="dustCollectorCycloneVmin">'Equipment Cost Data'!$F$60</definedName>
    <definedName name="dustCollectorElectrostaticFBM">'Equipment Cost Data'!$H$64</definedName>
    <definedName name="dustCollectorElectrostaticK1">'Equipment Cost Data'!$C$64</definedName>
    <definedName name="dustCollectorElectrostaticK2">'Equipment Cost Data'!$D$64</definedName>
    <definedName name="dustCollectorElectrostaticK3">'Equipment Cost Data'!$E$64</definedName>
    <definedName name="dustCollectorElectrostaticVmax">'Equipment Cost Data'!$G$64</definedName>
    <definedName name="dustCollectorElectrostaticVmin">'Equipment Cost Data'!$F$64</definedName>
    <definedName name="dustCollectorScrubberK1">'Equipment Cost Data'!$C$61</definedName>
    <definedName name="dustCollectorScrubberK2">'Equipment Cost Data'!$D$61</definedName>
    <definedName name="dustCollectorScrubberK3">'Equipment Cost Data'!$E$61</definedName>
    <definedName name="dustCollectorScrubberVmax">'Equipment Cost Data'!$G$61</definedName>
    <definedName name="dustCollectorScrubberVmin">'Equipment Cost Data'!$F$61</definedName>
    <definedName name="dustCollectorVenturiFBM">'Equipment Cost Data'!$H$65</definedName>
    <definedName name="dustCollectorVenturiK1">'Equipment Cost Data'!$C$65</definedName>
    <definedName name="dustCollectorVenturiK2">'Equipment Cost Data'!$D$65</definedName>
    <definedName name="dustCollectorVenturiK3">'Equipment Cost Data'!$E$65</definedName>
    <definedName name="dustCollectorVenturiVmax">'Equipment Cost Data'!$G$65</definedName>
    <definedName name="dustCollectorVenturiVmin">'Equipment Cost Data'!$F$65</definedName>
    <definedName name="economicsHelp">#REF!</definedName>
    <definedName name="endClassification">'COM Summary'!$C$6</definedName>
    <definedName name="endMaterial">'COM Summary'!$F$6</definedName>
    <definedName name="endMid">'Utilities Summary'!$M$16</definedName>
    <definedName name="equipmentHelp">#REF!</definedName>
    <definedName name="evaporatorAgitatedAmax">'Equipment Cost Data'!$G$113</definedName>
    <definedName name="evaporatorAgitatedAmin">'Equipment Cost Data'!$F$113</definedName>
    <definedName name="evaporatorAgitatedC1">'Equipment Cost Data'!$I$113</definedName>
    <definedName name="evaporatorAgitatedC2">'Equipment Cost Data'!$J$113</definedName>
    <definedName name="evaporatorAgitatedC3">'Equipment Cost Data'!$K$113</definedName>
    <definedName name="evaporatorAgitatedFBMCS">'Equipment Cost Data'!$C$225</definedName>
    <definedName name="evaporatorAgitatedFBMCu">'Equipment Cost Data'!$D$225</definedName>
    <definedName name="evaporatorAgitatedFBMNi">'Equipment Cost Data'!$F$225</definedName>
    <definedName name="evaporatorAgitatedFBMSS">'Equipment Cost Data'!$E$225</definedName>
    <definedName name="evaporatorAgitatedFBMTi">'Equipment Cost Data'!$G$225</definedName>
    <definedName name="evaporatorAgitatedK1">'Equipment Cost Data'!$C$113</definedName>
    <definedName name="evaporatorAgitatedK2">'Equipment Cost Data'!$D$113</definedName>
    <definedName name="evaporatorAgitatedK3">'Equipment Cost Data'!$E$113</definedName>
    <definedName name="evaporatorAgitatedPmax">'Equipment Cost Data'!$H$113</definedName>
    <definedName name="evaporatorFilmAmax">'Equipment Cost Data'!$G$112</definedName>
    <definedName name="evaporatorFilmAmin">'Equipment Cost Data'!$F$112</definedName>
    <definedName name="evaporatorFilmC1">'Equipment Cost Data'!$I$112</definedName>
    <definedName name="evaporatorFilmC2">'Equipment Cost Data'!$J$112</definedName>
    <definedName name="evaporatorFilmC3">'Equipment Cost Data'!$K$112</definedName>
    <definedName name="evaporatorFilmFBMCS">'Equipment Cost Data'!$C$224</definedName>
    <definedName name="evaporatorFilmFBMCu">'Equipment Cost Data'!$D$224</definedName>
    <definedName name="evaporatorFilmFBMNi">'Equipment Cost Data'!$F$224</definedName>
    <definedName name="evaporatorFilmFBMSS">'Equipment Cost Data'!$E$224</definedName>
    <definedName name="evaporatorFilmFBMTi">'Equipment Cost Data'!$G$224</definedName>
    <definedName name="evaporatorFilmK1">'Equipment Cost Data'!$C$112</definedName>
    <definedName name="evaporatorFilmK2">'Equipment Cost Data'!$D$112</definedName>
    <definedName name="evaporatorFilmK3">'Equipment Cost Data'!$E$112</definedName>
    <definedName name="evaporatorFilmPmax">'Equipment Cost Data'!$H$112</definedName>
    <definedName name="evaporatorForcedAmax">'Equipment Cost Data'!$G$111</definedName>
    <definedName name="evaporatorForcedAmin">'Equipment Cost Data'!$F$111</definedName>
    <definedName name="evaporatorForcedC1">'Equipment Cost Data'!$I$111</definedName>
    <definedName name="evaporatorForcedC2">'Equipment Cost Data'!$J$111</definedName>
    <definedName name="evaporatorForcedC3">'Equipment Cost Data'!$K$111</definedName>
    <definedName name="evaporatorForcedFBMCS">'Equipment Cost Data'!$C$223</definedName>
    <definedName name="evaporatorForcedFBMCu">'Equipment Cost Data'!$D$223</definedName>
    <definedName name="evaporatorForcedFBMNi">'Equipment Cost Data'!$F$223</definedName>
    <definedName name="evaporatorForcedFBMSS">'Equipment Cost Data'!$E$223</definedName>
    <definedName name="evaporatorForcedFBMTi">'Equipment Cost Data'!$G$223</definedName>
    <definedName name="evaporatorForcedK1">'Equipment Cost Data'!$C$111</definedName>
    <definedName name="evaporatorForcedK2">'Equipment Cost Data'!$D$111</definedName>
    <definedName name="evaporatorForcedK3">'Equipment Cost Data'!$E$111</definedName>
    <definedName name="evaporatorForcedPmax">'Equipment Cost Data'!$H$111</definedName>
    <definedName name="evaporatorLongAmax">'Equipment Cost Data'!$G$115</definedName>
    <definedName name="evaporatorLongAmin">'Equipment Cost Data'!$F$115</definedName>
    <definedName name="evaporatorLongC1">'Equipment Cost Data'!$I$115</definedName>
    <definedName name="evaporatorLongC2">'Equipment Cost Data'!$J$115</definedName>
    <definedName name="evaporatorLongC3">'Equipment Cost Data'!$K$115</definedName>
    <definedName name="evaporatorLongFBMCS">'Equipment Cost Data'!$C$227</definedName>
    <definedName name="evaporatorLongFBMCu">'Equipment Cost Data'!$D$227</definedName>
    <definedName name="evaporatorLongFBMNi">'Equipment Cost Data'!$F$227</definedName>
    <definedName name="evaporatorLongFBMSS">'Equipment Cost Data'!$E$227</definedName>
    <definedName name="evaporatorLongFBMTi">'Equipment Cost Data'!$G$227</definedName>
    <definedName name="evaporatorLongK1">'Equipment Cost Data'!$C$115</definedName>
    <definedName name="evaporatorLongK2">'Equipment Cost Data'!$D$115</definedName>
    <definedName name="evaporatorLongK3">'Equipment Cost Data'!$E$115</definedName>
    <definedName name="evaporatorLongPmax">'Equipment Cost Data'!$H$115</definedName>
    <definedName name="evaporatorShortAmax">'Equipment Cost Data'!$G$114</definedName>
    <definedName name="evaporatorShortAmin">'Equipment Cost Data'!$F$114</definedName>
    <definedName name="evaporatorShortC1">'Equipment Cost Data'!$I$114</definedName>
    <definedName name="evaporatorShortC2">'Equipment Cost Data'!$J$114</definedName>
    <definedName name="evaporatorShortC3">'Equipment Cost Data'!$K$114</definedName>
    <definedName name="evaporatorShortFBMCS">'Equipment Cost Data'!$C$226</definedName>
    <definedName name="evaporatorShortFBMCu">'Equipment Cost Data'!$D$226</definedName>
    <definedName name="evaporatorShortFBMNi">'Equipment Cost Data'!$F$226</definedName>
    <definedName name="evaporatorShortFBMSS">'Equipment Cost Data'!$E$226</definedName>
    <definedName name="evaporatorShortFBMTi">'Equipment Cost Data'!$G$226</definedName>
    <definedName name="evaporatorShortK1">'Equipment Cost Data'!$C$114</definedName>
    <definedName name="evaporatorShortK2">'Equipment Cost Data'!$D$114</definedName>
    <definedName name="evaporatorShortK3">'Equipment Cost Data'!$E$114</definedName>
    <definedName name="evaporatorShortPmax">'Equipment Cost Data'!$H$114</definedName>
    <definedName name="exchangerAirAmax">'Equipment Cost Data'!$L$138</definedName>
    <definedName name="exchangerAirAmin">'Equipment Cost Data'!$K$138</definedName>
    <definedName name="exchangerAirB1">'Equipment Cost Data'!$I$138</definedName>
    <definedName name="exchangerAirB2">'Equipment Cost Data'!$J$138</definedName>
    <definedName name="exchangerAirC1">'Equipment Cost Data'!$F$138</definedName>
    <definedName name="exchangerAirC2">'Equipment Cost Data'!$G$138</definedName>
    <definedName name="exchangerAirC3">'Equipment Cost Data'!$H$138</definedName>
    <definedName name="exchangerAirFMAl">'Equipment Cost Data'!$D$167</definedName>
    <definedName name="exchangerAirFMCS">'Equipment Cost Data'!$C$167</definedName>
    <definedName name="exchangerAirFMSS">'Equipment Cost Data'!$E$167</definedName>
    <definedName name="exchangerAirK1">'Equipment Cost Data'!$C$138</definedName>
    <definedName name="exchangerAirK2">'Equipment Cost Data'!$D$138</definedName>
    <definedName name="exchangerAirK3">'Equipment Cost Data'!$E$138</definedName>
    <definedName name="exchangerAirPmax">'Equipment Cost Data'!$M$138</definedName>
    <definedName name="exchangerBayonetAmax">'Equipment Cost Data'!$L$130</definedName>
    <definedName name="exchangerBayonetAmin">'Equipment Cost Data'!$K$130</definedName>
    <definedName name="exchangerBayonetB1">'Equipment Cost Data'!$I$130</definedName>
    <definedName name="exchangerBayonetB2">'Equipment Cost Data'!$J$130</definedName>
    <definedName name="exchangerBayonetC1">'Equipment Cost Data'!$F$130</definedName>
    <definedName name="exchangerBayonetC12">'Equipment Cost Data'!$F$131</definedName>
    <definedName name="exchangerBayonetC2">'Equipment Cost Data'!$G$130</definedName>
    <definedName name="exchangerBayonetC22">'Equipment Cost Data'!$G$131</definedName>
    <definedName name="exchangerBayonetC3">'Equipment Cost Data'!$H$130</definedName>
    <definedName name="exchangerBayonetC32">'Equipment Cost Data'!$H$131</definedName>
    <definedName name="exchangerBayonetFMCSCS">'Equipment Cost Data'!$C$151</definedName>
    <definedName name="exchangerBayonetFMCSCu">'Equipment Cost Data'!$D$151</definedName>
    <definedName name="exchangerBayonetFMCSNi">'Equipment Cost Data'!$H$151</definedName>
    <definedName name="exchangerBayonetFMCSSS">'Equipment Cost Data'!$F$151</definedName>
    <definedName name="exchangerBayonetFMCSTi">'Equipment Cost Data'!$J$151</definedName>
    <definedName name="exchangerBayonetFMCuCu">'Equipment Cost Data'!$E$151</definedName>
    <definedName name="exchangerBayonetFMNiNi">'Equipment Cost Data'!$I$151</definedName>
    <definedName name="exchangerBayonetFMSSSS">'Equipment Cost Data'!$G$151</definedName>
    <definedName name="exchangerBayonetFMTiTi">'Equipment Cost Data'!$K$151</definedName>
    <definedName name="exchangerBayonetK1">'Equipment Cost Data'!$C$130</definedName>
    <definedName name="exchangerBayonetK2">'Equipment Cost Data'!$D$130</definedName>
    <definedName name="exchangerBayonetK3">'Equipment Cost Data'!$E$130</definedName>
    <definedName name="exchangerBayonetPmax">'Equipment Cost Data'!$M$130</definedName>
    <definedName name="exchangerDoubleAmax">'Equipment Cost Data'!$L$120</definedName>
    <definedName name="exchangerDoubleAmin">'Equipment Cost Data'!$K$120</definedName>
    <definedName name="exchangerDoubleB1">'Equipment Cost Data'!$I$120</definedName>
    <definedName name="exchangerDoubleB2">'Equipment Cost Data'!$J$120</definedName>
    <definedName name="exchangerDoubleC1">'Equipment Cost Data'!$F$120</definedName>
    <definedName name="exchangerDoubleC12">'Equipment Cost Data'!$F$121</definedName>
    <definedName name="exchangerDoubleC13">'Equipment Cost Data'!$F$122</definedName>
    <definedName name="exchangerDoubleC2">'Equipment Cost Data'!$G$120</definedName>
    <definedName name="exchangerDoubleC22">'Equipment Cost Data'!$G$121</definedName>
    <definedName name="exchangerDoubleC23">'Equipment Cost Data'!$G$122</definedName>
    <definedName name="exchangerDoubleC3">'Equipment Cost Data'!$H$120</definedName>
    <definedName name="exchangerDoubleC32">'Equipment Cost Data'!$H$121</definedName>
    <definedName name="exchangerDoubleC33">'Equipment Cost Data'!$H$122</definedName>
    <definedName name="exchangerDoubleFMCSCS">'Equipment Cost Data'!$C$147</definedName>
    <definedName name="exchangerDoubleFMCSCu">'Equipment Cost Data'!$D$147</definedName>
    <definedName name="exchangerDoubleFMCSNi">'Equipment Cost Data'!$H$147</definedName>
    <definedName name="exchangerDoubleFMCSSS">'Equipment Cost Data'!$F$147</definedName>
    <definedName name="exchangerDoubleFMCSTi">'Equipment Cost Data'!$J$147</definedName>
    <definedName name="exchangerDoubleFMCuCu">'Equipment Cost Data'!$E$147</definedName>
    <definedName name="exchangerDoubleFMNiNi">'Equipment Cost Data'!$I$147</definedName>
    <definedName name="exchangerDoubleFMSSSS">'Equipment Cost Data'!$G$147</definedName>
    <definedName name="exchangerDoubleFMTiTi">'Equipment Cost Data'!$K$147</definedName>
    <definedName name="exchangerDoubleK1">'Equipment Cost Data'!$C$120</definedName>
    <definedName name="exchangerDoubleK2">'Equipment Cost Data'!$D$120</definedName>
    <definedName name="exchangerDoubleK3">'Equipment Cost Data'!$E$120</definedName>
    <definedName name="exchangerDoublePmax">'Equipment Cost Data'!$M$120</definedName>
    <definedName name="exchangerFixedAmax">'Equipment Cost Data'!$L$126</definedName>
    <definedName name="exchangerFixedAmin">'Equipment Cost Data'!$K$126</definedName>
    <definedName name="exchangerFixedB1">'Equipment Cost Data'!$I$126</definedName>
    <definedName name="exchangerFixedB2">'Equipment Cost Data'!$J$126</definedName>
    <definedName name="exchangerFixedC1">'Equipment Cost Data'!$F$126</definedName>
    <definedName name="exchangerFixedC12">'Equipment Cost Data'!$F$127</definedName>
    <definedName name="exchangerFixedC2">'Equipment Cost Data'!$G$126</definedName>
    <definedName name="exchangerFixedC22">'Equipment Cost Data'!$G$127</definedName>
    <definedName name="exchangerFixedC3">'Equipment Cost Data'!$H$126</definedName>
    <definedName name="exchangerFixedC32">'Equipment Cost Data'!$H$127</definedName>
    <definedName name="exchangerFixedFMCSCS">'Equipment Cost Data'!$C$149</definedName>
    <definedName name="exchangerFixedFMCSCu">'Equipment Cost Data'!$D$149</definedName>
    <definedName name="exchangerFixedFMCSNi">'Equipment Cost Data'!$H$149</definedName>
    <definedName name="exchangerFixedFMCSSS">'Equipment Cost Data'!$F$149</definedName>
    <definedName name="exchangerFixedFMCSTi">'Equipment Cost Data'!$J$149</definedName>
    <definedName name="exchangerFixedFMCuCu">'Equipment Cost Data'!$E$149</definedName>
    <definedName name="exchangerFixedFMNiNi">'Equipment Cost Data'!$I$149</definedName>
    <definedName name="exchangerFixedFMSSSS">'Equipment Cost Data'!$G$149</definedName>
    <definedName name="exchangerFixedFMTiTi">'Equipment Cost Data'!$K$149</definedName>
    <definedName name="exchangerFixedK1">'Equipment Cost Data'!$C$126</definedName>
    <definedName name="exchangerFixedK2">'Equipment Cost Data'!$D$126</definedName>
    <definedName name="exchangerFixedK3">'Equipment Cost Data'!$E$126</definedName>
    <definedName name="exchangerFixedPmax">'Equipment Cost Data'!$M$126</definedName>
    <definedName name="exchangerFlatAmax">'Equipment Cost Data'!$L$142</definedName>
    <definedName name="exchangerFlatAmin">'Equipment Cost Data'!$K$142</definedName>
    <definedName name="exchangerFlatB1">'Equipment Cost Data'!$I$142</definedName>
    <definedName name="exchangerFlatB2">'Equipment Cost Data'!$J$142</definedName>
    <definedName name="exchangerFlatC1">'Equipment Cost Data'!$F$142</definedName>
    <definedName name="exchangerFlatC2">'Equipment Cost Data'!$G$142</definedName>
    <definedName name="exchangerFlatC3">'Equipment Cost Data'!$H$142</definedName>
    <definedName name="exchangerFlatFMCS">'Equipment Cost Data'!$C$163</definedName>
    <definedName name="exchangerFlatFMCu">'Equipment Cost Data'!$D$163</definedName>
    <definedName name="exchangerFlatFMNi">'Equipment Cost Data'!$F$163</definedName>
    <definedName name="exchangerFlatFMSS">'Equipment Cost Data'!$E$163</definedName>
    <definedName name="exchangerFlatFMTi">'Equipment Cost Data'!$G$163</definedName>
    <definedName name="exchangerFlatK1">'Equipment Cost Data'!$C$142</definedName>
    <definedName name="exchangerFlatK2">'Equipment Cost Data'!$D$142</definedName>
    <definedName name="exchangerFlatK3">'Equipment Cost Data'!$E$142</definedName>
    <definedName name="exchangerFlatPmax">'Equipment Cost Data'!$M$142</definedName>
    <definedName name="exchangerFloatingAmax">'Equipment Cost Data'!$L$128</definedName>
    <definedName name="exchangerFloatingAmin">'Equipment Cost Data'!$K$128</definedName>
    <definedName name="exchangerFloatingB1">'Equipment Cost Data'!$I$128</definedName>
    <definedName name="exchangerFloatingB2">'Equipment Cost Data'!$J$128</definedName>
    <definedName name="exchangerFloatingC1">'Equipment Cost Data'!$F$128</definedName>
    <definedName name="exchangerFloatingC12">'Equipment Cost Data'!$F$129</definedName>
    <definedName name="exchangerFloatingC2">'Equipment Cost Data'!$G$128</definedName>
    <definedName name="exchangerFloatingC22">'Equipment Cost Data'!$G$129</definedName>
    <definedName name="exchangerFloatingC3">'Equipment Cost Data'!$H$128</definedName>
    <definedName name="exchangerFloatingC32">'Equipment Cost Data'!$H$129</definedName>
    <definedName name="exchangerFloatingFMCSCS">'Equipment Cost Data'!$C$150</definedName>
    <definedName name="exchangerFloatingFMCSCu">'Equipment Cost Data'!$D$150</definedName>
    <definedName name="exchangerFloatingFMCSNi">'Equipment Cost Data'!$H$150</definedName>
    <definedName name="exchangerFloatingFMCSSS">'Equipment Cost Data'!$F$150</definedName>
    <definedName name="exchangerFloatingFMCSTi">'Equipment Cost Data'!$J$150</definedName>
    <definedName name="exchangerFloatingFMCuCu">'Equipment Cost Data'!$E$150</definedName>
    <definedName name="exchangerFloatingFMNiNi">'Equipment Cost Data'!$I$150</definedName>
    <definedName name="exchangerFloatingFMSSSS">'Equipment Cost Data'!$G$150</definedName>
    <definedName name="exchangerFloatingFMTiTi">'Equipment Cost Data'!$K$150</definedName>
    <definedName name="exchangerFloatingK1">'Equipment Cost Data'!$C$128</definedName>
    <definedName name="exchangerFloatingK2">'Equipment Cost Data'!$D$128</definedName>
    <definedName name="exchangerFloatingK3">'Equipment Cost Data'!$E$128</definedName>
    <definedName name="exchangerFloatingPmax">'Equipment Cost Data'!$M$128</definedName>
    <definedName name="exchangerKettleAmax">'Equipment Cost Data'!$L$132</definedName>
    <definedName name="exchangerKettleAmin">'Equipment Cost Data'!$K$132</definedName>
    <definedName name="exchangerKettleB1">'Equipment Cost Data'!$I$132</definedName>
    <definedName name="exchangerKettleB2">'Equipment Cost Data'!$J$132</definedName>
    <definedName name="exchangerKettleC1">'Equipment Cost Data'!$F$132</definedName>
    <definedName name="exchangerKettleC12">'Equipment Cost Data'!$F$133</definedName>
    <definedName name="exchangerKettleC2">'Equipment Cost Data'!$G$132</definedName>
    <definedName name="exchangerKettleC22">'Equipment Cost Data'!$G$133</definedName>
    <definedName name="exchangerKettleC3">'Equipment Cost Data'!$H$132</definedName>
    <definedName name="exchangerKettleC32">'Equipment Cost Data'!$H$133</definedName>
    <definedName name="exchangerKettleFMCSCS">'Equipment Cost Data'!$C$152</definedName>
    <definedName name="exchangerKettleFMCSCu">'Equipment Cost Data'!$D$152</definedName>
    <definedName name="exchangerKettleFMCSNi">'Equipment Cost Data'!$H$152</definedName>
    <definedName name="exchangerKettleFMCSSS">'Equipment Cost Data'!$F$152</definedName>
    <definedName name="exchangerKettleFMCSTi">'Equipment Cost Data'!$J$152</definedName>
    <definedName name="exchangerKettleFMCuCu">'Equipment Cost Data'!$E$152</definedName>
    <definedName name="exchangerKettleFMNiNi">'Equipment Cost Data'!$I$152</definedName>
    <definedName name="exchangerKettleFMSSSS">'Equipment Cost Data'!$G$152</definedName>
    <definedName name="exchangerKettleFMTiTi">'Equipment Cost Data'!$K$152</definedName>
    <definedName name="exchangerKettleK1">'Equipment Cost Data'!$C$132</definedName>
    <definedName name="exchangerKettleK2">'Equipment Cost Data'!$D$132</definedName>
    <definedName name="exchangerKettleK3">'Equipment Cost Data'!$E$132</definedName>
    <definedName name="exchangerKettlePmax">'Equipment Cost Data'!$M$132</definedName>
    <definedName name="exchangerMultipleAmax">'Equipment Cost Data'!$L$123</definedName>
    <definedName name="exchangerMultipleAmin">'Equipment Cost Data'!$K$123</definedName>
    <definedName name="exchangerMultipleB1">'Equipment Cost Data'!$I$123</definedName>
    <definedName name="exchangerMultipleB2">'Equipment Cost Data'!$J$123</definedName>
    <definedName name="exchangerMultipleC1">'Equipment Cost Data'!$F$123</definedName>
    <definedName name="exchangerMultipleC11">'Equipment Cost Data'!$F$124</definedName>
    <definedName name="exchangerMultipleC12">'Equipment Cost Data'!$F$124</definedName>
    <definedName name="exchangerMultipleC13">'Equipment Cost Data'!$F$125</definedName>
    <definedName name="exchangerMultipleC2">'Equipment Cost Data'!$G$123</definedName>
    <definedName name="exchangerMultipleC22">'Equipment Cost Data'!$G$124</definedName>
    <definedName name="exchangerMultipleC23">'Equipment Cost Data'!$G$125</definedName>
    <definedName name="exchangerMultipleC3">'Equipment Cost Data'!$H$123</definedName>
    <definedName name="exchangerMultipleC32">'Equipment Cost Data'!$H$124</definedName>
    <definedName name="exchangerMultipleC33">'Equipment Cost Data'!$H$125</definedName>
    <definedName name="exchangerMultipleFMCSCS">'Equipment Cost Data'!$C$148</definedName>
    <definedName name="exchangerMultipleFMCSCu">'Equipment Cost Data'!$D$148</definedName>
    <definedName name="exchangerMultipleFMCSNi">'Equipment Cost Data'!$H$148</definedName>
    <definedName name="exchangerMultipleFMCSSS">'Equipment Cost Data'!$F$148</definedName>
    <definedName name="exchangerMultipleFMCSTi">'Equipment Cost Data'!$J$148</definedName>
    <definedName name="exchangerMultipleFMCuCu">'Equipment Cost Data'!$E$148</definedName>
    <definedName name="exchangerMultipleFMNiNi">'Equipment Cost Data'!$I$148</definedName>
    <definedName name="exchangerMultipleFMSSSS">'Equipment Cost Data'!$G$148</definedName>
    <definedName name="exchangerMultipleFMTiTi">'Equipment Cost Data'!$K$148</definedName>
    <definedName name="exchangerMultipleK1">'Equipment Cost Data'!$C$123</definedName>
    <definedName name="exchangerMultipleK2">'Equipment Cost Data'!$D$123</definedName>
    <definedName name="exchangerMultipleK3">'Equipment Cost Data'!$E$123</definedName>
    <definedName name="exchangerMultiplePmax">'Equipment Cost Data'!$M$123</definedName>
    <definedName name="exchangerScrapedAmax">'Equipment Cost Data'!$L$134</definedName>
    <definedName name="exchangerScrapedAmin">'Equipment Cost Data'!$K$134</definedName>
    <definedName name="exchangerScrapedB1">'Equipment Cost Data'!$I$134</definedName>
    <definedName name="exchangerScrapedB2">'Equipment Cost Data'!$J$134</definedName>
    <definedName name="exchangerScrapedC1">'Equipment Cost Data'!$F$134</definedName>
    <definedName name="exchangerScrapedC12">'Equipment Cost Data'!$F$135</definedName>
    <definedName name="exchangerScrapedC13">'Equipment Cost Data'!$F$136</definedName>
    <definedName name="exchangerScrapedC2">'Equipment Cost Data'!$G$134</definedName>
    <definedName name="exchangerScrapedC22">'Equipment Cost Data'!$G$135</definedName>
    <definedName name="exchangerScrapedC23">'Equipment Cost Data'!$G$136</definedName>
    <definedName name="exchangerScrapedC3">'Equipment Cost Data'!$H$134</definedName>
    <definedName name="exchangerScrapedC32">'Equipment Cost Data'!$H$135</definedName>
    <definedName name="exchangerScrapedC33">'Equipment Cost Data'!$H$136</definedName>
    <definedName name="exchangerScrapedFMCSCS">'Equipment Cost Data'!$C$153</definedName>
    <definedName name="exchangerScrapedFMCSCu">'Equipment Cost Data'!$D$153</definedName>
    <definedName name="exchangerScrapedFMCSNi">'Equipment Cost Data'!$H$153</definedName>
    <definedName name="exchangerScrapedFMCSSS">'Equipment Cost Data'!$F$153</definedName>
    <definedName name="exchangerScrapedFMCSTi">'Equipment Cost Data'!$J$153</definedName>
    <definedName name="exchangerScrapedFMCuCu">'Equipment Cost Data'!$E$153</definedName>
    <definedName name="exchangerScrapedFMNiNi">'Equipment Cost Data'!$I$153</definedName>
    <definedName name="exchangerScrapedFMSSSS">'Equipment Cost Data'!$G$153</definedName>
    <definedName name="exchangerScrapedFMTiTi">'Equipment Cost Data'!$K$153</definedName>
    <definedName name="exchangerScrapedK1">'Equipment Cost Data'!$C$134</definedName>
    <definedName name="exchangerScrapedK2">'Equipment Cost Data'!$D$134</definedName>
    <definedName name="exchangerScrapedK3">'Equipment Cost Data'!$E$134</definedName>
    <definedName name="exchangerScrapedPmax">'Equipment Cost Data'!$M$134</definedName>
    <definedName name="exchangerSpiralPlateAmax">'Equipment Cost Data'!$L$141</definedName>
    <definedName name="exchangerSpiralPlateAmin">'Equipment Cost Data'!$K$141</definedName>
    <definedName name="exchangerSpiralPlateB1">'Equipment Cost Data'!$I$141</definedName>
    <definedName name="exchangerSpiralPlateB2">'Equipment Cost Data'!$J$141</definedName>
    <definedName name="exchangerSpiralPlateC1">'Equipment Cost Data'!$F$141</definedName>
    <definedName name="exchangerSpiralPlateC2">'Equipment Cost Data'!$G$141</definedName>
    <definedName name="exchangerSpiralPlateC3">'Equipment Cost Data'!$H$141</definedName>
    <definedName name="exchangerSpiralPlateFMCS">'Equipment Cost Data'!$C$162</definedName>
    <definedName name="exchangerSpiralPlateFMCu">'Equipment Cost Data'!$D$162</definedName>
    <definedName name="exchangerSpiralPlateFMNi">'Equipment Cost Data'!$F$162</definedName>
    <definedName name="exchangerSpiralPlateFMSS">'Equipment Cost Data'!$E$162</definedName>
    <definedName name="exchangerSpiralPlateFMTi">'Equipment Cost Data'!$G$162</definedName>
    <definedName name="exchangerSpiralPlateK1">'Equipment Cost Data'!$C$141</definedName>
    <definedName name="exchangerSpiralPlateK2">'Equipment Cost Data'!$D$141</definedName>
    <definedName name="exchangerSpiralPlateK3">'Equipment Cost Data'!$E$141</definedName>
    <definedName name="exchangerSpiralPlatePmax">'Equipment Cost Data'!$M$141</definedName>
    <definedName name="exchangerSpiralTubeAmax">'Equipment Cost Data'!$L$139</definedName>
    <definedName name="exchangerSpiralTubeAmin">'Equipment Cost Data'!$K$139</definedName>
    <definedName name="exchangerSpiralTubeB1">'Equipment Cost Data'!$I$139</definedName>
    <definedName name="exchangerSpiralTubeB2">'Equipment Cost Data'!$J$139</definedName>
    <definedName name="exchangerSpiralTubeC1">'Equipment Cost Data'!$F$139</definedName>
    <definedName name="exchangerSpiralTubeC12">'Equipment Cost Data'!$F$140</definedName>
    <definedName name="exchangerSpiralTubeC2">'Equipment Cost Data'!$G$139</definedName>
    <definedName name="exchangerSpiralTubeC22">'Equipment Cost Data'!$G$140</definedName>
    <definedName name="exchangerSpiralTubeC3">'Equipment Cost Data'!$H$139</definedName>
    <definedName name="exchangerSpiralTubeC32">'Equipment Cost Data'!$H$140</definedName>
    <definedName name="exchangerSpiralTubeFMCSCS">'Equipment Cost Data'!$C$154</definedName>
    <definedName name="exchangerSpiralTubeFMCSCu">'Equipment Cost Data'!$D$154</definedName>
    <definedName name="exchangerSpiralTubeFMCSNi">'Equipment Cost Data'!$H$154</definedName>
    <definedName name="exchangerSpiralTubeFMCSSS">'Equipment Cost Data'!$F$154</definedName>
    <definedName name="exchangerSpiralTubeFMCSTi">'Equipment Cost Data'!$J$154</definedName>
    <definedName name="exchangerSpiralTubeFMCuCu">'Equipment Cost Data'!$E$154</definedName>
    <definedName name="exchangerSpiralTubeFMNiNi">'Equipment Cost Data'!$I$154</definedName>
    <definedName name="exchangerSpiralTubeFMSSSS">'Equipment Cost Data'!$G$154</definedName>
    <definedName name="exchangerSpiralTubeFMTiTi">'Equipment Cost Data'!$K$154</definedName>
    <definedName name="exchangerSpiralTubeK1">'Equipment Cost Data'!$C$139</definedName>
    <definedName name="exchangerSpiralTubeK2">'Equipment Cost Data'!$D$139</definedName>
    <definedName name="exchangerSpiralTubeK3">'Equipment Cost Data'!$E$139</definedName>
    <definedName name="exchangerSpiralTubePmax">'Equipment Cost Data'!$M$139</definedName>
    <definedName name="exchangerTeflonAmax">'Equipment Cost Data'!$L$137</definedName>
    <definedName name="exchangerTeflonAmin">'Equipment Cost Data'!$K$137</definedName>
    <definedName name="exchangerTeflonB1">'Equipment Cost Data'!$I$137</definedName>
    <definedName name="exchangerTeflonB2">'Equipment Cost Data'!$J$137</definedName>
    <definedName name="exchangerTeflonC1">'Equipment Cost Data'!$F$137</definedName>
    <definedName name="exchangerTeflonC2">'Equipment Cost Data'!$G$137</definedName>
    <definedName name="exchangerTeflonC3">'Equipment Cost Data'!$H$137</definedName>
    <definedName name="exchangerTeflonFMCS">'Equipment Cost Data'!$C$158</definedName>
    <definedName name="exchangerTeflonFMCu">'Equipment Cost Data'!$D$158</definedName>
    <definedName name="exchangerTeflonFMNi">'Equipment Cost Data'!$F$158</definedName>
    <definedName name="exchangerTeflonFMSS">'Equipment Cost Data'!$E$158</definedName>
    <definedName name="exchangerTeflonFMTi">'Equipment Cost Data'!$G$158</definedName>
    <definedName name="exchangerTeflonK1">'Equipment Cost Data'!$C$137</definedName>
    <definedName name="exchangerTeflonK2">'Equipment Cost Data'!$D$137</definedName>
    <definedName name="exchangerTeflonK3">'Equipment Cost Data'!$E$137</definedName>
    <definedName name="exchangerTeflonPmax">'Equipment Cost Data'!$M$137</definedName>
    <definedName name="fanCurvedC1">'Equipment Cost Data'!$K$71</definedName>
    <definedName name="fanCurvedC2">'Equipment Cost Data'!$L$71</definedName>
    <definedName name="fanCurvedC3">'Equipment Cost Data'!$M$71</definedName>
    <definedName name="fanCurvedFBMCS">'Equipment Cost Data'!$F$71</definedName>
    <definedName name="fanCurvedFBMfiberglass">'Equipment Cost Data'!$G$71</definedName>
    <definedName name="fanCurvedFBMNi">'Equipment Cost Data'!$I$71</definedName>
    <definedName name="fanCurvedFBMSS">'Equipment Cost Data'!$H$71</definedName>
    <definedName name="fanCurvedK1">'Equipment Cost Data'!$C$71</definedName>
    <definedName name="fanCurvedK2">'Equipment Cost Data'!$D$71</definedName>
    <definedName name="fanCurvedK3">'Equipment Cost Data'!$E$71</definedName>
    <definedName name="fanCurvedPmax">'Equipment Cost Data'!$P$71</definedName>
    <definedName name="fanCurvedPressure">'Equipment Cost Data'!$J$71</definedName>
    <definedName name="fanCurvedVmax">'Equipment Cost Data'!$O$71</definedName>
    <definedName name="fanCurvedVmin">'Equipment Cost Data'!$N$71</definedName>
    <definedName name="fanEfficiency">'User Options'!$C$43</definedName>
    <definedName name="fanRadialC1">'Equipment Cost Data'!$K$70</definedName>
    <definedName name="fanRadialC2">'Equipment Cost Data'!$L$70</definedName>
    <definedName name="fanRadialC3">'Equipment Cost Data'!$M$70</definedName>
    <definedName name="fanRadialFBMCS">'Equipment Cost Data'!$F$70</definedName>
    <definedName name="fanRadialFBMfiberglass">'Equipment Cost Data'!$G$70</definedName>
    <definedName name="fanRadialFBMNi">'Equipment Cost Data'!$I$70</definedName>
    <definedName name="fanRadialFBMSS">'Equipment Cost Data'!$H$70</definedName>
    <definedName name="fanRadialK1">'Equipment Cost Data'!$C$70</definedName>
    <definedName name="fanRadialK2">'Equipment Cost Data'!$D$70</definedName>
    <definedName name="fanRadialK3">'Equipment Cost Data'!$E$70</definedName>
    <definedName name="fanRadialPmax">'Equipment Cost Data'!$P$70</definedName>
    <definedName name="fanRadialPressure">'Equipment Cost Data'!$J$70</definedName>
    <definedName name="fanRadialVmax">'Equipment Cost Data'!$O$70</definedName>
    <definedName name="fanRadialVmin">'Equipment Cost Data'!$N$70</definedName>
    <definedName name="fanTubeC1">'Equipment Cost Data'!$K$72</definedName>
    <definedName name="fanTubeC2">'Equipment Cost Data'!$L$72</definedName>
    <definedName name="fanTubeC3">'Equipment Cost Data'!$M$72</definedName>
    <definedName name="fanTubeFBMCS">'Equipment Cost Data'!$F$72</definedName>
    <definedName name="fanTubeFBMfiberglass">'Equipment Cost Data'!$G$72</definedName>
    <definedName name="fanTubeFBMNi">'Equipment Cost Data'!$I$72</definedName>
    <definedName name="fanTubeFBMSS">'Equipment Cost Data'!$H$72</definedName>
    <definedName name="fanTubeK1">'Equipment Cost Data'!$C$72</definedName>
    <definedName name="fanTubeK2">'Equipment Cost Data'!$D$72</definedName>
    <definedName name="fanTubeK3">'Equipment Cost Data'!$E$72</definedName>
    <definedName name="fanTubePmax">'Equipment Cost Data'!$P$72</definedName>
    <definedName name="fanTubePressure">'Equipment Cost Data'!$J$72</definedName>
    <definedName name="fanTubeVmax">'Equipment Cost Data'!$O$72</definedName>
    <definedName name="fanTubeVmin">'Equipment Cost Data'!$N$72</definedName>
    <definedName name="fanVaneC1">'Equipment Cost Data'!$K$73</definedName>
    <definedName name="fanVaneC2">'Equipment Cost Data'!$L$73</definedName>
    <definedName name="fanVaneC3">'Equipment Cost Data'!$M$73</definedName>
    <definedName name="fanVaneFBMCS">'Equipment Cost Data'!$F$73</definedName>
    <definedName name="fanVaneFBMfiberglass">'Equipment Cost Data'!$G$73</definedName>
    <definedName name="fanVaneFBMNi">'Equipment Cost Data'!$I$73</definedName>
    <definedName name="fanVaneFBMSS">'Equipment Cost Data'!$H$73</definedName>
    <definedName name="fanVaneK1">'Equipment Cost Data'!$C$73</definedName>
    <definedName name="fanVaneK2">'Equipment Cost Data'!$D$73</definedName>
    <definedName name="fanVaneK3">'Equipment Cost Data'!$E$73</definedName>
    <definedName name="fanVanePmax">'Equipment Cost Data'!$P$73</definedName>
    <definedName name="fanVanePressure">'Equipment Cost Data'!$J$73</definedName>
    <definedName name="fanVaneVmax">'Equipment Cost Data'!$O$73</definedName>
    <definedName name="fanVaneVmin">'Equipment Cost Data'!$N$73</definedName>
    <definedName name="FBM">'Equipment Cost Data'!$H$59</definedName>
    <definedName name="FCIL">'COM Summary'!$C$18</definedName>
    <definedName name="filterBentAmax">'Equipment Cost Data'!$G$78</definedName>
    <definedName name="filterBentAmin">'Equipment Cost Data'!$F$78</definedName>
    <definedName name="filterBentFBM">'Equipment Cost Data'!$H$78</definedName>
    <definedName name="filterBentK1">'Equipment Cost Data'!$C$78</definedName>
    <definedName name="filterBentK2">'Equipment Cost Data'!$D$78</definedName>
    <definedName name="filterBentK3">'Equipment Cost Data'!$E$78</definedName>
    <definedName name="filterCartridgeAmax">'Equipment Cost Data'!$G$79</definedName>
    <definedName name="filterCartridgeAmin">'Equipment Cost Data'!$F$79</definedName>
    <definedName name="filterCartridgeFBM">'Equipment Cost Data'!$H$79</definedName>
    <definedName name="filterCartridgeK1">'Equipment Cost Data'!$C$79</definedName>
    <definedName name="filterCartridgeK2">'Equipment Cost Data'!$D$79</definedName>
    <definedName name="filterCartridgeK3">'Equipment Cost Data'!$E$79</definedName>
    <definedName name="filterDiscAndDrumAmax">'Equipment Cost Data'!$G$80</definedName>
    <definedName name="filterDiscAndDrumAmin">'Equipment Cost Data'!$F$80</definedName>
    <definedName name="filterDiscAndDrumFBM">'Equipment Cost Data'!$H$80</definedName>
    <definedName name="filterDiscAndDrumK1">'Equipment Cost Data'!$C$80</definedName>
    <definedName name="filterDiscAndDrumK2">'Equipment Cost Data'!$D$80</definedName>
    <definedName name="filterDiscAndDrumK3">'Equipment Cost Data'!$E$80</definedName>
    <definedName name="filterGravityAmax">'Equipment Cost Data'!$G$81</definedName>
    <definedName name="filterGravityAmin">'Equipment Cost Data'!$F$81</definedName>
    <definedName name="filterGravityFBM">'Equipment Cost Data'!$H$81</definedName>
    <definedName name="filterGravityK1">'Equipment Cost Data'!$C$81</definedName>
    <definedName name="filterGravityK2">'Equipment Cost Data'!$D$81</definedName>
    <definedName name="filterGravityK3">'Equipment Cost Data'!$E$81</definedName>
    <definedName name="filterLeafAmax">'Equipment Cost Data'!$G$82</definedName>
    <definedName name="filterLeafAmin">'Equipment Cost Data'!$F$82</definedName>
    <definedName name="filterLeafFBM">'Equipment Cost Data'!$H$82</definedName>
    <definedName name="filterLeafK1">'Equipment Cost Data'!$C$82</definedName>
    <definedName name="filterLeafK2">'Equipment Cost Data'!$D$82</definedName>
    <definedName name="filterLeafK3">'Equipment Cost Data'!$E$82</definedName>
    <definedName name="filterPanAmax">'Equipment Cost Data'!$G$83</definedName>
    <definedName name="filterPanAmin">'Equipment Cost Data'!$F$83</definedName>
    <definedName name="filterPanFBM">'Equipment Cost Data'!$H$83</definedName>
    <definedName name="filterPanK1">'Equipment Cost Data'!$C$83</definedName>
    <definedName name="filterPanK2">'Equipment Cost Data'!$D$83</definedName>
    <definedName name="filterPanK3">'Equipment Cost Data'!$E$83</definedName>
    <definedName name="filterPlateAndFrameAmax">'Equipment Cost Data'!$G$84</definedName>
    <definedName name="filterPlateAndFrameAmin">'Equipment Cost Data'!$F$84</definedName>
    <definedName name="filterPlateAndFrameFBM">'Equipment Cost Data'!$H$84</definedName>
    <definedName name="filterPlateAndFrameK1">'Equipment Cost Data'!$C$84</definedName>
    <definedName name="filterPlateAndFrameK2">'Equipment Cost Data'!$D$84</definedName>
    <definedName name="filterPlateAndFrameK3">'Equipment Cost Data'!$E$84</definedName>
    <definedName name="filterTableAmax">'Equipment Cost Data'!$G$85</definedName>
    <definedName name="filterTableAmin">'Equipment Cost Data'!$F$85</definedName>
    <definedName name="filterTableFBM">'Equipment Cost Data'!$H$85</definedName>
    <definedName name="filterTableK1">'Equipment Cost Data'!$C$85</definedName>
    <definedName name="filterTableK2">'Equipment Cost Data'!$D$85</definedName>
    <definedName name="filterTableK3">'Equipment Cost Data'!$E$85</definedName>
    <definedName name="filterTubeAmax">'Equipment Cost Data'!$G$86</definedName>
    <definedName name="filterTubeAmin">'Equipment Cost Data'!$F$86</definedName>
    <definedName name="filterTubeFBM">'Equipment Cost Data'!$H$86</definedName>
    <definedName name="filterTubeK1">'Equipment Cost Data'!$C$86</definedName>
    <definedName name="filterTubeK2">'Equipment Cost Data'!$D$86</definedName>
    <definedName name="filterTubeK3">'Equipment Cost Data'!$E$86</definedName>
    <definedName name="furnaceEfficiency">'User Options'!$C$44</definedName>
    <definedName name="grassRootsFactor">'COM Summary'!$C$20</definedName>
    <definedName name="heaterDiphenylC1">'Equipment Cost Data'!$I$104</definedName>
    <definedName name="heaterDiphenylC2">'Equipment Cost Data'!$J$104</definedName>
    <definedName name="heaterDiphenylC3">'Equipment Cost Data'!$K$104</definedName>
    <definedName name="heaterDiphenylFBM">'Equipment Cost Data'!$L$104</definedName>
    <definedName name="heaterDiphenylK1">'Equipment Cost Data'!$C$104</definedName>
    <definedName name="heaterDiphenylK2">'Equipment Cost Data'!$D$104</definedName>
    <definedName name="heaterDiphenylK3">'Equipment Cost Data'!$E$104</definedName>
    <definedName name="heaterDiphenylPmax">'Equipment Cost Data'!$H$104</definedName>
    <definedName name="heaterDiphenylQmax">'Equipment Cost Data'!$G$104</definedName>
    <definedName name="heaterDiphenylQmin">'Equipment Cost Data'!$F$104</definedName>
    <definedName name="heaterMoltenC1">'Equipment Cost Data'!$I$103</definedName>
    <definedName name="heaterMoltenC2">'Equipment Cost Data'!$J$103</definedName>
    <definedName name="heaterMoltenC3">'Equipment Cost Data'!$K$103</definedName>
    <definedName name="heaterMoltenFBM">'Equipment Cost Data'!$L$103</definedName>
    <definedName name="heaterMoltenK1">'Equipment Cost Data'!$C$103</definedName>
    <definedName name="heaterMoltenK2">'Equipment Cost Data'!$D$103</definedName>
    <definedName name="heaterMoltenK3">'Equipment Cost Data'!$E$103</definedName>
    <definedName name="heaterMoltenPmax">'Equipment Cost Data'!$H$103</definedName>
    <definedName name="heaterMoltenQmax">'Equipment Cost Data'!$G$103</definedName>
    <definedName name="heaterMoltenQmin">'Equipment Cost Data'!$F$103</definedName>
    <definedName name="heaterProcessC1">'Equipment Cost Data'!$I$97</definedName>
    <definedName name="heaterProcessC2">'Equipment Cost Data'!$J$97</definedName>
    <definedName name="heaterProcessC3">'Equipment Cost Data'!$K$97</definedName>
    <definedName name="heaterProcessFBMAlloy">'Equipment Cost Data'!$M$97</definedName>
    <definedName name="heaterProcessFBMCS">'Equipment Cost Data'!$L$97</definedName>
    <definedName name="heaterProcessFBMSS">'Equipment Cost Data'!$N$97</definedName>
    <definedName name="heaterProcessK1">'Equipment Cost Data'!$C$97</definedName>
    <definedName name="heaterProcessK2">'Equipment Cost Data'!$D$97</definedName>
    <definedName name="heaterProcessK3">'Equipment Cost Data'!$E$97</definedName>
    <definedName name="heaterProcessPmax">'Equipment Cost Data'!$H$97</definedName>
    <definedName name="heaterProcessQmax">'Equipment Cost Data'!$G$97</definedName>
    <definedName name="heaterProcessQmin">'Equipment Cost Data'!$F$97</definedName>
    <definedName name="heaterPyrolysisC1">'Equipment Cost Data'!$I$93</definedName>
    <definedName name="heaterPyrolysisC2">'Equipment Cost Data'!$J$93</definedName>
    <definedName name="heaterPyrolysisC3">'Equipment Cost Data'!$K$93</definedName>
    <definedName name="heaterPyrolysisFBMAlloy">'Equipment Cost Data'!$M$93</definedName>
    <definedName name="heaterPyrolysisFBMCS">'Equipment Cost Data'!$L$93</definedName>
    <definedName name="heaterPyrolysisFBMSS">'Equipment Cost Data'!$N$93</definedName>
    <definedName name="heaterPyrolysisK1">'Equipment Cost Data'!$C$93</definedName>
    <definedName name="heaterPyrolysisK2">'Equipment Cost Data'!$D$93</definedName>
    <definedName name="heaterPyrolysisK3">'Equipment Cost Data'!$E$93</definedName>
    <definedName name="heaterPyrolysisPmax">'Equipment Cost Data'!$H$93</definedName>
    <definedName name="heaterPyrolysisQmax">'Equipment Cost Data'!$G$93</definedName>
    <definedName name="heaterPyrolysisQmin">'Equipment Cost Data'!$F$93</definedName>
    <definedName name="heaterReformerC1">'Equipment Cost Data'!$I$92</definedName>
    <definedName name="heaterReformerC2">'Equipment Cost Data'!$J$92</definedName>
    <definedName name="heaterReformerC3">'Equipment Cost Data'!$K$92</definedName>
    <definedName name="heaterReformerFBMAlloy">'Equipment Cost Data'!$M$92</definedName>
    <definedName name="heaterReformerFBMCS">'Equipment Cost Data'!$L$92</definedName>
    <definedName name="heaterReformerFBMSS">'Equipment Cost Data'!$N$92</definedName>
    <definedName name="heaterReformerK1">'Equipment Cost Data'!$C$92</definedName>
    <definedName name="heaterReformerK2">'Equipment Cost Data'!$D$92</definedName>
    <definedName name="heaterReformerK3">'Equipment Cost Data'!$E$92</definedName>
    <definedName name="heaterReformerPmax">'Equipment Cost Data'!$H$92</definedName>
    <definedName name="heaterReformerQmax">'Equipment Cost Data'!$G$92</definedName>
    <definedName name="heaterReformerQmin">'Equipment Cost Data'!$F$92</definedName>
    <definedName name="heaterSaltFBM">'Equipment Cost Data'!$L$103</definedName>
    <definedName name="heaterSaltK1">'Equipment Cost Data'!$C$103</definedName>
    <definedName name="heaterSaltK2">'Equipment Cost Data'!$D$103</definedName>
    <definedName name="heaterSaltK3">'Equipment Cost Data'!$E$103</definedName>
    <definedName name="heaterSaltQmax">'Equipment Cost Data'!$G$103</definedName>
    <definedName name="heaterSaltQmin">'Equipment Cost Data'!$F$103</definedName>
    <definedName name="heaterSteamC1">'Equipment Cost Data'!$I$105</definedName>
    <definedName name="heaterSteamC2">'Equipment Cost Data'!$J$105</definedName>
    <definedName name="heaterSteamC3">'Equipment Cost Data'!$K$105</definedName>
    <definedName name="heaterSteamFBM">'Equipment Cost Data'!$L$105</definedName>
    <definedName name="heaterSteamFT1">'Equipment Cost Data'!$M$105</definedName>
    <definedName name="heaterSteamFT2">'Equipment Cost Data'!$N$105</definedName>
    <definedName name="heaterSteamFT3">'Equipment Cost Data'!$O$105</definedName>
    <definedName name="heaterSteamK1">'Equipment Cost Data'!$C$105</definedName>
    <definedName name="heaterSteamK2">'Equipment Cost Data'!$D$105</definedName>
    <definedName name="heaterSteamK3">'Equipment Cost Data'!$E$105</definedName>
    <definedName name="heaterSteamPmax">'Equipment Cost Data'!$H$105</definedName>
    <definedName name="heaterSteamQmax">'Equipment Cost Data'!$G$105</definedName>
    <definedName name="heaterSteamQmin">'Equipment Cost Data'!$F$105</definedName>
    <definedName name="heaterWaterC1">'Equipment Cost Data'!$I$102</definedName>
    <definedName name="heaterWaterC2">'Equipment Cost Data'!$J$102</definedName>
    <definedName name="heaterWaterC3">'Equipment Cost Data'!$K$102</definedName>
    <definedName name="heaterWaterFBM">'Equipment Cost Data'!$L$102</definedName>
    <definedName name="heaterWaterK1">'Equipment Cost Data'!$C$102</definedName>
    <definedName name="heaterWaterK2">'Equipment Cost Data'!$D$102</definedName>
    <definedName name="heaterWaterK3">'Equipment Cost Data'!$E$102</definedName>
    <definedName name="heaterWaterPmax">'Equipment Cost Data'!$H$102</definedName>
    <definedName name="heaterWaterQmax">'Equipment Cost Data'!$G$102</definedName>
    <definedName name="heaterWaterQmin">'Equipment Cost Data'!$F$102</definedName>
    <definedName name="hoursPerYear">'User Options'!$C$2</definedName>
    <definedName name="iRate">'COM Summary'!$C$15</definedName>
    <definedName name="lowerFCIL">'Monte Carlo Simulation'!$D$7</definedName>
    <definedName name="lowerIncomeTaxRate">'Monte Carlo Simulation'!$D$10</definedName>
    <definedName name="lowerInterestRate">'Monte Carlo Simulation'!$D$11</definedName>
    <definedName name="lowerMaterialPrice">'Monte Carlo Simulation'!$D$12</definedName>
    <definedName name="lowerProductPrice">'Monte Carlo Simulation'!$D$8</definedName>
    <definedName name="lowerSalesVolume">'Monte Carlo Simulation'!#REF!</definedName>
    <definedName name="lowerSalvageValue">'Monte Carlo Simulation'!$D$13</definedName>
    <definedName name="lowerWorkingCapital">'Monte Carlo Simulation'!$D$9</definedName>
    <definedName name="MFCOL">'COM Summary'!$C$32</definedName>
    <definedName name="MFCUT">'COM Summary'!$C$33</definedName>
    <definedName name="MFFCIL">'COM Summary'!$C$31</definedName>
    <definedName name="mixerImpellerFBM">'Equipment Cost Data'!$H$172</definedName>
    <definedName name="mixerImpellerK1">'Equipment Cost Data'!$C$172</definedName>
    <definedName name="mixerImpellerK2">'Equipment Cost Data'!$D$172</definedName>
    <definedName name="mixerImpellerK3">'Equipment Cost Data'!$E$172</definedName>
    <definedName name="mixerImpellerPmax">'Equipment Cost Data'!$G$172</definedName>
    <definedName name="mixerImpellerPmin">'Equipment Cost Data'!$F$172</definedName>
    <definedName name="mixerPropellerFBM">'Equipment Cost Data'!$H$173</definedName>
    <definedName name="mixerPropellerK1">'Equipment Cost Data'!$C$173</definedName>
    <definedName name="mixerPropellerK2">'Equipment Cost Data'!$D$173</definedName>
    <definedName name="mixerPropellerK3">'Equipment Cost Data'!$E$173</definedName>
    <definedName name="mixerPropellerPmax">'Equipment Cost Data'!$G$173</definedName>
    <definedName name="mixerPropellerPmin">'Equipment Cost Data'!$F$173</definedName>
    <definedName name="mixerTurbineFBM">'Equipment Cost Data'!$H$174</definedName>
    <definedName name="mixerTurbineK1">'Equipment Cost Data'!$C$174</definedName>
    <definedName name="mixerTurbineK2">'Equipment Cost Data'!$D$174</definedName>
    <definedName name="mixerTurbineK3">'Equipment Cost Data'!$E$174</definedName>
    <definedName name="mixerTurbinePmax">'Equipment Cost Data'!$G$174</definedName>
    <definedName name="mixerTurbinePmin">'Equipment Cost Data'!$F$174</definedName>
    <definedName name="NPV">'Cash Flow Analysis'!$E$38</definedName>
    <definedName name="NPVBin">'Monte Carlo Simulation'!$B$29</definedName>
    <definedName name="optionsHelp">#REF!</definedName>
    <definedName name="packing304SSK1">'Equipment Cost Data'!$C$255</definedName>
    <definedName name="packing304SSK2">'Equipment Cost Data'!$D$255</definedName>
    <definedName name="packing304SSK3">'Equipment Cost Data'!$E$255</definedName>
    <definedName name="packing304SSVmax">'Equipment Cost Data'!$G$255</definedName>
    <definedName name="packing304SSVmin">'Equipment Cost Data'!$F$255</definedName>
    <definedName name="packingCeramicK1">'Equipment Cost Data'!$C$254</definedName>
    <definedName name="packingCeramicK2">'Equipment Cost Data'!$D$254</definedName>
    <definedName name="packingCeramicK3">'Equipment Cost Data'!$E$254</definedName>
    <definedName name="packingCeramicVmax">'Equipment Cost Data'!$G$254</definedName>
    <definedName name="packingCeramicVmin">'Equipment Cost Data'!$F$254</definedName>
    <definedName name="packingSaddleK1">'Equipment Cost Data'!$C$256</definedName>
    <definedName name="packingSaddleK2">'Equipment Cost Data'!$D$256</definedName>
    <definedName name="packingSaddleK3">'Equipment Cost Data'!$E$256</definedName>
    <definedName name="packingSaddleVmax">'Equipment Cost Data'!$G$256</definedName>
    <definedName name="packingSaddleVmin">'Equipment Cost Data'!$F$256</definedName>
    <definedName name="PBP">'Cash Flow Analysis'!$I$42</definedName>
    <definedName name="PBPBin">'Monte Carlo Simulation'!$B$140</definedName>
    <definedName name="preferenceArea">'User Options'!$G$17</definedName>
    <definedName name="preferenceCost">'User Options'!$G$26</definedName>
    <definedName name="preferenceEnergyPrice">'User Options'!$G$32</definedName>
    <definedName name="preferenceFlowrate">'User Options'!$G$29</definedName>
    <definedName name="preferenceGasFlowrate">'User Options'!$G$23</definedName>
    <definedName name="preferenceHeatDuty">'User Options'!$G$11</definedName>
    <definedName name="preferenceLength">'User Options'!$G$14</definedName>
    <definedName name="preferencePower">'User Options'!$G$5</definedName>
    <definedName name="preferencePressure">'User Options'!$G$8</definedName>
    <definedName name="preferenceVolume">'User Options'!$G$20</definedName>
    <definedName name="projectLife">'COM Summary'!$C$43</definedName>
    <definedName name="pumpCentB1">'Equipment Cost Data'!$I$179</definedName>
    <definedName name="pumpCentB2">'Equipment Cost Data'!$J$179</definedName>
    <definedName name="pumpCentC1">'Equipment Cost Data'!$F$179</definedName>
    <definedName name="pumpCentC2">'Equipment Cost Data'!$G$179</definedName>
    <definedName name="pumpCentC3">'Equipment Cost Data'!$H$179</definedName>
    <definedName name="pumpCentFmCI">'Equipment Cost Data'!$K$179</definedName>
    <definedName name="pumpCentFmCS">'Equipment Cost Data'!$L$179</definedName>
    <definedName name="pumpCentFmCu">'Equipment Cost Data'!$M$179</definedName>
    <definedName name="pumpCentFmNi">'Equipment Cost Data'!$O$179</definedName>
    <definedName name="pumpCentFmSS">'Equipment Cost Data'!$N$179</definedName>
    <definedName name="pumpCentFmTi">'Equipment Cost Data'!$P$179</definedName>
    <definedName name="pumpCentK1">'Equipment Cost Data'!$C$179</definedName>
    <definedName name="pumpCentK2">'Equipment Cost Data'!$D$179</definedName>
    <definedName name="pumpCentK3">'Equipment Cost Data'!$E$179</definedName>
    <definedName name="pumpCentPmax">'Equipment Cost Data'!$Q$179</definedName>
    <definedName name="pumpCentWmax">'Equipment Cost Data'!$S$179</definedName>
    <definedName name="pumpCentWmin">'Equipment Cost Data'!$R$179</definedName>
    <definedName name="pumpData">'Equipment Cost Data'!#REF!</definedName>
    <definedName name="pumpEfficiency">'User Options'!$C$41</definedName>
    <definedName name="pumpPDB1">'Equipment Cost Data'!$I$180</definedName>
    <definedName name="pumpPDB2">'Equipment Cost Data'!$J$180</definedName>
    <definedName name="pumpPDC1">'Equipment Cost Data'!$F$180</definedName>
    <definedName name="pumpPDC2">'Equipment Cost Data'!$G$180</definedName>
    <definedName name="pumpPDC3">'Equipment Cost Data'!$H$180</definedName>
    <definedName name="pumpPDFmCI">'Equipment Cost Data'!$K$180</definedName>
    <definedName name="pumpPDFmCS">'Equipment Cost Data'!$L$180</definedName>
    <definedName name="pumpPDFmCu">'Equipment Cost Data'!$M$180</definedName>
    <definedName name="pumpPDFmNi">'Equipment Cost Data'!$O$180</definedName>
    <definedName name="pumpPDFmSS">'Equipment Cost Data'!$N$180</definedName>
    <definedName name="pumpPDFmTi">'Equipment Cost Data'!$P$180</definedName>
    <definedName name="pumpPDK1">'Equipment Cost Data'!$C$180</definedName>
    <definedName name="pumpPDK2">'Equipment Cost Data'!$D$180</definedName>
    <definedName name="pumpPDK3">'Equipment Cost Data'!$E$180</definedName>
    <definedName name="pumpPDPmax">'Equipment Cost Data'!$Q$180</definedName>
    <definedName name="pumpPDWmax">'Equipment Cost Data'!$S$180</definedName>
    <definedName name="pumpPDWmin">'Equipment Cost Data'!$R$180</definedName>
    <definedName name="pumpRecipB1">'Equipment Cost Data'!$I$181</definedName>
    <definedName name="pumpRecipB2">'Equipment Cost Data'!$J$181</definedName>
    <definedName name="pumpRecipC1">'Equipment Cost Data'!$F$181</definedName>
    <definedName name="pumpRecipC2">'Equipment Cost Data'!$G$181</definedName>
    <definedName name="pumpRecipC3">'Equipment Cost Data'!$H$181</definedName>
    <definedName name="pumpRecipFmCI">'Equipment Cost Data'!$K$181</definedName>
    <definedName name="pumpRecipFmCS">'Equipment Cost Data'!$L$181</definedName>
    <definedName name="pumpRecipFmCu">'Equipment Cost Data'!$M$181</definedName>
    <definedName name="pumpRecipFmNi">'Equipment Cost Data'!$O$181</definedName>
    <definedName name="pumpRecipFmSS">'Equipment Cost Data'!$N$181</definedName>
    <definedName name="pumpRecipFmTi">'Equipment Cost Data'!$P$181</definedName>
    <definedName name="pumpRecipK1">'Equipment Cost Data'!$C$181</definedName>
    <definedName name="pumpRecipK2">'Equipment Cost Data'!$D$181</definedName>
    <definedName name="pumpRecipK3">'Equipment Cost Data'!$E$181</definedName>
    <definedName name="pumpRecipPmax">'Equipment Cost Data'!$Q$181</definedName>
    <definedName name="pumpRecipWmax">'Equipment Cost Data'!$S$181</definedName>
    <definedName name="pumpRecipWmin">'Equipment Cost Data'!$R$181</definedName>
    <definedName name="Qmin">'Equipment Cost Data'!$F$93</definedName>
    <definedName name="reactorAutoclaveFBM">'Equipment Cost Data'!$H$186</definedName>
    <definedName name="reactorAutoclaveK1">'Equipment Cost Data'!$C$186</definedName>
    <definedName name="reactorAutoclaveK2">'Equipment Cost Data'!$D$186</definedName>
    <definedName name="reactorAutoclaveK3">'Equipment Cost Data'!$E$186</definedName>
    <definedName name="reactorAutoclaveVmax">'Equipment Cost Data'!$G$186</definedName>
    <definedName name="reactorAutoclaveVmin">'Equipment Cost Data'!$F$186</definedName>
    <definedName name="reactorFermenterFBM">'Equipment Cost Data'!$H$187</definedName>
    <definedName name="reactorFermenterK1">'Equipment Cost Data'!$C$187</definedName>
    <definedName name="reactorFermenterK2">'Equipment Cost Data'!$D$187</definedName>
    <definedName name="reactorFermenterK3">'Equipment Cost Data'!$E$187</definedName>
    <definedName name="reactorFermenterVmax">'Equipment Cost Data'!$G$187</definedName>
    <definedName name="reactorFermenterVmin">'Equipment Cost Data'!$F$187</definedName>
    <definedName name="reactorInoculumFBM">'Equipment Cost Data'!$H$188</definedName>
    <definedName name="reactorInoculumK1">'Equipment Cost Data'!$C$188</definedName>
    <definedName name="reactorInoculumK2">'Equipment Cost Data'!$D$188</definedName>
    <definedName name="reactorInoculumK3">'Equipment Cost Data'!$E$188</definedName>
    <definedName name="reactorInoculumVmax">'Equipment Cost Data'!$G$188</definedName>
    <definedName name="reactorInoculumVmin">'Equipment Cost Data'!$F$188</definedName>
    <definedName name="reactorJacketedAgitatedFBM">'Equipment Cost Data'!$H$189</definedName>
    <definedName name="reactorJacketedAgitatedK1">'Equipment Cost Data'!$C$189</definedName>
    <definedName name="reactorJacketedAgitatedK2">'Equipment Cost Data'!$D$189</definedName>
    <definedName name="reactorJacketedAgitatedK3">'Equipment Cost Data'!$E$189</definedName>
    <definedName name="reactorJacketedAgitatedVmax">'Equipment Cost Data'!$G$189</definedName>
    <definedName name="reactorJacketedAgitatedVmin">'Equipment Cost Data'!$F$189</definedName>
    <definedName name="reactorJacketedNonAgitatedFBM">'Equipment Cost Data'!$H$190</definedName>
    <definedName name="reactorJacketedNonAgitatedK1">'Equipment Cost Data'!$C$190</definedName>
    <definedName name="reactorJacketedNonAgitatedK2">'Equipment Cost Data'!$D$190</definedName>
    <definedName name="reactorJacketedNonAgitatedK3">'Equipment Cost Data'!$E$190</definedName>
    <definedName name="reactorJacketedNonAgitatedVmax">'Equipment Cost Data'!$G$190</definedName>
    <definedName name="reactorJacketedNonAgitatedVmin">'Equipment Cost Data'!$F$190</definedName>
    <definedName name="reactorMixerSettlerFBM">'Equipment Cost Data'!$H$191</definedName>
    <definedName name="reactorMixerSettlerK1">'Equipment Cost Data'!$C$191</definedName>
    <definedName name="reactorMixerSettlerK2">'Equipment Cost Data'!$D$191</definedName>
    <definedName name="reactorMixerSettlerK3">'Equipment Cost Data'!$E$191</definedName>
    <definedName name="reactorMixerSettlerVmax">'Equipment Cost Data'!$G$191</definedName>
    <definedName name="reactorMixerSettlerVmin">'Equipment Cost Data'!$F$191</definedName>
    <definedName name="revenue">'COM Summary'!$C$23</definedName>
    <definedName name="ROROI">'Cash Flow Analysis'!$I$40</definedName>
    <definedName name="ROROIBin">'Monte Carlo Simulation'!$B$118</definedName>
    <definedName name="salvageValue">'COM Summary'!$C$16</definedName>
    <definedName name="screenDSMAmax">'Equipment Cost Data'!$G$196</definedName>
    <definedName name="screenDSMAmin">'Equipment Cost Data'!$F$196</definedName>
    <definedName name="screenDSMFBM">'Equipment Cost Data'!$H$196</definedName>
    <definedName name="screenDSMK1">'Equipment Cost Data'!$C$196</definedName>
    <definedName name="screenDSMK2">'Equipment Cost Data'!$D$196</definedName>
    <definedName name="screenDSMK3">'Equipment Cost Data'!$E$196</definedName>
    <definedName name="screenRotaryAmax">'Equipment Cost Data'!$G$197</definedName>
    <definedName name="screenRotaryAmin">'Equipment Cost Data'!$F$197</definedName>
    <definedName name="screenRotaryFBM">'Equipment Cost Data'!$H$197</definedName>
    <definedName name="screenRotaryK1">'Equipment Cost Data'!$C$197</definedName>
    <definedName name="screenRotaryK2">'Equipment Cost Data'!$D$197</definedName>
    <definedName name="screenRotaryK3">'Equipment Cost Data'!$E$197</definedName>
    <definedName name="screenStationaryAmax">'Equipment Cost Data'!$G$198</definedName>
    <definedName name="screenStationaryAmin">'Equipment Cost Data'!$F$198</definedName>
    <definedName name="screenStationaryFBM">'Equipment Cost Data'!$H$198</definedName>
    <definedName name="screenStationaryK1">'Equipment Cost Data'!$C$198</definedName>
    <definedName name="screenStationaryK2">'Equipment Cost Data'!$D$198</definedName>
    <definedName name="screenStationaryK3">'Equipment Cost Data'!$E$198</definedName>
    <definedName name="screenVibratingAmax">'Equipment Cost Data'!$G$199</definedName>
    <definedName name="screenVibratingAmin">'Equipment Cost Data'!$F$199</definedName>
    <definedName name="screenVibratingFBM">'Equipment Cost Data'!$H$199</definedName>
    <definedName name="screenVibratingK1">'Equipment Cost Data'!$C$199</definedName>
    <definedName name="screenVibratingK2">'Equipment Cost Data'!$D$199</definedName>
    <definedName name="screenVibratingK3">'Equipment Cost Data'!$E$199</definedName>
    <definedName name="solidsCoefficient">'User Options'!$C$55</definedName>
    <definedName name="startMid">'Utilities Summary'!$M$6</definedName>
    <definedName name="sumProcessNumbers">'Utilities Summary'!$B$44</definedName>
    <definedName name="sumProduct">'COM Summary'!$F$8</definedName>
    <definedName name="sumRawMaterial">'COM Summary'!$F$9</definedName>
    <definedName name="sumSolidNumbers">'Utilities Summary'!$C$44</definedName>
    <definedName name="sumWaste">'COM Summary'!$F$12</definedName>
    <definedName name="TABLE" localSheetId="1">'COM Summary'!$F$44:$F$45</definedName>
    <definedName name="TABLE_2" localSheetId="1">'COM Summary'!$F$44:$F$45</definedName>
    <definedName name="TABLE_3" localSheetId="1">'COM Summary'!$F$44:$F$45</definedName>
    <definedName name="tankFixedB1">'Equipment Cost Data'!$F$204</definedName>
    <definedName name="tankFixedB2">'Equipment Cost Data'!$G$204</definedName>
    <definedName name="tankFixedK1">'Equipment Cost Data'!$C$204</definedName>
    <definedName name="tankFixedK2">'Equipment Cost Data'!$D$204</definedName>
    <definedName name="tankFixedK3">'Equipment Cost Data'!$E$204</definedName>
    <definedName name="tankFixedVmax">'Equipment Cost Data'!$I$204</definedName>
    <definedName name="tankFixedVmin">'Equipment Cost Data'!$H$204</definedName>
    <definedName name="tankFloatingB1">'Equipment Cost Data'!$F$205</definedName>
    <definedName name="tankFloatingB2">'Equipment Cost Data'!$G$205</definedName>
    <definedName name="tankFloatingK1">'Equipment Cost Data'!$C$205</definedName>
    <definedName name="tankFloatingK2">'Equipment Cost Data'!$D$205</definedName>
    <definedName name="tankFloatingK3">'Equipment Cost Data'!$E$205</definedName>
    <definedName name="tankFloatingVmax">'Equipment Cost Data'!$I$205</definedName>
    <definedName name="tankFloatingVmin">'Equipment Cost Data'!$H$205</definedName>
    <definedName name="taxRate">'COM Summary'!$C$14</definedName>
    <definedName name="temp">'Equipment Summary'!$A$1</definedName>
    <definedName name="testingTesting">'Monte Carlo Simulation'!#REF!</definedName>
    <definedName name="totalModuleFactor">'COM Summary'!$C$19</definedName>
    <definedName name="totals">'Utilities Summary'!$B$16</definedName>
    <definedName name="traysSieveAmax">'Equipment Cost Data'!$G$248</definedName>
    <definedName name="traysSieveAmin">'Equipment Cost Data'!$F$248</definedName>
    <definedName name="traysSieveK1">'Equipment Cost Data'!$C$248</definedName>
    <definedName name="traysSieveK2">'Equipment Cost Data'!$D$248</definedName>
    <definedName name="traysSieveK3">'Equipment Cost Data'!$E$248</definedName>
    <definedName name="traysSieveMOCCS">'Equipment Cost Data'!$K$243</definedName>
    <definedName name="traysSieveMOCF">'Equipment Cost Data'!$K$245</definedName>
    <definedName name="traysSieveMOCNi">'Equipment Cost Data'!$K$246</definedName>
    <definedName name="traysSieveMOCSS">'Equipment Cost Data'!$K$244</definedName>
    <definedName name="traysValveAmax">'Equipment Cost Data'!$G$249</definedName>
    <definedName name="traysValveAmin">'Equipment Cost Data'!$F$249</definedName>
    <definedName name="traysValveK1">'Equipment Cost Data'!$C$249</definedName>
    <definedName name="traysValveK2">'Equipment Cost Data'!$D$249</definedName>
    <definedName name="traysValveK3">'Equipment Cost Data'!$E$249</definedName>
    <definedName name="traysValveMOCCS">'Equipment Cost Data'!$L$243</definedName>
    <definedName name="traysValveMOCF">'Equipment Cost Data'!$L$245</definedName>
    <definedName name="traysValveMOCNi">'Equipment Cost Data'!$L$246</definedName>
    <definedName name="traysValveMOCSS">'Equipment Cost Data'!$L$244</definedName>
    <definedName name="turbineAxialFBMCI">'Equipment Cost Data'!$F$210</definedName>
    <definedName name="turbineAxialFBMCS">'Equipment Cost Data'!$G$210</definedName>
    <definedName name="turbineAxialFBMCu">'Equipment Cost Data'!$H$210</definedName>
    <definedName name="turbineAxialFBMNi">'Equipment Cost Data'!$J$210</definedName>
    <definedName name="turbineAxialFBMSS">'Equipment Cost Data'!$I$210</definedName>
    <definedName name="turbineAxialFBMTi">'Equipment Cost Data'!$K$210</definedName>
    <definedName name="turbineAxialK1">'Equipment Cost Data'!$C$210</definedName>
    <definedName name="turbineAxialK2">'Equipment Cost Data'!$D$210</definedName>
    <definedName name="turbineAxialK3">'Equipment Cost Data'!$E$210</definedName>
    <definedName name="turbineAxialWmax">'Equipment Cost Data'!$M$210</definedName>
    <definedName name="turbineAxialWmin">'Equipment Cost Data'!$L$210</definedName>
    <definedName name="turbineEfficiency">'User Options'!$C$45</definedName>
    <definedName name="turbineRadialFBMCI">'Equipment Cost Data'!$F$211</definedName>
    <definedName name="turbineRadialFBMCS">'Equipment Cost Data'!$G$211</definedName>
    <definedName name="turbineRadialFBMCu">'Equipment Cost Data'!$H$211</definedName>
    <definedName name="turbineRadialFBMNi">'Equipment Cost Data'!$J$211</definedName>
    <definedName name="turbineRadialFBMSS">'Equipment Cost Data'!$I$211</definedName>
    <definedName name="turbineRadialFBMTi">'Equipment Cost Data'!$K$211</definedName>
    <definedName name="turbineRadialK1">'Equipment Cost Data'!$C$211</definedName>
    <definedName name="turbineRadialK2">'Equipment Cost Data'!$D$211</definedName>
    <definedName name="turbineRadialK3">'Equipment Cost Data'!$E$211</definedName>
    <definedName name="turbineRadialWmax">'Equipment Cost Data'!$M$211</definedName>
    <definedName name="turbineRadialWmin">'Equipment Cost Data'!$L$211</definedName>
    <definedName name="unitNumber">'Equipment Summary'!$E$2</definedName>
    <definedName name="upperFCIL">'Monte Carlo Simulation'!$E$7</definedName>
    <definedName name="upperIncomeTaxRate">'Monte Carlo Simulation'!$E$10</definedName>
    <definedName name="upperInterestRate">'Monte Carlo Simulation'!$E$11</definedName>
    <definedName name="upperMaterialPrice">'Monte Carlo Simulation'!$E$12</definedName>
    <definedName name="upperProductPrice">'Monte Carlo Simulation'!$E$8</definedName>
    <definedName name="upperSalesVolume">'Monte Carlo Simulation'!#REF!</definedName>
    <definedName name="upperSalvageValue">'Monte Carlo Simulation'!$E$13</definedName>
    <definedName name="upperWorkingCapital">'Monte Carlo Simulation'!$E$9</definedName>
    <definedName name="userAddedBlenders">'Equipment Summary'!$A$7</definedName>
    <definedName name="userAddedCentrifuges">'Equipment Summary'!$A$10</definedName>
    <definedName name="userAddedCompressors">'Equipment Summary'!$A$13</definedName>
    <definedName name="userAddedConveyors">'Equipment Summary'!$A$15</definedName>
    <definedName name="userAddedCrystallizers">'Equipment Summary'!$A$18</definedName>
    <definedName name="userAddedDrives">'Equipment Summary'!$A$21</definedName>
    <definedName name="userAddedDryers">'Equipment Summary'!$A$23</definedName>
    <definedName name="userAddedDustCollectors">'Equipment Summary'!$A$26</definedName>
    <definedName name="userAddedEvaporators">'Equipment Summary'!$A$30</definedName>
    <definedName name="userAddedExchangers">'Equipment Summary'!$A$33</definedName>
    <definedName name="userAddedFans">'Equipment Summary'!$A$37</definedName>
    <definedName name="userAddedFilters">'Equipment Summary'!$A$41</definedName>
    <definedName name="userAddedHeaters">'Equipment Summary'!$A$44</definedName>
    <definedName name="userAddedMaterials">'COM Summary'!$B$5</definedName>
    <definedName name="userAddedMixers">'Equipment Summary'!$A$48</definedName>
    <definedName name="userAddedPumps">'Equipment Summary'!$A$51</definedName>
    <definedName name="userAddedReactors">'Equipment Summary'!$A$53</definedName>
    <definedName name="userAddedScreens">'Equipment Summary'!$A$56</definedName>
    <definedName name="userAddedTanks">'Equipment Summary'!$A$59</definedName>
    <definedName name="userAddedTowers">'Equipment Summary'!$A$62</definedName>
    <definedName name="userAddedTurbines">'Equipment Summary'!$A$64</definedName>
    <definedName name="userAddedUserAddeds">'Equipment Summary'!$A$70</definedName>
    <definedName name="userAddedVessels">'Equipment Summary'!$A$68</definedName>
    <definedName name="VaporizerBothC1">'Equipment Cost Data'!$I$218</definedName>
    <definedName name="VaporizerBothC2">'Equipment Cost Data'!$J$218</definedName>
    <definedName name="VaporizerBothC3">'Equipment Cost Data'!$K$218</definedName>
    <definedName name="VaporizerBothFBMCS">'Equipment Cost Data'!$C$233</definedName>
    <definedName name="VaporizerBothFBMCu">'Equipment Cost Data'!$D$233</definedName>
    <definedName name="VaporizerBothFBMGLNi">'Equipment Cost Data'!$F$233</definedName>
    <definedName name="VaporizerBothFBMGLSS">'Equipment Cost Data'!$E$233</definedName>
    <definedName name="VaporizerBothFBMNi">'Equipment Cost Data'!$I$233</definedName>
    <definedName name="VaporizerBothFBMNiClad">'Equipment Cost Data'!$J$233</definedName>
    <definedName name="VaporizerBothFBMSS">'Equipment Cost Data'!$G$233</definedName>
    <definedName name="VaporizerBothFBMSSClad">'Equipment Cost Data'!$H$233</definedName>
    <definedName name="VaporizerBothFBMTi">'Equipment Cost Data'!$K$233</definedName>
    <definedName name="VaporizerBothFBMTiClad">'Equipment Cost Data'!$L$233</definedName>
    <definedName name="VaporizerBothK1">'Equipment Cost Data'!$C$218</definedName>
    <definedName name="VaporizerBothK2">'Equipment Cost Data'!$D$218</definedName>
    <definedName name="VaporizerBothK3">'Equipment Cost Data'!$E$218</definedName>
    <definedName name="VaporizerBothPmax">'Equipment Cost Data'!$H$218</definedName>
    <definedName name="VaporizerBothVmax">'Equipment Cost Data'!$G$218</definedName>
    <definedName name="VaporizerBothVmin">'Equipment Cost Data'!$F$218</definedName>
    <definedName name="VaporizerCoilC1">'Equipment Cost Data'!$I$217</definedName>
    <definedName name="VaporizerCoilC2">'Equipment Cost Data'!$J$217</definedName>
    <definedName name="VaporizerCoilC3">'Equipment Cost Data'!$K$217</definedName>
    <definedName name="VaporizerCoilFBMCS">'Equipment Cost Data'!$C$232</definedName>
    <definedName name="VaporizerCoilFBMCu">'Equipment Cost Data'!$D$232</definedName>
    <definedName name="VaporizerCoilFBMGLNi">'Equipment Cost Data'!$F$232</definedName>
    <definedName name="VaporizerCoilFBMGLSS">'Equipment Cost Data'!$E$232</definedName>
    <definedName name="VaporizerCoilFBMNi">'Equipment Cost Data'!$I$232</definedName>
    <definedName name="VaporizerCoilFBMNiClad">'Equipment Cost Data'!$J$232</definedName>
    <definedName name="VaporizerCoilFBMSS">'Equipment Cost Data'!$G$232</definedName>
    <definedName name="VaporizerCoilFBMSSClad">'Equipment Cost Data'!$H$232</definedName>
    <definedName name="VaporizerCoilFBMTi">'Equipment Cost Data'!$K$232</definedName>
    <definedName name="VaporizerCoilFBMTiClad">'Equipment Cost Data'!$L$232</definedName>
    <definedName name="VaporizerCoilK1">'Equipment Cost Data'!$C$217</definedName>
    <definedName name="VaporizerCoilK2">'Equipment Cost Data'!$D$217</definedName>
    <definedName name="VaporizerCoilK3">'Equipment Cost Data'!$E$217</definedName>
    <definedName name="VaporizerCoilPmax">'Equipment Cost Data'!$H$217</definedName>
    <definedName name="VaporizerCoilVmax">'Equipment Cost Data'!$G$217</definedName>
    <definedName name="VaporizerCoilVmin">'Equipment Cost Data'!$F$217</definedName>
    <definedName name="VaporizerJacketC1">'Equipment Cost Data'!$I$216</definedName>
    <definedName name="VaporizerJacketC2">'Equipment Cost Data'!$J$216</definedName>
    <definedName name="VaporizerJacketC3">'Equipment Cost Data'!$K$216</definedName>
    <definedName name="VaporizerJacketFBMCS">'Equipment Cost Data'!$C$231</definedName>
    <definedName name="VaporizerJacketFBMCu">'Equipment Cost Data'!$D$231</definedName>
    <definedName name="VaporizerJacketFBMGLNi">'Equipment Cost Data'!$F$231</definedName>
    <definedName name="VaporizerJacketFBMGLSS">'Equipment Cost Data'!$E$231</definedName>
    <definedName name="VaporizerJacketFBMNi">'Equipment Cost Data'!$I$231</definedName>
    <definedName name="VaporizerJacketFBMNiClad">'Equipment Cost Data'!$J$231</definedName>
    <definedName name="VaporizerJacketFBMSS">'Equipment Cost Data'!$G$231</definedName>
    <definedName name="VaporizerJacketFBMSSClad">'Equipment Cost Data'!$H$231</definedName>
    <definedName name="VaporizerJacketFBMTi">'Equipment Cost Data'!$K$231</definedName>
    <definedName name="VaporizerJacketFBMTiClad">'Equipment Cost Data'!$L$231</definedName>
    <definedName name="VaporizerJacketK1">'Equipment Cost Data'!$C$216</definedName>
    <definedName name="VaporizerJacketK2">'Equipment Cost Data'!$D$216</definedName>
    <definedName name="VaporizerJacketK3">'Equipment Cost Data'!$E$216</definedName>
    <definedName name="VaporizerJacketPmax">'Equipment Cost Data'!$H$216</definedName>
    <definedName name="VaporizerJacketVmax">'Equipment Cost Data'!$G$216</definedName>
    <definedName name="VaporizerJacketVmin">'Equipment Cost Data'!$F$216</definedName>
    <definedName name="vesselFMCS">'Equipment Cost Data'!$J$249</definedName>
    <definedName name="vesselFMNi">'Equipment Cost Data'!$J$253</definedName>
    <definedName name="vesselFMNiClad">'Equipment Cost Data'!$J$252</definedName>
    <definedName name="vesselFMSS">'Equipment Cost Data'!$J$251</definedName>
    <definedName name="vesselFMSSClad">'Equipment Cost Data'!$J$250</definedName>
    <definedName name="vesselFMTi">'Equipment Cost Data'!$J$255</definedName>
    <definedName name="vesselFMTiClad">'Equipment Cost Data'!$J$254</definedName>
    <definedName name="vesselHorizontalB1">'Equipment Cost Data'!$C$243</definedName>
    <definedName name="vesselHorizontalB2">'Equipment Cost Data'!$D$243</definedName>
    <definedName name="vesselHorizontalK1">'Equipment Cost Data'!$G$239</definedName>
    <definedName name="vesselHorizontalK2">'Equipment Cost Data'!$H$239</definedName>
    <definedName name="vesselHorizontalK3">'Equipment Cost Data'!$I$239</definedName>
    <definedName name="vesselHorizontalVmax">'Equipment Cost Data'!$K$239</definedName>
    <definedName name="vesselHorizontalVmin">'Equipment Cost Data'!$J$239</definedName>
    <definedName name="vesselPmax">'Equipment Cost Data'!$L$239</definedName>
    <definedName name="vesselVerticalB1">'Equipment Cost Data'!$C$244</definedName>
    <definedName name="vesselVerticalB2">'Equipment Cost Data'!$D$244</definedName>
    <definedName name="vesselVerticalK1">'Equipment Cost Data'!$B$239</definedName>
    <definedName name="vesselVerticalK2">'Equipment Cost Data'!$C$239</definedName>
    <definedName name="vesselVerticalK3">'Equipment Cost Data'!$D$239</definedName>
    <definedName name="vesselVerticalVmax">'Equipment Cost Data'!$F$239</definedName>
    <definedName name="vesselVerticalVmin">'Equipment Cost Data'!$E$239</definedName>
    <definedName name="workingCapital">'COM Summary'!$C$17</definedName>
    <definedName name="workingCapitalA">'COM Summary'!$C$39</definedName>
    <definedName name="workingCapitalB">'COM Summary'!$C$40</definedName>
    <definedName name="workingCapitalC">'COM Summary'!$C$41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" l="1"/>
  <c r="E16" i="1"/>
  <c r="C16" i="1"/>
  <c r="E8" i="1"/>
  <c r="C8" i="1"/>
  <c r="B8" i="1"/>
  <c r="I27" i="2"/>
  <c r="H27" i="2"/>
  <c r="C27" i="2"/>
  <c r="A27" i="2"/>
  <c r="H11" i="1"/>
  <c r="K11" i="1" s="1"/>
  <c r="E11" i="1"/>
  <c r="C11" i="1"/>
  <c r="B11" i="1"/>
  <c r="I38" i="2"/>
  <c r="H38" i="2"/>
  <c r="C38" i="2"/>
  <c r="F38" i="2"/>
  <c r="A38" i="2"/>
  <c r="H13" i="1"/>
  <c r="K13" i="1" s="1"/>
  <c r="E13" i="1"/>
  <c r="C13" i="1"/>
  <c r="B13" i="1"/>
  <c r="I65" i="2"/>
  <c r="H65" i="2"/>
  <c r="C65" i="2"/>
  <c r="A65" i="2"/>
  <c r="E9" i="1"/>
  <c r="C9" i="1"/>
  <c r="B9" i="1"/>
  <c r="I34" i="2"/>
  <c r="H34" i="2"/>
  <c r="D34" i="2"/>
  <c r="C34" i="2"/>
  <c r="G34" i="2"/>
  <c r="A34" i="2"/>
  <c r="E10" i="1"/>
  <c r="C10" i="1"/>
  <c r="B10" i="1"/>
  <c r="I35" i="2"/>
  <c r="H35" i="2"/>
  <c r="D35" i="2"/>
  <c r="C35" i="2"/>
  <c r="G35" i="2"/>
  <c r="A35" i="2"/>
  <c r="H12" i="1"/>
  <c r="E12" i="1"/>
  <c r="C12" i="1"/>
  <c r="B12" i="1"/>
  <c r="I45" i="2"/>
  <c r="H45" i="2"/>
  <c r="F45" i="2"/>
  <c r="C45" i="2"/>
  <c r="A45" i="2"/>
  <c r="I63" i="11"/>
  <c r="J63" i="11"/>
  <c r="F62" i="11"/>
  <c r="F61" i="11"/>
  <c r="F60" i="11"/>
  <c r="F59" i="11"/>
  <c r="F58" i="11"/>
  <c r="D58" i="11"/>
  <c r="F57" i="11"/>
  <c r="D57" i="11"/>
  <c r="F56" i="11"/>
  <c r="D56" i="11"/>
  <c r="F55" i="11"/>
  <c r="D55" i="11"/>
  <c r="F54" i="11"/>
  <c r="D54" i="11"/>
  <c r="F53" i="11"/>
  <c r="D53" i="11"/>
  <c r="E54" i="11"/>
  <c r="E53" i="11"/>
  <c r="E52" i="11"/>
  <c r="C52" i="11"/>
  <c r="I52" i="11"/>
  <c r="J52" i="11"/>
  <c r="E51" i="11"/>
  <c r="E50" i="11"/>
  <c r="C50" i="11"/>
  <c r="I50" i="11"/>
  <c r="E49" i="11"/>
  <c r="C49" i="11"/>
  <c r="J49" i="11"/>
  <c r="L48" i="11"/>
  <c r="K48" i="11"/>
  <c r="J48" i="11"/>
  <c r="I48" i="11"/>
  <c r="E48" i="11"/>
  <c r="C48" i="11"/>
  <c r="F8" i="10"/>
  <c r="F9" i="10"/>
  <c r="C49" i="10"/>
  <c r="C51" i="11"/>
  <c r="I51" i="11"/>
  <c r="C48" i="10"/>
  <c r="F11" i="10"/>
  <c r="F10" i="10"/>
  <c r="B7" i="1"/>
  <c r="B5" i="1"/>
  <c r="B30" i="10"/>
  <c r="G10" i="12"/>
  <c r="G11" i="12"/>
  <c r="C33" i="12"/>
  <c r="E34" i="12"/>
  <c r="E35" i="12"/>
  <c r="E36" i="12"/>
  <c r="E37" i="12"/>
  <c r="E38" i="12"/>
  <c r="E39" i="12"/>
  <c r="E40" i="12"/>
  <c r="E41" i="12"/>
  <c r="E42" i="12"/>
  <c r="E43" i="12"/>
  <c r="B35" i="12"/>
  <c r="B36" i="12"/>
  <c r="B37" i="12"/>
  <c r="B38" i="12"/>
  <c r="B39" i="12"/>
  <c r="B40" i="12"/>
  <c r="B41" i="12"/>
  <c r="B42" i="12"/>
  <c r="B43" i="12"/>
  <c r="C56" i="12"/>
  <c r="E57" i="12"/>
  <c r="E58" i="12"/>
  <c r="E59" i="12"/>
  <c r="E60" i="12"/>
  <c r="E61" i="12"/>
  <c r="E62" i="12"/>
  <c r="E63" i="12"/>
  <c r="E64" i="12"/>
  <c r="E65" i="12"/>
  <c r="E66" i="12"/>
  <c r="B58" i="12"/>
  <c r="B59" i="12"/>
  <c r="B60" i="12"/>
  <c r="B61" i="12"/>
  <c r="B62" i="12"/>
  <c r="B63" i="12"/>
  <c r="B64" i="12"/>
  <c r="B65" i="12"/>
  <c r="B66" i="12"/>
  <c r="C78" i="12"/>
  <c r="E79" i="12"/>
  <c r="E80" i="12"/>
  <c r="E81" i="12"/>
  <c r="E82" i="12"/>
  <c r="E83" i="12"/>
  <c r="E84" i="12"/>
  <c r="E85" i="12"/>
  <c r="E86" i="12"/>
  <c r="E87" i="12"/>
  <c r="E88" i="12"/>
  <c r="B80" i="12"/>
  <c r="B81" i="12"/>
  <c r="B82" i="12"/>
  <c r="B83" i="12"/>
  <c r="B84" i="12"/>
  <c r="B85" i="12"/>
  <c r="B86" i="12"/>
  <c r="B87" i="12"/>
  <c r="B88" i="12"/>
  <c r="C100" i="12"/>
  <c r="E101" i="12"/>
  <c r="E102" i="12"/>
  <c r="E103" i="12"/>
  <c r="E104" i="12"/>
  <c r="E105" i="12"/>
  <c r="E106" i="12"/>
  <c r="E107" i="12"/>
  <c r="E108" i="12"/>
  <c r="E109" i="12"/>
  <c r="E110" i="12"/>
  <c r="B102" i="12"/>
  <c r="B103" i="12"/>
  <c r="B104" i="12"/>
  <c r="B105" i="12"/>
  <c r="B106" i="12"/>
  <c r="B107" i="12"/>
  <c r="B108" i="12"/>
  <c r="B109" i="12"/>
  <c r="B110" i="12"/>
  <c r="C122" i="12"/>
  <c r="E123" i="12"/>
  <c r="E124" i="12"/>
  <c r="E125" i="12"/>
  <c r="E126" i="12"/>
  <c r="E127" i="12"/>
  <c r="E128" i="12"/>
  <c r="E129" i="12"/>
  <c r="E130" i="12"/>
  <c r="E131" i="12"/>
  <c r="E132" i="12"/>
  <c r="B124" i="12"/>
  <c r="B125" i="12"/>
  <c r="B126" i="12"/>
  <c r="B127" i="12"/>
  <c r="B128" i="12"/>
  <c r="B129" i="12"/>
  <c r="B130" i="12"/>
  <c r="B131" i="12"/>
  <c r="B132" i="12"/>
  <c r="C144" i="12"/>
  <c r="E145" i="12"/>
  <c r="E146" i="12"/>
  <c r="E147" i="12"/>
  <c r="E148" i="12"/>
  <c r="E149" i="12"/>
  <c r="E150" i="12"/>
  <c r="E151" i="12"/>
  <c r="E152" i="12"/>
  <c r="E153" i="12"/>
  <c r="E154" i="12"/>
  <c r="B146" i="12"/>
  <c r="B147" i="12"/>
  <c r="B148" i="12"/>
  <c r="B149" i="12"/>
  <c r="B150" i="12"/>
  <c r="B151" i="12"/>
  <c r="B152" i="12"/>
  <c r="B153" i="12"/>
  <c r="B154" i="12"/>
  <c r="G13" i="12"/>
  <c r="I49" i="11"/>
  <c r="G7" i="12"/>
  <c r="G12" i="12"/>
  <c r="G8" i="12"/>
  <c r="G9" i="12"/>
  <c r="K49" i="11"/>
  <c r="L49" i="11"/>
  <c r="C29" i="1"/>
  <c r="J50" i="11"/>
  <c r="K50" i="11"/>
  <c r="L50" i="11"/>
  <c r="L51" i="11"/>
  <c r="L52" i="11"/>
  <c r="J51" i="11"/>
  <c r="K51" i="11"/>
  <c r="K52" i="11"/>
  <c r="E56" i="11"/>
  <c r="E57" i="11"/>
  <c r="E55" i="11"/>
  <c r="F12" i="10" l="1"/>
  <c r="C26" i="10" s="1"/>
  <c r="C35" i="10" s="1"/>
  <c r="G55" i="11" s="1"/>
  <c r="I72" i="2"/>
  <c r="I11" i="1"/>
  <c r="I13" i="1"/>
  <c r="C32" i="1"/>
  <c r="B34" i="1"/>
  <c r="B31" i="1"/>
  <c r="C23" i="1"/>
  <c r="B40" i="1"/>
  <c r="B39" i="1"/>
  <c r="C26" i="1"/>
  <c r="C38" i="1"/>
  <c r="C28" i="1"/>
  <c r="B37" i="1"/>
  <c r="B27" i="1"/>
  <c r="B24" i="1"/>
  <c r="B33" i="1"/>
  <c r="C25" i="1"/>
  <c r="B41" i="1"/>
  <c r="B43" i="1"/>
  <c r="G60" i="11"/>
  <c r="H57" i="11"/>
  <c r="I57" i="11" s="1"/>
  <c r="G62" i="11"/>
  <c r="H53" i="11"/>
  <c r="I53" i="11" s="1"/>
  <c r="H59" i="11"/>
  <c r="I59" i="11" s="1"/>
  <c r="H54" i="11"/>
  <c r="I54" i="11" s="1"/>
  <c r="H58" i="11"/>
  <c r="I58" i="11" s="1"/>
  <c r="H62" i="11"/>
  <c r="I62" i="11" s="1"/>
  <c r="G57" i="11"/>
  <c r="G56" i="11"/>
  <c r="H61" i="11"/>
  <c r="I61" i="11" s="1"/>
  <c r="H60" i="11" l="1"/>
  <c r="I60" i="11" s="1"/>
  <c r="G58" i="11"/>
  <c r="G61" i="11"/>
  <c r="H55" i="11"/>
  <c r="I55" i="11" s="1"/>
  <c r="G53" i="11"/>
  <c r="H56" i="11"/>
  <c r="I56" i="11" s="1"/>
  <c r="J56" i="11" s="1"/>
  <c r="G59" i="11"/>
  <c r="G54" i="11"/>
  <c r="C44" i="1"/>
  <c r="B44" i="1"/>
  <c r="J62" i="11"/>
  <c r="L53" i="11"/>
  <c r="J53" i="11"/>
  <c r="K53" i="11" s="1"/>
  <c r="I38" i="11"/>
  <c r="J55" i="11"/>
  <c r="J61" i="11"/>
  <c r="L54" i="11"/>
  <c r="L55" i="11" s="1"/>
  <c r="L56" i="11" s="1"/>
  <c r="L57" i="11" s="1"/>
  <c r="L58" i="11" s="1"/>
  <c r="L59" i="11" s="1"/>
  <c r="L60" i="11" s="1"/>
  <c r="L61" i="11" s="1"/>
  <c r="L62" i="11" s="1"/>
  <c r="L63" i="11" s="1"/>
  <c r="I40" i="11" s="1"/>
  <c r="J54" i="11"/>
  <c r="K54" i="11" s="1"/>
  <c r="J60" i="11"/>
  <c r="J58" i="11"/>
  <c r="J57" i="11"/>
  <c r="J59" i="11"/>
  <c r="K55" i="11" l="1"/>
  <c r="K56" i="11"/>
  <c r="K57" i="11" s="1"/>
  <c r="K58" i="11" s="1"/>
  <c r="K59" i="11" s="1"/>
  <c r="K60" i="11" s="1"/>
  <c r="K61" i="11" s="1"/>
  <c r="K62" i="11" s="1"/>
  <c r="K63" i="11" s="1"/>
  <c r="E38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jweaver</author>
  </authors>
  <commentList>
    <comment ref="B33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jweaver:</t>
        </r>
        <r>
          <rPr>
            <sz val="8"/>
            <color indexed="81"/>
            <rFont val="Tahoma"/>
            <family val="2"/>
          </rPr>
          <t xml:space="preserve">
Typo</t>
        </r>
      </text>
    </comment>
  </commentList>
</comments>
</file>

<file path=xl/sharedStrings.xml><?xml version="1.0" encoding="utf-8"?>
<sst xmlns="http://schemas.openxmlformats.org/spreadsheetml/2006/main" count="888" uniqueCount="512">
  <si>
    <r>
      <t>K</t>
    </r>
    <r>
      <rPr>
        <vertAlign val="subscript"/>
        <sz val="10"/>
        <rFont val="Arial"/>
        <family val="2"/>
      </rPr>
      <t>1</t>
    </r>
  </si>
  <si>
    <r>
      <t>K</t>
    </r>
    <r>
      <rPr>
        <vertAlign val="subscript"/>
        <sz val="10"/>
        <rFont val="Arial"/>
        <family val="2"/>
      </rPr>
      <t>2</t>
    </r>
  </si>
  <si>
    <r>
      <t>K</t>
    </r>
    <r>
      <rPr>
        <vertAlign val="subscript"/>
        <sz val="10"/>
        <rFont val="Arial"/>
        <family val="2"/>
      </rPr>
      <t>3</t>
    </r>
  </si>
  <si>
    <r>
      <t>C</t>
    </r>
    <r>
      <rPr>
        <vertAlign val="subscript"/>
        <sz val="10"/>
        <rFont val="Arial"/>
        <family val="2"/>
      </rPr>
      <t>1</t>
    </r>
  </si>
  <si>
    <r>
      <t>C</t>
    </r>
    <r>
      <rPr>
        <vertAlign val="subscript"/>
        <sz val="10"/>
        <rFont val="Arial"/>
        <family val="2"/>
      </rPr>
      <t>2</t>
    </r>
  </si>
  <si>
    <r>
      <t>C</t>
    </r>
    <r>
      <rPr>
        <vertAlign val="subscript"/>
        <sz val="10"/>
        <rFont val="Arial"/>
        <family val="2"/>
      </rPr>
      <t>3</t>
    </r>
  </si>
  <si>
    <r>
      <t>B</t>
    </r>
    <r>
      <rPr>
        <vertAlign val="subscript"/>
        <sz val="10"/>
        <rFont val="Arial"/>
        <family val="2"/>
      </rPr>
      <t>1</t>
    </r>
  </si>
  <si>
    <r>
      <t>B</t>
    </r>
    <r>
      <rPr>
        <vertAlign val="subscript"/>
        <sz val="10"/>
        <rFont val="Arial"/>
        <family val="2"/>
      </rPr>
      <t>2</t>
    </r>
  </si>
  <si>
    <r>
      <t>F</t>
    </r>
    <r>
      <rPr>
        <vertAlign val="subscript"/>
        <sz val="10"/>
        <rFont val="Arial"/>
        <family val="2"/>
      </rPr>
      <t>mCI</t>
    </r>
  </si>
  <si>
    <r>
      <t>F</t>
    </r>
    <r>
      <rPr>
        <vertAlign val="subscript"/>
        <sz val="10"/>
        <rFont val="Arial"/>
        <family val="2"/>
      </rPr>
      <t>mCS</t>
    </r>
  </si>
  <si>
    <r>
      <t>F</t>
    </r>
    <r>
      <rPr>
        <vertAlign val="subscript"/>
        <sz val="10"/>
        <rFont val="Arial"/>
        <family val="2"/>
      </rPr>
      <t>mSS</t>
    </r>
  </si>
  <si>
    <r>
      <t>F</t>
    </r>
    <r>
      <rPr>
        <vertAlign val="subscript"/>
        <sz val="10"/>
        <rFont val="Arial"/>
        <family val="2"/>
      </rPr>
      <t>mNi</t>
    </r>
  </si>
  <si>
    <r>
      <t>F</t>
    </r>
    <r>
      <rPr>
        <vertAlign val="subscript"/>
        <sz val="10"/>
        <rFont val="Arial"/>
        <family val="2"/>
      </rPr>
      <t>mCu</t>
    </r>
  </si>
  <si>
    <r>
      <t>F</t>
    </r>
    <r>
      <rPr>
        <vertAlign val="subscript"/>
        <sz val="10"/>
        <rFont val="Arial"/>
        <family val="2"/>
      </rPr>
      <t>mTi</t>
    </r>
  </si>
  <si>
    <t>User Added Equipment</t>
  </si>
  <si>
    <t>MOC</t>
  </si>
  <si>
    <t># Spares</t>
  </si>
  <si>
    <t>Unit Number</t>
  </si>
  <si>
    <t>Positive Displacement</t>
  </si>
  <si>
    <t>CEPCI</t>
  </si>
  <si>
    <t>Pump Type</t>
  </si>
  <si>
    <t>Demister MOC</t>
  </si>
  <si>
    <t>Centrifugal pump</t>
  </si>
  <si>
    <t>Reciprocating pump</t>
  </si>
  <si>
    <t>NA</t>
  </si>
  <si>
    <t>Length Preference</t>
  </si>
  <si>
    <t>Pressure Preference</t>
  </si>
  <si>
    <t>Power Preference</t>
  </si>
  <si>
    <t>Heat Duty Preference</t>
  </si>
  <si>
    <t>Area Preference</t>
  </si>
  <si>
    <t>Volume Preference</t>
  </si>
  <si>
    <t>Gas Flow Preference</t>
  </si>
  <si>
    <t>Vessels</t>
  </si>
  <si>
    <t>Exchangers</t>
  </si>
  <si>
    <t>Towers</t>
  </si>
  <si>
    <t>Turbines</t>
  </si>
  <si>
    <t>Type</t>
  </si>
  <si>
    <t>Evaporators</t>
  </si>
  <si>
    <t>Fired Heaters</t>
  </si>
  <si>
    <t>Pumps    (with drives)</t>
  </si>
  <si>
    <t>Drive Data</t>
  </si>
  <si>
    <t>Explosion Proof</t>
  </si>
  <si>
    <t>Totally Enclosed</t>
  </si>
  <si>
    <t>Open/Drip Proof</t>
  </si>
  <si>
    <t>Gas Turbine</t>
  </si>
  <si>
    <t>Steam Turbine</t>
  </si>
  <si>
    <t>Internal Combustion</t>
  </si>
  <si>
    <t>Turbine Data</t>
  </si>
  <si>
    <t>Axial</t>
  </si>
  <si>
    <t>Radial</t>
  </si>
  <si>
    <r>
      <t>F</t>
    </r>
    <r>
      <rPr>
        <vertAlign val="subscript"/>
        <sz val="10"/>
        <rFont val="Arial"/>
        <family val="2"/>
      </rPr>
      <t>BM</t>
    </r>
  </si>
  <si>
    <r>
      <t>F</t>
    </r>
    <r>
      <rPr>
        <vertAlign val="subscript"/>
        <sz val="10"/>
        <rFont val="Arial"/>
        <family val="2"/>
      </rPr>
      <t>BMCI</t>
    </r>
  </si>
  <si>
    <r>
      <t>F</t>
    </r>
    <r>
      <rPr>
        <vertAlign val="subscript"/>
        <sz val="10"/>
        <rFont val="Arial"/>
        <family val="2"/>
      </rPr>
      <t>BMCS</t>
    </r>
  </si>
  <si>
    <r>
      <t>F</t>
    </r>
    <r>
      <rPr>
        <vertAlign val="subscript"/>
        <sz val="10"/>
        <rFont val="Arial"/>
        <family val="2"/>
      </rPr>
      <t>BMCu</t>
    </r>
  </si>
  <si>
    <r>
      <t>F</t>
    </r>
    <r>
      <rPr>
        <vertAlign val="subscript"/>
        <sz val="10"/>
        <rFont val="Arial"/>
        <family val="2"/>
      </rPr>
      <t>BMSS</t>
    </r>
  </si>
  <si>
    <r>
      <t>F</t>
    </r>
    <r>
      <rPr>
        <vertAlign val="subscript"/>
        <sz val="10"/>
        <rFont val="Arial"/>
        <family val="2"/>
      </rPr>
      <t>BMNi</t>
    </r>
  </si>
  <si>
    <r>
      <t>F</t>
    </r>
    <r>
      <rPr>
        <vertAlign val="subscript"/>
        <sz val="10"/>
        <rFont val="Arial"/>
        <family val="2"/>
      </rPr>
      <t>BMTi</t>
    </r>
  </si>
  <si>
    <t>Reciprocating</t>
  </si>
  <si>
    <t>Centrifugal</t>
  </si>
  <si>
    <t>Compressor Data (without electric motors)</t>
  </si>
  <si>
    <t>Rotary</t>
  </si>
  <si>
    <r>
      <t>W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(kW)</t>
    </r>
  </si>
  <si>
    <r>
      <t>W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(kW)</t>
    </r>
  </si>
  <si>
    <r>
      <t>F</t>
    </r>
    <r>
      <rPr>
        <vertAlign val="subscript"/>
        <sz val="10"/>
        <rFont val="Arial"/>
        <family val="2"/>
      </rPr>
      <t>BMfiberglass</t>
    </r>
  </si>
  <si>
    <t>Axial Tube Fan</t>
  </si>
  <si>
    <t>Axial Vane Fan</t>
  </si>
  <si>
    <r>
      <t>V</t>
    </r>
    <r>
      <rPr>
        <vertAlign val="subscript"/>
        <sz val="10"/>
        <rFont val="Arial"/>
        <family val="2"/>
      </rPr>
      <t>min(m3/s)</t>
    </r>
  </si>
  <si>
    <r>
      <t>V</t>
    </r>
    <r>
      <rPr>
        <vertAlign val="subscript"/>
        <sz val="10"/>
        <rFont val="Arial"/>
        <family val="2"/>
      </rPr>
      <t>max(m3/s)</t>
    </r>
  </si>
  <si>
    <r>
      <t>P</t>
    </r>
    <r>
      <rPr>
        <vertAlign val="subscript"/>
        <sz val="10"/>
        <rFont val="Arial"/>
        <family val="2"/>
      </rPr>
      <t>max(barg)</t>
    </r>
  </si>
  <si>
    <t>Vertical</t>
  </si>
  <si>
    <t>Horizontal</t>
  </si>
  <si>
    <t>B1</t>
  </si>
  <si>
    <t>B2</t>
  </si>
  <si>
    <t>Vessel B-Values</t>
  </si>
  <si>
    <t>Materials of Construction</t>
  </si>
  <si>
    <r>
      <t>F</t>
    </r>
    <r>
      <rPr>
        <vertAlign val="subscript"/>
        <sz val="10"/>
        <rFont val="Arial"/>
        <family val="2"/>
      </rPr>
      <t>M CS</t>
    </r>
  </si>
  <si>
    <r>
      <t>F</t>
    </r>
    <r>
      <rPr>
        <vertAlign val="subscript"/>
        <sz val="10"/>
        <rFont val="Arial"/>
        <family val="2"/>
      </rPr>
      <t>M SS clad</t>
    </r>
  </si>
  <si>
    <r>
      <t>F</t>
    </r>
    <r>
      <rPr>
        <vertAlign val="subscript"/>
        <sz val="10"/>
        <rFont val="Arial"/>
        <family val="2"/>
      </rPr>
      <t>M Ni clad</t>
    </r>
  </si>
  <si>
    <r>
      <t>F</t>
    </r>
    <r>
      <rPr>
        <vertAlign val="subscript"/>
        <sz val="10"/>
        <rFont val="Arial"/>
        <family val="2"/>
      </rPr>
      <t>M Ni</t>
    </r>
  </si>
  <si>
    <r>
      <t>F</t>
    </r>
    <r>
      <rPr>
        <vertAlign val="subscript"/>
        <sz val="10"/>
        <rFont val="Arial"/>
        <family val="2"/>
      </rPr>
      <t>M Ti clad</t>
    </r>
  </si>
  <si>
    <r>
      <t>F</t>
    </r>
    <r>
      <rPr>
        <vertAlign val="subscript"/>
        <sz val="10"/>
        <rFont val="Arial"/>
        <family val="2"/>
      </rPr>
      <t>M Ti</t>
    </r>
  </si>
  <si>
    <r>
      <t>F</t>
    </r>
    <r>
      <rPr>
        <vertAlign val="subscript"/>
        <sz val="10"/>
        <rFont val="Arial"/>
        <family val="2"/>
      </rPr>
      <t>q</t>
    </r>
  </si>
  <si>
    <t>CS</t>
  </si>
  <si>
    <t>SS</t>
  </si>
  <si>
    <t>Fluorocarbon</t>
  </si>
  <si>
    <t>Ni-alloy</t>
  </si>
  <si>
    <t>Fired Heater Data</t>
  </si>
  <si>
    <t>Pyrolysis Furnace</t>
  </si>
  <si>
    <t>Hot Water</t>
  </si>
  <si>
    <t>Process Heater</t>
  </si>
  <si>
    <t>Diphenyl Based Oils</t>
  </si>
  <si>
    <r>
      <t>Q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(kW)</t>
    </r>
  </si>
  <si>
    <r>
      <t>Q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(kW)</t>
    </r>
  </si>
  <si>
    <r>
      <t>P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(barg)</t>
    </r>
  </si>
  <si>
    <t>Centrifugal Radial Fan</t>
  </si>
  <si>
    <t>Centrifugal Backward curved fan</t>
  </si>
  <si>
    <t>304 SS</t>
  </si>
  <si>
    <t>Electric Drives</t>
  </si>
  <si>
    <t>Compressor Type</t>
  </si>
  <si>
    <t>Non-Electric Drives</t>
  </si>
  <si>
    <t>Fan Data (include electric motors)</t>
  </si>
  <si>
    <t>Fan Type</t>
  </si>
  <si>
    <t>Reactive Heaters</t>
  </si>
  <si>
    <t>Reformer Furnace</t>
  </si>
  <si>
    <t>Thermal Fluid Heaters</t>
  </si>
  <si>
    <t>Non-reactive Heaters</t>
  </si>
  <si>
    <t>Molten Salt, Mineral Oil,</t>
  </si>
  <si>
    <t>Packaged Steam Boilers</t>
  </si>
  <si>
    <t>Pump Data (including electric drives)</t>
  </si>
  <si>
    <t>Turbine Type</t>
  </si>
  <si>
    <t>Vertical Vessels</t>
  </si>
  <si>
    <t>Horizontal Vessels</t>
  </si>
  <si>
    <t>Bare Module Factor</t>
  </si>
  <si>
    <t>Alloy Steel</t>
  </si>
  <si>
    <t>Fbm</t>
  </si>
  <si>
    <t>Steam Supreheat Factor</t>
  </si>
  <si>
    <t>Tower Packing</t>
  </si>
  <si>
    <t>Forced Circulation</t>
  </si>
  <si>
    <t>Falling Film</t>
  </si>
  <si>
    <t>Agitated (Scraped Wall)</t>
  </si>
  <si>
    <t>Short Tube</t>
  </si>
  <si>
    <t>Long Tube</t>
  </si>
  <si>
    <t>Vaporizer Types</t>
  </si>
  <si>
    <t>Evaporator Types</t>
  </si>
  <si>
    <t>Jacketed Vessel</t>
  </si>
  <si>
    <t>Internal Coil</t>
  </si>
  <si>
    <r>
      <t>A</t>
    </r>
    <r>
      <rPr>
        <vertAlign val="subscript"/>
        <sz val="10"/>
        <rFont val="Arial"/>
        <family val="2"/>
      </rPr>
      <t>min(m2)</t>
    </r>
  </si>
  <si>
    <r>
      <t>A</t>
    </r>
    <r>
      <rPr>
        <vertAlign val="subscript"/>
        <sz val="10"/>
        <rFont val="Arial"/>
        <family val="2"/>
      </rPr>
      <t>max(m2)</t>
    </r>
  </si>
  <si>
    <r>
      <t>Bare Module Factors, F</t>
    </r>
    <r>
      <rPr>
        <vertAlign val="subscript"/>
        <sz val="10"/>
        <rFont val="Arial"/>
        <family val="2"/>
      </rPr>
      <t>BM</t>
    </r>
  </si>
  <si>
    <t>Cu Alloy</t>
  </si>
  <si>
    <t>Ni Alloy</t>
  </si>
  <si>
    <t>Ti</t>
  </si>
  <si>
    <t>Cu</t>
  </si>
  <si>
    <t>SS Clad</t>
  </si>
  <si>
    <t>Ni Alloy Clad</t>
  </si>
  <si>
    <t>Ti Clad</t>
  </si>
  <si>
    <t>Jacketed Vessel w/ Coil</t>
  </si>
  <si>
    <t>Vessel Data (including data for distillation towers and packed columns)</t>
  </si>
  <si>
    <t>Heat Exchanger Data</t>
  </si>
  <si>
    <t>Exchager Type</t>
  </si>
  <si>
    <t>Double Pipe</t>
  </si>
  <si>
    <t>Multiple Pipe</t>
  </si>
  <si>
    <t>Fixed tube, sheet, or U tube</t>
  </si>
  <si>
    <t>Floating Head</t>
  </si>
  <si>
    <t>Bayonet</t>
  </si>
  <si>
    <t>Kettle Reboiler</t>
  </si>
  <si>
    <t>Scraped Wall</t>
  </si>
  <si>
    <t>Teflon Tube</t>
  </si>
  <si>
    <t>Air Cooler</t>
  </si>
  <si>
    <t>Spiral Tube</t>
  </si>
  <si>
    <t>Spiral Plate</t>
  </si>
  <si>
    <t>Flat Plate</t>
  </si>
  <si>
    <t>Exchanger Type</t>
  </si>
  <si>
    <t>Shell - CS</t>
  </si>
  <si>
    <t>Tube - CS</t>
  </si>
  <si>
    <t>Ni</t>
  </si>
  <si>
    <t>Teflon Tube Exchanger</t>
  </si>
  <si>
    <t>Shell Materail</t>
  </si>
  <si>
    <t>Al</t>
  </si>
  <si>
    <r>
      <t>Materail Factors, F</t>
    </r>
    <r>
      <rPr>
        <vertAlign val="subscript"/>
        <sz val="10"/>
        <rFont val="Arial"/>
        <family val="2"/>
      </rPr>
      <t>M</t>
    </r>
  </si>
  <si>
    <t>Material In Contact with Process Fluid</t>
  </si>
  <si>
    <t>Tube Material</t>
  </si>
  <si>
    <t>Drives</t>
  </si>
  <si>
    <t>Drive Type</t>
  </si>
  <si>
    <t>Compressors</t>
  </si>
  <si>
    <t>Fans / Blowers</t>
  </si>
  <si>
    <r>
      <t>F</t>
    </r>
    <r>
      <rPr>
        <vertAlign val="subscript"/>
        <sz val="10"/>
        <rFont val="Arial"/>
        <family val="2"/>
      </rPr>
      <t>M SS</t>
    </r>
  </si>
  <si>
    <t>Taxation Rate</t>
  </si>
  <si>
    <t>Annual Interest Rate</t>
  </si>
  <si>
    <t>Cost of Land</t>
  </si>
  <si>
    <r>
      <t>FCI</t>
    </r>
    <r>
      <rPr>
        <vertAlign val="subscript"/>
        <sz val="10"/>
        <rFont val="Arial"/>
        <family val="2"/>
      </rPr>
      <t>L</t>
    </r>
  </si>
  <si>
    <r>
      <t>COM</t>
    </r>
    <r>
      <rPr>
        <vertAlign val="subscript"/>
        <sz val="10"/>
        <rFont val="Arial"/>
        <family val="2"/>
      </rPr>
      <t>d</t>
    </r>
  </si>
  <si>
    <t>Salvage Value</t>
  </si>
  <si>
    <t>Revenue From Sales</t>
  </si>
  <si>
    <t>Orientation</t>
  </si>
  <si>
    <t>Steam Superheat  (°C)</t>
  </si>
  <si>
    <t>Glass Lined Ni Coils</t>
  </si>
  <si>
    <r>
      <t>V</t>
    </r>
    <r>
      <rPr>
        <vertAlign val="subscript"/>
        <sz val="10"/>
        <rFont val="Arial"/>
        <family val="2"/>
      </rPr>
      <t>max(m3)</t>
    </r>
  </si>
  <si>
    <r>
      <t>V</t>
    </r>
    <r>
      <rPr>
        <vertAlign val="subscript"/>
        <sz val="10"/>
        <rFont val="Arial"/>
        <family val="2"/>
      </rPr>
      <t>min(m3)</t>
    </r>
  </si>
  <si>
    <t>40 barg  &lt; P &lt; 100 barg</t>
  </si>
  <si>
    <t>P &lt; 40 barg</t>
  </si>
  <si>
    <t>Construction period</t>
  </si>
  <si>
    <t>Steam from Boilers</t>
  </si>
  <si>
    <t>Medium Pressure (10 barg, 184°C)</t>
  </si>
  <si>
    <t>Low Pressure (5 barg, 160°C)</t>
  </si>
  <si>
    <t>High Pressure (41 barg, 254°C)</t>
  </si>
  <si>
    <t>Cooling Water (30°C to 45°C)</t>
  </si>
  <si>
    <t>Electricity (110V - 440V)</t>
  </si>
  <si>
    <t>Refrigeration</t>
  </si>
  <si>
    <t>Moderately Low (5°C)</t>
  </si>
  <si>
    <t>Low (-20°C)</t>
  </si>
  <si>
    <t>Very low (-50°C)</t>
  </si>
  <si>
    <t>Waste Disposal (solid and liquid)</t>
  </si>
  <si>
    <t>Non-Hazardous</t>
  </si>
  <si>
    <t>Hazardous</t>
  </si>
  <si>
    <t>Fuels</t>
  </si>
  <si>
    <t>Fuel Oil (no. 2)</t>
  </si>
  <si>
    <t>Natural Gas</t>
  </si>
  <si>
    <t>Coal (FOB mine mouth)</t>
  </si>
  <si>
    <t>Thermal Systems</t>
  </si>
  <si>
    <t>Moderately High (up to 330°C)</t>
  </si>
  <si>
    <t>High (up to 400°C)</t>
  </si>
  <si>
    <t>Very High (up to 600°C)</t>
  </si>
  <si>
    <t>Cost Preference</t>
  </si>
  <si>
    <t>Flowrate Preference</t>
  </si>
  <si>
    <t>Refrigerated Water (15°C to 25°C)</t>
  </si>
  <si>
    <t>Cost ($/GJ)</t>
  </si>
  <si>
    <t>Common Utilities</t>
  </si>
  <si>
    <t>Cost ($/tonne)</t>
  </si>
  <si>
    <t>Total Module Factor</t>
  </si>
  <si>
    <t>Grass Roots Factor</t>
  </si>
  <si>
    <t>Utility Used</t>
  </si>
  <si>
    <t>Process Equipment</t>
  </si>
  <si>
    <t>Operators per shift per equipment</t>
  </si>
  <si>
    <t>Equipment Effeciencies</t>
  </si>
  <si>
    <t>Pump Efficiency</t>
  </si>
  <si>
    <t>Fan Efficiency</t>
  </si>
  <si>
    <t>Furnace Efficiency</t>
  </si>
  <si>
    <t>Hours per Operting Year</t>
  </si>
  <si>
    <t>Annual Utility Cost</t>
  </si>
  <si>
    <t>Drive Efficiency</t>
  </si>
  <si>
    <t>Turbine Efficiency</t>
  </si>
  <si>
    <t>Totals</t>
  </si>
  <si>
    <t>Energy Price Preference</t>
  </si>
  <si>
    <t>Name</t>
  </si>
  <si>
    <t>Total Module Cost</t>
  </si>
  <si>
    <t>Grass Roots Cost</t>
  </si>
  <si>
    <t>Efficiency</t>
  </si>
  <si>
    <t>Actual Usage</t>
  </si>
  <si>
    <t>Multiplying factor for FCIL</t>
  </si>
  <si>
    <r>
      <t>Multiplying factor for C</t>
    </r>
    <r>
      <rPr>
        <vertAlign val="subscript"/>
        <sz val="10"/>
        <rFont val="Arial"/>
        <family val="2"/>
      </rPr>
      <t>OL</t>
    </r>
  </si>
  <si>
    <r>
      <t>Facotrs for C</t>
    </r>
    <r>
      <rPr>
        <vertAlign val="subscript"/>
        <sz val="10"/>
        <rFont val="Arial"/>
        <family val="2"/>
      </rPr>
      <t>UT</t>
    </r>
    <r>
      <rPr>
        <sz val="10"/>
        <rFont val="Arial"/>
        <family val="2"/>
      </rPr>
      <t>, C</t>
    </r>
    <r>
      <rPr>
        <vertAlign val="subscript"/>
        <sz val="10"/>
        <rFont val="Arial"/>
        <family val="2"/>
      </rPr>
      <t>WT</t>
    </r>
    <r>
      <rPr>
        <sz val="10"/>
        <rFont val="Arial"/>
        <family val="2"/>
      </rPr>
      <t>, and C</t>
    </r>
    <r>
      <rPr>
        <vertAlign val="subscript"/>
        <sz val="10"/>
        <rFont val="Arial"/>
        <family val="2"/>
      </rPr>
      <t>RM</t>
    </r>
  </si>
  <si>
    <r>
      <t>C</t>
    </r>
    <r>
      <rPr>
        <vertAlign val="subscript"/>
        <sz val="10"/>
        <rFont val="Arial"/>
        <family val="2"/>
      </rPr>
      <t>UT</t>
    </r>
    <r>
      <rPr>
        <sz val="10"/>
        <rFont val="Arial"/>
        <family val="2"/>
      </rPr>
      <t xml:space="preserve"> (Cost of Utilities)</t>
    </r>
  </si>
  <si>
    <r>
      <t>C</t>
    </r>
    <r>
      <rPr>
        <vertAlign val="subscript"/>
        <sz val="10"/>
        <rFont val="Arial"/>
        <family val="2"/>
      </rPr>
      <t>WT</t>
    </r>
    <r>
      <rPr>
        <sz val="10"/>
        <rFont val="Arial"/>
        <family val="2"/>
      </rPr>
      <t xml:space="preserve"> (Waste Treatment Costs)</t>
    </r>
  </si>
  <si>
    <r>
      <t>C</t>
    </r>
    <r>
      <rPr>
        <vertAlign val="subscript"/>
        <sz val="10"/>
        <rFont val="Arial"/>
        <family val="2"/>
      </rPr>
      <t>RM</t>
    </r>
    <r>
      <rPr>
        <sz val="10"/>
        <rFont val="Arial"/>
        <family val="2"/>
      </rPr>
      <t xml:space="preserve"> (Raw Materials Costs)</t>
    </r>
  </si>
  <si>
    <r>
      <t>C</t>
    </r>
    <r>
      <rPr>
        <vertAlign val="subscript"/>
        <sz val="10"/>
        <rFont val="Arial"/>
        <family val="2"/>
      </rPr>
      <t>OL</t>
    </r>
    <r>
      <rPr>
        <sz val="10"/>
        <rFont val="Arial"/>
        <family val="2"/>
      </rPr>
      <t xml:space="preserve"> (Cost of Operating Labor)</t>
    </r>
  </si>
  <si>
    <t>Cost of Labor (per operator/year)</t>
  </si>
  <si>
    <t>End of year One</t>
  </si>
  <si>
    <t>End of year Two</t>
  </si>
  <si>
    <t>End of year Three</t>
  </si>
  <si>
    <t>End of year Four</t>
  </si>
  <si>
    <t>End of year Five</t>
  </si>
  <si>
    <t>Year</t>
  </si>
  <si>
    <t>Investment</t>
  </si>
  <si>
    <t>R</t>
  </si>
  <si>
    <t>Cash Flow (discounted)</t>
  </si>
  <si>
    <t>Cash Flow       (Non-discounted)</t>
  </si>
  <si>
    <t>Economic Options</t>
  </si>
  <si>
    <t>Economic Information Calculated From Given Information</t>
  </si>
  <si>
    <t>Distribution of Fixed Capital Investment (must sum to one)</t>
  </si>
  <si>
    <r>
      <t>d</t>
    </r>
    <r>
      <rPr>
        <vertAlign val="subscript"/>
        <sz val="10"/>
        <rFont val="Arial"/>
        <family val="2"/>
      </rPr>
      <t>k</t>
    </r>
  </si>
  <si>
    <r>
      <t>FCI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>-Sd</t>
    </r>
    <r>
      <rPr>
        <vertAlign val="subscript"/>
        <sz val="10"/>
        <rFont val="Arial"/>
        <family val="2"/>
      </rPr>
      <t>k</t>
    </r>
  </si>
  <si>
    <r>
      <t>(R-COM</t>
    </r>
    <r>
      <rPr>
        <vertAlign val="subscript"/>
        <sz val="10"/>
        <rFont val="Arial"/>
        <family val="2"/>
      </rPr>
      <t>d</t>
    </r>
    <r>
      <rPr>
        <sz val="10"/>
        <rFont val="Arial"/>
        <family val="2"/>
      </rPr>
      <t>-d</t>
    </r>
    <r>
      <rPr>
        <vertAlign val="subscript"/>
        <sz val="10"/>
        <rFont val="Arial"/>
        <family val="2"/>
      </rPr>
      <t>k</t>
    </r>
    <r>
      <rPr>
        <sz val="10"/>
        <rFont val="Arial"/>
        <family val="2"/>
      </rPr>
      <t>)*(1-t)+d</t>
    </r>
    <r>
      <rPr>
        <vertAlign val="subscript"/>
        <sz val="10"/>
        <rFont val="Arial"/>
        <family val="2"/>
      </rPr>
      <t>k</t>
    </r>
  </si>
  <si>
    <t>Working Capital</t>
  </si>
  <si>
    <t>Project Life (Years after Startup)</t>
  </si>
  <si>
    <r>
      <t>Factors Used in Calculation of Cost of Manufacturing (COM</t>
    </r>
    <r>
      <rPr>
        <b/>
        <vertAlign val="subscript"/>
        <sz val="10"/>
        <rFont val="Arial"/>
        <family val="2"/>
      </rPr>
      <t>d</t>
    </r>
    <r>
      <rPr>
        <b/>
        <sz val="10"/>
        <rFont val="Arial"/>
        <family val="2"/>
      </rPr>
      <t>)</t>
    </r>
  </si>
  <si>
    <t>Cumulative Cash Flow (discounted)</t>
  </si>
  <si>
    <t>Cumulative Cash Flow (Non-discounted)</t>
  </si>
  <si>
    <t>Description</t>
  </si>
  <si>
    <t>Actual BMF</t>
  </si>
  <si>
    <r>
      <t>BMF</t>
    </r>
    <r>
      <rPr>
        <b/>
        <vertAlign val="subscript"/>
        <sz val="10"/>
        <color indexed="9"/>
        <rFont val="Arial"/>
        <family val="2"/>
      </rPr>
      <t>0</t>
    </r>
  </si>
  <si>
    <t>Steam used for steam-powered drives</t>
  </si>
  <si>
    <t>-</t>
  </si>
  <si>
    <t>Price of Product</t>
  </si>
  <si>
    <t>Raw Material Price</t>
  </si>
  <si>
    <t>FCIL</t>
  </si>
  <si>
    <t>Probable Variation of Key Parameters over Plant Life</t>
  </si>
  <si>
    <t>Lower Limit</t>
  </si>
  <si>
    <t>Upper Limit</t>
  </si>
  <si>
    <t>High NPV</t>
  </si>
  <si>
    <t>Low NPV</t>
  </si>
  <si>
    <t>Bins</t>
  </si>
  <si>
    <t>#/bin</t>
  </si>
  <si>
    <t>Upper</t>
  </si>
  <si>
    <r>
      <t xml:space="preserve">Low </t>
    </r>
    <r>
      <rPr>
        <sz val="10"/>
        <rFont val="Arial"/>
        <family val="2"/>
      </rPr>
      <t>ROROI</t>
    </r>
  </si>
  <si>
    <t>High ROROI</t>
  </si>
  <si>
    <r>
      <t xml:space="preserve">Low </t>
    </r>
    <r>
      <rPr>
        <sz val="10"/>
        <rFont val="Arial"/>
        <family val="2"/>
      </rPr>
      <t>DPBP</t>
    </r>
  </si>
  <si>
    <t>High DPBP</t>
  </si>
  <si>
    <t>Cumulative</t>
  </si>
  <si>
    <t>Upper Value</t>
  </si>
  <si>
    <t># points/bin</t>
  </si>
  <si>
    <t>Cumulativive</t>
  </si>
  <si>
    <t>Low CCP</t>
  </si>
  <si>
    <t>High CCP</t>
  </si>
  <si>
    <t>Cumulative Cash Position Data</t>
  </si>
  <si>
    <t>Net Present Value Data</t>
  </si>
  <si>
    <t>Rate of Return on Investment Data</t>
  </si>
  <si>
    <t>Discounted Payback Period Data</t>
  </si>
  <si>
    <t>Payback Period Data</t>
  </si>
  <si>
    <t>Discounted Cash Flow Rate of Return Data</t>
  </si>
  <si>
    <r>
      <t xml:space="preserve">Low </t>
    </r>
    <r>
      <rPr>
        <sz val="10"/>
        <rFont val="Arial"/>
        <family val="2"/>
      </rPr>
      <t>DCFROR</t>
    </r>
  </si>
  <si>
    <t>High DCFROR</t>
  </si>
  <si>
    <t>Discounted Profitibility Criterion</t>
  </si>
  <si>
    <t>Net Present Value (millions)</t>
  </si>
  <si>
    <t>Discounted Cash Flow Rate of Return</t>
  </si>
  <si>
    <t>Rate of Return on Investment</t>
  </si>
  <si>
    <t>Non-Discounted Profitibility Criteria</t>
  </si>
  <si>
    <t>Cumulative Cash Position (millions)</t>
  </si>
  <si>
    <t>Payback Period (years)</t>
  </si>
  <si>
    <t>Discounted Payback Period (years)</t>
  </si>
  <si>
    <t>Base Value</t>
  </si>
  <si>
    <t/>
  </si>
  <si>
    <t>Cost of Steam used in Steam Drives</t>
  </si>
  <si>
    <t>Purchased Equipment Cost</t>
  </si>
  <si>
    <t>Bare Module Cost</t>
  </si>
  <si>
    <t>Interest Rate*</t>
  </si>
  <si>
    <t>Income Tax Rate*</t>
  </si>
  <si>
    <t>* Please note that variations for percentages are a percent of a percent.</t>
  </si>
  <si>
    <t>For example, a 10% variance on a 12% interst rate would imply a 1.2% uncertainty</t>
  </si>
  <si>
    <t>Storage Tanks</t>
  </si>
  <si>
    <t>Tank Type</t>
  </si>
  <si>
    <t>Tank Data</t>
  </si>
  <si>
    <t>Fixed Roof</t>
  </si>
  <si>
    <t>Floating Roof</t>
  </si>
  <si>
    <t>A</t>
  </si>
  <si>
    <t>B</t>
  </si>
  <si>
    <t>C</t>
  </si>
  <si>
    <t>Factors Used in Calculation of  Working Capital</t>
  </si>
  <si>
    <r>
      <t>Working Capital = A*C</t>
    </r>
    <r>
      <rPr>
        <vertAlign val="subscript"/>
        <sz val="10"/>
        <rFont val="Arial"/>
        <family val="2"/>
      </rPr>
      <t>RM</t>
    </r>
    <r>
      <rPr>
        <sz val="10"/>
        <rFont val="Arial"/>
        <family val="2"/>
      </rPr>
      <t xml:space="preserve"> + B*FCI</t>
    </r>
    <r>
      <rPr>
        <vertAlign val="subscript"/>
        <sz val="10"/>
        <rFont val="Arial"/>
        <family val="2"/>
      </rPr>
      <t>L</t>
    </r>
    <r>
      <rPr>
        <sz val="10"/>
        <rFont val="Arial"/>
        <family val="2"/>
      </rPr>
      <t xml:space="preserve"> + C*C</t>
    </r>
    <r>
      <rPr>
        <vertAlign val="subscript"/>
        <sz val="10"/>
        <rFont val="Arial"/>
        <family val="2"/>
      </rPr>
      <t>OL</t>
    </r>
  </si>
  <si>
    <t>Sieve</t>
  </si>
  <si>
    <t>Demister</t>
  </si>
  <si>
    <t>Valve</t>
  </si>
  <si>
    <t>tubes only &gt; 5 barg</t>
  </si>
  <si>
    <t>tubes only &gt; 5barg</t>
  </si>
  <si>
    <t>Spiral Tube - shell and tube</t>
  </si>
  <si>
    <t>tube only</t>
  </si>
  <si>
    <t>Plastic Saddle</t>
  </si>
  <si>
    <t>Threshold</t>
  </si>
  <si>
    <r>
      <t>V</t>
    </r>
    <r>
      <rPr>
        <vertAlign val="subscript"/>
        <sz val="10"/>
        <rFont val="Arial"/>
        <family val="2"/>
      </rPr>
      <t>min</t>
    </r>
  </si>
  <si>
    <r>
      <t>V</t>
    </r>
    <r>
      <rPr>
        <vertAlign val="subscript"/>
        <sz val="10"/>
        <rFont val="Arial"/>
        <family val="2"/>
      </rPr>
      <t>max</t>
    </r>
  </si>
  <si>
    <r>
      <t>F</t>
    </r>
    <r>
      <rPr>
        <vertAlign val="subscript"/>
        <sz val="10"/>
        <rFont val="Arial"/>
        <family val="2"/>
      </rPr>
      <t>T1</t>
    </r>
  </si>
  <si>
    <r>
      <t>F</t>
    </r>
    <r>
      <rPr>
        <vertAlign val="subscript"/>
        <sz val="10"/>
        <rFont val="Arial"/>
        <family val="2"/>
      </rPr>
      <t>T2</t>
    </r>
  </si>
  <si>
    <r>
      <t>F</t>
    </r>
    <r>
      <rPr>
        <vertAlign val="subscript"/>
        <sz val="10"/>
        <rFont val="Arial"/>
        <family val="2"/>
      </rPr>
      <t>T3</t>
    </r>
  </si>
  <si>
    <t>Tray Type</t>
  </si>
  <si>
    <r>
      <t>A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</si>
  <si>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A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</si>
  <si>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V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</si>
  <si>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r>
      <t>V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</si>
  <si>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t>Ceramic</t>
  </si>
  <si>
    <t>Tower MOC</t>
  </si>
  <si>
    <t>Tower Description</t>
  </si>
  <si>
    <t>Conveyor Data</t>
  </si>
  <si>
    <r>
      <t>A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</si>
  <si>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A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</si>
  <si>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t>Apron</t>
  </si>
  <si>
    <t>Belt</t>
  </si>
  <si>
    <t>Pneumatic</t>
  </si>
  <si>
    <t>Screw</t>
  </si>
  <si>
    <t>Crystallizer Data</t>
  </si>
  <si>
    <r>
      <t>V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</si>
  <si>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r>
      <t>V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)</t>
    </r>
  </si>
  <si>
    <t>Batch</t>
  </si>
  <si>
    <t>Dryer Data</t>
  </si>
  <si>
    <t>Drum</t>
  </si>
  <si>
    <t>Rotary, Gas Fired</t>
  </si>
  <si>
    <t>Tray</t>
  </si>
  <si>
    <t>Dust Collectors Data</t>
  </si>
  <si>
    <r>
      <t>V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/s)</t>
    </r>
  </si>
  <si>
    <r>
      <t>V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>/s)</t>
    </r>
  </si>
  <si>
    <t>Baghouse</t>
  </si>
  <si>
    <t>Electrostatic Precipitator</t>
  </si>
  <si>
    <t>Venturi</t>
  </si>
  <si>
    <t>Filter Data</t>
  </si>
  <si>
    <t>Bent</t>
  </si>
  <si>
    <t>Cartridge</t>
  </si>
  <si>
    <t>Disc and Drum</t>
  </si>
  <si>
    <t>Gravity</t>
  </si>
  <si>
    <t>Leaf</t>
  </si>
  <si>
    <t>Pan</t>
  </si>
  <si>
    <t>Plate and Frame</t>
  </si>
  <si>
    <t>Table</t>
  </si>
  <si>
    <t>Tube</t>
  </si>
  <si>
    <t>Mixer Data</t>
  </si>
  <si>
    <r>
      <t>P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(kW)</t>
    </r>
  </si>
  <si>
    <r>
      <t>P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(kW)</t>
    </r>
  </si>
  <si>
    <t>Impeller</t>
  </si>
  <si>
    <t>Propeller</t>
  </si>
  <si>
    <t>Turbine</t>
  </si>
  <si>
    <t>Reactor Data</t>
  </si>
  <si>
    <t>Autoclave</t>
  </si>
  <si>
    <t>Fermenter</t>
  </si>
  <si>
    <t>Inoculum Tank</t>
  </si>
  <si>
    <t>Jacketed Agitated</t>
  </si>
  <si>
    <t>Jacketed Non-Agitated</t>
  </si>
  <si>
    <t>Mixer/Settler</t>
  </si>
  <si>
    <t>Screen Data</t>
  </si>
  <si>
    <t>DSM</t>
  </si>
  <si>
    <t>Stationary</t>
  </si>
  <si>
    <t>Vibrating</t>
  </si>
  <si>
    <t>Blender Data</t>
  </si>
  <si>
    <t>Kneader</t>
  </si>
  <si>
    <t>Ribbon</t>
  </si>
  <si>
    <t>Reactor Type</t>
  </si>
  <si>
    <t>Screen Type</t>
  </si>
  <si>
    <t>Vessel Type</t>
  </si>
  <si>
    <t>GL SS Coils</t>
  </si>
  <si>
    <t>Mixer Type</t>
  </si>
  <si>
    <t>Filter Type</t>
  </si>
  <si>
    <t>Collector Type</t>
  </si>
  <si>
    <t>Dryer Type</t>
  </si>
  <si>
    <t>Conveyor Type</t>
  </si>
  <si>
    <t>Blender Type</t>
  </si>
  <si>
    <t>Centrifuge Data</t>
  </si>
  <si>
    <t>Centrifugal Seperator</t>
  </si>
  <si>
    <t>Oscillating Screen</t>
  </si>
  <si>
    <t>Solid Bowl w/o Motor</t>
  </si>
  <si>
    <r>
      <t>D</t>
    </r>
    <r>
      <rPr>
        <vertAlign val="subscript"/>
        <sz val="10"/>
        <rFont val="Arial"/>
        <family val="2"/>
      </rPr>
      <t>min</t>
    </r>
    <r>
      <rPr>
        <sz val="10"/>
        <rFont val="Arial"/>
        <family val="2"/>
      </rPr>
      <t>(m)</t>
    </r>
  </si>
  <si>
    <r>
      <t>D</t>
    </r>
    <r>
      <rPr>
        <vertAlign val="subscript"/>
        <sz val="10"/>
        <rFont val="Arial"/>
        <family val="2"/>
      </rPr>
      <t>max</t>
    </r>
    <r>
      <rPr>
        <sz val="10"/>
        <rFont val="Arial"/>
        <family val="2"/>
      </rPr>
      <t>(m)</t>
    </r>
  </si>
  <si>
    <t>Auto Batch Seperator</t>
  </si>
  <si>
    <t>Cyclone Scrubbers</t>
  </si>
  <si>
    <t xml:space="preserve">     ( Centrifugal, Gravity</t>
  </si>
  <si>
    <t xml:space="preserve">     Spray, Impingement, </t>
  </si>
  <si>
    <t xml:space="preserve">     and Wet Dynamic)</t>
  </si>
  <si>
    <t>Crystallizer Type</t>
  </si>
  <si>
    <t>Blenders</t>
  </si>
  <si>
    <t>Centrifuges</t>
  </si>
  <si>
    <t>Conveyors</t>
  </si>
  <si>
    <t>Crystallizers</t>
  </si>
  <si>
    <t>Dryers</t>
  </si>
  <si>
    <t>Dust Collectors</t>
  </si>
  <si>
    <t>Filters</t>
  </si>
  <si>
    <t>Mixers</t>
  </si>
  <si>
    <t>Reactors</t>
  </si>
  <si>
    <t>Screens</t>
  </si>
  <si>
    <t>Evaporator Data</t>
  </si>
  <si>
    <t>Centrifuge Type</t>
  </si>
  <si>
    <t>endMaterial</t>
  </si>
  <si>
    <t>endClassification</t>
  </si>
  <si>
    <t>Miscellaneous Numebrs</t>
  </si>
  <si>
    <t>Solids Handling Coefficient</t>
  </si>
  <si>
    <t>Material Name</t>
  </si>
  <si>
    <t>Annual Cost</t>
  </si>
  <si>
    <t>Classification</t>
  </si>
  <si>
    <t>kilowatts</t>
  </si>
  <si>
    <t xml:space="preserve">  kW / kW</t>
  </si>
  <si>
    <t>Power (kilowatts)</t>
  </si>
  <si>
    <t>barg</t>
  </si>
  <si>
    <t xml:space="preserve">  barg / barg</t>
  </si>
  <si>
    <t>Pressure Rise Across Fan (barg)</t>
  </si>
  <si>
    <t>Pressure     (barg)</t>
  </si>
  <si>
    <t>Shell Pressure (barg)</t>
  </si>
  <si>
    <t>Tube Pressure (barg)</t>
  </si>
  <si>
    <t>Pressure         (barg)</t>
  </si>
  <si>
    <t>Discharge Pressure (barg)</t>
  </si>
  <si>
    <t>MJ/h</t>
  </si>
  <si>
    <t xml:space="preserve">  (MJ/h) / kW</t>
  </si>
  <si>
    <t>Heat Duty (MJ/h)</t>
  </si>
  <si>
    <t>meters</t>
  </si>
  <si>
    <t xml:space="preserve">  m / m</t>
  </si>
  <si>
    <t>Diameter   (meters)</t>
  </si>
  <si>
    <t>Height     (meters)</t>
  </si>
  <si>
    <t>Diameter     (meters)</t>
  </si>
  <si>
    <t>Length/Height  (meters)</t>
  </si>
  <si>
    <t>square meters</t>
  </si>
  <si>
    <t xml:space="preserve">  m^2 / m^2</t>
  </si>
  <si>
    <t>Area       (square meters)</t>
  </si>
  <si>
    <t>cubic meters</t>
  </si>
  <si>
    <t xml:space="preserve">  m^3/m^3</t>
  </si>
  <si>
    <t>Volume         (cubic meters)</t>
  </si>
  <si>
    <t>cubic meters/s</t>
  </si>
  <si>
    <t xml:space="preserve">  m^3 / m^3</t>
  </si>
  <si>
    <t>Gas Flowrate (cubic meters/s)</t>
  </si>
  <si>
    <t>$/kg</t>
  </si>
  <si>
    <t xml:space="preserve">  kg / kg</t>
  </si>
  <si>
    <t>Price ($/kg)</t>
  </si>
  <si>
    <t>kg/h</t>
  </si>
  <si>
    <t>Flowrate (kg/h)</t>
  </si>
  <si>
    <t>$/Gigajoule</t>
  </si>
  <si>
    <t xml:space="preserve">  GJ / GJ</t>
  </si>
  <si>
    <t>Total Bare Module Cost</t>
  </si>
  <si>
    <r>
      <t>F</t>
    </r>
    <r>
      <rPr>
        <vertAlign val="subscript"/>
        <sz val="10"/>
        <rFont val="Arial"/>
        <family val="2"/>
      </rPr>
      <t>BM</t>
    </r>
  </si>
  <si>
    <t>custom</t>
  </si>
  <si>
    <t>0</t>
  </si>
  <si>
    <t>material</t>
  </si>
  <si>
    <t>COUNTIF(costSummary:totals,"P-*")</t>
  </si>
  <si>
    <t>COUNTIF(costSummary:totals,"V-*")</t>
  </si>
  <si>
    <t>COUNTIF(costSummary:totals,"B-*")</t>
  </si>
  <si>
    <t>COUNTIF(costSummary:totals,"K-*")</t>
  </si>
  <si>
    <t>COUNTIF(costSummary:totals,"M-*")</t>
  </si>
  <si>
    <t>http://www.chemengonline.com/current-economic-trends-march-2016/?printmode=1</t>
  </si>
  <si>
    <t>Unspecified</t>
  </si>
  <si>
    <t>Carbon Steel / Carbon Steel</t>
  </si>
  <si>
    <t>Fixed, Sheet, or U-Tube</t>
  </si>
  <si>
    <t>Stainless Steel / Carbon Steel</t>
  </si>
  <si>
    <t>Carbon Steel</t>
  </si>
  <si>
    <t>Electricity</t>
  </si>
  <si>
    <t>Centrifugal Radial</t>
  </si>
  <si>
    <t>Cyclone</t>
  </si>
  <si>
    <t xml:space="preserve"> Ref: 2024</t>
  </si>
  <si>
    <t>Categoría</t>
  </si>
  <si>
    <t>Tipo</t>
  </si>
  <si>
    <t>Detalles</t>
  </si>
  <si>
    <t>Costo de Equipo Comprado</t>
  </si>
  <si>
    <t>Costo del Módulo Pelado</t>
  </si>
  <si>
    <t>Colectores de Polvo</t>
  </si>
  <si>
    <t>Dc-101 Ciclon</t>
  </si>
  <si>
    <t>Caudal de Gas: 1 m³/s</t>
  </si>
  <si>
    <t>Intercambiadores</t>
  </si>
  <si>
    <t>E-101 Fijo, Placa o U-Tubo</t>
  </si>
  <si>
    <t>Presión Carcasa: 1 barg, Presión Tubo: 2 barg, MOC: Acero al Carbono, Área: 14 m²</t>
  </si>
  <si>
    <t>E-102 Fijo, Placa o U-Tubo</t>
  </si>
  <si>
    <t>Presión Carcasa: 2 barg, Presión Tubo: 1 barg, MOC: Acero Inoxidable, Área: 14 m²</t>
  </si>
  <si>
    <t>Ventiladores / Sopladores</t>
  </si>
  <si>
    <t>F-101 Radial Centrífugo</t>
  </si>
  <si>
    <t>Caudal de Gas: 1 m³/s, # Repuestos: 1, MOC: Acero al Carbono, Aumento de Presión: 0.1 barg</t>
  </si>
  <si>
    <t>Calentadores de Combustión</t>
  </si>
  <si>
    <t>H-101 Horno de Pirólisis</t>
  </si>
  <si>
    <t>Potencia Térmica: 48.5 MJ/h, MOC: Acero Aleado, Presión: 1 barg</t>
  </si>
  <si>
    <t>Turbinas</t>
  </si>
  <si>
    <t>J-101 Radial</t>
  </si>
  <si>
    <t>Potencia: 650 kW, # Repuestos: 0, MOC: Acero al Carbono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</si>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</sst>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&quot;$&quot;#,##0_);[Red]\(&quot;$&quot;#,##0\)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0.0"/>
    <numFmt numFmtId="168" formatCode="0.00000"/>
    <numFmt numFmtId="169" formatCode="0.0000"/>
    <numFmt numFmtId="170" formatCode="_(&quot;$&quot;* #,##0_);_(&quot;$&quot;* \(#,##0\);_(&quot;$&quot;* &quot;-&quot;??_);_(@_)"/>
    <numFmt numFmtId="171" formatCode="_(&quot;$&quot;* #,##0.000_);_(&quot;$&quot;* \(#,##0.000\);_(&quot;$&quot;* &quot;-&quot;??_);_(@_)"/>
    <numFmt numFmtId="172" formatCode="0.000"/>
    <numFmt numFmtId="173" formatCode="_(* #,##0_);_(* \(#,##0\);_(* &quot;-&quot;??_);_(@_)"/>
    <numFmt numFmtId="174" formatCode="_(* #,##0.0000_);_(* \(#,##0.0000\);_(* &quot;-&quot;??_);_(@_)"/>
    <numFmt numFmtId="175" formatCode="0.00_);\(0.00\)"/>
  </numFmts>
  <fonts count="35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vertAlign val="subscript"/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u/>
      <sz val="10"/>
      <color indexed="8"/>
      <name val="Arial"/>
      <family val="2"/>
    </font>
    <font>
      <sz val="10"/>
      <color indexed="8"/>
      <name val="Arial"/>
      <family val="2"/>
    </font>
    <font>
      <b/>
      <vertAlign val="subscript"/>
      <sz val="10"/>
      <name val="Arial"/>
      <family val="2"/>
    </font>
    <font>
      <b/>
      <vertAlign val="subscript"/>
      <sz val="10"/>
      <color indexed="9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vertAlign val="superscript"/>
      <sz val="10"/>
      <name val="Arial"/>
      <family val="2"/>
    </font>
    <font>
      <u/>
      <sz val="10"/>
      <name val="Arial"/>
      <family val="2"/>
    </font>
    <font>
      <i/>
      <sz val="10"/>
      <name val="Arial"/>
      <family val="2"/>
    </font>
    <font>
      <sz val="10"/>
      <color indexed="9"/>
      <name val="Arial"/>
      <family val="2"/>
    </font>
    <font>
      <sz val="12"/>
      <color indexed="9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17"/>
      <name val="Arial"/>
      <family val="2"/>
    </font>
    <font>
      <b/>
      <sz val="12"/>
      <color indexed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8"/>
      <color theme="10"/>
      <name val="Arial"/>
      <family val="2"/>
    </font>
    <font>
      <u/>
      <sz val="12"/>
      <color theme="10"/>
      <name val="Arial"/>
      <family val="2"/>
    </font>
    <font>
      <b/>
      <sz val="10"/>
      <color rgb="FF000099"/>
      <name val="Arial"/>
      <family val="2"/>
    </font>
    <font>
      <sz val="12"/>
      <color indexed="4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1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7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0" xfId="0" applyFill="1"/>
    <xf numFmtId="0" fontId="0" fillId="2" borderId="0" xfId="0" applyFill="1" applyBorder="1"/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6" fillId="2" borderId="0" xfId="0" applyNumberFormat="1" applyFont="1" applyFill="1" applyAlignment="1">
      <alignment horizontal="center"/>
    </xf>
    <xf numFmtId="170" fontId="6" fillId="2" borderId="0" xfId="3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7" fillId="3" borderId="2" xfId="0" applyNumberFormat="1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3" fontId="8" fillId="2" borderId="0" xfId="2" applyNumberFormat="1" applyFont="1" applyFill="1" applyAlignment="1">
      <alignment horizontal="center"/>
    </xf>
    <xf numFmtId="0" fontId="0" fillId="0" borderId="0" xfId="0" applyFill="1" applyBorder="1"/>
    <xf numFmtId="0" fontId="6" fillId="0" borderId="0" xfId="0" applyFont="1"/>
    <xf numFmtId="174" fontId="6" fillId="2" borderId="0" xfId="0" applyNumberFormat="1" applyFont="1" applyFill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6" fillId="0" borderId="0" xfId="0" applyFont="1" applyFill="1" applyBorder="1"/>
    <xf numFmtId="0" fontId="5" fillId="0" borderId="0" xfId="0" applyFont="1" applyFill="1"/>
    <xf numFmtId="0" fontId="0" fillId="0" borderId="5" xfId="0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69" fontId="0" fillId="0" borderId="6" xfId="0" applyNumberFormat="1" applyFill="1" applyBorder="1" applyAlignment="1">
      <alignment horizontal="center"/>
    </xf>
    <xf numFmtId="167" fontId="0" fillId="0" borderId="6" xfId="0" applyNumberFormat="1" applyFill="1" applyBorder="1" applyAlignment="1">
      <alignment horizontal="center"/>
    </xf>
    <xf numFmtId="0" fontId="0" fillId="0" borderId="8" xfId="0" applyFill="1" applyBorder="1"/>
    <xf numFmtId="169" fontId="0" fillId="0" borderId="0" xfId="0" applyNumberForma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/>
    <xf numFmtId="169" fontId="0" fillId="0" borderId="11" xfId="0" applyNumberFormat="1" applyFill="1" applyBorder="1" applyAlignment="1">
      <alignment horizontal="center"/>
    </xf>
    <xf numFmtId="167" fontId="0" fillId="0" borderId="11" xfId="0" applyNumberForma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3" xfId="0" applyFill="1" applyBorder="1"/>
    <xf numFmtId="2" fontId="0" fillId="0" borderId="0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0" fillId="0" borderId="11" xfId="0" applyFill="1" applyBorder="1"/>
    <xf numFmtId="0" fontId="5" fillId="0" borderId="0" xfId="0" applyFont="1" applyFill="1" applyBorder="1" applyAlignment="1">
      <alignment horizontal="left"/>
    </xf>
    <xf numFmtId="0" fontId="0" fillId="0" borderId="6" xfId="0" applyFill="1" applyBorder="1"/>
    <xf numFmtId="0" fontId="10" fillId="0" borderId="6" xfId="0" applyFont="1" applyFill="1" applyBorder="1" applyAlignment="1">
      <alignment horizontal="left"/>
    </xf>
    <xf numFmtId="0" fontId="0" fillId="0" borderId="7" xfId="0" applyFill="1" applyBorder="1"/>
    <xf numFmtId="0" fontId="0" fillId="0" borderId="10" xfId="0" applyFill="1" applyBorder="1" applyAlignment="1">
      <alignment horizontal="left"/>
    </xf>
    <xf numFmtId="0" fontId="6" fillId="0" borderId="11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10" fillId="0" borderId="10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0" fontId="5" fillId="0" borderId="0" xfId="0" applyFont="1" applyFill="1" applyBorder="1"/>
    <xf numFmtId="0" fontId="10" fillId="0" borderId="5" xfId="0" applyFon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0" fontId="0" fillId="0" borderId="8" xfId="0" applyFill="1" applyBorder="1" applyAlignment="1">
      <alignment horizontal="right"/>
    </xf>
    <xf numFmtId="2" fontId="0" fillId="0" borderId="9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0" fontId="0" fillId="0" borderId="6" xfId="0" applyFill="1" applyBorder="1" applyAlignment="1">
      <alignment horizontal="left"/>
    </xf>
    <xf numFmtId="2" fontId="0" fillId="0" borderId="14" xfId="0" applyNumberFormat="1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168" fontId="0" fillId="0" borderId="0" xfId="0" applyNumberFormat="1" applyFill="1" applyBorder="1" applyAlignment="1">
      <alignment horizontal="center"/>
    </xf>
    <xf numFmtId="168" fontId="0" fillId="0" borderId="11" xfId="0" applyNumberFormat="1" applyFill="1" applyBorder="1" applyAlignment="1">
      <alignment horizontal="center"/>
    </xf>
    <xf numFmtId="167" fontId="0" fillId="0" borderId="9" xfId="0" applyNumberFormat="1" applyFill="1" applyBorder="1" applyAlignment="1">
      <alignment horizontal="center"/>
    </xf>
    <xf numFmtId="167" fontId="0" fillId="0" borderId="12" xfId="0" applyNumberForma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6" fillId="0" borderId="0" xfId="0" applyFont="1" applyFill="1"/>
    <xf numFmtId="167" fontId="0" fillId="0" borderId="7" xfId="0" applyNumberFormat="1" applyFill="1" applyBorder="1"/>
    <xf numFmtId="167" fontId="0" fillId="0" borderId="9" xfId="0" applyNumberFormat="1" applyFill="1" applyBorder="1"/>
    <xf numFmtId="167" fontId="0" fillId="0" borderId="12" xfId="0" applyNumberFormat="1" applyFill="1" applyBorder="1"/>
    <xf numFmtId="0" fontId="0" fillId="0" borderId="0" xfId="0" applyAlignment="1">
      <alignment horizontal="right"/>
    </xf>
    <xf numFmtId="0" fontId="6" fillId="0" borderId="0" xfId="0" applyFont="1" applyFill="1" applyBorder="1" applyAlignment="1">
      <alignment horizontal="right"/>
    </xf>
    <xf numFmtId="170" fontId="6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5" xfId="0" applyBorder="1" applyAlignment="1">
      <alignment horizontal="right"/>
    </xf>
    <xf numFmtId="0" fontId="0" fillId="0" borderId="8" xfId="0" applyBorder="1" applyAlignment="1">
      <alignment horizontal="right"/>
    </xf>
    <xf numFmtId="9" fontId="0" fillId="0" borderId="9" xfId="4" applyFont="1" applyBorder="1" applyAlignment="1">
      <alignment horizontal="center"/>
    </xf>
    <xf numFmtId="170" fontId="0" fillId="0" borderId="9" xfId="3" applyNumberFormat="1" applyFont="1" applyFill="1" applyBorder="1" applyAlignment="1">
      <alignment horizontal="center"/>
    </xf>
    <xf numFmtId="0" fontId="6" fillId="0" borderId="8" xfId="0" applyFont="1" applyFill="1" applyBorder="1" applyAlignment="1">
      <alignment horizontal="right"/>
    </xf>
    <xf numFmtId="170" fontId="6" fillId="0" borderId="10" xfId="0" applyNumberFormat="1" applyFont="1" applyFill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5" xfId="0" applyFill="1" applyBorder="1" applyAlignment="1">
      <alignment horizontal="right"/>
    </xf>
    <xf numFmtId="0" fontId="0" fillId="0" borderId="13" xfId="0" applyFill="1" applyBorder="1" applyAlignment="1">
      <alignment horizontal="right"/>
    </xf>
    <xf numFmtId="0" fontId="5" fillId="0" borderId="13" xfId="0" applyFont="1" applyFill="1" applyBorder="1" applyAlignment="1">
      <alignment horizontal="right"/>
    </xf>
    <xf numFmtId="0" fontId="6" fillId="0" borderId="15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8" fillId="0" borderId="0" xfId="0" applyFont="1" applyFill="1" applyBorder="1"/>
    <xf numFmtId="0" fontId="12" fillId="0" borderId="0" xfId="0" applyFont="1" applyFill="1"/>
    <xf numFmtId="0" fontId="6" fillId="0" borderId="5" xfId="0" applyFont="1" applyFill="1" applyBorder="1"/>
    <xf numFmtId="0" fontId="4" fillId="0" borderId="7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right"/>
    </xf>
    <xf numFmtId="0" fontId="6" fillId="0" borderId="9" xfId="0" applyFont="1" applyFill="1" applyBorder="1"/>
    <xf numFmtId="0" fontId="12" fillId="0" borderId="0" xfId="0" applyFont="1" applyFill="1" applyBorder="1"/>
    <xf numFmtId="0" fontId="6" fillId="0" borderId="9" xfId="0" applyFont="1" applyFill="1" applyBorder="1" applyAlignment="1">
      <alignment horizontal="center"/>
    </xf>
    <xf numFmtId="0" fontId="6" fillId="0" borderId="8" xfId="0" applyFont="1" applyFill="1" applyBorder="1"/>
    <xf numFmtId="0" fontId="8" fillId="0" borderId="0" xfId="0" applyFont="1" applyFill="1"/>
    <xf numFmtId="0" fontId="4" fillId="0" borderId="9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right"/>
    </xf>
    <xf numFmtId="0" fontId="5" fillId="0" borderId="5" xfId="0" applyFont="1" applyFill="1" applyBorder="1" applyAlignment="1">
      <alignment horizontal="left"/>
    </xf>
    <xf numFmtId="0" fontId="6" fillId="0" borderId="7" xfId="0" applyFont="1" applyFill="1" applyBorder="1"/>
    <xf numFmtId="0" fontId="5" fillId="0" borderId="18" xfId="0" applyFont="1" applyFill="1" applyBorder="1" applyAlignment="1">
      <alignment horizontal="right"/>
    </xf>
    <xf numFmtId="0" fontId="5" fillId="0" borderId="9" xfId="0" applyFont="1" applyFill="1" applyBorder="1" applyAlignment="1">
      <alignment horizontal="right"/>
    </xf>
    <xf numFmtId="0" fontId="5" fillId="0" borderId="5" xfId="0" applyFont="1" applyFill="1" applyBorder="1"/>
    <xf numFmtId="170" fontId="0" fillId="0" borderId="0" xfId="3" applyNumberFormat="1" applyFont="1" applyAlignment="1">
      <alignment horizontal="left"/>
    </xf>
    <xf numFmtId="0" fontId="0" fillId="0" borderId="13" xfId="0" applyBorder="1" applyAlignment="1">
      <alignment horizontal="right"/>
    </xf>
    <xf numFmtId="0" fontId="0" fillId="0" borderId="15" xfId="3" applyNumberFormat="1" applyFont="1" applyBorder="1" applyAlignment="1">
      <alignment horizontal="center"/>
    </xf>
    <xf numFmtId="0" fontId="5" fillId="0" borderId="0" xfId="0" applyFont="1"/>
    <xf numFmtId="164" fontId="0" fillId="0" borderId="9" xfId="0" applyNumberFormat="1" applyFill="1" applyBorder="1" applyAlignment="1">
      <alignment horizontal="center"/>
    </xf>
    <xf numFmtId="175" fontId="0" fillId="0" borderId="0" xfId="0" applyNumberFormat="1"/>
    <xf numFmtId="175" fontId="0" fillId="0" borderId="0" xfId="0" applyNumberFormat="1" applyAlignment="1">
      <alignment horizontal="center"/>
    </xf>
    <xf numFmtId="175" fontId="0" fillId="0" borderId="0" xfId="0" applyNumberFormat="1" applyFill="1" applyAlignment="1">
      <alignment horizontal="center"/>
    </xf>
    <xf numFmtId="175" fontId="0" fillId="0" borderId="0" xfId="0" applyNumberFormat="1" applyAlignment="1">
      <alignment horizontal="center" wrapText="1"/>
    </xf>
    <xf numFmtId="0" fontId="7" fillId="3" borderId="3" xfId="0" applyFont="1" applyFill="1" applyBorder="1" applyAlignment="1">
      <alignment horizontal="center"/>
    </xf>
    <xf numFmtId="166" fontId="0" fillId="2" borderId="0" xfId="3" applyFont="1" applyFill="1" applyAlignment="1">
      <alignment horizontal="center"/>
    </xf>
    <xf numFmtId="9" fontId="0" fillId="2" borderId="0" xfId="4" applyFont="1" applyFill="1" applyAlignment="1">
      <alignment horizontal="center"/>
    </xf>
    <xf numFmtId="166" fontId="0" fillId="2" borderId="0" xfId="3" applyFont="1" applyFill="1"/>
    <xf numFmtId="0" fontId="6" fillId="0" borderId="0" xfId="2" applyNumberFormat="1" applyFont="1" applyFill="1" applyBorder="1" applyAlignment="1">
      <alignment horizontal="center"/>
    </xf>
    <xf numFmtId="0" fontId="6" fillId="0" borderId="7" xfId="2" applyNumberFormat="1" applyFont="1" applyFill="1" applyBorder="1" applyAlignment="1">
      <alignment horizontal="center"/>
    </xf>
    <xf numFmtId="0" fontId="4" fillId="0" borderId="9" xfId="2" applyNumberFormat="1" applyFont="1" applyFill="1" applyBorder="1" applyAlignment="1">
      <alignment horizontal="center"/>
    </xf>
    <xf numFmtId="9" fontId="0" fillId="0" borderId="12" xfId="4" applyFont="1" applyBorder="1" applyAlignment="1">
      <alignment horizontal="center"/>
    </xf>
    <xf numFmtId="9" fontId="0" fillId="0" borderId="0" xfId="4" applyFont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5" fillId="0" borderId="0" xfId="0" applyFont="1" applyBorder="1"/>
    <xf numFmtId="2" fontId="6" fillId="0" borderId="0" xfId="0" applyNumberFormat="1" applyFon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2" fontId="0" fillId="0" borderId="0" xfId="0" applyNumberFormat="1" applyBorder="1" applyAlignment="1">
      <alignment horizontal="center"/>
    </xf>
    <xf numFmtId="0" fontId="0" fillId="0" borderId="23" xfId="0" applyBorder="1"/>
    <xf numFmtId="0" fontId="0" fillId="0" borderId="24" xfId="0" applyBorder="1"/>
    <xf numFmtId="9" fontId="6" fillId="0" borderId="0" xfId="4" applyFont="1" applyBorder="1" applyAlignment="1">
      <alignment horizontal="center"/>
    </xf>
    <xf numFmtId="9" fontId="0" fillId="0" borderId="0" xfId="4" applyFont="1" applyBorder="1" applyAlignment="1">
      <alignment horizontal="center"/>
    </xf>
    <xf numFmtId="167" fontId="6" fillId="0" borderId="0" xfId="4" applyNumberFormat="1" applyFont="1" applyBorder="1" applyAlignment="1">
      <alignment horizontal="center"/>
    </xf>
    <xf numFmtId="167" fontId="0" fillId="0" borderId="0" xfId="4" applyNumberFormat="1" applyFon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20" xfId="0" applyFont="1" applyBorder="1"/>
    <xf numFmtId="0" fontId="0" fillId="0" borderId="25" xfId="0" applyBorder="1"/>
    <xf numFmtId="0" fontId="0" fillId="0" borderId="22" xfId="0" applyBorder="1" applyAlignment="1">
      <alignment horizontal="right"/>
    </xf>
    <xf numFmtId="0" fontId="10" fillId="0" borderId="22" xfId="0" applyFont="1" applyBorder="1" applyAlignment="1">
      <alignment horizontal="center"/>
    </xf>
    <xf numFmtId="167" fontId="6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22" xfId="0" applyFont="1" applyBorder="1"/>
    <xf numFmtId="0" fontId="15" fillId="0" borderId="0" xfId="0" applyFont="1" applyBorder="1" applyAlignment="1">
      <alignment horizontal="left"/>
    </xf>
    <xf numFmtId="0" fontId="15" fillId="0" borderId="0" xfId="0" applyFont="1" applyBorder="1"/>
    <xf numFmtId="0" fontId="5" fillId="0" borderId="19" xfId="0" applyFont="1" applyBorder="1"/>
    <xf numFmtId="0" fontId="0" fillId="0" borderId="0" xfId="0" applyBorder="1" applyAlignment="1">
      <alignment horizontal="right"/>
    </xf>
    <xf numFmtId="0" fontId="6" fillId="0" borderId="0" xfId="0" applyFont="1" applyBorder="1" applyAlignment="1">
      <alignment horizontal="right"/>
    </xf>
    <xf numFmtId="10" fontId="0" fillId="0" borderId="0" xfId="4" applyNumberFormat="1" applyFont="1" applyBorder="1"/>
    <xf numFmtId="167" fontId="0" fillId="0" borderId="1" xfId="0" applyNumberFormat="1" applyBorder="1" applyAlignment="1">
      <alignment horizontal="right"/>
    </xf>
    <xf numFmtId="166" fontId="0" fillId="0" borderId="0" xfId="3" applyFont="1" applyBorder="1" applyAlignment="1">
      <alignment horizontal="right"/>
    </xf>
    <xf numFmtId="175" fontId="0" fillId="0" borderId="0" xfId="0" applyNumberFormat="1" applyBorder="1" applyAlignment="1">
      <alignment horizontal="center" wrapText="1"/>
    </xf>
    <xf numFmtId="175" fontId="0" fillId="0" borderId="23" xfId="0" applyNumberFormat="1" applyBorder="1" applyAlignment="1">
      <alignment horizontal="center"/>
    </xf>
    <xf numFmtId="10" fontId="0" fillId="0" borderId="23" xfId="4" applyNumberFormat="1" applyFont="1" applyBorder="1" applyAlignment="1">
      <alignment horizontal="center"/>
    </xf>
    <xf numFmtId="167" fontId="0" fillId="0" borderId="23" xfId="0" applyNumberFormat="1" applyBorder="1" applyAlignment="1">
      <alignment horizontal="center"/>
    </xf>
    <xf numFmtId="175" fontId="16" fillId="0" borderId="0" xfId="0" applyNumberFormat="1" applyFont="1" applyAlignment="1">
      <alignment horizontal="left"/>
    </xf>
    <xf numFmtId="0" fontId="16" fillId="0" borderId="0" xfId="0" applyFont="1" applyBorder="1"/>
    <xf numFmtId="2" fontId="6" fillId="0" borderId="0" xfId="4" applyNumberFormat="1" applyFont="1" applyBorder="1" applyAlignment="1">
      <alignment horizontal="center"/>
    </xf>
    <xf numFmtId="0" fontId="0" fillId="0" borderId="22" xfId="0" applyFill="1" applyBorder="1" applyAlignment="1">
      <alignment horizontal="center"/>
    </xf>
    <xf numFmtId="2" fontId="6" fillId="0" borderId="0" xfId="4" applyNumberFormat="1" applyFont="1" applyFill="1" applyBorder="1" applyAlignment="1">
      <alignment horizontal="center"/>
    </xf>
    <xf numFmtId="9" fontId="6" fillId="2" borderId="0" xfId="4" applyFont="1" applyFill="1" applyAlignment="1">
      <alignment horizontal="center"/>
    </xf>
    <xf numFmtId="0" fontId="17" fillId="0" borderId="0" xfId="0" applyFont="1"/>
    <xf numFmtId="0" fontId="17" fillId="0" borderId="0" xfId="0" applyFont="1" applyBorder="1"/>
    <xf numFmtId="170" fontId="0" fillId="0" borderId="0" xfId="3" applyNumberFormat="1" applyFont="1" applyAlignment="1">
      <alignment horizontal="center"/>
    </xf>
    <xf numFmtId="9" fontId="0" fillId="0" borderId="7" xfId="4" applyFont="1" applyFill="1" applyBorder="1" applyAlignment="1">
      <alignment horizontal="center"/>
    </xf>
    <xf numFmtId="9" fontId="0" fillId="0" borderId="9" xfId="4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71" fontId="6" fillId="0" borderId="0" xfId="3" applyNumberFormat="1" applyFont="1" applyAlignment="1">
      <alignment horizontal="center"/>
    </xf>
    <xf numFmtId="9" fontId="0" fillId="0" borderId="0" xfId="4" applyFont="1"/>
    <xf numFmtId="170" fontId="0" fillId="0" borderId="9" xfId="3" applyNumberFormat="1" applyFont="1" applyFill="1" applyBorder="1" applyAlignment="1">
      <alignment horizontal="left"/>
    </xf>
    <xf numFmtId="170" fontId="0" fillId="0" borderId="7" xfId="3" applyNumberFormat="1" applyFont="1" applyFill="1" applyBorder="1" applyAlignment="1">
      <alignment horizontal="left"/>
    </xf>
    <xf numFmtId="0" fontId="17" fillId="0" borderId="0" xfId="0" applyFont="1" applyFill="1" applyBorder="1"/>
    <xf numFmtId="1" fontId="0" fillId="0" borderId="0" xfId="0" applyNumberFormat="1" applyFill="1" applyAlignment="1">
      <alignment horizontal="center"/>
    </xf>
    <xf numFmtId="10" fontId="6" fillId="0" borderId="23" xfId="4" applyNumberFormat="1" applyFont="1" applyFill="1" applyBorder="1" applyAlignment="1">
      <alignment horizontal="center"/>
    </xf>
    <xf numFmtId="167" fontId="0" fillId="0" borderId="23" xfId="0" applyNumberFormat="1" applyFill="1" applyBorder="1" applyAlignment="1">
      <alignment horizontal="center"/>
    </xf>
    <xf numFmtId="170" fontId="0" fillId="0" borderId="0" xfId="3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6" fillId="2" borderId="0" xfId="0" applyFont="1" applyFill="1" applyAlignment="1">
      <alignment horizontal="right"/>
    </xf>
    <xf numFmtId="0" fontId="0" fillId="0" borderId="8" xfId="0" applyFill="1" applyBorder="1" applyAlignment="1"/>
    <xf numFmtId="0" fontId="17" fillId="0" borderId="8" xfId="0" applyFont="1" applyFill="1" applyBorder="1" applyAlignment="1"/>
    <xf numFmtId="0" fontId="18" fillId="0" borderId="0" xfId="0" applyFont="1" applyFill="1"/>
    <xf numFmtId="0" fontId="6" fillId="0" borderId="14" xfId="0" applyFont="1" applyFill="1" applyBorder="1" applyAlignment="1">
      <alignment horizontal="center"/>
    </xf>
    <xf numFmtId="172" fontId="0" fillId="0" borderId="0" xfId="0" applyNumberFormat="1" applyFill="1" applyBorder="1" applyAlignment="1">
      <alignment horizontal="center"/>
    </xf>
    <xf numFmtId="172" fontId="0" fillId="0" borderId="11" xfId="0" applyNumberFormat="1" applyFill="1" applyBorder="1" applyAlignment="1">
      <alignment horizontal="center"/>
    </xf>
    <xf numFmtId="172" fontId="0" fillId="0" borderId="6" xfId="0" applyNumberForma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7" fillId="0" borderId="0" xfId="0" applyFont="1" applyFill="1"/>
    <xf numFmtId="11" fontId="0" fillId="0" borderId="12" xfId="0" applyNumberFormat="1" applyFill="1" applyBorder="1" applyAlignment="1">
      <alignment horizontal="center"/>
    </xf>
    <xf numFmtId="169" fontId="0" fillId="0" borderId="14" xfId="0" applyNumberFormat="1" applyFill="1" applyBorder="1" applyAlignment="1">
      <alignment horizontal="center"/>
    </xf>
    <xf numFmtId="167" fontId="0" fillId="0" borderId="14" xfId="0" applyNumberForma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169" fontId="0" fillId="0" borderId="13" xfId="0" applyNumberFormat="1" applyFill="1" applyBorder="1" applyAlignment="1">
      <alignment horizontal="center"/>
    </xf>
    <xf numFmtId="0" fontId="6" fillId="0" borderId="10" xfId="0" applyFont="1" applyFill="1" applyBorder="1"/>
    <xf numFmtId="0" fontId="6" fillId="0" borderId="11" xfId="0" applyFont="1" applyFill="1" applyBorder="1"/>
    <xf numFmtId="0" fontId="6" fillId="0" borderId="12" xfId="0" applyFont="1" applyFill="1" applyBorder="1"/>
    <xf numFmtId="0" fontId="0" fillId="0" borderId="10" xfId="0" applyFill="1" applyBorder="1" applyAlignment="1">
      <alignment horizontal="right"/>
    </xf>
    <xf numFmtId="170" fontId="0" fillId="2" borderId="0" xfId="0" applyNumberFormat="1" applyFill="1"/>
    <xf numFmtId="0" fontId="2" fillId="0" borderId="0" xfId="0" applyNumberFormat="1" applyFont="1" applyFill="1" applyBorder="1" applyAlignment="1" applyProtection="1">
      <alignment horizontal="center"/>
      <protection locked="0"/>
    </xf>
    <xf numFmtId="39" fontId="0" fillId="0" borderId="7" xfId="3" applyNumberFormat="1" applyFont="1" applyBorder="1" applyAlignment="1" applyProtection="1">
      <alignment horizontal="center"/>
      <protection locked="0"/>
    </xf>
    <xf numFmtId="39" fontId="0" fillId="0" borderId="9" xfId="3" applyNumberFormat="1" applyFont="1" applyBorder="1" applyAlignment="1" applyProtection="1">
      <alignment horizontal="center"/>
      <protection locked="0"/>
    </xf>
    <xf numFmtId="39" fontId="0" fillId="0" borderId="12" xfId="3" applyNumberFormat="1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2" fontId="6" fillId="0" borderId="9" xfId="0" applyNumberFormat="1" applyFont="1" applyFill="1" applyBorder="1" applyAlignment="1" applyProtection="1">
      <alignment horizontal="center"/>
      <protection locked="0"/>
    </xf>
    <xf numFmtId="2" fontId="6" fillId="0" borderId="12" xfId="0" applyNumberFormat="1" applyFont="1" applyFill="1" applyBorder="1" applyAlignment="1" applyProtection="1">
      <alignment horizontal="center"/>
      <protection locked="0"/>
    </xf>
    <xf numFmtId="170" fontId="0" fillId="0" borderId="12" xfId="3" applyNumberFormat="1" applyFont="1" applyBorder="1" applyAlignment="1" applyProtection="1">
      <alignment horizontal="left"/>
      <protection locked="0"/>
    </xf>
    <xf numFmtId="170" fontId="0" fillId="0" borderId="7" xfId="3" applyNumberFormat="1" applyFont="1" applyBorder="1" applyAlignment="1" applyProtection="1">
      <alignment horizontal="left"/>
      <protection locked="0"/>
    </xf>
    <xf numFmtId="9" fontId="0" fillId="0" borderId="9" xfId="4" applyFont="1" applyBorder="1" applyAlignment="1" applyProtection="1">
      <alignment horizontal="center"/>
      <protection locked="0"/>
    </xf>
    <xf numFmtId="9" fontId="0" fillId="0" borderId="0" xfId="4" applyFont="1" applyAlignment="1" applyProtection="1">
      <alignment horizontal="center"/>
      <protection locked="0"/>
    </xf>
    <xf numFmtId="0" fontId="6" fillId="0" borderId="9" xfId="0" applyFont="1" applyFill="1" applyBorder="1" applyAlignment="1" applyProtection="1">
      <alignment horizontal="center"/>
      <protection locked="0"/>
    </xf>
    <xf numFmtId="0" fontId="6" fillId="0" borderId="15" xfId="0" applyFont="1" applyFill="1" applyBorder="1" applyAlignment="1" applyProtection="1">
      <alignment horizontal="center"/>
      <protection locked="0"/>
    </xf>
    <xf numFmtId="167" fontId="6" fillId="0" borderId="9" xfId="0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Alignment="1" applyProtection="1">
      <alignment horizontal="center"/>
      <protection locked="0"/>
    </xf>
    <xf numFmtId="0" fontId="6" fillId="0" borderId="12" xfId="2" applyNumberFormat="1" applyFont="1" applyFill="1" applyBorder="1" applyAlignment="1" applyProtection="1">
      <alignment horizontal="center"/>
      <protection locked="0"/>
    </xf>
    <xf numFmtId="166" fontId="6" fillId="0" borderId="12" xfId="3" applyNumberFormat="1" applyFont="1" applyFill="1" applyBorder="1" applyAlignment="1" applyProtection="1">
      <alignment horizontal="center"/>
      <protection locked="0"/>
    </xf>
    <xf numFmtId="9" fontId="6" fillId="0" borderId="9" xfId="4" applyFont="1" applyFill="1" applyBorder="1" applyAlignment="1" applyProtection="1">
      <alignment horizontal="center"/>
      <protection locked="0"/>
    </xf>
    <xf numFmtId="9" fontId="6" fillId="0" borderId="12" xfId="4" applyFont="1" applyFill="1" applyBorder="1" applyAlignment="1" applyProtection="1">
      <alignment horizontal="center"/>
      <protection locked="0"/>
    </xf>
    <xf numFmtId="170" fontId="0" fillId="0" borderId="12" xfId="3" applyNumberFormat="1" applyFont="1" applyFill="1" applyBorder="1" applyAlignment="1" applyProtection="1">
      <alignment horizontal="center"/>
      <protection locked="0"/>
    </xf>
    <xf numFmtId="166" fontId="17" fillId="0" borderId="0" xfId="3" applyFont="1"/>
    <xf numFmtId="173" fontId="0" fillId="0" borderId="0" xfId="2" applyNumberFormat="1" applyFont="1"/>
    <xf numFmtId="169" fontId="0" fillId="0" borderId="0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2" fontId="6" fillId="0" borderId="0" xfId="0" applyNumberFormat="1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/>
    </xf>
    <xf numFmtId="0" fontId="20" fillId="0" borderId="8" xfId="0" applyFont="1" applyFill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169" fontId="0" fillId="0" borderId="6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169" fontId="0" fillId="0" borderId="11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21" fillId="0" borderId="8" xfId="0" applyFont="1" applyFill="1" applyBorder="1"/>
    <xf numFmtId="0" fontId="5" fillId="2" borderId="0" xfId="0" applyFont="1" applyFill="1"/>
    <xf numFmtId="0" fontId="5" fillId="2" borderId="0" xfId="0" applyFont="1" applyFill="1" applyAlignment="1"/>
    <xf numFmtId="11" fontId="0" fillId="0" borderId="0" xfId="0" applyNumberFormat="1" applyFill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5" fillId="3" borderId="0" xfId="0" applyFont="1" applyFill="1"/>
    <xf numFmtId="0" fontId="2" fillId="0" borderId="1" xfId="0" applyNumberFormat="1" applyFont="1" applyFill="1" applyBorder="1" applyAlignment="1">
      <alignment horizontal="center"/>
    </xf>
    <xf numFmtId="0" fontId="2" fillId="0" borderId="1" xfId="3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Alignment="1"/>
    <xf numFmtId="0" fontId="0" fillId="2" borderId="0" xfId="0" applyFill="1" applyBorder="1" applyAlignment="1"/>
    <xf numFmtId="0" fontId="4" fillId="0" borderId="0" xfId="0" applyFont="1" applyAlignment="1"/>
    <xf numFmtId="0" fontId="9" fillId="0" borderId="0" xfId="0" applyNumberFormat="1" applyFont="1" applyFill="1" applyBorder="1" applyAlignment="1">
      <alignment horizontal="center"/>
    </xf>
    <xf numFmtId="170" fontId="9" fillId="0" borderId="0" xfId="0" applyNumberFormat="1" applyFont="1" applyFill="1" applyBorder="1" applyAlignment="1">
      <alignment horizontal="center"/>
    </xf>
    <xf numFmtId="170" fontId="9" fillId="0" borderId="0" xfId="3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2" fillId="0" borderId="0" xfId="0" applyFont="1" applyFill="1" applyAlignment="1">
      <alignment horizontal="center"/>
    </xf>
    <xf numFmtId="170" fontId="8" fillId="0" borderId="0" xfId="3" applyNumberFormat="1" applyFont="1" applyFill="1" applyAlignment="1">
      <alignment horizontal="center"/>
    </xf>
    <xf numFmtId="170" fontId="8" fillId="0" borderId="0" xfId="0" applyNumberFormat="1" applyFont="1" applyFill="1"/>
    <xf numFmtId="0" fontId="8" fillId="0" borderId="0" xfId="0" applyFont="1" applyFill="1" applyAlignment="1">
      <alignment horizontal="center"/>
    </xf>
    <xf numFmtId="2" fontId="6" fillId="0" borderId="12" xfId="0" applyNumberFormat="1" applyFont="1" applyFill="1" applyBorder="1" applyAlignment="1">
      <alignment horizontal="center"/>
    </xf>
    <xf numFmtId="170" fontId="0" fillId="0" borderId="12" xfId="3" quotePrefix="1" applyNumberFormat="1" applyFont="1" applyFill="1" applyBorder="1" applyAlignment="1">
      <alignment horizontal="left"/>
    </xf>
    <xf numFmtId="0" fontId="23" fillId="0" borderId="0" xfId="0" applyNumberFormat="1" applyFont="1" applyFill="1" applyBorder="1" applyAlignment="1">
      <alignment horizontal="center"/>
    </xf>
    <xf numFmtId="170" fontId="0" fillId="0" borderId="0" xfId="3" applyNumberFormat="1" applyFont="1"/>
    <xf numFmtId="1" fontId="0" fillId="0" borderId="0" xfId="3" applyNumberFormat="1" applyFont="1" applyFill="1" applyAlignment="1">
      <alignment horizontal="center"/>
    </xf>
    <xf numFmtId="1" fontId="0" fillId="0" borderId="0" xfId="3" applyNumberFormat="1" applyFont="1" applyAlignment="1">
      <alignment horizontal="center"/>
    </xf>
    <xf numFmtId="1" fontId="6" fillId="0" borderId="0" xfId="3" applyNumberFormat="1" applyFont="1" applyAlignment="1">
      <alignment horizontal="center"/>
    </xf>
    <xf numFmtId="1" fontId="4" fillId="0" borderId="0" xfId="3" applyNumberFormat="1" applyFont="1" applyAlignment="1">
      <alignment horizontal="center"/>
    </xf>
    <xf numFmtId="1" fontId="22" fillId="0" borderId="0" xfId="3" applyNumberFormat="1" applyFont="1" applyFill="1" applyAlignment="1">
      <alignment horizontal="center"/>
    </xf>
    <xf numFmtId="1" fontId="17" fillId="0" borderId="0" xfId="3" applyNumberFormat="1" applyFont="1" applyAlignment="1">
      <alignment horizontal="center"/>
    </xf>
    <xf numFmtId="1" fontId="2" fillId="0" borderId="0" xfId="3" applyNumberFormat="1" applyFont="1" applyFill="1" applyBorder="1" applyAlignment="1">
      <alignment horizontal="center"/>
    </xf>
    <xf numFmtId="166" fontId="6" fillId="0" borderId="0" xfId="3" applyNumberFormat="1" applyFont="1" applyAlignment="1">
      <alignment horizontal="center"/>
    </xf>
    <xf numFmtId="166" fontId="6" fillId="0" borderId="0" xfId="0" applyNumberFormat="1" applyFont="1"/>
    <xf numFmtId="166" fontId="5" fillId="0" borderId="1" xfId="0" applyNumberFormat="1" applyFont="1" applyFill="1" applyBorder="1" applyAlignment="1">
      <alignment horizontal="center"/>
    </xf>
    <xf numFmtId="166" fontId="5" fillId="0" borderId="1" xfId="3" applyNumberFormat="1" applyFont="1" applyBorder="1" applyAlignment="1">
      <alignment horizontal="center"/>
    </xf>
    <xf numFmtId="2" fontId="5" fillId="0" borderId="1" xfId="3" applyNumberFormat="1" applyFont="1" applyFill="1" applyBorder="1" applyAlignment="1">
      <alignment horizontal="center"/>
    </xf>
    <xf numFmtId="2" fontId="6" fillId="0" borderId="0" xfId="3" applyNumberFormat="1" applyFont="1" applyAlignment="1">
      <alignment horizontal="center"/>
    </xf>
    <xf numFmtId="0" fontId="8" fillId="0" borderId="0" xfId="0" applyFont="1" applyFill="1" applyBorder="1" applyAlignment="1">
      <alignment horizontal="right"/>
    </xf>
    <xf numFmtId="170" fontId="6" fillId="2" borderId="0" xfId="4" applyNumberFormat="1" applyFont="1" applyFill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18" xfId="0" applyFill="1" applyBorder="1"/>
    <xf numFmtId="0" fontId="0" fillId="0" borderId="17" xfId="0" applyFill="1" applyBorder="1"/>
    <xf numFmtId="170" fontId="1" fillId="0" borderId="0" xfId="3" applyNumberFormat="1" applyFont="1"/>
    <xf numFmtId="165" fontId="6" fillId="0" borderId="0" xfId="2" applyFont="1" applyAlignment="1">
      <alignment horizontal="center"/>
    </xf>
    <xf numFmtId="0" fontId="27" fillId="0" borderId="0" xfId="0" applyNumberFormat="1" applyFont="1" applyFill="1" applyBorder="1" applyAlignment="1">
      <alignment horizontal="center"/>
    </xf>
    <xf numFmtId="0" fontId="28" fillId="0" borderId="0" xfId="0" applyNumberFormat="1" applyFont="1" applyFill="1" applyBorder="1" applyAlignment="1">
      <alignment horizontal="center"/>
    </xf>
    <xf numFmtId="170" fontId="28" fillId="0" borderId="0" xfId="0" applyNumberFormat="1" applyFont="1" applyFill="1" applyBorder="1" applyAlignment="1">
      <alignment horizontal="center"/>
    </xf>
    <xf numFmtId="170" fontId="28" fillId="0" borderId="0" xfId="3" applyNumberFormat="1" applyFont="1" applyFill="1" applyBorder="1" applyAlignment="1">
      <alignment horizontal="center"/>
    </xf>
    <xf numFmtId="170" fontId="23" fillId="0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>
      <alignment horizontal="left"/>
    </xf>
    <xf numFmtId="0" fontId="24" fillId="0" borderId="26" xfId="0" applyFont="1" applyFill="1" applyBorder="1" applyAlignment="1">
      <alignment horizontal="center"/>
    </xf>
    <xf numFmtId="0" fontId="24" fillId="0" borderId="16" xfId="0" applyFont="1" applyFill="1" applyBorder="1"/>
    <xf numFmtId="0" fontId="24" fillId="0" borderId="18" xfId="0" applyFont="1" applyFill="1" applyBorder="1"/>
    <xf numFmtId="0" fontId="24" fillId="0" borderId="17" xfId="0" applyFont="1" applyFill="1" applyBorder="1"/>
    <xf numFmtId="0" fontId="24" fillId="0" borderId="26" xfId="0" applyFont="1" applyFill="1" applyBorder="1"/>
    <xf numFmtId="0" fontId="0" fillId="0" borderId="16" xfId="0" applyFill="1" applyBorder="1"/>
    <xf numFmtId="167" fontId="0" fillId="0" borderId="18" xfId="0" applyNumberFormat="1" applyFill="1" applyBorder="1" applyAlignment="1">
      <alignment horizontal="right"/>
    </xf>
    <xf numFmtId="167" fontId="0" fillId="0" borderId="17" xfId="0" applyNumberFormat="1" applyFill="1" applyBorder="1" applyAlignment="1">
      <alignment horizontal="right"/>
    </xf>
    <xf numFmtId="0" fontId="29" fillId="0" borderId="0" xfId="0" applyFont="1"/>
    <xf numFmtId="0" fontId="30" fillId="0" borderId="0" xfId="0" applyFont="1"/>
    <xf numFmtId="0" fontId="32" fillId="0" borderId="0" xfId="1" applyFont="1" applyAlignment="1" applyProtection="1"/>
    <xf numFmtId="0" fontId="0" fillId="2" borderId="0" xfId="0" applyFill="1" applyAlignment="1">
      <alignment horizontal="right" vertical="center"/>
    </xf>
    <xf numFmtId="0" fontId="33" fillId="2" borderId="4" xfId="0" applyFont="1" applyFill="1" applyBorder="1" applyAlignment="1" applyProtection="1">
      <alignment horizontal="center" vertical="center"/>
      <protection locked="0"/>
    </xf>
    <xf numFmtId="170" fontId="2" fillId="0" borderId="0" xfId="3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4" fillId="4" borderId="0" xfId="0" applyNumberFormat="1" applyFont="1" applyFill="1" applyBorder="1" applyAlignment="1" applyProtection="1">
      <alignment horizontal="center"/>
      <protection locked="0"/>
    </xf>
    <xf numFmtId="170" fontId="0" fillId="2" borderId="0" xfId="3" applyNumberFormat="1" applyFont="1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 wrapText="1"/>
    </xf>
    <xf numFmtId="164" fontId="0" fillId="0" borderId="0" xfId="0" applyNumberFormat="1" applyAlignment="1">
      <alignment vertical="center" wrapText="1"/>
    </xf>
  </cellXfs>
  <cellStyles count="5">
    <cellStyle name="Hipervínculo" xfId="1" builtinId="8"/>
    <cellStyle name="Millares" xfId="2" builtinId="3"/>
    <cellStyle name="Moneda" xfId="3" builtinId="4"/>
    <cellStyle name="Normal" xfId="0" builtinId="0"/>
    <cellStyle name="Porcentaj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CO"/>
              <a:t>Cash Flow Diagram</a:t>
            </a:r>
          </a:p>
        </c:rich>
      </c:tx>
      <c:layout>
        <c:manualLayout>
          <c:xMode val="edge"/>
          <c:yMode val="edge"/>
          <c:x val="0.40470323053998652"/>
          <c:y val="2.97240862133612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95057357973824"/>
          <c:y val="0.1401276790731138"/>
          <c:w val="0.81806980129720941"/>
          <c:h val="0.69214580875507725"/>
        </c:manualLayout>
      </c:layout>
      <c:scatterChart>
        <c:scatterStyle val="lineMarker"/>
        <c:varyColors val="0"/>
        <c:ser>
          <c:idx val="0"/>
          <c:order val="0"/>
          <c:tx>
            <c:v>L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'Cash Flow Analysis'!$B$48:$B$63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12</c:v>
                </c:pt>
              </c:numCache>
            </c:numRef>
          </c:xVal>
          <c:yVal>
            <c:numRef>
              <c:f>'Cash Flow Analysis'!$L$48:$L$63</c:f>
              <c:numCache>
                <c:formatCode>0.00_);\(0.00\)</c:formatCode>
                <c:ptCount val="16"/>
                <c:pt idx="0">
                  <c:v>0</c:v>
                </c:pt>
                <c:pt idx="1">
                  <c:v>-1.25</c:v>
                </c:pt>
                <c:pt idx="2">
                  <c:v>-7.25</c:v>
                </c:pt>
                <c:pt idx="3">
                  <c:v>-11.25</c:v>
                </c:pt>
                <c:pt idx="4">
                  <c:v>-16.25</c:v>
                </c:pt>
                <c:pt idx="5">
                  <c:v>1.3566400000000023</c:v>
                </c:pt>
                <c:pt idx="6">
                  <c:v>19.467280000000006</c:v>
                </c:pt>
                <c:pt idx="7">
                  <c:v>37.040320000000008</c:v>
                </c:pt>
                <c:pt idx="8">
                  <c:v>54.289960000000008</c:v>
                </c:pt>
                <c:pt idx="9">
                  <c:v>71.539600000000007</c:v>
                </c:pt>
                <c:pt idx="10">
                  <c:v>88.549840000000017</c:v>
                </c:pt>
                <c:pt idx="11">
                  <c:v>105.31648000000001</c:v>
                </c:pt>
                <c:pt idx="12">
                  <c:v>122.08312000000001</c:v>
                </c:pt>
                <c:pt idx="13">
                  <c:v>138.84976</c:v>
                </c:pt>
                <c:pt idx="14">
                  <c:v>155.6164</c:v>
                </c:pt>
                <c:pt idx="15">
                  <c:v>161.8664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924-436F-9C01-97647B205D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78192"/>
        <c:axId val="1"/>
      </c:scatterChart>
      <c:valAx>
        <c:axId val="183678192"/>
        <c:scaling>
          <c:orientation val="minMax"/>
          <c:min val="-1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Project Life (Years)</a:t>
                </a:r>
              </a:p>
            </c:rich>
          </c:tx>
          <c:layout>
            <c:manualLayout>
              <c:xMode val="edge"/>
              <c:yMode val="edge"/>
              <c:x val="0.44678244470161688"/>
              <c:y val="0.9087066702869038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At val="-1000"/>
        <c:crossBetween val="midCat"/>
        <c:majorUnit val="1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Project Value (millions of dollars)</a:t>
                </a:r>
              </a:p>
            </c:rich>
          </c:tx>
          <c:layout>
            <c:manualLayout>
              <c:xMode val="edge"/>
              <c:yMode val="edge"/>
              <c:x val="2.9702915377652721E-2"/>
              <c:y val="0.2165608609268669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78192"/>
        <c:crossesAt val="-1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82460171756294"/>
          <c:y val="8.4175360951181583E-2"/>
          <c:w val="0.82078996694032635"/>
          <c:h val="0.69697198867578347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'Monte Carlo Simulation'!$C$33:$C$43</c:f>
              <c:numCache>
                <c:formatCode>0.0</c:formatCode>
                <c:ptCount val="11"/>
                <c:pt idx="0">
                  <c:v>-172.89739990234375</c:v>
                </c:pt>
                <c:pt idx="1">
                  <c:v>-136.96810913085938</c:v>
                </c:pt>
                <c:pt idx="2">
                  <c:v>-101.038818359375</c:v>
                </c:pt>
                <c:pt idx="3">
                  <c:v>-65.109519958496094</c:v>
                </c:pt>
                <c:pt idx="4">
                  <c:v>-29.180231094360352</c:v>
                </c:pt>
                <c:pt idx="5">
                  <c:v>6.7490615844726563</c:v>
                </c:pt>
                <c:pt idx="6">
                  <c:v>42.678352355957031</c:v>
                </c:pt>
                <c:pt idx="7">
                  <c:v>78.607643127441406</c:v>
                </c:pt>
                <c:pt idx="8">
                  <c:v>114.53694152832031</c:v>
                </c:pt>
                <c:pt idx="9">
                  <c:v>150.46623229980469</c:v>
                </c:pt>
                <c:pt idx="10">
                  <c:v>186.39552307128906</c:v>
                </c:pt>
              </c:numCache>
            </c:numRef>
          </c:xVal>
          <c:yVal>
            <c:numRef>
              <c:f>'Monte Carlo Simulation'!$E$33:$E$43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27</c:v>
                </c:pt>
                <c:pt idx="3">
                  <c:v>101</c:v>
                </c:pt>
                <c:pt idx="4">
                  <c:v>257</c:v>
                </c:pt>
                <c:pt idx="5">
                  <c:v>489</c:v>
                </c:pt>
                <c:pt idx="6">
                  <c:v>724</c:v>
                </c:pt>
                <c:pt idx="7">
                  <c:v>880</c:v>
                </c:pt>
                <c:pt idx="8">
                  <c:v>979</c:v>
                </c:pt>
                <c:pt idx="9">
                  <c:v>998</c:v>
                </c:pt>
                <c:pt idx="10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AF-4CC1-8CD0-8A7C2C5759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79440"/>
        <c:axId val="1"/>
      </c:scatterChart>
      <c:valAx>
        <c:axId val="18367944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Net Present Value (millions of dollars)</a:t>
                </a:r>
              </a:p>
            </c:rich>
          </c:tx>
          <c:layout>
            <c:manualLayout>
              <c:xMode val="edge"/>
              <c:yMode val="edge"/>
              <c:x val="0.34229455627669975"/>
              <c:y val="0.872056813210848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Number of Data Points</a:t>
                </a:r>
              </a:p>
            </c:rich>
          </c:tx>
          <c:layout>
            <c:manualLayout>
              <c:xMode val="edge"/>
              <c:yMode val="edge"/>
              <c:x val="2.8673900072114417E-2"/>
              <c:y val="9.0909339457567795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79440"/>
        <c:crossesAt val="-10000"/>
        <c:crossBetween val="midCat"/>
        <c:majorUnit val="25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176895306859207"/>
          <c:y val="8.389275491026589E-2"/>
          <c:w val="0.81949458483754511"/>
          <c:h val="0.69798772085341221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'Monte Carlo Simulation'!$C$100:$C$110</c:f>
              <c:numCache>
                <c:formatCode>0.00</c:formatCode>
                <c:ptCount val="11"/>
                <c:pt idx="0">
                  <c:v>-213.33064270019531</c:v>
                </c:pt>
                <c:pt idx="1">
                  <c:v>-138.63052368164063</c:v>
                </c:pt>
                <c:pt idx="2">
                  <c:v>-63.930419921875</c:v>
                </c:pt>
                <c:pt idx="3">
                  <c:v>10.769691467285156</c:v>
                </c:pt>
                <c:pt idx="4">
                  <c:v>85.469802856445313</c:v>
                </c:pt>
                <c:pt idx="5">
                  <c:v>160.169921875</c:v>
                </c:pt>
                <c:pt idx="6">
                  <c:v>234.87002563476563</c:v>
                </c:pt>
                <c:pt idx="7">
                  <c:v>309.57012939453125</c:v>
                </c:pt>
                <c:pt idx="8">
                  <c:v>384.270263671875</c:v>
                </c:pt>
                <c:pt idx="9">
                  <c:v>458.97036743164063</c:v>
                </c:pt>
                <c:pt idx="10">
                  <c:v>533.67047119140625</c:v>
                </c:pt>
              </c:numCache>
            </c:numRef>
          </c:xVal>
          <c:yVal>
            <c:numRef>
              <c:f>'Monte Carlo Simulation'!$E$100:$E$110</c:f>
              <c:numCache>
                <c:formatCode>General</c:formatCode>
                <c:ptCount val="11"/>
                <c:pt idx="0">
                  <c:v>0</c:v>
                </c:pt>
                <c:pt idx="1">
                  <c:v>4</c:v>
                </c:pt>
                <c:pt idx="2">
                  <c:v>24</c:v>
                </c:pt>
                <c:pt idx="3">
                  <c:v>78</c:v>
                </c:pt>
                <c:pt idx="4">
                  <c:v>202</c:v>
                </c:pt>
                <c:pt idx="5">
                  <c:v>397</c:v>
                </c:pt>
                <c:pt idx="6">
                  <c:v>625</c:v>
                </c:pt>
                <c:pt idx="7">
                  <c:v>798</c:v>
                </c:pt>
                <c:pt idx="8">
                  <c:v>916</c:v>
                </c:pt>
                <c:pt idx="9">
                  <c:v>985</c:v>
                </c:pt>
                <c:pt idx="10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79B-4E51-BDD7-CA33D4E444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84848"/>
        <c:axId val="1"/>
      </c:scatterChart>
      <c:valAx>
        <c:axId val="18368484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Cash Position (millions of dollars)</a:t>
                </a:r>
              </a:p>
            </c:rich>
          </c:tx>
          <c:layout>
            <c:manualLayout>
              <c:xMode val="edge"/>
              <c:yMode val="edge"/>
              <c:x val="0.30324909280854662"/>
              <c:y val="0.8724844627582173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Number of Data Points</a:t>
                </a:r>
              </a:p>
            </c:rich>
          </c:tx>
          <c:layout>
            <c:manualLayout>
              <c:xMode val="edge"/>
              <c:yMode val="edge"/>
              <c:x val="2.8880804456404972E-2"/>
              <c:y val="9.395985475908776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84848"/>
        <c:crossesAt val="-10000"/>
        <c:crossBetween val="midCat"/>
        <c:majorUnit val="25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8156696920117"/>
          <c:y val="8.3612040133779264E-2"/>
          <c:w val="0.81374393731628736"/>
          <c:h val="0.69565217391304346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'Monte Carlo Simulation'!$C$122:$C$132</c:f>
              <c:numCache>
                <c:formatCode>0%</c:formatCode>
                <c:ptCount val="11"/>
                <c:pt idx="0">
                  <c:v>-0.13631637394428253</c:v>
                </c:pt>
                <c:pt idx="1">
                  <c:v>-7.8271999955177307E-2</c:v>
                </c:pt>
                <c:pt idx="2">
                  <c:v>-2.0227629691362381E-2</c:v>
                </c:pt>
                <c:pt idx="3">
                  <c:v>3.7816744297742844E-2</c:v>
                </c:pt>
                <c:pt idx="4">
                  <c:v>9.586111456155777E-2</c:v>
                </c:pt>
                <c:pt idx="5">
                  <c:v>0.1539054811000824</c:v>
                </c:pt>
                <c:pt idx="6">
                  <c:v>0.21194985508918762</c:v>
                </c:pt>
                <c:pt idx="7">
                  <c:v>0.26999422907829285</c:v>
                </c:pt>
                <c:pt idx="8">
                  <c:v>0.32803860306739807</c:v>
                </c:pt>
                <c:pt idx="9">
                  <c:v>0.3860829770565033</c:v>
                </c:pt>
                <c:pt idx="10">
                  <c:v>0.44412735104560852</c:v>
                </c:pt>
              </c:numCache>
            </c:numRef>
          </c:xVal>
          <c:yVal>
            <c:numRef>
              <c:f>'Monte Carlo Simulation'!$E$122:$E$132</c:f>
              <c:numCache>
                <c:formatCode>General</c:formatCode>
                <c:ptCount val="11"/>
                <c:pt idx="0">
                  <c:v>0</c:v>
                </c:pt>
                <c:pt idx="1">
                  <c:v>5</c:v>
                </c:pt>
                <c:pt idx="2">
                  <c:v>42</c:v>
                </c:pt>
                <c:pt idx="3">
                  <c:v>142</c:v>
                </c:pt>
                <c:pt idx="4">
                  <c:v>335</c:v>
                </c:pt>
                <c:pt idx="5">
                  <c:v>563</c:v>
                </c:pt>
                <c:pt idx="6">
                  <c:v>773</c:v>
                </c:pt>
                <c:pt idx="7">
                  <c:v>903</c:v>
                </c:pt>
                <c:pt idx="8">
                  <c:v>968</c:v>
                </c:pt>
                <c:pt idx="9">
                  <c:v>995</c:v>
                </c:pt>
                <c:pt idx="10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1D6-4C79-BA0E-FE9FD75DD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85264"/>
        <c:axId val="1"/>
      </c:scatterChart>
      <c:valAx>
        <c:axId val="18368526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ROROI</a:t>
                </a:r>
              </a:p>
            </c:rich>
          </c:tx>
          <c:layout>
            <c:manualLayout>
              <c:xMode val="edge"/>
              <c:yMode val="edge"/>
              <c:x val="0.49728790063213929"/>
              <c:y val="0.86956533534083436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Number of Data Points</a:t>
                </a:r>
              </a:p>
            </c:rich>
          </c:tx>
          <c:layout>
            <c:manualLayout>
              <c:xMode val="edge"/>
              <c:yMode val="edge"/>
              <c:x val="2.893312631695686E-2"/>
              <c:y val="6.3545206074046942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85264"/>
        <c:crossesAt val="-1000"/>
        <c:crossBetween val="midCat"/>
        <c:majorUnit val="25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0734983130882"/>
          <c:y val="8.389275491026589E-2"/>
          <c:w val="0.82097721675909874"/>
          <c:h val="0.69798772085341221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'Monte Carlo Simulation'!$C$78:$C$88</c:f>
              <c:numCache>
                <c:formatCode>0.0</c:formatCode>
                <c:ptCount val="11"/>
                <c:pt idx="0">
                  <c:v>2.8007829189300537</c:v>
                </c:pt>
                <c:pt idx="1">
                  <c:v>5.5881738662719727</c:v>
                </c:pt>
                <c:pt idx="2">
                  <c:v>8.3755645751953125</c:v>
                </c:pt>
                <c:pt idx="3">
                  <c:v>11.162955284118652</c:v>
                </c:pt>
                <c:pt idx="4">
                  <c:v>13.950345993041992</c:v>
                </c:pt>
                <c:pt idx="5">
                  <c:v>16.737735748291016</c:v>
                </c:pt>
                <c:pt idx="6">
                  <c:v>19.525127410888672</c:v>
                </c:pt>
                <c:pt idx="7">
                  <c:v>22.312517166137695</c:v>
                </c:pt>
                <c:pt idx="8">
                  <c:v>25.099908828735352</c:v>
                </c:pt>
                <c:pt idx="9">
                  <c:v>27.887298583984375</c:v>
                </c:pt>
                <c:pt idx="10">
                  <c:v>30.674690246582031</c:v>
                </c:pt>
              </c:numCache>
            </c:numRef>
          </c:xVal>
          <c:yVal>
            <c:numRef>
              <c:f>'Monte Carlo Simulation'!$E$78:$E$88</c:f>
              <c:numCache>
                <c:formatCode>General</c:formatCode>
                <c:ptCount val="11"/>
                <c:pt idx="0">
                  <c:v>0</c:v>
                </c:pt>
                <c:pt idx="1">
                  <c:v>263</c:v>
                </c:pt>
                <c:pt idx="2">
                  <c:v>584</c:v>
                </c:pt>
                <c:pt idx="3">
                  <c:v>747</c:v>
                </c:pt>
                <c:pt idx="4">
                  <c:v>829</c:v>
                </c:pt>
                <c:pt idx="5">
                  <c:v>885</c:v>
                </c:pt>
                <c:pt idx="6">
                  <c:v>920</c:v>
                </c:pt>
                <c:pt idx="7">
                  <c:v>944</c:v>
                </c:pt>
                <c:pt idx="8">
                  <c:v>944</c:v>
                </c:pt>
                <c:pt idx="9">
                  <c:v>950</c:v>
                </c:pt>
                <c:pt idx="10">
                  <c:v>956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7AF-44CE-A2E7-B27DA3B12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84432"/>
        <c:axId val="1"/>
      </c:scatterChart>
      <c:valAx>
        <c:axId val="1836844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DPBP (years)</a:t>
                </a:r>
              </a:p>
            </c:rich>
          </c:tx>
          <c:layout>
            <c:manualLayout>
              <c:xMode val="edge"/>
              <c:yMode val="edge"/>
              <c:x val="0.46654652323389151"/>
              <c:y val="0.8724844627582173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Number of Data Points</a:t>
                </a:r>
              </a:p>
            </c:rich>
          </c:tx>
          <c:layout>
            <c:manualLayout>
              <c:xMode val="edge"/>
              <c:yMode val="edge"/>
              <c:x val="2.893312631695686E-2"/>
              <c:y val="9.395985475908776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84432"/>
        <c:crossesAt val="-1000"/>
        <c:crossBetween val="midCat"/>
        <c:majorUnit val="25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0734983130882"/>
          <c:y val="8.389275491026589E-2"/>
          <c:w val="0.82097721675909874"/>
          <c:h val="0.69798772085341221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'Monte Carlo Simulation'!$C$144:$C$154</c:f>
              <c:numCache>
                <c:formatCode>0.0</c:formatCode>
                <c:ptCount val="11"/>
                <c:pt idx="0">
                  <c:v>1.9233342409133911</c:v>
                </c:pt>
                <c:pt idx="1">
                  <c:v>2.7444608211517334</c:v>
                </c:pt>
                <c:pt idx="2">
                  <c:v>3.5655872821807861</c:v>
                </c:pt>
                <c:pt idx="3">
                  <c:v>4.386713981628418</c:v>
                </c:pt>
                <c:pt idx="4">
                  <c:v>5.2078404426574707</c:v>
                </c:pt>
                <c:pt idx="5">
                  <c:v>6.0289669036865234</c:v>
                </c:pt>
                <c:pt idx="6">
                  <c:v>6.8500933647155762</c:v>
                </c:pt>
                <c:pt idx="7">
                  <c:v>7.6712198257446289</c:v>
                </c:pt>
                <c:pt idx="8">
                  <c:v>8.4923467636108398</c:v>
                </c:pt>
                <c:pt idx="9">
                  <c:v>9.3134727478027344</c:v>
                </c:pt>
                <c:pt idx="10">
                  <c:v>10.134599685668945</c:v>
                </c:pt>
              </c:numCache>
            </c:numRef>
          </c:xVal>
          <c:yVal>
            <c:numRef>
              <c:f>'Monte Carlo Simulation'!$E$144:$E$154</c:f>
              <c:numCache>
                <c:formatCode>General</c:formatCode>
                <c:ptCount val="11"/>
                <c:pt idx="0">
                  <c:v>0</c:v>
                </c:pt>
                <c:pt idx="1">
                  <c:v>214</c:v>
                </c:pt>
                <c:pt idx="2">
                  <c:v>528</c:v>
                </c:pt>
                <c:pt idx="3">
                  <c:v>683</c:v>
                </c:pt>
                <c:pt idx="4">
                  <c:v>792</c:v>
                </c:pt>
                <c:pt idx="5">
                  <c:v>862</c:v>
                </c:pt>
                <c:pt idx="6">
                  <c:v>894</c:v>
                </c:pt>
                <c:pt idx="7">
                  <c:v>910</c:v>
                </c:pt>
                <c:pt idx="8">
                  <c:v>947</c:v>
                </c:pt>
                <c:pt idx="9">
                  <c:v>959</c:v>
                </c:pt>
                <c:pt idx="10">
                  <c:v>961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96-4420-ABB7-758988446E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79856"/>
        <c:axId val="1"/>
      </c:scatterChart>
      <c:valAx>
        <c:axId val="1836798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PBP (years)</a:t>
                </a:r>
              </a:p>
            </c:rich>
          </c:tx>
          <c:layout>
            <c:manualLayout>
              <c:xMode val="edge"/>
              <c:yMode val="edge"/>
              <c:x val="0.47558814831244683"/>
              <c:y val="0.8724844627582173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Number of Data Points</a:t>
                </a:r>
              </a:p>
            </c:rich>
          </c:tx>
          <c:layout>
            <c:manualLayout>
              <c:xMode val="edge"/>
              <c:yMode val="edge"/>
              <c:x val="2.893312631695686E-2"/>
              <c:y val="9.395985475908776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79856"/>
        <c:crossesAt val="-1000"/>
        <c:crossBetween val="midCat"/>
        <c:majorUnit val="25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200734983130882"/>
          <c:y val="8.389275491026589E-2"/>
          <c:w val="0.82097721675909874"/>
          <c:h val="0.69798772085341221"/>
        </c:manualLayout>
      </c:layout>
      <c:scatterChart>
        <c:scatterStyle val="lineMarker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'Monte Carlo Simulation'!$C$56:$C$66</c:f>
              <c:numCache>
                <c:formatCode>0.00</c:formatCode>
                <c:ptCount val="11"/>
                <c:pt idx="0">
                  <c:v>9.021759033203125E-4</c:v>
                </c:pt>
                <c:pt idx="1">
                  <c:v>2.7335738763213158E-2</c:v>
                </c:pt>
                <c:pt idx="2">
                  <c:v>5.3769301623106003E-2</c:v>
                </c:pt>
                <c:pt idx="3">
                  <c:v>8.0202862620353699E-2</c:v>
                </c:pt>
                <c:pt idx="4">
                  <c:v>0.10663642734289169</c:v>
                </c:pt>
                <c:pt idx="5">
                  <c:v>0.13306999206542969</c:v>
                </c:pt>
                <c:pt idx="6">
                  <c:v>0.15950354933738708</c:v>
                </c:pt>
                <c:pt idx="7">
                  <c:v>0.18593712151050568</c:v>
                </c:pt>
                <c:pt idx="8">
                  <c:v>0.21237067878246307</c:v>
                </c:pt>
                <c:pt idx="9">
                  <c:v>0.23880425095558167</c:v>
                </c:pt>
                <c:pt idx="10">
                  <c:v>0.26523780822753906</c:v>
                </c:pt>
              </c:numCache>
            </c:numRef>
          </c:xVal>
          <c:yVal>
            <c:numRef>
              <c:f>'Monte Carlo Simulation'!$E$56:$E$66</c:f>
              <c:numCache>
                <c:formatCode>General</c:formatCode>
                <c:ptCount val="11"/>
                <c:pt idx="0">
                  <c:v>0</c:v>
                </c:pt>
                <c:pt idx="1">
                  <c:v>63</c:v>
                </c:pt>
                <c:pt idx="2">
                  <c:v>131</c:v>
                </c:pt>
                <c:pt idx="3">
                  <c:v>257</c:v>
                </c:pt>
                <c:pt idx="4">
                  <c:v>397</c:v>
                </c:pt>
                <c:pt idx="5">
                  <c:v>566</c:v>
                </c:pt>
                <c:pt idx="6">
                  <c:v>725</c:v>
                </c:pt>
                <c:pt idx="7">
                  <c:v>833</c:v>
                </c:pt>
                <c:pt idx="8">
                  <c:v>901</c:v>
                </c:pt>
                <c:pt idx="9">
                  <c:v>930</c:v>
                </c:pt>
                <c:pt idx="10">
                  <c:v>933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02-4918-9CB6-0922FFDB27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3684016"/>
        <c:axId val="1"/>
      </c:scatterChart>
      <c:valAx>
        <c:axId val="18368401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DCFROR</a:t>
                </a:r>
              </a:p>
            </c:rich>
          </c:tx>
          <c:layout>
            <c:manualLayout>
              <c:xMode val="edge"/>
              <c:yMode val="edge"/>
              <c:x val="0.49005471147092527"/>
              <c:y val="0.87248446275821734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"/>
        <c:crosses val="autoZero"/>
        <c:crossBetween val="midCat"/>
      </c:val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CO"/>
                  <a:t>Cumulative Number of Data Points</a:t>
                </a:r>
              </a:p>
            </c:rich>
          </c:tx>
          <c:layout>
            <c:manualLayout>
              <c:xMode val="edge"/>
              <c:yMode val="edge"/>
              <c:x val="2.893312631695686E-2"/>
              <c:y val="9.395985475908776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3684016"/>
        <c:crossesAt val="-1000"/>
        <c:crossBetween val="midCat"/>
        <c:majorUnit val="25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" r="0.75" t="1" header="0.5" footer="0.5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0</xdr:row>
          <xdr:rowOff>152400</xdr:rowOff>
        </xdr:from>
        <xdr:to>
          <xdr:col>2</xdr:col>
          <xdr:colOff>190500</xdr:colOff>
          <xdr:row>1</xdr:row>
          <xdr:rowOff>220980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</xdr:row>
          <xdr:rowOff>30480</xdr:rowOff>
        </xdr:from>
        <xdr:to>
          <xdr:col>2</xdr:col>
          <xdr:colOff>190500</xdr:colOff>
          <xdr:row>3</xdr:row>
          <xdr:rowOff>99060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</xdr:row>
          <xdr:rowOff>198120</xdr:rowOff>
        </xdr:from>
        <xdr:to>
          <xdr:col>2</xdr:col>
          <xdr:colOff>190500</xdr:colOff>
          <xdr:row>4</xdr:row>
          <xdr:rowOff>266700</xdr:rowOff>
        </xdr:to>
        <xdr:sp macro="" textlink="">
          <xdr:nvSpPr>
            <xdr:cNvPr id="1046" name="RemoveAllEquipment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449580</xdr:colOff>
          <xdr:row>1</xdr:row>
          <xdr:rowOff>99060</xdr:rowOff>
        </xdr:from>
        <xdr:to>
          <xdr:col>1</xdr:col>
          <xdr:colOff>1790700</xdr:colOff>
          <xdr:row>3</xdr:row>
          <xdr:rowOff>121920</xdr:rowOff>
        </xdr:to>
        <xdr:sp macro="" textlink="">
          <xdr:nvSpPr>
            <xdr:cNvPr id="8195" name="CommandButton1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2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30480</xdr:rowOff>
    </xdr:from>
    <xdr:to>
      <xdr:col>9</xdr:col>
      <xdr:colOff>815340</xdr:colOff>
      <xdr:row>28</xdr:row>
      <xdr:rowOff>144780</xdr:rowOff>
    </xdr:to>
    <xdr:graphicFrame macro="">
      <xdr:nvGraphicFramePr>
        <xdr:cNvPr id="9518" name="Chart 2">
          <a:extLst>
            <a:ext uri="{FF2B5EF4-FFF2-40B4-BE49-F238E27FC236}">
              <a16:creationId xmlns:a16="http://schemas.microsoft.com/office/drawing/2014/main" id="{00000000-0008-0000-0300-00002E2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144780</xdr:rowOff>
        </xdr:from>
        <xdr:to>
          <xdr:col>3</xdr:col>
          <xdr:colOff>7620</xdr:colOff>
          <xdr:row>33</xdr:row>
          <xdr:rowOff>91440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27</xdr:row>
      <xdr:rowOff>38100</xdr:rowOff>
    </xdr:from>
    <xdr:to>
      <xdr:col>12</xdr:col>
      <xdr:colOff>647700</xdr:colOff>
      <xdr:row>44</xdr:row>
      <xdr:rowOff>114300</xdr:rowOff>
    </xdr:to>
    <xdr:graphicFrame macro="">
      <xdr:nvGraphicFramePr>
        <xdr:cNvPr id="11494" name="Chart 2">
          <a:extLst>
            <a:ext uri="{FF2B5EF4-FFF2-40B4-BE49-F238E27FC236}">
              <a16:creationId xmlns:a16="http://schemas.microsoft.com/office/drawing/2014/main" id="{00000000-0008-0000-0400-0000E6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205740</xdr:colOff>
      <xdr:row>93</xdr:row>
      <xdr:rowOff>38100</xdr:rowOff>
    </xdr:from>
    <xdr:to>
      <xdr:col>12</xdr:col>
      <xdr:colOff>632460</xdr:colOff>
      <xdr:row>110</xdr:row>
      <xdr:rowOff>129540</xdr:rowOff>
    </xdr:to>
    <xdr:graphicFrame macro="">
      <xdr:nvGraphicFramePr>
        <xdr:cNvPr id="11495" name="Chart 4">
          <a:extLst>
            <a:ext uri="{FF2B5EF4-FFF2-40B4-BE49-F238E27FC236}">
              <a16:creationId xmlns:a16="http://schemas.microsoft.com/office/drawing/2014/main" id="{00000000-0008-0000-0400-0000E7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228600</xdr:colOff>
      <xdr:row>115</xdr:row>
      <xdr:rowOff>38100</xdr:rowOff>
    </xdr:from>
    <xdr:to>
      <xdr:col>12</xdr:col>
      <xdr:colOff>647700</xdr:colOff>
      <xdr:row>132</xdr:row>
      <xdr:rowOff>137160</xdr:rowOff>
    </xdr:to>
    <xdr:graphicFrame macro="">
      <xdr:nvGraphicFramePr>
        <xdr:cNvPr id="11496" name="Chart 5">
          <a:extLst>
            <a:ext uri="{FF2B5EF4-FFF2-40B4-BE49-F238E27FC236}">
              <a16:creationId xmlns:a16="http://schemas.microsoft.com/office/drawing/2014/main" id="{00000000-0008-0000-0400-0000E8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228600</xdr:colOff>
      <xdr:row>71</xdr:row>
      <xdr:rowOff>38100</xdr:rowOff>
    </xdr:from>
    <xdr:to>
      <xdr:col>12</xdr:col>
      <xdr:colOff>647700</xdr:colOff>
      <xdr:row>88</xdr:row>
      <xdr:rowOff>129540</xdr:rowOff>
    </xdr:to>
    <xdr:graphicFrame macro="">
      <xdr:nvGraphicFramePr>
        <xdr:cNvPr id="11497" name="Chart 6">
          <a:extLst>
            <a:ext uri="{FF2B5EF4-FFF2-40B4-BE49-F238E27FC236}">
              <a16:creationId xmlns:a16="http://schemas.microsoft.com/office/drawing/2014/main" id="{00000000-0008-0000-0400-0000E9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228600</xdr:colOff>
      <xdr:row>137</xdr:row>
      <xdr:rowOff>38100</xdr:rowOff>
    </xdr:from>
    <xdr:to>
      <xdr:col>12</xdr:col>
      <xdr:colOff>647700</xdr:colOff>
      <xdr:row>154</xdr:row>
      <xdr:rowOff>129540</xdr:rowOff>
    </xdr:to>
    <xdr:graphicFrame macro="">
      <xdr:nvGraphicFramePr>
        <xdr:cNvPr id="11498" name="Chart 7">
          <a:extLst>
            <a:ext uri="{FF2B5EF4-FFF2-40B4-BE49-F238E27FC236}">
              <a16:creationId xmlns:a16="http://schemas.microsoft.com/office/drawing/2014/main" id="{00000000-0008-0000-0400-0000EA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228600</xdr:colOff>
      <xdr:row>49</xdr:row>
      <xdr:rowOff>38100</xdr:rowOff>
    </xdr:from>
    <xdr:to>
      <xdr:col>12</xdr:col>
      <xdr:colOff>647700</xdr:colOff>
      <xdr:row>66</xdr:row>
      <xdr:rowOff>129540</xdr:rowOff>
    </xdr:to>
    <xdr:graphicFrame macro="">
      <xdr:nvGraphicFramePr>
        <xdr:cNvPr id="11499" name="Chart 8">
          <a:extLst>
            <a:ext uri="{FF2B5EF4-FFF2-40B4-BE49-F238E27FC236}">
              <a16:creationId xmlns:a16="http://schemas.microsoft.com/office/drawing/2014/main" id="{00000000-0008-0000-0400-0000EB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205740</xdr:colOff>
          <xdr:row>19</xdr:row>
          <xdr:rowOff>30480</xdr:rowOff>
        </xdr:from>
        <xdr:to>
          <xdr:col>3</xdr:col>
          <xdr:colOff>487680</xdr:colOff>
          <xdr:row>21</xdr:row>
          <xdr:rowOff>144780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4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723900</xdr:colOff>
          <xdr:row>0</xdr:row>
          <xdr:rowOff>190500</xdr:rowOff>
        </xdr:from>
        <xdr:to>
          <xdr:col>5</xdr:col>
          <xdr:colOff>1607820</xdr:colOff>
          <xdr:row>2</xdr:row>
          <xdr:rowOff>45720</xdr:rowOff>
        </xdr:to>
        <xdr:sp macro="" textlink="">
          <xdr:nvSpPr>
            <xdr:cNvPr id="7170" name="CommandButton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792480</xdr:colOff>
      <xdr:row>1</xdr:row>
      <xdr:rowOff>167640</xdr:rowOff>
    </xdr:from>
    <xdr:to>
      <xdr:col>13</xdr:col>
      <xdr:colOff>373380</xdr:colOff>
      <xdr:row>27</xdr:row>
      <xdr:rowOff>121920</xdr:rowOff>
    </xdr:to>
    <xdr:pic>
      <xdr:nvPicPr>
        <xdr:cNvPr id="162834" name="Picture 1">
          <a:extLst>
            <a:ext uri="{FF2B5EF4-FFF2-40B4-BE49-F238E27FC236}">
              <a16:creationId xmlns:a16="http://schemas.microsoft.com/office/drawing/2014/main" id="{00000000-0008-0000-0700-0000127C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" y="335280"/>
          <a:ext cx="9883140" cy="43129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://www.chemengonline.com/current-economic-trends-march-2016/?printmode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V85"/>
  <sheetViews>
    <sheetView showGridLines="0" topLeftCell="A29" zoomScale="80" zoomScaleNormal="80" zoomScaleSheetLayoutView="100" workbookViewId="0">
      <selection activeCell="A26" sqref="A26:I72"/>
    </sheetView>
  </sheetViews>
  <sheetFormatPr baseColWidth="10" defaultColWidth="0" defaultRowHeight="13.2" x14ac:dyDescent="0.25"/>
  <cols>
    <col min="1" max="1" width="12.33203125" style="8" customWidth="1"/>
    <col min="2" max="2" width="22.44140625" style="6" customWidth="1"/>
    <col min="3" max="3" width="15.109375" style="6" customWidth="1"/>
    <col min="4" max="4" width="14.6640625" style="6" customWidth="1"/>
    <col min="5" max="5" width="13.5546875" style="6" bestFit="1" customWidth="1"/>
    <col min="6" max="6" width="17.6640625" style="6" customWidth="1"/>
    <col min="7" max="7" width="14.6640625" style="6" customWidth="1"/>
    <col min="8" max="8" width="15.6640625" style="6" customWidth="1"/>
    <col min="9" max="9" width="13.44140625" style="6" customWidth="1"/>
    <col min="10" max="254" width="9.109375" style="3" hidden="1" customWidth="1"/>
    <col min="255" max="16384" width="11.33203125" style="3" hidden="1"/>
  </cols>
  <sheetData>
    <row r="1" spans="1:256" ht="21.75" customHeight="1" thickBot="1" x14ac:dyDescent="0.3">
      <c r="A1" s="19"/>
      <c r="F1" s="3"/>
      <c r="G1" s="3"/>
      <c r="H1" s="3"/>
    </row>
    <row r="2" spans="1:256" ht="21.75" customHeight="1" thickBot="1" x14ac:dyDescent="0.3">
      <c r="D2" s="17" t="s">
        <v>17</v>
      </c>
      <c r="E2" s="328">
        <v>100</v>
      </c>
      <c r="F2" s="3"/>
      <c r="G2" s="3"/>
      <c r="H2" s="3"/>
    </row>
    <row r="3" spans="1:256" ht="21.75" customHeight="1" thickBot="1" x14ac:dyDescent="0.3">
      <c r="F3" s="3"/>
      <c r="G3" s="3"/>
      <c r="H3" s="222"/>
      <c r="I3" s="222"/>
    </row>
    <row r="4" spans="1:256" ht="21.75" customHeight="1" thickBot="1" x14ac:dyDescent="0.3">
      <c r="D4" s="17" t="s">
        <v>19</v>
      </c>
      <c r="E4" s="328">
        <v>800</v>
      </c>
      <c r="F4" s="327" t="s">
        <v>488</v>
      </c>
      <c r="G4" s="275"/>
      <c r="H4" s="3"/>
      <c r="I4" s="3"/>
    </row>
    <row r="5" spans="1:256" ht="21.75" customHeight="1" x14ac:dyDescent="0.25">
      <c r="E5" s="23"/>
      <c r="F5" s="7"/>
      <c r="G5" s="276"/>
      <c r="H5" s="222"/>
      <c r="I5" s="3"/>
    </row>
    <row r="6" spans="1:256" ht="21.75" customHeight="1" thickBot="1" x14ac:dyDescent="0.35">
      <c r="A6" s="16" t="s">
        <v>14</v>
      </c>
      <c r="B6" s="7"/>
      <c r="C6" s="7"/>
      <c r="D6" s="7"/>
      <c r="E6" s="7"/>
      <c r="F6" s="4"/>
      <c r="G6" s="4"/>
      <c r="H6" s="7"/>
      <c r="I6" s="7"/>
    </row>
    <row r="7" spans="1:256" s="267" customFormat="1" ht="30" hidden="1" customHeight="1" thickBot="1" x14ac:dyDescent="0.3">
      <c r="A7" s="13" t="s">
        <v>414</v>
      </c>
      <c r="B7" s="14" t="s">
        <v>36</v>
      </c>
      <c r="C7" s="14" t="s">
        <v>458</v>
      </c>
      <c r="D7" s="14" t="s">
        <v>16</v>
      </c>
      <c r="E7" s="14"/>
      <c r="F7" s="14"/>
      <c r="G7" s="14"/>
      <c r="H7" s="14" t="s">
        <v>303</v>
      </c>
      <c r="I7" s="15" t="s">
        <v>304</v>
      </c>
    </row>
    <row r="8" spans="1:256" ht="18" hidden="1" customHeight="1" x14ac:dyDescent="0.25">
      <c r="A8" s="11"/>
      <c r="B8" s="7"/>
      <c r="C8" s="7"/>
      <c r="D8" s="7"/>
      <c r="E8" s="7"/>
      <c r="F8" s="4"/>
      <c r="G8" s="4"/>
      <c r="H8" s="7"/>
      <c r="I8" s="7"/>
    </row>
    <row r="9" spans="1:256" ht="18" hidden="1" customHeight="1" thickBot="1" x14ac:dyDescent="0.3">
      <c r="A9" s="11"/>
      <c r="B9" s="7"/>
      <c r="C9" s="7"/>
      <c r="D9" s="7"/>
      <c r="E9" s="7"/>
      <c r="F9" s="4"/>
      <c r="G9" s="4"/>
      <c r="H9" s="7"/>
      <c r="I9" s="7"/>
    </row>
    <row r="10" spans="1:256" s="267" customFormat="1" ht="30" hidden="1" customHeight="1" thickBot="1" x14ac:dyDescent="0.3">
      <c r="A10" s="13" t="s">
        <v>415</v>
      </c>
      <c r="B10" s="14" t="s">
        <v>36</v>
      </c>
      <c r="C10" s="14" t="s">
        <v>449</v>
      </c>
      <c r="D10" s="14" t="s">
        <v>16</v>
      </c>
      <c r="E10" s="14"/>
      <c r="F10" s="14"/>
      <c r="G10" s="14"/>
      <c r="H10" s="14" t="s">
        <v>303</v>
      </c>
      <c r="I10" s="15" t="s">
        <v>304</v>
      </c>
    </row>
    <row r="11" spans="1:256" ht="18" hidden="1" customHeight="1" x14ac:dyDescent="0.25">
      <c r="A11" s="11"/>
      <c r="B11" s="7"/>
      <c r="C11" s="7"/>
      <c r="D11" s="7"/>
      <c r="E11" s="7"/>
      <c r="F11" s="4"/>
      <c r="G11" s="4"/>
      <c r="H11" s="7"/>
      <c r="I11" s="7"/>
    </row>
    <row r="12" spans="1:256" ht="18" hidden="1" customHeight="1" thickBot="1" x14ac:dyDescent="0.3">
      <c r="A12" s="11"/>
      <c r="B12" s="7"/>
      <c r="C12" s="7"/>
      <c r="D12" s="7"/>
      <c r="E12" s="7"/>
      <c r="F12" s="4"/>
      <c r="G12" s="4"/>
      <c r="H12" s="7"/>
      <c r="I12" s="7"/>
    </row>
    <row r="13" spans="1:256" s="267" customFormat="1" ht="30" hidden="1" customHeight="1" thickBot="1" x14ac:dyDescent="0.3">
      <c r="A13" s="13" t="s">
        <v>164</v>
      </c>
      <c r="B13" s="14" t="s">
        <v>98</v>
      </c>
      <c r="C13" s="14" t="s">
        <v>435</v>
      </c>
      <c r="D13" s="14" t="s">
        <v>16</v>
      </c>
      <c r="E13" s="14" t="s">
        <v>15</v>
      </c>
      <c r="F13" s="14"/>
      <c r="G13" s="14"/>
      <c r="H13" s="14" t="s">
        <v>303</v>
      </c>
      <c r="I13" s="15" t="s">
        <v>304</v>
      </c>
    </row>
    <row r="14" spans="1:256" ht="18" hidden="1" customHeight="1" thickBot="1" x14ac:dyDescent="0.3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</row>
    <row r="15" spans="1:256" s="267" customFormat="1" ht="30" hidden="1" customHeight="1" thickBot="1" x14ac:dyDescent="0.3">
      <c r="A15" s="13" t="s">
        <v>416</v>
      </c>
      <c r="B15" s="14" t="s">
        <v>36</v>
      </c>
      <c r="C15" s="14" t="s">
        <v>455</v>
      </c>
      <c r="D15" s="14"/>
      <c r="E15" s="14"/>
      <c r="F15" s="14"/>
      <c r="G15" s="14"/>
      <c r="H15" s="14" t="s">
        <v>303</v>
      </c>
      <c r="I15" s="15" t="s">
        <v>304</v>
      </c>
    </row>
    <row r="16" spans="1:256" ht="18" hidden="1" customHeight="1" x14ac:dyDescent="0.25">
      <c r="B16" s="10"/>
      <c r="C16" s="10"/>
      <c r="D16" s="10"/>
      <c r="E16" s="10"/>
      <c r="F16" s="10"/>
      <c r="G16" s="10"/>
      <c r="H16" s="10"/>
      <c r="I16" s="10"/>
    </row>
    <row r="17" spans="1:9" ht="18" hidden="1" customHeight="1" thickBot="1" x14ac:dyDescent="0.3">
      <c r="B17" s="10"/>
      <c r="C17" s="10"/>
      <c r="D17" s="10"/>
      <c r="E17" s="10"/>
      <c r="F17" s="10"/>
      <c r="G17" s="10"/>
      <c r="H17" s="10"/>
      <c r="I17" s="10"/>
    </row>
    <row r="18" spans="1:9" s="271" customFormat="1" ht="30" hidden="1" customHeight="1" thickBot="1" x14ac:dyDescent="0.3">
      <c r="A18" s="13" t="s">
        <v>417</v>
      </c>
      <c r="B18" s="14" t="s">
        <v>36</v>
      </c>
      <c r="C18" s="14" t="s">
        <v>458</v>
      </c>
      <c r="D18" s="14"/>
      <c r="E18" s="14"/>
      <c r="F18" s="14"/>
      <c r="G18" s="14"/>
      <c r="H18" s="14" t="s">
        <v>303</v>
      </c>
      <c r="I18" s="15" t="s">
        <v>304</v>
      </c>
    </row>
    <row r="19" spans="1:9" ht="18" hidden="1" customHeight="1" x14ac:dyDescent="0.25">
      <c r="B19" s="10"/>
      <c r="C19" s="10"/>
      <c r="D19" s="10"/>
      <c r="E19" s="10"/>
      <c r="F19" s="10"/>
      <c r="G19" s="10"/>
      <c r="H19" s="10"/>
      <c r="I19" s="10"/>
    </row>
    <row r="20" spans="1:9" ht="18" hidden="1" customHeight="1" thickBot="1" x14ac:dyDescent="0.3">
      <c r="B20" s="10"/>
      <c r="C20" s="10"/>
      <c r="D20" s="10"/>
      <c r="E20" s="10"/>
      <c r="F20" s="10"/>
      <c r="G20" s="10"/>
      <c r="H20" s="10"/>
      <c r="I20" s="10"/>
    </row>
    <row r="21" spans="1:9" s="267" customFormat="1" ht="30" hidden="1" customHeight="1" thickBot="1" x14ac:dyDescent="0.3">
      <c r="A21" s="13" t="s">
        <v>162</v>
      </c>
      <c r="B21" s="14" t="s">
        <v>163</v>
      </c>
      <c r="C21" s="14" t="s">
        <v>435</v>
      </c>
      <c r="D21" s="14" t="s">
        <v>16</v>
      </c>
      <c r="E21" s="14"/>
      <c r="F21" s="14"/>
      <c r="G21" s="14"/>
      <c r="H21" s="14" t="s">
        <v>303</v>
      </c>
      <c r="I21" s="15" t="s">
        <v>304</v>
      </c>
    </row>
    <row r="22" spans="1:9" ht="18" hidden="1" customHeight="1" thickBot="1" x14ac:dyDescent="0.3">
      <c r="B22" s="10"/>
      <c r="C22" s="10"/>
      <c r="D22" s="10"/>
      <c r="E22" s="10"/>
      <c r="F22" s="10"/>
      <c r="G22" s="10"/>
      <c r="H22" s="10"/>
      <c r="I22" s="10"/>
    </row>
    <row r="23" spans="1:9" s="267" customFormat="1" ht="30" hidden="1" customHeight="1" thickBot="1" x14ac:dyDescent="0.3">
      <c r="A23" s="13" t="s">
        <v>418</v>
      </c>
      <c r="B23" s="14" t="s">
        <v>36</v>
      </c>
      <c r="C23" s="14" t="s">
        <v>455</v>
      </c>
      <c r="D23" s="14"/>
      <c r="E23" s="14"/>
      <c r="F23" s="14"/>
      <c r="G23" s="14"/>
      <c r="H23" s="14" t="s">
        <v>303</v>
      </c>
      <c r="I23" s="15" t="s">
        <v>304</v>
      </c>
    </row>
    <row r="24" spans="1:9" ht="18" hidden="1" customHeight="1" x14ac:dyDescent="0.25">
      <c r="B24" s="10"/>
      <c r="C24" s="10"/>
      <c r="D24" s="10"/>
      <c r="E24" s="10"/>
      <c r="F24" s="10"/>
      <c r="G24" s="10"/>
      <c r="H24" s="10"/>
      <c r="I24" s="10"/>
    </row>
    <row r="25" spans="1:9" ht="18" hidden="1" customHeight="1" thickBot="1" x14ac:dyDescent="0.3">
      <c r="B25" s="10"/>
      <c r="C25" s="10"/>
      <c r="D25" s="10"/>
      <c r="E25" s="10"/>
      <c r="F25" s="10"/>
      <c r="G25" s="10"/>
      <c r="H25" s="10"/>
      <c r="I25" s="10"/>
    </row>
    <row r="26" spans="1:9" s="267" customFormat="1" ht="30" customHeight="1" thickBot="1" x14ac:dyDescent="0.3">
      <c r="A26" s="13" t="s">
        <v>419</v>
      </c>
      <c r="B26" s="14" t="s">
        <v>36</v>
      </c>
      <c r="C26" s="14" t="s">
        <v>461</v>
      </c>
      <c r="D26" s="14"/>
      <c r="E26" s="14"/>
      <c r="F26" s="14"/>
      <c r="G26" s="14"/>
      <c r="H26" s="14" t="s">
        <v>303</v>
      </c>
      <c r="I26" s="15" t="s">
        <v>304</v>
      </c>
    </row>
    <row r="27" spans="1:9" ht="18" customHeight="1" x14ac:dyDescent="0.25">
      <c r="A27" s="8" t="str">
        <f>"Dc-" &amp; unitNumber + 1</f>
        <v>Dc-101</v>
      </c>
      <c r="B27" s="10" t="s">
        <v>487</v>
      </c>
      <c r="C27" s="10">
        <f>ROUND(1*preferenceGasFlowrate, 2)</f>
        <v>1</v>
      </c>
      <c r="D27" s="10"/>
      <c r="E27" s="10"/>
      <c r="F27" s="10"/>
      <c r="G27" s="10"/>
      <c r="H27" s="9">
        <f>ROUND(10.74*CEPCI, -1)</f>
        <v>8590</v>
      </c>
      <c r="I27" s="9">
        <f>ROUND(16.11*CEPCI, -2)</f>
        <v>12900</v>
      </c>
    </row>
    <row r="28" spans="1:9" ht="18" customHeight="1" x14ac:dyDescent="0.25">
      <c r="B28" s="10"/>
      <c r="C28" s="10"/>
      <c r="D28" s="10"/>
      <c r="E28" s="10"/>
      <c r="F28" s="10"/>
      <c r="G28" s="10"/>
      <c r="H28" s="10"/>
      <c r="I28" s="10"/>
    </row>
    <row r="29" spans="1:9" ht="18" customHeight="1" thickBot="1" x14ac:dyDescent="0.3">
      <c r="B29" s="10"/>
      <c r="C29" s="10"/>
      <c r="D29" s="10"/>
      <c r="E29" s="10"/>
      <c r="F29" s="10"/>
      <c r="G29" s="10"/>
      <c r="H29" s="10"/>
      <c r="I29" s="10"/>
    </row>
    <row r="30" spans="1:9" s="267" customFormat="1" ht="30" hidden="1" customHeight="1" thickBot="1" x14ac:dyDescent="0.3">
      <c r="A30" s="13" t="s">
        <v>37</v>
      </c>
      <c r="B30" s="14" t="s">
        <v>36</v>
      </c>
      <c r="C30" s="14" t="s">
        <v>455</v>
      </c>
      <c r="D30" s="14" t="s">
        <v>439</v>
      </c>
      <c r="E30" s="14" t="s">
        <v>15</v>
      </c>
      <c r="F30" s="14" t="s">
        <v>458</v>
      </c>
      <c r="G30" s="14"/>
      <c r="H30" s="14" t="s">
        <v>303</v>
      </c>
      <c r="I30" s="15" t="s">
        <v>304</v>
      </c>
    </row>
    <row r="31" spans="1:9" ht="18" hidden="1" customHeight="1" x14ac:dyDescent="0.25">
      <c r="B31" s="10"/>
      <c r="C31" s="10"/>
      <c r="D31" s="10"/>
      <c r="E31" s="10"/>
      <c r="F31" s="10"/>
      <c r="G31" s="10"/>
      <c r="H31" s="10"/>
      <c r="I31" s="10"/>
    </row>
    <row r="32" spans="1:9" ht="18" hidden="1" customHeight="1" thickBot="1" x14ac:dyDescent="0.3">
      <c r="B32" s="10"/>
      <c r="C32" s="10"/>
      <c r="D32" s="10"/>
      <c r="E32" s="10"/>
      <c r="F32" s="10"/>
      <c r="G32" s="10"/>
      <c r="H32" s="10"/>
      <c r="I32" s="10"/>
    </row>
    <row r="33" spans="1:9" s="267" customFormat="1" ht="30" customHeight="1" thickBot="1" x14ac:dyDescent="0.3">
      <c r="A33" s="13" t="s">
        <v>33</v>
      </c>
      <c r="B33" s="14" t="s">
        <v>152</v>
      </c>
      <c r="C33" s="14" t="s">
        <v>440</v>
      </c>
      <c r="D33" s="14" t="s">
        <v>441</v>
      </c>
      <c r="E33" s="14"/>
      <c r="F33" s="14" t="s">
        <v>15</v>
      </c>
      <c r="G33" s="14" t="s">
        <v>455</v>
      </c>
      <c r="H33" s="14" t="s">
        <v>303</v>
      </c>
      <c r="I33" s="15" t="s">
        <v>304</v>
      </c>
    </row>
    <row r="34" spans="1:9" ht="18" customHeight="1" x14ac:dyDescent="0.25">
      <c r="A34" s="8" t="str">
        <f>"E-" &amp; unitNumber + 1</f>
        <v>E-101</v>
      </c>
      <c r="B34" s="10" t="s">
        <v>482</v>
      </c>
      <c r="C34" s="10">
        <f>ROUND(1*preferencePressure, 2)</f>
        <v>1</v>
      </c>
      <c r="D34" s="10">
        <f>ROUND(2*preferencePressure, 2)</f>
        <v>2</v>
      </c>
      <c r="E34" s="10"/>
      <c r="F34" s="203" t="s">
        <v>481</v>
      </c>
      <c r="G34" s="10">
        <f>ROUND(14*preferenceArea, 1)</f>
        <v>14</v>
      </c>
      <c r="H34" s="9">
        <f>ROUND(39.19875*CEPCI, -2)</f>
        <v>31400</v>
      </c>
      <c r="I34" s="9">
        <f>ROUND(128.96375*CEPCI, -3)</f>
        <v>103000</v>
      </c>
    </row>
    <row r="35" spans="1:9" ht="18" customHeight="1" x14ac:dyDescent="0.25">
      <c r="A35" s="8" t="str">
        <f>"E-" &amp; unitNumber + 2</f>
        <v>E-102</v>
      </c>
      <c r="B35" s="10" t="s">
        <v>482</v>
      </c>
      <c r="C35" s="10">
        <f>ROUND(2*preferencePressure, 2)</f>
        <v>2</v>
      </c>
      <c r="D35" s="10">
        <f>ROUND(1*preferencePressure, 2)</f>
        <v>1</v>
      </c>
      <c r="E35" s="10"/>
      <c r="F35" s="203" t="s">
        <v>483</v>
      </c>
      <c r="G35" s="10">
        <f>ROUND(14*preferenceArea, 1)</f>
        <v>14</v>
      </c>
      <c r="H35" s="9">
        <f>ROUND(39.19875*CEPCI, -2)</f>
        <v>31400</v>
      </c>
      <c r="I35" s="9">
        <f>ROUND(181.67*CEPCI, -3)</f>
        <v>145000</v>
      </c>
    </row>
    <row r="36" spans="1:9" ht="18" customHeight="1" thickBot="1" x14ac:dyDescent="0.3">
      <c r="B36" s="10"/>
      <c r="C36" s="10"/>
      <c r="D36" s="10"/>
      <c r="E36" s="10"/>
      <c r="F36" s="203"/>
      <c r="G36" s="10"/>
      <c r="H36" s="10"/>
      <c r="I36" s="10"/>
    </row>
    <row r="37" spans="1:9" s="267" customFormat="1" ht="30" customHeight="1" thickBot="1" x14ac:dyDescent="0.3">
      <c r="A37" s="13" t="s">
        <v>165</v>
      </c>
      <c r="B37" s="14" t="s">
        <v>36</v>
      </c>
      <c r="C37" s="14" t="s">
        <v>461</v>
      </c>
      <c r="D37" s="14" t="s">
        <v>16</v>
      </c>
      <c r="E37" s="14" t="s">
        <v>15</v>
      </c>
      <c r="F37" s="14" t="s">
        <v>438</v>
      </c>
      <c r="G37" s="14"/>
      <c r="H37" s="14" t="s">
        <v>303</v>
      </c>
      <c r="I37" s="15" t="s">
        <v>304</v>
      </c>
    </row>
    <row r="38" spans="1:9" ht="18" customHeight="1" x14ac:dyDescent="0.25">
      <c r="A38" s="8" t="str">
        <f>"F-" &amp; unitNumber + 1</f>
        <v>F-101</v>
      </c>
      <c r="B38" s="10" t="s">
        <v>486</v>
      </c>
      <c r="C38" s="10">
        <f>ROUND(1*preferenceGasFlowrate, 2)</f>
        <v>1</v>
      </c>
      <c r="D38" s="10">
        <v>1</v>
      </c>
      <c r="E38" s="10" t="s">
        <v>484</v>
      </c>
      <c r="F38" s="10">
        <f>ROUND(0.1*preferencePressure, 2)</f>
        <v>0.1</v>
      </c>
      <c r="G38" s="10"/>
      <c r="H38" s="9">
        <f>ROUND(17.43125*CEPCI, -2)</f>
        <v>13900</v>
      </c>
      <c r="I38" s="9">
        <f>ROUND(71.65875*CEPCI, -3)</f>
        <v>57000</v>
      </c>
    </row>
    <row r="39" spans="1:9" ht="18" customHeight="1" x14ac:dyDescent="0.25">
      <c r="B39" s="10"/>
      <c r="C39" s="10"/>
      <c r="D39" s="10"/>
      <c r="E39" s="10"/>
      <c r="F39" s="10"/>
      <c r="G39" s="10"/>
      <c r="H39" s="9"/>
      <c r="I39" s="9"/>
    </row>
    <row r="40" spans="1:9" ht="18" customHeight="1" thickBot="1" x14ac:dyDescent="0.3">
      <c r="B40" s="10"/>
      <c r="C40" s="10"/>
      <c r="D40" s="10"/>
      <c r="E40" s="10"/>
      <c r="F40" s="10"/>
      <c r="G40" s="10"/>
      <c r="H40" s="10"/>
      <c r="I40" s="10"/>
    </row>
    <row r="41" spans="1:9" s="267" customFormat="1" ht="30" hidden="1" customHeight="1" thickBot="1" x14ac:dyDescent="0.3">
      <c r="A41" s="13" t="s">
        <v>420</v>
      </c>
      <c r="B41" s="14" t="s">
        <v>36</v>
      </c>
      <c r="C41" s="14" t="s">
        <v>455</v>
      </c>
      <c r="D41" s="14"/>
      <c r="E41" s="14"/>
      <c r="F41" s="14"/>
      <c r="G41" s="14"/>
      <c r="H41" s="14" t="s">
        <v>303</v>
      </c>
      <c r="I41" s="15" t="s">
        <v>304</v>
      </c>
    </row>
    <row r="42" spans="1:9" ht="18" hidden="1" customHeight="1" x14ac:dyDescent="0.25">
      <c r="B42" s="10"/>
      <c r="C42" s="10"/>
      <c r="D42" s="10"/>
      <c r="E42" s="10"/>
      <c r="F42" s="10"/>
      <c r="G42" s="10"/>
      <c r="H42" s="10"/>
      <c r="I42" s="10"/>
    </row>
    <row r="43" spans="1:9" ht="18" hidden="1" customHeight="1" x14ac:dyDescent="0.25">
      <c r="B43" s="10"/>
      <c r="C43" s="10"/>
      <c r="D43" s="10"/>
      <c r="E43" s="10"/>
      <c r="F43" s="10"/>
      <c r="G43" s="10"/>
      <c r="H43" s="10"/>
      <c r="I43" s="10"/>
    </row>
    <row r="44" spans="1:9" s="267" customFormat="1" ht="30" customHeight="1" thickBot="1" x14ac:dyDescent="0.3">
      <c r="A44" s="13" t="s">
        <v>38</v>
      </c>
      <c r="B44" s="14" t="s">
        <v>36</v>
      </c>
      <c r="C44" s="14" t="s">
        <v>446</v>
      </c>
      <c r="D44" s="14" t="s">
        <v>175</v>
      </c>
      <c r="E44" s="14" t="s">
        <v>15</v>
      </c>
      <c r="F44" s="14" t="s">
        <v>442</v>
      </c>
      <c r="G44" s="14"/>
      <c r="H44" s="14" t="s">
        <v>303</v>
      </c>
      <c r="I44" s="15" t="s">
        <v>304</v>
      </c>
    </row>
    <row r="45" spans="1:9" s="12" customFormat="1" ht="18" customHeight="1" x14ac:dyDescent="0.25">
      <c r="A45" s="10" t="str">
        <f>"H-" &amp; unitNumber + 1</f>
        <v>H-101</v>
      </c>
      <c r="B45" s="10" t="s">
        <v>87</v>
      </c>
      <c r="C45" s="10">
        <f>ROUND(13.466*preferenceHeatDuty, 1)</f>
        <v>48.5</v>
      </c>
      <c r="D45" s="10"/>
      <c r="E45" s="10" t="s">
        <v>113</v>
      </c>
      <c r="F45" s="10">
        <f>ROUND(1*preferencePressure, 2)</f>
        <v>1</v>
      </c>
      <c r="G45" s="10"/>
      <c r="H45" s="9">
        <f>ROUND(828.2425*CEPCI, -3)</f>
        <v>663000</v>
      </c>
      <c r="I45" s="9">
        <f>ROUND(2078.88875*CEPCI, -4)</f>
        <v>1660000</v>
      </c>
    </row>
    <row r="46" spans="1:9" s="12" customFormat="1" ht="18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</row>
    <row r="47" spans="1:9" s="12" customFormat="1" ht="18" customHeight="1" thickBot="1" x14ac:dyDescent="0.3">
      <c r="A47" s="10"/>
      <c r="B47" s="10"/>
      <c r="C47" s="10"/>
      <c r="D47" s="10"/>
      <c r="E47" s="10"/>
      <c r="F47" s="10"/>
      <c r="G47" s="10"/>
      <c r="H47" s="10"/>
      <c r="I47" s="10"/>
    </row>
    <row r="48" spans="1:9" s="268" customFormat="1" ht="29.25" hidden="1" customHeight="1" thickBot="1" x14ac:dyDescent="0.3">
      <c r="A48" s="13" t="s">
        <v>421</v>
      </c>
      <c r="B48" s="14" t="s">
        <v>36</v>
      </c>
      <c r="C48" s="14" t="s">
        <v>435</v>
      </c>
      <c r="D48" s="14" t="s">
        <v>16</v>
      </c>
      <c r="E48" s="14"/>
      <c r="F48" s="14"/>
      <c r="G48" s="14"/>
      <c r="H48" s="14" t="s">
        <v>303</v>
      </c>
      <c r="I48" s="15" t="s">
        <v>304</v>
      </c>
    </row>
    <row r="49" spans="1:10" s="12" customFormat="1" ht="18" hidden="1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</row>
    <row r="50" spans="1:10" s="12" customFormat="1" ht="18" hidden="1" customHeight="1" thickBot="1" x14ac:dyDescent="0.3">
      <c r="A50" s="10"/>
      <c r="B50" s="10"/>
      <c r="C50" s="10"/>
      <c r="D50" s="10"/>
      <c r="E50" s="10"/>
      <c r="F50" s="10"/>
      <c r="G50" s="10"/>
      <c r="H50" s="10"/>
      <c r="I50" s="10"/>
    </row>
    <row r="51" spans="1:10" s="267" customFormat="1" ht="30" hidden="1" customHeight="1" thickBot="1" x14ac:dyDescent="0.3">
      <c r="A51" s="13" t="s">
        <v>39</v>
      </c>
      <c r="B51" s="14" t="s">
        <v>20</v>
      </c>
      <c r="C51" s="14" t="s">
        <v>435</v>
      </c>
      <c r="D51" s="14" t="s">
        <v>16</v>
      </c>
      <c r="E51" s="14" t="s">
        <v>15</v>
      </c>
      <c r="F51" s="14" t="s">
        <v>443</v>
      </c>
      <c r="G51" s="14"/>
      <c r="H51" s="14" t="s">
        <v>303</v>
      </c>
      <c r="I51" s="15" t="s">
        <v>304</v>
      </c>
    </row>
    <row r="52" spans="1:10" ht="18" hidden="1" customHeight="1" thickBot="1" x14ac:dyDescent="0.3">
      <c r="B52" s="8"/>
      <c r="C52" s="8"/>
      <c r="D52" s="8"/>
      <c r="E52" s="8"/>
      <c r="F52" s="8"/>
      <c r="G52" s="8"/>
      <c r="H52" s="9"/>
      <c r="I52" s="9"/>
    </row>
    <row r="53" spans="1:10" s="267" customFormat="1" ht="30" hidden="1" customHeight="1" thickBot="1" x14ac:dyDescent="0.3">
      <c r="A53" s="13" t="s">
        <v>422</v>
      </c>
      <c r="B53" s="14" t="s">
        <v>36</v>
      </c>
      <c r="C53" s="14" t="s">
        <v>458</v>
      </c>
      <c r="D53" s="14"/>
      <c r="E53" s="14"/>
      <c r="F53" s="14"/>
      <c r="G53" s="14"/>
      <c r="H53" s="14" t="s">
        <v>303</v>
      </c>
      <c r="I53" s="15" t="s">
        <v>304</v>
      </c>
    </row>
    <row r="54" spans="1:10" ht="18" hidden="1" customHeight="1" x14ac:dyDescent="0.25">
      <c r="B54" s="8"/>
      <c r="C54" s="8"/>
      <c r="D54" s="8"/>
      <c r="E54" s="8"/>
      <c r="F54" s="8"/>
      <c r="G54" s="8"/>
      <c r="H54" s="22"/>
      <c r="I54" s="8"/>
    </row>
    <row r="55" spans="1:10" ht="18" hidden="1" customHeight="1" thickBot="1" x14ac:dyDescent="0.3">
      <c r="B55" s="8"/>
      <c r="C55" s="8"/>
      <c r="D55" s="8"/>
      <c r="E55" s="8"/>
      <c r="F55" s="8"/>
      <c r="G55" s="8"/>
      <c r="H55" s="22"/>
      <c r="I55" s="8"/>
    </row>
    <row r="56" spans="1:10" s="267" customFormat="1" ht="30" hidden="1" customHeight="1" thickBot="1" x14ac:dyDescent="0.3">
      <c r="A56" s="13" t="s">
        <v>423</v>
      </c>
      <c r="B56" s="14" t="s">
        <v>36</v>
      </c>
      <c r="C56" s="14" t="s">
        <v>455</v>
      </c>
      <c r="D56" s="14" t="s">
        <v>16</v>
      </c>
      <c r="E56" s="14"/>
      <c r="F56" s="14"/>
      <c r="G56" s="14"/>
      <c r="H56" s="14" t="s">
        <v>303</v>
      </c>
      <c r="I56" s="15" t="s">
        <v>304</v>
      </c>
    </row>
    <row r="57" spans="1:10" ht="18" hidden="1" customHeight="1" x14ac:dyDescent="0.25">
      <c r="B57" s="8"/>
      <c r="C57" s="8"/>
      <c r="D57" s="8"/>
      <c r="E57" s="8"/>
      <c r="F57" s="8"/>
      <c r="G57" s="8"/>
      <c r="H57" s="22"/>
      <c r="I57" s="8"/>
    </row>
    <row r="58" spans="1:10" ht="18" hidden="1" customHeight="1" thickBot="1" x14ac:dyDescent="0.3">
      <c r="B58" s="8"/>
      <c r="C58" s="8"/>
      <c r="D58" s="8"/>
      <c r="E58" s="8"/>
      <c r="F58" s="8"/>
      <c r="G58" s="8"/>
      <c r="H58" s="22"/>
      <c r="I58" s="8"/>
    </row>
    <row r="59" spans="1:10" s="267" customFormat="1" ht="30" hidden="1" customHeight="1" thickBot="1" x14ac:dyDescent="0.3">
      <c r="A59" s="13" t="s">
        <v>309</v>
      </c>
      <c r="B59" s="14" t="s">
        <v>310</v>
      </c>
      <c r="C59" s="14" t="s">
        <v>458</v>
      </c>
      <c r="D59" s="14"/>
      <c r="E59" s="14"/>
      <c r="F59" s="14"/>
      <c r="G59" s="14"/>
      <c r="H59" s="14" t="s">
        <v>303</v>
      </c>
      <c r="I59" s="15" t="s">
        <v>304</v>
      </c>
    </row>
    <row r="60" spans="1:10" ht="18" hidden="1" customHeight="1" x14ac:dyDescent="0.25">
      <c r="B60" s="8"/>
      <c r="C60" s="8"/>
      <c r="D60" s="8"/>
      <c r="E60" s="8"/>
      <c r="F60" s="8"/>
      <c r="G60" s="8"/>
      <c r="H60" s="22"/>
      <c r="I60" s="8"/>
    </row>
    <row r="61" spans="1:10" ht="18" hidden="1" customHeight="1" thickBot="1" x14ac:dyDescent="0.3">
      <c r="B61" s="8"/>
      <c r="C61" s="8"/>
      <c r="D61" s="8"/>
      <c r="E61" s="8"/>
      <c r="F61" s="8"/>
      <c r="G61" s="8"/>
      <c r="H61" s="22"/>
      <c r="I61" s="8"/>
    </row>
    <row r="62" spans="1:10" s="267" customFormat="1" ht="30" hidden="1" customHeight="1" thickBot="1" x14ac:dyDescent="0.3">
      <c r="A62" s="13" t="s">
        <v>34</v>
      </c>
      <c r="B62" s="14" t="s">
        <v>340</v>
      </c>
      <c r="C62" s="14" t="s">
        <v>450</v>
      </c>
      <c r="D62" s="14" t="s">
        <v>451</v>
      </c>
      <c r="E62" s="14" t="s">
        <v>339</v>
      </c>
      <c r="F62" s="14" t="s">
        <v>21</v>
      </c>
      <c r="G62" s="14" t="s">
        <v>439</v>
      </c>
      <c r="H62" s="14" t="s">
        <v>303</v>
      </c>
      <c r="I62" s="15" t="s">
        <v>304</v>
      </c>
    </row>
    <row r="63" spans="1:10" ht="18" hidden="1" customHeight="1" thickBot="1" x14ac:dyDescent="0.3">
      <c r="B63" s="10"/>
      <c r="C63" s="10"/>
      <c r="D63" s="10"/>
      <c r="E63" s="10"/>
      <c r="F63" s="10"/>
      <c r="G63" s="10"/>
      <c r="H63" s="10"/>
      <c r="I63" s="10"/>
      <c r="J63" s="12"/>
    </row>
    <row r="64" spans="1:10" s="267" customFormat="1" ht="30" customHeight="1" thickBot="1" x14ac:dyDescent="0.3">
      <c r="A64" s="13" t="s">
        <v>35</v>
      </c>
      <c r="B64" s="14" t="s">
        <v>109</v>
      </c>
      <c r="C64" s="14" t="s">
        <v>435</v>
      </c>
      <c r="D64" s="14" t="s">
        <v>16</v>
      </c>
      <c r="E64" s="14" t="s">
        <v>15</v>
      </c>
      <c r="F64" s="14"/>
      <c r="G64" s="14"/>
      <c r="H64" s="14" t="s">
        <v>303</v>
      </c>
      <c r="I64" s="15" t="s">
        <v>304</v>
      </c>
      <c r="J64" s="268"/>
    </row>
    <row r="65" spans="1:256" ht="18" customHeight="1" x14ac:dyDescent="0.25">
      <c r="A65" s="8" t="str">
        <f>"J-" &amp; unitNumber + 1</f>
        <v>J-101</v>
      </c>
      <c r="B65" s="6" t="s">
        <v>49</v>
      </c>
      <c r="C65" s="6">
        <f>ROUND(650*preferencePower, 0)</f>
        <v>650</v>
      </c>
      <c r="D65" s="6">
        <v>0</v>
      </c>
      <c r="E65" s="6" t="s">
        <v>484</v>
      </c>
      <c r="H65" s="332">
        <f>ROUND(378.525*CEPCI, -3)</f>
        <v>303000</v>
      </c>
      <c r="I65" s="332">
        <f>ROUND(1324.8375*CEPCI, -4)</f>
        <v>1060000</v>
      </c>
    </row>
    <row r="66" spans="1:256" ht="18" customHeight="1" x14ac:dyDescent="0.25"/>
    <row r="67" spans="1:256" ht="18" customHeight="1" x14ac:dyDescent="0.25"/>
    <row r="68" spans="1:256" s="267" customFormat="1" ht="30" hidden="1" customHeight="1" thickBot="1" x14ac:dyDescent="0.3">
      <c r="A68" s="13" t="s">
        <v>32</v>
      </c>
      <c r="B68" s="14" t="s">
        <v>174</v>
      </c>
      <c r="C68" s="14" t="s">
        <v>452</v>
      </c>
      <c r="D68" s="14" t="s">
        <v>451</v>
      </c>
      <c r="E68" s="14" t="s">
        <v>15</v>
      </c>
      <c r="F68" s="14" t="s">
        <v>21</v>
      </c>
      <c r="G68" s="14" t="s">
        <v>439</v>
      </c>
      <c r="H68" s="14" t="s">
        <v>303</v>
      </c>
      <c r="I68" s="15" t="s">
        <v>304</v>
      </c>
    </row>
    <row r="69" spans="1:256" s="12" customFormat="1" ht="18" hidden="1" customHeight="1" x14ac:dyDescent="0.25">
      <c r="A69" s="10"/>
      <c r="B69" s="10"/>
      <c r="C69" s="10"/>
      <c r="D69" s="10"/>
      <c r="E69" s="10"/>
      <c r="F69" s="10"/>
      <c r="J69" s="3"/>
    </row>
    <row r="70" spans="1:256" s="268" customFormat="1" ht="30" hidden="1" customHeight="1" thickBot="1" x14ac:dyDescent="0.4">
      <c r="A70" s="13" t="s">
        <v>14</v>
      </c>
      <c r="B70" s="132" t="s">
        <v>258</v>
      </c>
      <c r="C70" s="132" t="s">
        <v>260</v>
      </c>
      <c r="D70" s="132" t="s">
        <v>259</v>
      </c>
      <c r="E70" s="132"/>
      <c r="F70" s="132"/>
      <c r="G70" s="132"/>
      <c r="H70" s="14" t="s">
        <v>303</v>
      </c>
      <c r="I70" s="15" t="s">
        <v>304</v>
      </c>
    </row>
    <row r="71" spans="1:256" hidden="1" x14ac:dyDescent="0.25">
      <c r="H71" s="134"/>
      <c r="I71" s="134"/>
      <c r="N71" s="135"/>
      <c r="O71" s="135"/>
    </row>
    <row r="72" spans="1:256" x14ac:dyDescent="0.25">
      <c r="B72" s="5"/>
      <c r="C72" s="5"/>
      <c r="D72" s="5"/>
      <c r="E72" s="5"/>
      <c r="F72" s="5"/>
      <c r="G72" s="185" t="s">
        <v>469</v>
      </c>
      <c r="H72" s="12"/>
      <c r="I72" s="304">
        <f>SUM(I14:I70)</f>
        <v>3037900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</row>
    <row r="73" spans="1:256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</row>
    <row r="74" spans="1:256" x14ac:dyDescent="0.25">
      <c r="B74" s="5"/>
      <c r="C74" s="5"/>
      <c r="D74" s="5"/>
      <c r="E74" s="5"/>
      <c r="F74" s="5"/>
      <c r="G74" s="5"/>
      <c r="H74" s="5"/>
      <c r="I74" s="133"/>
      <c r="J74" s="5"/>
      <c r="K74" s="5"/>
      <c r="L74" s="5"/>
      <c r="M74" s="5"/>
      <c r="N74" s="133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</row>
    <row r="75" spans="1:256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</row>
    <row r="76" spans="1:256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</row>
    <row r="77" spans="1:256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</row>
    <row r="78" spans="1:256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</row>
    <row r="79" spans="1:256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</row>
    <row r="80" spans="1:256" x14ac:dyDescent="0.25">
      <c r="B80" s="5"/>
      <c r="C80" s="5"/>
      <c r="D80" s="5"/>
    </row>
    <row r="81" spans="2:4" x14ac:dyDescent="0.25">
      <c r="B81" s="5"/>
      <c r="C81" s="5"/>
      <c r="D81" s="5"/>
    </row>
    <row r="82" spans="2:4" x14ac:dyDescent="0.25">
      <c r="B82" s="5"/>
      <c r="C82" s="5"/>
      <c r="D82" s="5"/>
    </row>
    <row r="83" spans="2:4" x14ac:dyDescent="0.25">
      <c r="B83" s="5"/>
      <c r="C83" s="5"/>
      <c r="D83" s="5"/>
    </row>
    <row r="84" spans="2:4" x14ac:dyDescent="0.25">
      <c r="B84" s="5"/>
      <c r="C84" s="5"/>
      <c r="D84" s="5"/>
    </row>
    <row r="85" spans="2:4" x14ac:dyDescent="0.25">
      <c r="B85" s="5"/>
      <c r="C85" s="5"/>
      <c r="D85" s="5"/>
    </row>
  </sheetData>
  <phoneticPr fontId="0" type="noConversion"/>
  <pageMargins left="0.75" right="0.75" top="1" bottom="1" header="0.5" footer="0.5"/>
  <pageSetup scale="86" orientation="landscape" horizontalDpi="4294967293" verticalDpi="6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46" r:id="rId4" name="RemoveAllEquipment">
          <controlPr locked="0" defaultSize="0" autoLine="0" r:id="rId5">
            <anchor moveWithCells="1">
              <from>
                <xdr:col>1</xdr:col>
                <xdr:colOff>7620</xdr:colOff>
                <xdr:row>3</xdr:row>
                <xdr:rowOff>198120</xdr:rowOff>
              </from>
              <to>
                <xdr:col>2</xdr:col>
                <xdr:colOff>190500</xdr:colOff>
                <xdr:row>4</xdr:row>
                <xdr:rowOff>266700</xdr:rowOff>
              </to>
            </anchor>
          </controlPr>
        </control>
      </mc:Choice>
      <mc:Fallback>
        <control shapeId="1046" r:id="rId4" name="RemoveAllEquipment"/>
      </mc:Fallback>
    </mc:AlternateContent>
    <mc:AlternateContent xmlns:mc="http://schemas.openxmlformats.org/markup-compatibility/2006">
      <mc:Choice Requires="x14">
        <control shapeId="1034" r:id="rId6" name="CommandButton1">
          <controlPr locked="0" defaultSize="0" autoLine="0" r:id="rId7">
            <anchor moveWithCells="1">
              <from>
                <xdr:col>1</xdr:col>
                <xdr:colOff>7620</xdr:colOff>
                <xdr:row>2</xdr:row>
                <xdr:rowOff>30480</xdr:rowOff>
              </from>
              <to>
                <xdr:col>2</xdr:col>
                <xdr:colOff>190500</xdr:colOff>
                <xdr:row>3</xdr:row>
                <xdr:rowOff>99060</xdr:rowOff>
              </to>
            </anchor>
          </controlPr>
        </control>
      </mc:Choice>
      <mc:Fallback>
        <control shapeId="1034" r:id="rId6" name="CommandButton1"/>
      </mc:Fallback>
    </mc:AlternateContent>
    <mc:AlternateContent xmlns:mc="http://schemas.openxmlformats.org/markup-compatibility/2006">
      <mc:Choice Requires="x14">
        <control shapeId="1025" r:id="rId8" name="CommandButton1">
          <controlPr locked="0" defaultSize="0" autoLine="0" r:id="rId9">
            <anchor moveWithCells="1">
              <from>
                <xdr:col>1</xdr:col>
                <xdr:colOff>7620</xdr:colOff>
                <xdr:row>0</xdr:row>
                <xdr:rowOff>152400</xdr:rowOff>
              </from>
              <to>
                <xdr:col>2</xdr:col>
                <xdr:colOff>190500</xdr:colOff>
                <xdr:row>1</xdr:row>
                <xdr:rowOff>220980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B1:J58"/>
  <sheetViews>
    <sheetView showGridLines="0" topLeftCell="A4" workbookViewId="0">
      <selection activeCell="E28" sqref="E28"/>
    </sheetView>
  </sheetViews>
  <sheetFormatPr baseColWidth="10" defaultColWidth="9.109375" defaultRowHeight="15.75" customHeight="1" x14ac:dyDescent="0.25"/>
  <cols>
    <col min="1" max="1" width="3.44140625" customWidth="1"/>
    <col min="2" max="2" width="29" customWidth="1"/>
    <col min="3" max="3" width="19.88671875" customWidth="1"/>
    <col min="4" max="4" width="14.5546875" customWidth="1"/>
    <col min="5" max="5" width="25.33203125" style="291" customWidth="1"/>
    <col min="6" max="6" width="18.6640625" customWidth="1"/>
    <col min="7" max="7" width="23.33203125" customWidth="1"/>
    <col min="8" max="8" width="18" customWidth="1"/>
    <col min="9" max="9" width="8.6640625" customWidth="1"/>
  </cols>
  <sheetData>
    <row r="1" spans="2:7" s="26" customFormat="1" ht="15.75" customHeight="1" x14ac:dyDescent="0.25">
      <c r="E1" s="290"/>
    </row>
    <row r="2" spans="2:7" ht="15.75" customHeight="1" x14ac:dyDescent="0.25">
      <c r="B2" s="21"/>
      <c r="C2" s="21"/>
      <c r="D2" s="21"/>
    </row>
    <row r="3" spans="2:7" ht="15.75" customHeight="1" x14ac:dyDescent="0.25">
      <c r="B3" s="21"/>
      <c r="C3" s="21"/>
      <c r="D3" s="298"/>
    </row>
    <row r="4" spans="2:7" ht="15.75" customHeight="1" x14ac:dyDescent="0.25">
      <c r="B4" s="21"/>
      <c r="C4" s="21"/>
      <c r="D4" s="298"/>
    </row>
    <row r="5" spans="2:7" ht="15.75" customHeight="1" thickBot="1" x14ac:dyDescent="0.3">
      <c r="B5" s="281" t="s">
        <v>430</v>
      </c>
      <c r="C5" s="281" t="s">
        <v>432</v>
      </c>
      <c r="D5" s="299" t="s">
        <v>464</v>
      </c>
      <c r="E5" s="301" t="s">
        <v>466</v>
      </c>
      <c r="F5" s="300" t="s">
        <v>431</v>
      </c>
      <c r="G5" s="289"/>
    </row>
    <row r="6" spans="2:7" ht="15.75" customHeight="1" x14ac:dyDescent="0.25">
      <c r="B6" s="191"/>
      <c r="C6" s="285" t="s">
        <v>427</v>
      </c>
      <c r="D6" s="297"/>
      <c r="E6" s="302"/>
      <c r="F6" s="283" t="s">
        <v>426</v>
      </c>
      <c r="G6" s="308"/>
    </row>
    <row r="7" spans="2:7" ht="15.75" customHeight="1" x14ac:dyDescent="0.25">
      <c r="B7" s="191"/>
      <c r="C7" s="191"/>
      <c r="D7" s="297"/>
      <c r="E7" s="293"/>
      <c r="F7" s="277"/>
      <c r="G7" s="308"/>
    </row>
    <row r="8" spans="2:7" ht="15.75" customHeight="1" x14ac:dyDescent="0.25">
      <c r="B8" s="191"/>
      <c r="C8" s="191"/>
      <c r="D8" s="297"/>
      <c r="E8" s="292"/>
      <c r="F8" s="283">
        <f>SUMIF(C5:endClassification, "Product",F5:endMaterial)</f>
        <v>0</v>
      </c>
      <c r="G8" s="308"/>
    </row>
    <row r="9" spans="2:7" ht="15.75" customHeight="1" x14ac:dyDescent="0.25">
      <c r="B9" s="191"/>
      <c r="C9" s="191"/>
      <c r="D9" s="192"/>
      <c r="E9" s="292"/>
      <c r="F9" s="283">
        <f>SUMIF(C5:endClassification, "Raw Material",F5:endMaterial)</f>
        <v>0</v>
      </c>
      <c r="G9" s="308"/>
    </row>
    <row r="10" spans="2:7" ht="15.75" customHeight="1" x14ac:dyDescent="0.25">
      <c r="B10" s="191"/>
      <c r="C10" s="191"/>
      <c r="D10" s="192"/>
      <c r="E10" s="292"/>
      <c r="F10" s="283">
        <f>SUMIF(C5:endClassification, "Hazardous Waste",F5:endMaterial)</f>
        <v>0</v>
      </c>
      <c r="G10" s="308"/>
    </row>
    <row r="11" spans="2:7" ht="15.75" customHeight="1" x14ac:dyDescent="0.25">
      <c r="B11" s="18"/>
      <c r="C11" s="191"/>
      <c r="D11" s="309"/>
      <c r="F11" s="283">
        <f>SUMIF(C5:endClassification, "Non-Hazardous Waste",F5:endMaterial)</f>
        <v>0</v>
      </c>
      <c r="G11" s="21"/>
    </row>
    <row r="12" spans="2:7" ht="15.75" customHeight="1" x14ac:dyDescent="0.25">
      <c r="B12" s="126" t="s">
        <v>247</v>
      </c>
      <c r="C12" s="191"/>
      <c r="D12" s="192"/>
      <c r="F12" s="284">
        <f>F11+F10</f>
        <v>0</v>
      </c>
      <c r="G12" s="21"/>
    </row>
    <row r="13" spans="2:7" ht="15.75" customHeight="1" x14ac:dyDescent="0.25">
      <c r="B13" s="90" t="s">
        <v>169</v>
      </c>
      <c r="C13" s="232">
        <v>1250000</v>
      </c>
      <c r="D13" s="192"/>
      <c r="G13" s="21"/>
    </row>
    <row r="14" spans="2:7" ht="15.75" customHeight="1" x14ac:dyDescent="0.25">
      <c r="B14" s="91" t="s">
        <v>167</v>
      </c>
      <c r="C14" s="233">
        <v>0.42</v>
      </c>
      <c r="D14" s="18"/>
      <c r="G14" s="21"/>
    </row>
    <row r="15" spans="2:7" s="21" customFormat="1" ht="15.75" customHeight="1" x14ac:dyDescent="0.25">
      <c r="B15" s="91" t="s">
        <v>168</v>
      </c>
      <c r="C15" s="233">
        <v>0.10000000149011612</v>
      </c>
      <c r="D15" s="18"/>
      <c r="E15" s="291"/>
      <c r="F15"/>
    </row>
    <row r="16" spans="2:7" ht="15.75" customHeight="1" x14ac:dyDescent="0.25">
      <c r="B16" s="91" t="s">
        <v>172</v>
      </c>
      <c r="C16" s="93" t="s">
        <v>472</v>
      </c>
      <c r="D16" s="282" t="s">
        <v>471</v>
      </c>
    </row>
    <row r="17" spans="2:5" ht="15.75" customHeight="1" x14ac:dyDescent="0.25">
      <c r="B17" s="91" t="s">
        <v>253</v>
      </c>
      <c r="C17" s="194">
        <v>5000000</v>
      </c>
      <c r="D17" s="282" t="s">
        <v>471</v>
      </c>
      <c r="E17" s="290"/>
    </row>
    <row r="18" spans="2:5" ht="15.75" customHeight="1" x14ac:dyDescent="0.35">
      <c r="B18" s="91" t="s">
        <v>170</v>
      </c>
      <c r="C18" s="194">
        <v>10000000</v>
      </c>
      <c r="D18" s="282" t="s">
        <v>471</v>
      </c>
    </row>
    <row r="19" spans="2:5" ht="15.75" customHeight="1" x14ac:dyDescent="0.25">
      <c r="B19" s="94" t="s">
        <v>209</v>
      </c>
      <c r="C19" s="229">
        <v>1.18</v>
      </c>
      <c r="D19" s="26"/>
    </row>
    <row r="20" spans="2:5" ht="15.75" customHeight="1" x14ac:dyDescent="0.25">
      <c r="B20" s="95" t="s">
        <v>210</v>
      </c>
      <c r="C20" s="230">
        <v>0.5</v>
      </c>
      <c r="D20" s="26"/>
    </row>
    <row r="21" spans="2:5" ht="15.75" customHeight="1" x14ac:dyDescent="0.25">
      <c r="B21" s="86"/>
      <c r="C21" s="62"/>
      <c r="D21" s="26"/>
    </row>
    <row r="22" spans="2:5" ht="15.75" customHeight="1" x14ac:dyDescent="0.25">
      <c r="B22" s="126" t="s">
        <v>248</v>
      </c>
      <c r="C22" s="26"/>
      <c r="D22" s="26"/>
    </row>
    <row r="23" spans="2:5" ht="15.75" customHeight="1" x14ac:dyDescent="0.25">
      <c r="B23" s="90" t="s">
        <v>173</v>
      </c>
      <c r="C23" s="195">
        <v>75000000</v>
      </c>
      <c r="D23" s="282" t="s">
        <v>471</v>
      </c>
    </row>
    <row r="24" spans="2:5" ht="15.75" customHeight="1" x14ac:dyDescent="0.35">
      <c r="B24" s="91" t="s">
        <v>234</v>
      </c>
      <c r="C24" s="194">
        <v>25000000</v>
      </c>
      <c r="D24" s="282" t="s">
        <v>471</v>
      </c>
    </row>
    <row r="25" spans="2:5" ht="15.75" customHeight="1" x14ac:dyDescent="0.35">
      <c r="B25" s="91" t="s">
        <v>232</v>
      </c>
      <c r="C25" s="194">
        <v>10000000</v>
      </c>
      <c r="D25" s="282" t="s">
        <v>471</v>
      </c>
    </row>
    <row r="26" spans="2:5" ht="15.75" customHeight="1" x14ac:dyDescent="0.35">
      <c r="B26" s="91" t="s">
        <v>233</v>
      </c>
      <c r="C26" s="194">
        <f>sumWaste</f>
        <v>0</v>
      </c>
      <c r="D26" s="282" t="s">
        <v>473</v>
      </c>
      <c r="E26" s="294"/>
    </row>
    <row r="27" spans="2:5" ht="15.75" customHeight="1" x14ac:dyDescent="0.35">
      <c r="B27" s="96" t="s">
        <v>235</v>
      </c>
      <c r="C27" s="287">
        <v>450000</v>
      </c>
      <c r="D27" s="282" t="s">
        <v>471</v>
      </c>
      <c r="E27" s="290"/>
    </row>
    <row r="28" spans="2:5" ht="15.75" customHeight="1" x14ac:dyDescent="0.25">
      <c r="D28" s="244"/>
    </row>
    <row r="29" spans="2:5" ht="15.75" customHeight="1" x14ac:dyDescent="0.35">
      <c r="B29" s="28" t="s">
        <v>255</v>
      </c>
      <c r="E29" s="295"/>
    </row>
    <row r="30" spans="2:5" ht="15.75" customHeight="1" x14ac:dyDescent="0.25">
      <c r="B30" s="80" t="str">
        <f>"Comd = " &amp; C31 &amp; "*FCIL + " &amp;C32&amp;"*COL + " &amp; C33 &amp; "*(CUT + CWT + CRM)"</f>
        <v>Comd = 0.18*FCIL + 2.76*COL + 1.23*(CUT + CWT + CRM)</v>
      </c>
    </row>
    <row r="31" spans="2:5" ht="15.75" customHeight="1" x14ac:dyDescent="0.25">
      <c r="B31" s="90" t="s">
        <v>229</v>
      </c>
      <c r="C31" s="227">
        <v>0.18</v>
      </c>
    </row>
    <row r="32" spans="2:5" ht="15.75" customHeight="1" x14ac:dyDescent="0.35">
      <c r="B32" s="91" t="s">
        <v>230</v>
      </c>
      <c r="C32" s="228">
        <v>2.76</v>
      </c>
    </row>
    <row r="33" spans="2:6" ht="15.75" customHeight="1" x14ac:dyDescent="0.35">
      <c r="B33" s="91" t="s">
        <v>231</v>
      </c>
      <c r="C33" s="228">
        <v>1.23</v>
      </c>
    </row>
    <row r="34" spans="2:6" ht="15.75" customHeight="1" x14ac:dyDescent="0.25">
      <c r="B34" s="67"/>
      <c r="C34" s="127"/>
      <c r="D34" s="88"/>
    </row>
    <row r="35" spans="2:6" ht="15.75" customHeight="1" x14ac:dyDescent="0.35">
      <c r="B35" s="96" t="s">
        <v>171</v>
      </c>
      <c r="C35" s="231">
        <f>C31*FCIL+C32*costOperatingLabor+C33*(costUtilities+costWasteTreatment+costRawMaterials)</f>
        <v>46092000</v>
      </c>
      <c r="D35" s="88"/>
      <c r="F35" s="245"/>
    </row>
    <row r="36" spans="2:6" ht="15.75" customHeight="1" x14ac:dyDescent="0.25">
      <c r="B36" s="171"/>
      <c r="C36" s="200"/>
      <c r="D36" s="88"/>
    </row>
    <row r="37" spans="2:6" ht="15.75" customHeight="1" x14ac:dyDescent="0.25">
      <c r="B37" s="201" t="s">
        <v>317</v>
      </c>
      <c r="C37" s="200"/>
      <c r="D37" s="88"/>
    </row>
    <row r="38" spans="2:6" ht="15.75" customHeight="1" x14ac:dyDescent="0.35">
      <c r="B38" s="202" t="s">
        <v>318</v>
      </c>
      <c r="C38" s="200"/>
      <c r="D38" s="88"/>
    </row>
    <row r="39" spans="2:6" ht="15.75" customHeight="1" x14ac:dyDescent="0.25">
      <c r="B39" s="90" t="s">
        <v>314</v>
      </c>
      <c r="C39" s="224">
        <v>0.1</v>
      </c>
      <c r="D39" s="88"/>
    </row>
    <row r="40" spans="2:6" ht="15.75" customHeight="1" x14ac:dyDescent="0.25">
      <c r="B40" s="91" t="s">
        <v>315</v>
      </c>
      <c r="C40" s="225">
        <v>0.1</v>
      </c>
      <c r="D40" s="88"/>
    </row>
    <row r="41" spans="2:6" ht="15.75" customHeight="1" x14ac:dyDescent="0.25">
      <c r="B41" s="96" t="s">
        <v>316</v>
      </c>
      <c r="C41" s="226">
        <v>0.1</v>
      </c>
      <c r="D41" s="88"/>
    </row>
    <row r="42" spans="2:6" ht="15.75" customHeight="1" x14ac:dyDescent="0.25">
      <c r="B42" s="84"/>
      <c r="C42" s="123"/>
      <c r="D42" s="88"/>
    </row>
    <row r="43" spans="2:6" ht="15.75" customHeight="1" x14ac:dyDescent="0.25">
      <c r="B43" s="124" t="s">
        <v>254</v>
      </c>
      <c r="C43" s="125">
        <v>10</v>
      </c>
      <c r="D43" s="88"/>
    </row>
    <row r="44" spans="2:6" ht="15.75" customHeight="1" x14ac:dyDescent="0.25">
      <c r="D44" s="88"/>
    </row>
    <row r="45" spans="2:6" ht="15.75" customHeight="1" x14ac:dyDescent="0.25">
      <c r="B45" s="98" t="s">
        <v>181</v>
      </c>
      <c r="C45" s="46">
        <v>2</v>
      </c>
    </row>
    <row r="46" spans="2:6" ht="15.75" customHeight="1" x14ac:dyDescent="0.25">
      <c r="B46" s="87"/>
      <c r="C46" s="89"/>
    </row>
    <row r="47" spans="2:6" ht="15.75" customHeight="1" x14ac:dyDescent="0.25">
      <c r="B47" s="28" t="s">
        <v>249</v>
      </c>
      <c r="C47" s="87"/>
    </row>
    <row r="48" spans="2:6" ht="15.75" customHeight="1" x14ac:dyDescent="0.25">
      <c r="B48" s="97" t="s">
        <v>237</v>
      </c>
      <c r="C48" s="189">
        <f>0.6</f>
        <v>0.6</v>
      </c>
      <c r="F48" t="s">
        <v>301</v>
      </c>
    </row>
    <row r="49" spans="2:10" ht="15.75" customHeight="1" x14ac:dyDescent="0.25">
      <c r="B49" s="67" t="s">
        <v>238</v>
      </c>
      <c r="C49" s="190">
        <f>0.4</f>
        <v>0.4</v>
      </c>
    </row>
    <row r="50" spans="2:10" ht="15.75" customHeight="1" x14ac:dyDescent="0.25">
      <c r="B50" s="91" t="s">
        <v>239</v>
      </c>
      <c r="C50" s="92"/>
      <c r="D50" s="186"/>
    </row>
    <row r="51" spans="2:10" ht="15.75" customHeight="1" x14ac:dyDescent="0.25">
      <c r="B51" s="91" t="s">
        <v>240</v>
      </c>
      <c r="C51" s="92"/>
    </row>
    <row r="52" spans="2:10" ht="15.75" customHeight="1" x14ac:dyDescent="0.25">
      <c r="B52" s="96" t="s">
        <v>241</v>
      </c>
      <c r="C52" s="139"/>
    </row>
    <row r="53" spans="2:10" ht="15.75" customHeight="1" x14ac:dyDescent="0.25">
      <c r="B53" s="26"/>
      <c r="C53" s="26"/>
      <c r="D53" s="26"/>
      <c r="E53" s="296"/>
      <c r="F53" s="26"/>
      <c r="G53" t="s">
        <v>301</v>
      </c>
    </row>
    <row r="58" spans="2:10" ht="15.75" customHeight="1" x14ac:dyDescent="0.25">
      <c r="G58" s="26"/>
      <c r="H58" s="24"/>
      <c r="I58" s="26"/>
      <c r="J58" s="26"/>
    </row>
  </sheetData>
  <phoneticPr fontId="0" type="noConversion"/>
  <dataValidations count="2">
    <dataValidation type="whole" allowBlank="1" showInputMessage="1" showErrorMessage="1" errorTitle="Construction Period Prompt" error="The construction period must be between zero and five years" sqref="C46" xr:uid="{00000000-0002-0000-0200-000000000000}">
      <formula1>0</formula1>
      <formula2>5</formula2>
    </dataValidation>
    <dataValidation type="whole" allowBlank="1" showInputMessage="1" showErrorMessage="1" errorTitle="Construction Period Prompt" error="The construction period must be an integer between zero and five years" sqref="C45" xr:uid="{00000000-0002-0000-0200-000001000000}">
      <formula1>0</formula1>
      <formula2>5</formula2>
    </dataValidation>
  </dataValidations>
  <pageMargins left="0.75" right="0.75" top="1" bottom="1" header="0.5" footer="0.5"/>
  <pageSetup scale="5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5" r:id="rId4" name="CommandButton1">
          <controlPr autoLine="0" autoPict="0" r:id="rId5">
            <anchor moveWithCells="1">
              <from>
                <xdr:col>1</xdr:col>
                <xdr:colOff>449580</xdr:colOff>
                <xdr:row>1</xdr:row>
                <xdr:rowOff>99060</xdr:rowOff>
              </from>
              <to>
                <xdr:col>1</xdr:col>
                <xdr:colOff>1790700</xdr:colOff>
                <xdr:row>3</xdr:row>
                <xdr:rowOff>121920</xdr:rowOff>
              </to>
            </anchor>
          </controlPr>
        </control>
      </mc:Choice>
      <mc:Fallback>
        <control shapeId="819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5:K81"/>
  <sheetViews>
    <sheetView showGridLines="0" zoomScaleNormal="100" workbookViewId="0">
      <selection activeCell="E28" sqref="E28"/>
    </sheetView>
  </sheetViews>
  <sheetFormatPr baseColWidth="10" defaultColWidth="9.109375" defaultRowHeight="15.9" customHeight="1" x14ac:dyDescent="0.25"/>
  <cols>
    <col min="1" max="1" width="2.5546875" style="25" customWidth="1"/>
    <col min="2" max="2" width="11" style="25" customWidth="1"/>
    <col min="3" max="3" width="22.5546875" style="25" customWidth="1"/>
    <col min="4" max="4" width="2.88671875" style="25" customWidth="1"/>
    <col min="5" max="5" width="21.33203125" style="25" customWidth="1"/>
    <col min="6" max="6" width="13.6640625" style="25" customWidth="1"/>
    <col min="7" max="7" width="23.5546875" style="25" customWidth="1"/>
    <col min="8" max="8" width="11.88671875" style="25" customWidth="1"/>
    <col min="9" max="9" width="20.88671875" style="25" customWidth="1"/>
    <col min="10" max="10" width="12.6640625" style="25" customWidth="1"/>
    <col min="11" max="11" width="17.88671875" style="25" customWidth="1"/>
    <col min="12" max="12" width="15.5546875" style="25" bestFit="1" customWidth="1"/>
    <col min="13" max="13" width="18.6640625" style="25" customWidth="1"/>
    <col min="14" max="16384" width="9.109375" style="25"/>
  </cols>
  <sheetData>
    <row r="5" spans="2:11" ht="15.9" customHeight="1" x14ac:dyDescent="0.25">
      <c r="B5" s="25" t="str">
        <f>" "</f>
        <v xml:space="preserve"> </v>
      </c>
    </row>
    <row r="6" spans="2:11" ht="15.9" customHeight="1" thickBot="1" x14ac:dyDescent="0.3">
      <c r="B6" s="272" t="s">
        <v>224</v>
      </c>
      <c r="C6" s="273" t="s">
        <v>225</v>
      </c>
      <c r="D6" s="272"/>
      <c r="E6" s="272" t="s">
        <v>226</v>
      </c>
      <c r="F6" s="272"/>
      <c r="G6" s="274" t="s">
        <v>211</v>
      </c>
      <c r="H6" s="272" t="s">
        <v>227</v>
      </c>
      <c r="I6" s="272" t="s">
        <v>228</v>
      </c>
      <c r="J6" s="272"/>
      <c r="K6" s="273" t="s">
        <v>219</v>
      </c>
    </row>
    <row r="7" spans="2:11" ht="15.75" customHeight="1" x14ac:dyDescent="0.25">
      <c r="B7" s="25" t="str">
        <f>" "</f>
        <v xml:space="preserve"> </v>
      </c>
      <c r="G7" s="223"/>
    </row>
    <row r="8" spans="2:11" ht="15.75" customHeight="1" x14ac:dyDescent="0.25">
      <c r="B8" s="25" t="str">
        <f>"Dc-" &amp; unitNumber + 1</f>
        <v>Dc-101</v>
      </c>
      <c r="C8" s="329">
        <f>ROUND(12888*totalModuleFactor, -2)</f>
        <v>15200</v>
      </c>
      <c r="E8" s="329">
        <f>ROUND((totalModuleFactor* 12888+ grassRootsFactor*8592), -2)</f>
        <v>19500</v>
      </c>
      <c r="G8" s="330" t="s">
        <v>24</v>
      </c>
      <c r="K8" s="329"/>
    </row>
    <row r="9" spans="2:11" ht="15.75" customHeight="1" x14ac:dyDescent="0.25">
      <c r="B9" s="25" t="str">
        <f>"E-" &amp; unitNumber + 1</f>
        <v>E-101</v>
      </c>
      <c r="C9" s="329">
        <f>ROUND(totalModuleFactor*103171, -3)</f>
        <v>122000</v>
      </c>
      <c r="E9" s="329">
        <f>ROUND((totalModuleFactor*103171+ grassRootsFactor*103171), -3)</f>
        <v>173000</v>
      </c>
      <c r="G9" s="331" t="s">
        <v>480</v>
      </c>
    </row>
    <row r="10" spans="2:11" ht="15.75" customHeight="1" x14ac:dyDescent="0.25">
      <c r="B10" s="25" t="str">
        <f>"E-" &amp; unitNumber + 2</f>
        <v>E-102</v>
      </c>
      <c r="C10" s="329">
        <f>ROUND(totalModuleFactor*145336, -2)</f>
        <v>171500</v>
      </c>
      <c r="E10" s="329">
        <f>ROUND((totalModuleFactor*145336+ grassRootsFactor*103171), -3)</f>
        <v>223000</v>
      </c>
      <c r="G10" s="331" t="s">
        <v>480</v>
      </c>
    </row>
    <row r="11" spans="2:11" ht="15.75" customHeight="1" x14ac:dyDescent="0.25">
      <c r="B11" s="25" t="str">
        <f>"F-" &amp; unitNumber + 1</f>
        <v>F-101</v>
      </c>
      <c r="C11" s="329">
        <f>ROUND(57327*totalModuleFactor, -3)</f>
        <v>68000</v>
      </c>
      <c r="E11" s="329">
        <f>ROUND((totalModuleFactor*57327+ grassRootsFactor*38209), -3)</f>
        <v>87000</v>
      </c>
      <c r="G11" s="330" t="s">
        <v>485</v>
      </c>
      <c r="H11" s="25">
        <f>fanEfficiency</f>
        <v>0.7</v>
      </c>
      <c r="I11" s="25" t="str">
        <f>ROUND(10*preferencePower/H11,1) &amp; "  " &amp;'User Options'!$F$5</f>
        <v>14.3  kilowatts</v>
      </c>
      <c r="K11" s="329">
        <f>ROUND(0.036/H11*costElectricity*hoursPerYear,-1)</f>
        <v>7190</v>
      </c>
    </row>
    <row r="12" spans="2:11" ht="15.75" customHeight="1" x14ac:dyDescent="0.25">
      <c r="B12" s="25" t="str">
        <f>"H-" &amp; unitNumber + 1</f>
        <v>H-101</v>
      </c>
      <c r="C12" s="329">
        <f>ROUND(totalModuleFactor*1663111, -4)</f>
        <v>1960000</v>
      </c>
      <c r="E12" s="329">
        <f>ROUND((totalModuleFactor*1663111+ grassRootsFactor*1411325), -4)</f>
        <v>2670000</v>
      </c>
      <c r="G12" s="331" t="s">
        <v>480</v>
      </c>
      <c r="H12" s="25">
        <f>furnaceEfficiency</f>
        <v>0.9</v>
      </c>
    </row>
    <row r="13" spans="2:11" ht="15.75" customHeight="1" x14ac:dyDescent="0.25">
      <c r="B13" s="25" t="str">
        <f>"J-" &amp; unitNumber + 1</f>
        <v>J-101</v>
      </c>
      <c r="C13" s="329">
        <f>ROUND(totalModuleFactor*1059870, -4)</f>
        <v>1250000</v>
      </c>
      <c r="E13" s="329">
        <f>ROUND((totalModuleFactor*1059870+ grassRootsFactor*1059870), -4)</f>
        <v>1780000</v>
      </c>
      <c r="G13" s="330" t="s">
        <v>485</v>
      </c>
      <c r="H13" s="25">
        <f>turbineEfficiency</f>
        <v>0.65</v>
      </c>
      <c r="I13" s="25" t="str">
        <f>ROUND(650*preferencePower*H13,0) &amp; "  " &amp;'User Options'!$F$5</f>
        <v>423  kilowatts</v>
      </c>
      <c r="K13" s="329">
        <f>ROUND(-2.34*costElectricity*hoursPerYear*H13,-3)</f>
        <v>-213000</v>
      </c>
    </row>
    <row r="14" spans="2:11" ht="15.9" customHeight="1" x14ac:dyDescent="0.25">
      <c r="G14" s="223"/>
    </row>
    <row r="15" spans="2:11" ht="15.9" customHeight="1" x14ac:dyDescent="0.25">
      <c r="G15" s="223"/>
    </row>
    <row r="16" spans="2:11" ht="15.9" customHeight="1" x14ac:dyDescent="0.3">
      <c r="B16" s="278" t="s">
        <v>222</v>
      </c>
      <c r="C16" s="279">
        <f>ROUND(SUM($C$6:$C$14),-4)</f>
        <v>3590000</v>
      </c>
      <c r="D16" s="278"/>
      <c r="E16" s="279">
        <f>ROUND(SUM($E$6:$E$14),-4)</f>
        <v>4950000</v>
      </c>
      <c r="F16" s="278"/>
      <c r="G16" s="278"/>
      <c r="H16" s="278"/>
      <c r="I16" s="278"/>
      <c r="J16" s="278"/>
      <c r="K16" s="280">
        <f>ROUND(SUM($K$6:$K$14),3)</f>
        <v>-205810</v>
      </c>
    </row>
    <row r="17" spans="1:11" s="288" customFormat="1" ht="15.9" customHeight="1" x14ac:dyDescent="0.3">
      <c r="B17" s="311"/>
      <c r="C17" s="312"/>
      <c r="D17" s="311"/>
      <c r="E17" s="312"/>
      <c r="F17" s="311"/>
      <c r="G17" s="311"/>
      <c r="H17" s="311"/>
      <c r="I17" s="311"/>
      <c r="J17" s="311"/>
      <c r="K17" s="313"/>
    </row>
    <row r="18" spans="1:11" s="288" customFormat="1" ht="15.9" customHeight="1" x14ac:dyDescent="0.3">
      <c r="B18" s="311"/>
      <c r="C18" s="312"/>
      <c r="D18" s="311"/>
      <c r="E18" s="312"/>
      <c r="F18" s="311"/>
      <c r="G18" s="311"/>
      <c r="H18" s="311"/>
      <c r="I18" s="311"/>
      <c r="J18" s="311"/>
      <c r="K18" s="313"/>
    </row>
    <row r="19" spans="1:11" s="288" customFormat="1" ht="15.9" customHeight="1" x14ac:dyDescent="0.3">
      <c r="B19" s="311"/>
      <c r="C19" s="312"/>
      <c r="D19" s="312"/>
      <c r="E19" s="312"/>
      <c r="F19" s="311"/>
      <c r="G19" s="311"/>
      <c r="H19" s="311"/>
      <c r="I19" s="311"/>
      <c r="J19" s="311"/>
      <c r="K19" s="313"/>
    </row>
    <row r="20" spans="1:11" s="288" customFormat="1" ht="15.9" customHeight="1" x14ac:dyDescent="0.3">
      <c r="B20" s="311"/>
      <c r="C20" s="312"/>
      <c r="D20" s="311"/>
      <c r="E20" s="312"/>
      <c r="F20" s="311"/>
      <c r="G20" s="311"/>
      <c r="H20" s="311"/>
      <c r="I20" s="311"/>
      <c r="J20" s="311"/>
      <c r="K20" s="313"/>
    </row>
    <row r="21" spans="1:11" s="288" customFormat="1" ht="15.9" customHeight="1" x14ac:dyDescent="0.3">
      <c r="C21" s="314"/>
      <c r="G21" s="311"/>
    </row>
    <row r="22" spans="1:11" ht="15.9" customHeight="1" x14ac:dyDescent="0.3">
      <c r="A22" s="288"/>
      <c r="B22" s="288"/>
      <c r="C22" s="288" t="s">
        <v>476</v>
      </c>
      <c r="D22" s="288"/>
      <c r="E22" s="288"/>
      <c r="G22" s="278"/>
    </row>
    <row r="23" spans="1:11" ht="15.9" customHeight="1" x14ac:dyDescent="0.25">
      <c r="A23" s="288"/>
      <c r="B23" s="288"/>
      <c r="C23" s="288">
        <f>COUNTIF(costSummary:totals,"Ct*")</f>
        <v>0</v>
      </c>
      <c r="D23" s="288"/>
      <c r="E23" s="288"/>
    </row>
    <row r="24" spans="1:11" ht="15.9" customHeight="1" x14ac:dyDescent="0.25">
      <c r="A24" s="288"/>
      <c r="B24" s="288">
        <f>COUNTIF(costSummary:totals,"C-*")</f>
        <v>0</v>
      </c>
      <c r="C24" s="288"/>
      <c r="D24" s="288"/>
      <c r="E24" s="288"/>
    </row>
    <row r="25" spans="1:11" ht="15.9" customHeight="1" x14ac:dyDescent="0.25">
      <c r="A25" s="288"/>
      <c r="B25" s="288"/>
      <c r="C25" s="288">
        <f>COUNTIF(costSummary:totals,"Cv*")</f>
        <v>0</v>
      </c>
      <c r="D25" s="288"/>
      <c r="E25" s="288"/>
    </row>
    <row r="26" spans="1:11" ht="15.9" customHeight="1" x14ac:dyDescent="0.25">
      <c r="A26" s="288"/>
      <c r="B26" s="288"/>
      <c r="C26" s="288">
        <f>COUNTIF(costSummary:totals,"Cr*")</f>
        <v>0</v>
      </c>
      <c r="D26" s="288"/>
      <c r="E26" s="288"/>
    </row>
    <row r="27" spans="1:11" ht="15.9" customHeight="1" x14ac:dyDescent="0.25">
      <c r="A27" s="288"/>
      <c r="B27" s="288">
        <f>COUNTIF(costSummary:totals,"D-*")</f>
        <v>0</v>
      </c>
      <c r="C27" s="288"/>
      <c r="D27" s="288"/>
      <c r="E27" s="288"/>
    </row>
    <row r="28" spans="1:11" ht="15.9" customHeight="1" x14ac:dyDescent="0.25">
      <c r="A28" s="288"/>
      <c r="B28" s="288"/>
      <c r="C28" s="288">
        <f>COUNTIF(costSummary:totals,"Dy*")</f>
        <v>0</v>
      </c>
      <c r="D28" s="288"/>
      <c r="E28" s="288"/>
    </row>
    <row r="29" spans="1:11" ht="15.9" customHeight="1" x14ac:dyDescent="0.25">
      <c r="A29" s="288"/>
      <c r="B29" s="288"/>
      <c r="C29" s="288">
        <f>COUNTIF(costSummary:totals,"Dc*")</f>
        <v>1</v>
      </c>
      <c r="D29" s="288"/>
      <c r="E29" s="288"/>
    </row>
    <row r="30" spans="1:11" ht="15.9" customHeight="1" x14ac:dyDescent="0.25">
      <c r="A30" s="288"/>
      <c r="B30" s="288"/>
      <c r="C30" s="288" t="s">
        <v>477</v>
      </c>
      <c r="D30" s="288"/>
      <c r="E30" s="288"/>
    </row>
    <row r="31" spans="1:11" ht="15.9" customHeight="1" x14ac:dyDescent="0.25">
      <c r="A31" s="288"/>
      <c r="B31" s="288">
        <f>COUNTIF(costSummary:totals,"F-*")</f>
        <v>1</v>
      </c>
      <c r="C31" s="288"/>
      <c r="D31" s="288"/>
      <c r="E31" s="288"/>
    </row>
    <row r="32" spans="1:11" ht="15.9" customHeight="1" x14ac:dyDescent="0.25">
      <c r="A32" s="288"/>
      <c r="B32" s="288"/>
      <c r="C32" s="288">
        <f>COUNTIF(costSummary:totals,"Fr*")</f>
        <v>0</v>
      </c>
      <c r="D32" s="288"/>
      <c r="E32" s="288"/>
    </row>
    <row r="33" spans="1:5" ht="15.9" customHeight="1" x14ac:dyDescent="0.25">
      <c r="A33" s="288"/>
      <c r="B33" s="288">
        <f>COUNTIF(costSummary:totals,"H-*")</f>
        <v>1</v>
      </c>
      <c r="C33" s="288"/>
      <c r="D33" s="288"/>
      <c r="E33" s="288"/>
    </row>
    <row r="34" spans="1:5" ht="15.9" customHeight="1" x14ac:dyDescent="0.25">
      <c r="A34" s="288"/>
      <c r="B34" s="288">
        <f>COUNTIF(costSummary:totals,"E-*")</f>
        <v>2</v>
      </c>
      <c r="C34" s="288"/>
      <c r="D34" s="288"/>
      <c r="E34" s="288"/>
    </row>
    <row r="35" spans="1:5" ht="15.9" customHeight="1" x14ac:dyDescent="0.25">
      <c r="A35" s="288"/>
      <c r="B35" s="288"/>
      <c r="C35" s="288" t="s">
        <v>478</v>
      </c>
      <c r="D35" s="288"/>
      <c r="E35" s="288"/>
    </row>
    <row r="36" spans="1:5" ht="15.9" customHeight="1" x14ac:dyDescent="0.25">
      <c r="A36" s="288"/>
      <c r="B36" s="288" t="s">
        <v>474</v>
      </c>
      <c r="C36" s="288"/>
      <c r="D36" s="288"/>
      <c r="E36" s="288"/>
    </row>
    <row r="37" spans="1:5" ht="15.9" customHeight="1" x14ac:dyDescent="0.25">
      <c r="A37" s="288"/>
      <c r="B37" s="288">
        <f>COUNTIF(costSummary:totals,"R-*")</f>
        <v>0</v>
      </c>
      <c r="C37" s="288"/>
      <c r="D37" s="288"/>
      <c r="E37" s="288"/>
    </row>
    <row r="38" spans="1:5" ht="15.9" customHeight="1" x14ac:dyDescent="0.25">
      <c r="A38" s="288"/>
      <c r="B38" s="288"/>
      <c r="C38" s="288">
        <f>COUNTIF(costSummary:totals,"S-*")</f>
        <v>0</v>
      </c>
      <c r="D38" s="288"/>
      <c r="E38" s="288"/>
    </row>
    <row r="39" spans="1:5" ht="15.9" customHeight="1" x14ac:dyDescent="0.25">
      <c r="A39" s="288"/>
      <c r="B39" s="288">
        <f>COUNTIF(costSummary:totals,"Tk*")</f>
        <v>0</v>
      </c>
      <c r="C39" s="288"/>
      <c r="D39" s="288"/>
      <c r="E39" s="288"/>
    </row>
    <row r="40" spans="1:5" ht="15.9" customHeight="1" x14ac:dyDescent="0.25">
      <c r="A40" s="288"/>
      <c r="B40" s="288">
        <f>COUNTIF(costSummary:totals,"T-*")</f>
        <v>0</v>
      </c>
      <c r="C40" s="288"/>
      <c r="D40" s="288"/>
      <c r="E40" s="288"/>
    </row>
    <row r="41" spans="1:5" ht="15.9" customHeight="1" x14ac:dyDescent="0.25">
      <c r="A41" s="288"/>
      <c r="B41" s="288">
        <f>COUNTIF(costSummary:totals,"J-*")</f>
        <v>1</v>
      </c>
      <c r="C41" s="288"/>
      <c r="D41" s="288"/>
      <c r="E41" s="288"/>
    </row>
    <row r="42" spans="1:5" ht="15.9" customHeight="1" x14ac:dyDescent="0.25">
      <c r="A42" s="288"/>
      <c r="B42" s="288" t="s">
        <v>475</v>
      </c>
      <c r="C42" s="288"/>
      <c r="D42" s="288"/>
      <c r="E42" s="288"/>
    </row>
    <row r="43" spans="1:5" ht="15.9" customHeight="1" x14ac:dyDescent="0.25">
      <c r="A43" s="288"/>
      <c r="B43" s="288">
        <f>COUNTIF(costSummary:totals,"Z-*")</f>
        <v>0</v>
      </c>
      <c r="C43" s="288"/>
      <c r="D43" s="288"/>
      <c r="E43" s="288"/>
    </row>
    <row r="44" spans="1:5" ht="15.9" customHeight="1" x14ac:dyDescent="0.25">
      <c r="A44" s="288"/>
      <c r="B44" s="288">
        <f>SUM(B22:B43)</f>
        <v>5</v>
      </c>
      <c r="C44" s="288">
        <f>SUM(C22:C43)</f>
        <v>1</v>
      </c>
      <c r="D44" s="288"/>
      <c r="E44" s="288"/>
    </row>
    <row r="45" spans="1:5" s="288" customFormat="1" ht="15.9" customHeight="1" x14ac:dyDescent="0.25">
      <c r="B45" s="315"/>
    </row>
    <row r="46" spans="1:5" s="310" customFormat="1" ht="15.9" customHeight="1" x14ac:dyDescent="0.25"/>
    <row r="47" spans="1:5" s="310" customFormat="1" ht="15.9" customHeight="1" x14ac:dyDescent="0.25"/>
    <row r="48" spans="1:5" s="310" customFormat="1" ht="15.9" customHeight="1" x14ac:dyDescent="0.25"/>
    <row r="49" s="310" customFormat="1" ht="15.9" customHeight="1" x14ac:dyDescent="0.25"/>
    <row r="50" s="310" customFormat="1" ht="15.9" customHeight="1" x14ac:dyDescent="0.25"/>
    <row r="51" s="310" customFormat="1" ht="15.9" customHeight="1" x14ac:dyDescent="0.25"/>
    <row r="52" s="310" customFormat="1" ht="15.9" customHeight="1" x14ac:dyDescent="0.25"/>
    <row r="53" s="310" customFormat="1" ht="15.9" customHeight="1" x14ac:dyDescent="0.25"/>
    <row r="54" s="310" customFormat="1" ht="15.9" customHeight="1" x14ac:dyDescent="0.25"/>
    <row r="55" s="310" customFormat="1" ht="15.9" customHeight="1" x14ac:dyDescent="0.25"/>
    <row r="56" s="310" customFormat="1" ht="15.9" customHeight="1" x14ac:dyDescent="0.25"/>
    <row r="57" s="310" customFormat="1" ht="15.9" customHeight="1" x14ac:dyDescent="0.25"/>
    <row r="58" s="310" customFormat="1" ht="15.9" customHeight="1" x14ac:dyDescent="0.25"/>
    <row r="59" s="310" customFormat="1" ht="15.9" customHeight="1" x14ac:dyDescent="0.25"/>
    <row r="60" s="310" customFormat="1" ht="15.9" customHeight="1" x14ac:dyDescent="0.25"/>
    <row r="61" s="310" customFormat="1" ht="15.9" customHeight="1" x14ac:dyDescent="0.25"/>
    <row r="62" s="310" customFormat="1" ht="15.9" customHeight="1" x14ac:dyDescent="0.25"/>
    <row r="63" s="310" customFormat="1" ht="15.9" customHeight="1" x14ac:dyDescent="0.25"/>
    <row r="64" s="310" customFormat="1" ht="15.9" customHeight="1" x14ac:dyDescent="0.25"/>
    <row r="65" s="310" customFormat="1" ht="15.9" customHeight="1" x14ac:dyDescent="0.25"/>
    <row r="66" s="310" customFormat="1" ht="15.9" customHeight="1" x14ac:dyDescent="0.25"/>
    <row r="67" s="310" customFormat="1" ht="15.9" customHeight="1" x14ac:dyDescent="0.25"/>
    <row r="68" s="310" customFormat="1" ht="15.9" customHeight="1" x14ac:dyDescent="0.25"/>
    <row r="69" s="310" customFormat="1" ht="15.9" customHeight="1" x14ac:dyDescent="0.25"/>
    <row r="70" s="310" customFormat="1" ht="15.9" customHeight="1" x14ac:dyDescent="0.25"/>
    <row r="71" s="310" customFormat="1" ht="15.9" customHeight="1" x14ac:dyDescent="0.25"/>
    <row r="72" s="310" customFormat="1" ht="15.9" customHeight="1" x14ac:dyDescent="0.25"/>
    <row r="73" s="310" customFormat="1" ht="15.9" customHeight="1" x14ac:dyDescent="0.25"/>
    <row r="74" s="310" customFormat="1" ht="15.9" customHeight="1" x14ac:dyDescent="0.25"/>
    <row r="75" s="310" customFormat="1" ht="15.9" customHeight="1" x14ac:dyDescent="0.25"/>
    <row r="76" s="310" customFormat="1" ht="15.9" customHeight="1" x14ac:dyDescent="0.25"/>
    <row r="77" s="310" customFormat="1" ht="15.9" customHeight="1" x14ac:dyDescent="0.25"/>
    <row r="78" s="310" customFormat="1" ht="15.9" customHeight="1" x14ac:dyDescent="0.25"/>
    <row r="79" s="310" customFormat="1" ht="15.9" customHeight="1" x14ac:dyDescent="0.25"/>
    <row r="80" s="310" customFormat="1" ht="15.9" customHeight="1" x14ac:dyDescent="0.25"/>
    <row r="81" s="310" customFormat="1" ht="15.9" customHeight="1" x14ac:dyDescent="0.25"/>
  </sheetData>
  <sortState xmlns:xlrd2="http://schemas.microsoft.com/office/spreadsheetml/2017/richdata2" ref="B7:K14">
    <sortCondition ref="B7"/>
  </sortState>
  <phoneticPr fontId="0" type="noConversion"/>
  <pageMargins left="0.75" right="0.75" top="1" bottom="1" header="0.5" footer="0.5"/>
  <pageSetup scale="75" orientation="landscape" horizontalDpi="4294967294" verticalDpi="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31:U82"/>
  <sheetViews>
    <sheetView showGridLines="0" zoomScaleNormal="100" workbookViewId="0">
      <selection activeCell="E28" sqref="E28"/>
    </sheetView>
  </sheetViews>
  <sheetFormatPr baseColWidth="10" defaultColWidth="9.109375" defaultRowHeight="13.2" x14ac:dyDescent="0.25"/>
  <cols>
    <col min="1" max="1" width="2.5546875" customWidth="1"/>
    <col min="2" max="2" width="10" customWidth="1"/>
    <col min="3" max="3" width="12.88671875" customWidth="1"/>
    <col min="4" max="4" width="10.33203125" customWidth="1"/>
    <col min="5" max="5" width="11.88671875" customWidth="1"/>
    <col min="6" max="6" width="13.33203125" customWidth="1"/>
    <col min="7" max="7" width="11.109375" customWidth="1"/>
    <col min="8" max="8" width="19" customWidth="1"/>
    <col min="9" max="9" width="15.33203125" customWidth="1"/>
    <col min="10" max="10" width="13.5546875" customWidth="1"/>
    <col min="11" max="11" width="19.33203125" customWidth="1"/>
    <col min="12" max="12" width="22.44140625" customWidth="1"/>
  </cols>
  <sheetData>
    <row r="31" spans="11:11" x14ac:dyDescent="0.25">
      <c r="K31" s="26"/>
    </row>
    <row r="32" spans="11:11" x14ac:dyDescent="0.25">
      <c r="K32" s="26"/>
    </row>
    <row r="34" spans="1:21" x14ac:dyDescent="0.25">
      <c r="F34" s="20"/>
      <c r="G34" s="20"/>
      <c r="H34" s="20"/>
    </row>
    <row r="36" spans="1:21" ht="21" thickBot="1" x14ac:dyDescent="0.4">
      <c r="A36" s="131"/>
      <c r="B36" s="180" t="s">
        <v>292</v>
      </c>
      <c r="D36" s="131"/>
      <c r="E36" s="131"/>
      <c r="F36" s="176"/>
      <c r="G36" s="181" t="s">
        <v>296</v>
      </c>
      <c r="I36" s="1"/>
      <c r="K36" s="1"/>
      <c r="L36" s="1"/>
      <c r="O36" s="128"/>
      <c r="P36" s="128"/>
      <c r="Q36" s="128"/>
      <c r="R36" s="128"/>
      <c r="S36" s="128"/>
      <c r="T36" s="128"/>
      <c r="U36" s="128"/>
    </row>
    <row r="37" spans="1:21" x14ac:dyDescent="0.25">
      <c r="A37" s="1"/>
      <c r="B37" s="146"/>
      <c r="C37" s="147"/>
      <c r="D37" s="147"/>
      <c r="E37" s="148"/>
      <c r="F37" s="1"/>
      <c r="G37" s="146"/>
      <c r="H37" s="147"/>
      <c r="I37" s="148"/>
      <c r="K37" s="1"/>
      <c r="O37" s="128"/>
      <c r="P37" s="128"/>
      <c r="Q37" s="128"/>
      <c r="R37" s="128"/>
      <c r="S37" s="128"/>
      <c r="T37" s="128"/>
      <c r="U37" s="128"/>
    </row>
    <row r="38" spans="1:21" x14ac:dyDescent="0.25">
      <c r="A38" s="1"/>
      <c r="B38" s="149"/>
      <c r="C38" s="1"/>
      <c r="D38" s="171" t="s">
        <v>293</v>
      </c>
      <c r="E38" s="177">
        <f>$K$63</f>
        <v>75.676393371489553</v>
      </c>
      <c r="F38" s="1"/>
      <c r="G38" s="149"/>
      <c r="H38" s="171" t="s">
        <v>297</v>
      </c>
      <c r="I38" s="177">
        <f>SUM($I$48:$I$63)</f>
        <v>161.8664</v>
      </c>
      <c r="K38" s="1"/>
      <c r="O38" s="128"/>
      <c r="P38" s="128"/>
      <c r="Q38" s="128"/>
      <c r="R38" s="128"/>
      <c r="S38" s="128"/>
      <c r="T38" s="128"/>
      <c r="U38" s="128"/>
    </row>
    <row r="39" spans="1:21" x14ac:dyDescent="0.25">
      <c r="A39" s="1"/>
      <c r="B39" s="149"/>
      <c r="C39" s="1"/>
      <c r="D39" s="1"/>
      <c r="E39" s="177"/>
      <c r="F39" s="1"/>
      <c r="G39" s="149"/>
      <c r="H39" s="1"/>
      <c r="I39" s="177"/>
      <c r="K39" s="1"/>
      <c r="O39" s="128"/>
      <c r="P39" s="128"/>
      <c r="Q39" s="128"/>
      <c r="R39" s="128"/>
      <c r="S39" s="128"/>
      <c r="T39" s="128"/>
      <c r="U39" s="128"/>
    </row>
    <row r="40" spans="1:21" x14ac:dyDescent="0.25">
      <c r="A40" s="1"/>
      <c r="B40" s="149"/>
      <c r="C40" s="1"/>
      <c r="D40" s="172" t="s">
        <v>294</v>
      </c>
      <c r="E40" s="198">
        <v>0.75308999206636962</v>
      </c>
      <c r="F40" s="173"/>
      <c r="G40" s="149"/>
      <c r="H40" s="171" t="s">
        <v>295</v>
      </c>
      <c r="I40" s="178">
        <f>($L$63- costLand/10^6 - workingCapital/10^6 -$L$52)/projectLife/(FCIL/10^6) - 1/projectLife</f>
        <v>1.6186639999999999</v>
      </c>
      <c r="K40" s="173"/>
      <c r="O40" s="128"/>
      <c r="P40" s="128"/>
      <c r="Q40" s="128"/>
      <c r="R40" s="128"/>
      <c r="S40" s="128"/>
      <c r="T40" s="128"/>
      <c r="U40" s="128"/>
    </row>
    <row r="41" spans="1:21" x14ac:dyDescent="0.25">
      <c r="A41" s="1"/>
      <c r="B41" s="149"/>
      <c r="C41" s="1"/>
      <c r="D41" s="1"/>
      <c r="E41" s="178"/>
      <c r="F41" s="173"/>
      <c r="G41" s="149"/>
      <c r="H41" s="1"/>
      <c r="I41" s="178"/>
      <c r="K41" s="1"/>
      <c r="O41" s="128"/>
      <c r="P41" s="128"/>
      <c r="Q41" s="128"/>
      <c r="R41" s="128"/>
      <c r="S41" s="128"/>
      <c r="T41" s="128"/>
      <c r="U41" s="128"/>
    </row>
    <row r="42" spans="1:21" x14ac:dyDescent="0.25">
      <c r="A42" s="1"/>
      <c r="B42" s="149"/>
      <c r="C42" s="1"/>
      <c r="D42" s="175" t="s">
        <v>299</v>
      </c>
      <c r="E42" s="199">
        <v>0.66225018563369809</v>
      </c>
      <c r="F42" s="1"/>
      <c r="G42" s="149"/>
      <c r="H42" s="171" t="s">
        <v>298</v>
      </c>
      <c r="I42" s="179">
        <v>0.56796753951918133</v>
      </c>
      <c r="K42" s="1"/>
      <c r="O42" s="128"/>
      <c r="P42" s="128"/>
      <c r="Q42" s="128"/>
      <c r="R42" s="128"/>
      <c r="S42" s="128"/>
      <c r="T42" s="128"/>
      <c r="U42" s="128"/>
    </row>
    <row r="43" spans="1:21" ht="13.8" thickBot="1" x14ac:dyDescent="0.3">
      <c r="B43" s="152"/>
      <c r="C43" s="2"/>
      <c r="D43" s="174"/>
      <c r="E43" s="162"/>
      <c r="F43" s="141"/>
      <c r="G43" s="152"/>
      <c r="H43" s="2"/>
      <c r="I43" s="162"/>
      <c r="K43" s="1"/>
      <c r="O43" s="128"/>
      <c r="P43" s="128"/>
      <c r="Q43" s="128"/>
      <c r="R43" s="128"/>
      <c r="S43" s="128"/>
      <c r="T43" s="128"/>
      <c r="U43" s="128"/>
    </row>
    <row r="47" spans="1:21" ht="29.25" customHeight="1" x14ac:dyDescent="0.35">
      <c r="B47" s="18" t="s">
        <v>242</v>
      </c>
      <c r="C47" s="18" t="s">
        <v>243</v>
      </c>
      <c r="D47" s="129" t="s">
        <v>250</v>
      </c>
      <c r="E47" s="130" t="s">
        <v>251</v>
      </c>
      <c r="F47" s="129" t="s">
        <v>244</v>
      </c>
      <c r="G47" s="129" t="s">
        <v>171</v>
      </c>
      <c r="H47" s="129" t="s">
        <v>252</v>
      </c>
      <c r="I47" s="131" t="s">
        <v>246</v>
      </c>
      <c r="J47" s="131" t="s">
        <v>245</v>
      </c>
      <c r="K47" s="131" t="s">
        <v>256</v>
      </c>
      <c r="L47" s="131" t="s">
        <v>257</v>
      </c>
    </row>
    <row r="48" spans="1:21" ht="12.75" customHeight="1" x14ac:dyDescent="0.25">
      <c r="B48" s="18">
        <v>0</v>
      </c>
      <c r="C48" s="129">
        <f>0</f>
        <v>0</v>
      </c>
      <c r="D48" s="129"/>
      <c r="E48" s="130">
        <f>FCIL/10^6</f>
        <v>10</v>
      </c>
      <c r="F48" s="129"/>
      <c r="G48" s="129"/>
      <c r="H48" s="129"/>
      <c r="I48" s="131">
        <f>0</f>
        <v>0</v>
      </c>
      <c r="J48" s="131">
        <f>0</f>
        <v>0</v>
      </c>
      <c r="K48" s="131">
        <f>0</f>
        <v>0</v>
      </c>
      <c r="L48" s="131">
        <f>0</f>
        <v>0</v>
      </c>
    </row>
    <row r="49" spans="2:12" ht="12.75" customHeight="1" x14ac:dyDescent="0.25">
      <c r="B49" s="18">
        <v>0</v>
      </c>
      <c r="C49" s="129">
        <f>costLand/10^6</f>
        <v>1.25</v>
      </c>
      <c r="D49" s="129"/>
      <c r="E49" s="130">
        <f>FCIL/10^6</f>
        <v>10</v>
      </c>
      <c r="F49" s="129"/>
      <c r="G49" s="129"/>
      <c r="H49" s="129"/>
      <c r="I49" s="131">
        <f>-$C$49</f>
        <v>-1.25</v>
      </c>
      <c r="J49" s="131">
        <f>-$C$49</f>
        <v>-1.25</v>
      </c>
      <c r="K49" s="131">
        <f>-$C$49</f>
        <v>-1.25</v>
      </c>
      <c r="L49" s="131">
        <f>-$C$49</f>
        <v>-1.25</v>
      </c>
    </row>
    <row r="50" spans="2:12" ht="12.75" customHeight="1" x14ac:dyDescent="0.25">
      <c r="B50" s="18">
        <v>1</v>
      </c>
      <c r="C50" s="129">
        <f>FCIL/10^6*'COM Summary'!$C$48</f>
        <v>6</v>
      </c>
      <c r="D50" s="129"/>
      <c r="E50" s="130">
        <f>FCIL/10^6</f>
        <v>10</v>
      </c>
      <c r="F50" s="129"/>
      <c r="G50" s="129"/>
      <c r="H50" s="129"/>
      <c r="I50" s="131">
        <f>-$C$50</f>
        <v>-6</v>
      </c>
      <c r="J50" s="131">
        <f>$I$50/((1 + iRate) ^1)</f>
        <v>-5.4545454471564492</v>
      </c>
      <c r="K50" s="131">
        <f>$J$50+$K$49</f>
        <v>-6.7045454471564492</v>
      </c>
      <c r="L50" s="131">
        <f>$I$50+$L$49</f>
        <v>-7.25</v>
      </c>
    </row>
    <row r="51" spans="2:12" ht="12.75" customHeight="1" x14ac:dyDescent="0.25">
      <c r="B51" s="18">
        <v>2</v>
      </c>
      <c r="C51" s="129">
        <f>(FCIL/10^6*'COM Summary'!$C$49)</f>
        <v>4</v>
      </c>
      <c r="D51" s="129"/>
      <c r="E51" s="130">
        <f>FCIL/10^6</f>
        <v>10</v>
      </c>
      <c r="F51" s="129"/>
      <c r="G51" s="129"/>
      <c r="H51" s="129"/>
      <c r="I51" s="131">
        <f>-$C$51</f>
        <v>-4</v>
      </c>
      <c r="J51" s="131">
        <f>$I$51/((1 + iRate) ^2)</f>
        <v>-3.3057851150105719</v>
      </c>
      <c r="K51" s="131">
        <f>$J$51+$K$50</f>
        <v>-10.01033056216702</v>
      </c>
      <c r="L51" s="131">
        <f>$I$51+$L$50</f>
        <v>-11.25</v>
      </c>
    </row>
    <row r="52" spans="2:12" ht="12.75" customHeight="1" x14ac:dyDescent="0.25">
      <c r="B52" s="18">
        <v>2</v>
      </c>
      <c r="C52" s="129">
        <f>workingCapital/10^6</f>
        <v>5</v>
      </c>
      <c r="D52" s="129"/>
      <c r="E52" s="130">
        <f>FCIL/10^6</f>
        <v>10</v>
      </c>
      <c r="F52" s="129"/>
      <c r="G52" s="129"/>
      <c r="H52" s="129"/>
      <c r="I52" s="131">
        <f>-$C$52</f>
        <v>-5</v>
      </c>
      <c r="J52" s="131">
        <f>$I$52/((1 + iRate) ^2)</f>
        <v>-4.1322313937632149</v>
      </c>
      <c r="K52" s="131">
        <f>$J$52+$K$51</f>
        <v>-14.142561955930235</v>
      </c>
      <c r="L52" s="131">
        <f>$I$52+$L$51</f>
        <v>-16.25</v>
      </c>
    </row>
    <row r="53" spans="2:12" ht="12.75" customHeight="1" x14ac:dyDescent="0.25">
      <c r="B53" s="18">
        <v>3</v>
      </c>
      <c r="C53" s="129"/>
      <c r="D53" s="129">
        <f>FCIL*0.2/10^6</f>
        <v>2</v>
      </c>
      <c r="E53" s="130">
        <f>FCIL/10^6-SUM($D$53:$D$53)</f>
        <v>8</v>
      </c>
      <c r="F53" s="129">
        <f t="shared" ref="F53:F62" si="0">revenue/10^6</f>
        <v>75</v>
      </c>
      <c r="G53" s="129">
        <f t="shared" ref="G53:G62" si="1">COMd/10^6</f>
        <v>46.091999999999999</v>
      </c>
      <c r="H53" s="129">
        <f>(revenue/10^6 - COMd/10^6 - FCIL/10^6*0.2)*(1 - taxRate) + FCIL/10^6*0.2</f>
        <v>17.606640000000002</v>
      </c>
      <c r="I53" s="131">
        <f>$H$53</f>
        <v>17.606640000000002</v>
      </c>
      <c r="J53" s="131">
        <f>$I$53/((iRate + 1)^3)</f>
        <v>13.228129172387261</v>
      </c>
      <c r="K53" s="131">
        <f>$J$53+$K$52</f>
        <v>-0.91443278354297419</v>
      </c>
      <c r="L53" s="131">
        <f>$I$53+$L$52</f>
        <v>1.3566400000000023</v>
      </c>
    </row>
    <row r="54" spans="2:12" ht="12.75" customHeight="1" x14ac:dyDescent="0.25">
      <c r="B54" s="18">
        <v>4</v>
      </c>
      <c r="C54" s="129"/>
      <c r="D54" s="129">
        <f>FCIL*0.32/10^6</f>
        <v>3.2</v>
      </c>
      <c r="E54" s="130">
        <f>FCIL/10^6-SUM($D$53:$D$54)</f>
        <v>4.8</v>
      </c>
      <c r="F54" s="129">
        <f t="shared" si="0"/>
        <v>75</v>
      </c>
      <c r="G54" s="129">
        <f t="shared" si="1"/>
        <v>46.091999999999999</v>
      </c>
      <c r="H54" s="129">
        <f>(revenue/10^6 - COMd/10^6 - FCIL/10^6*0.32)*(1 - taxRate) + FCIL/10^6*0.32</f>
        <v>18.110640000000004</v>
      </c>
      <c r="I54" s="131">
        <f>$H$54</f>
        <v>18.110640000000004</v>
      </c>
      <c r="J54" s="131">
        <f>$I$54/((iRate + 1)^4)</f>
        <v>12.369810738245761</v>
      </c>
      <c r="K54" s="131">
        <f>$J$54+$K$53</f>
        <v>11.455377954702787</v>
      </c>
      <c r="L54" s="131">
        <f>$I$54+$L$53</f>
        <v>19.467280000000006</v>
      </c>
    </row>
    <row r="55" spans="2:12" ht="12.75" customHeight="1" x14ac:dyDescent="0.25">
      <c r="B55" s="18">
        <v>5</v>
      </c>
      <c r="C55" s="129"/>
      <c r="D55" s="129">
        <f>FCIL*0.192/10^6</f>
        <v>1.92</v>
      </c>
      <c r="E55" s="130">
        <f>FCIL/10^6-SUM($D$53:$D$55)</f>
        <v>2.88</v>
      </c>
      <c r="F55" s="129">
        <f t="shared" si="0"/>
        <v>75</v>
      </c>
      <c r="G55" s="129">
        <f t="shared" si="1"/>
        <v>46.091999999999999</v>
      </c>
      <c r="H55" s="129">
        <f>(revenue/10^6 - COMd/10^6 - FCIL/10^6*0.192)*(1 - taxRate) + FCIL/10^6*0.192</f>
        <v>17.573040000000002</v>
      </c>
      <c r="I55" s="131">
        <f>$H$55</f>
        <v>17.573040000000002</v>
      </c>
      <c r="J55" s="131">
        <f>$I$55/((iRate + 1)^5)</f>
        <v>10.911475173065254</v>
      </c>
      <c r="K55" s="131">
        <f>$J$55+$K$54</f>
        <v>22.366853127768039</v>
      </c>
      <c r="L55" s="131">
        <f>$I$55+$L$54</f>
        <v>37.040320000000008</v>
      </c>
    </row>
    <row r="56" spans="2:12" ht="12.75" customHeight="1" x14ac:dyDescent="0.25">
      <c r="B56" s="18">
        <v>6</v>
      </c>
      <c r="C56" s="129"/>
      <c r="D56" s="129">
        <f>FCIL*0.115/10^6</f>
        <v>1.1499999999999999</v>
      </c>
      <c r="E56" s="130">
        <f>FCIL/10^6-SUM($D$53:$D$56)</f>
        <v>1.7300000000000004</v>
      </c>
      <c r="F56" s="129">
        <f t="shared" si="0"/>
        <v>75</v>
      </c>
      <c r="G56" s="129">
        <f t="shared" si="1"/>
        <v>46.091999999999999</v>
      </c>
      <c r="H56" s="129">
        <f>(revenue/10^6 - COMd/10^6 - FCIL/10^6*0.115)*(1 - taxRate) + FCIL/10^6*0.115</f>
        <v>17.249640000000003</v>
      </c>
      <c r="I56" s="131">
        <f>$H$56</f>
        <v>17.249640000000003</v>
      </c>
      <c r="J56" s="131">
        <f>$I$56/((iRate + 1)^6)</f>
        <v>9.7369720036716494</v>
      </c>
      <c r="K56" s="131">
        <f>$J$56+$K$55</f>
        <v>32.103825131439692</v>
      </c>
      <c r="L56" s="131">
        <f>$I$56+$L$55</f>
        <v>54.289960000000008</v>
      </c>
    </row>
    <row r="57" spans="2:12" ht="12.75" customHeight="1" x14ac:dyDescent="0.25">
      <c r="B57" s="18">
        <v>7</v>
      </c>
      <c r="C57" s="129"/>
      <c r="D57" s="129">
        <f>FCIL*0.115/10^6</f>
        <v>1.1499999999999999</v>
      </c>
      <c r="E57" s="130">
        <f>FCIL/10^6-SUM($D$53:$D$57)</f>
        <v>0.58000000000000007</v>
      </c>
      <c r="F57" s="129">
        <f t="shared" si="0"/>
        <v>75</v>
      </c>
      <c r="G57" s="129">
        <f t="shared" si="1"/>
        <v>46.091999999999999</v>
      </c>
      <c r="H57" s="129">
        <f>(revenue/10^6 - COMd/10^6 - FCIL/10^6*0.115)*(1 - taxRate) + FCIL/10^6*0.115</f>
        <v>17.249640000000003</v>
      </c>
      <c r="I57" s="131">
        <f>$H$57</f>
        <v>17.249640000000003</v>
      </c>
      <c r="J57" s="131">
        <f>$I$57/((iRate + 1)^7)</f>
        <v>8.8517927186194996</v>
      </c>
      <c r="K57" s="131">
        <f>$J$57+$K$56</f>
        <v>40.955617850059191</v>
      </c>
      <c r="L57" s="131">
        <f>$I$57+$L$56</f>
        <v>71.539600000000007</v>
      </c>
    </row>
    <row r="58" spans="2:12" ht="12.75" customHeight="1" x14ac:dyDescent="0.25">
      <c r="B58" s="18">
        <v>8</v>
      </c>
      <c r="C58" s="129"/>
      <c r="D58" s="129">
        <f>FCIL*0.058/10^6</f>
        <v>0.57999999999999996</v>
      </c>
      <c r="E58" s="130" t="s">
        <v>262</v>
      </c>
      <c r="F58" s="129">
        <f t="shared" si="0"/>
        <v>75</v>
      </c>
      <c r="G58" s="129">
        <f t="shared" si="1"/>
        <v>46.091999999999999</v>
      </c>
      <c r="H58" s="129">
        <f>(revenue/10^6 - COMd/10^6 - FCIL/10^6*0.058)*(1 - taxRate) + FCIL/10^6*0.058</f>
        <v>17.010240000000003</v>
      </c>
      <c r="I58" s="131">
        <f>$H$58</f>
        <v>17.010240000000003</v>
      </c>
      <c r="J58" s="131">
        <f>$I$58/((iRate + 1)^8)</f>
        <v>7.9354024131412109</v>
      </c>
      <c r="K58" s="131">
        <f>$J$58+$K$57</f>
        <v>48.891020263200403</v>
      </c>
      <c r="L58" s="131">
        <f>$I$58+$L$57</f>
        <v>88.549840000000017</v>
      </c>
    </row>
    <row r="59" spans="2:12" ht="12.75" customHeight="1" x14ac:dyDescent="0.25">
      <c r="B59" s="18">
        <v>9</v>
      </c>
      <c r="C59" s="129"/>
      <c r="D59" s="129"/>
      <c r="E59" s="130" t="s">
        <v>262</v>
      </c>
      <c r="F59" s="129">
        <f t="shared" si="0"/>
        <v>75</v>
      </c>
      <c r="G59" s="129">
        <f t="shared" si="1"/>
        <v>46.091999999999999</v>
      </c>
      <c r="H59" s="129">
        <f>(revenue/10^6 - COMd/10^6 - FCIL/10^6*0)*(1 - taxRate) + FCIL/10^6*0</f>
        <v>16.766640000000002</v>
      </c>
      <c r="I59" s="131">
        <f>$H$59</f>
        <v>16.766640000000002</v>
      </c>
      <c r="J59" s="131">
        <f>$I$59/((iRate + 1)^9)</f>
        <v>7.1106920054162881</v>
      </c>
      <c r="K59" s="131">
        <f>$J$59+$K$58</f>
        <v>56.001712268616693</v>
      </c>
      <c r="L59" s="131">
        <f>$I$59+$L$58</f>
        <v>105.31648000000001</v>
      </c>
    </row>
    <row r="60" spans="2:12" ht="12.75" customHeight="1" x14ac:dyDescent="0.25">
      <c r="B60" s="18">
        <v>10</v>
      </c>
      <c r="C60" s="129"/>
      <c r="D60" s="129"/>
      <c r="E60" s="130" t="s">
        <v>262</v>
      </c>
      <c r="F60" s="129">
        <f t="shared" si="0"/>
        <v>75</v>
      </c>
      <c r="G60" s="129">
        <f t="shared" si="1"/>
        <v>46.091999999999999</v>
      </c>
      <c r="H60" s="129">
        <f>(revenue/10^6 - COMd/10^6 - FCIL/10^6*0)*(1 - taxRate) + FCIL/10^6*0</f>
        <v>16.766640000000002</v>
      </c>
      <c r="I60" s="131">
        <f>$H$60</f>
        <v>16.766640000000002</v>
      </c>
      <c r="J60" s="131">
        <f>$I$60/((iRate + 1)^10)</f>
        <v>6.4642654507125288</v>
      </c>
      <c r="K60" s="131">
        <f>$J$60+$K$59</f>
        <v>62.465977719329224</v>
      </c>
      <c r="L60" s="131">
        <f>$I$60+$L$59</f>
        <v>122.08312000000001</v>
      </c>
    </row>
    <row r="61" spans="2:12" ht="12.75" customHeight="1" x14ac:dyDescent="0.25">
      <c r="B61" s="18">
        <v>11</v>
      </c>
      <c r="C61" s="129"/>
      <c r="D61" s="129"/>
      <c r="E61" s="130" t="s">
        <v>262</v>
      </c>
      <c r="F61" s="129">
        <f t="shared" si="0"/>
        <v>75</v>
      </c>
      <c r="G61" s="129">
        <f t="shared" si="1"/>
        <v>46.091999999999999</v>
      </c>
      <c r="H61" s="129">
        <f>(revenue/10^6 - COMd/10^6 - FCIL/10^6*0)*(1 - taxRate) + FCIL/10^6*0</f>
        <v>16.766640000000002</v>
      </c>
      <c r="I61" s="131">
        <f>$H$61</f>
        <v>16.766640000000002</v>
      </c>
      <c r="J61" s="131">
        <f>$I$61/((iRate + 1)^11)</f>
        <v>5.8766049472324591</v>
      </c>
      <c r="K61" s="131">
        <f>$J$61+$K$60</f>
        <v>68.342582666561682</v>
      </c>
      <c r="L61" s="131">
        <f>$I$61+$L$60</f>
        <v>138.84976</v>
      </c>
    </row>
    <row r="62" spans="2:12" ht="12.75" customHeight="1" x14ac:dyDescent="0.25">
      <c r="B62" s="18">
        <v>12</v>
      </c>
      <c r="C62" s="129"/>
      <c r="D62" s="129"/>
      <c r="E62" s="130" t="s">
        <v>262</v>
      </c>
      <c r="F62" s="129">
        <f t="shared" si="0"/>
        <v>75</v>
      </c>
      <c r="G62" s="129">
        <f t="shared" si="1"/>
        <v>46.091999999999999</v>
      </c>
      <c r="H62" s="129">
        <f>(revenue/10^6+salvageValue/10^6 - COMd/10^6 - FCIL/10^6*0)*(1 - taxRate) + FCIL/10^6*0</f>
        <v>16.766640000000002</v>
      </c>
      <c r="I62" s="131">
        <f>$H$62</f>
        <v>16.766640000000002</v>
      </c>
      <c r="J62" s="131">
        <f>$I$62/((iRate + 1)^12)</f>
        <v>5.3423681266106451</v>
      </c>
      <c r="K62" s="131">
        <f>$J$62+$K$61</f>
        <v>73.684950793172334</v>
      </c>
      <c r="L62" s="131">
        <f>$I$62+$L$61</f>
        <v>155.6164</v>
      </c>
    </row>
    <row r="63" spans="2:12" ht="12.75" customHeight="1" x14ac:dyDescent="0.25">
      <c r="B63" s="18">
        <v>12</v>
      </c>
      <c r="C63" s="129"/>
      <c r="D63" s="129"/>
      <c r="E63" s="130"/>
      <c r="F63" s="129"/>
      <c r="G63" s="129"/>
      <c r="H63" s="129"/>
      <c r="I63" s="131">
        <f>workingCapital/10^6 + costLand/10^6</f>
        <v>6.25</v>
      </c>
      <c r="J63" s="131">
        <f>$I$63/((iRate + 1)^12)</f>
        <v>1.9914425783172138</v>
      </c>
      <c r="K63" s="131">
        <f>$J$63+$K$62</f>
        <v>75.676393371489553</v>
      </c>
      <c r="L63" s="131">
        <f>$I$63+$L$62</f>
        <v>161.8664</v>
      </c>
    </row>
    <row r="64" spans="2:12" ht="12.75" customHeight="1" x14ac:dyDescent="0.25">
      <c r="B64" s="18"/>
      <c r="C64" s="18"/>
      <c r="D64" s="129"/>
      <c r="E64" s="130"/>
      <c r="F64" s="129"/>
      <c r="G64" s="129"/>
      <c r="H64" s="129"/>
      <c r="I64" s="131"/>
      <c r="J64" s="131"/>
      <c r="K64" s="131"/>
      <c r="L64" s="131"/>
    </row>
    <row r="65" spans="2:21" ht="12.75" customHeight="1" x14ac:dyDescent="0.25">
      <c r="B65" s="18"/>
      <c r="C65" s="18"/>
      <c r="D65" s="129"/>
      <c r="E65" s="130"/>
      <c r="F65" s="129"/>
      <c r="G65" s="129"/>
      <c r="H65" s="129"/>
      <c r="I65" s="131"/>
      <c r="J65" s="131"/>
      <c r="K65" s="131"/>
      <c r="L65" s="131"/>
    </row>
    <row r="66" spans="2:21" ht="12.75" customHeight="1" x14ac:dyDescent="0.25">
      <c r="B66" s="18"/>
      <c r="C66" s="18"/>
      <c r="D66" s="129"/>
      <c r="E66" s="129"/>
      <c r="F66" s="129"/>
      <c r="G66" s="129"/>
      <c r="H66" s="129"/>
      <c r="I66" s="131"/>
      <c r="J66" s="131"/>
      <c r="K66" s="131"/>
      <c r="L66" s="131"/>
    </row>
    <row r="67" spans="2:21" x14ac:dyDescent="0.25">
      <c r="B67" s="1"/>
      <c r="C67" s="1"/>
      <c r="D67" s="129"/>
      <c r="E67" s="129"/>
      <c r="F67" s="129"/>
      <c r="G67" s="129"/>
      <c r="H67" s="129"/>
      <c r="J67" s="131"/>
      <c r="O67" s="128"/>
      <c r="P67" s="128"/>
      <c r="Q67" s="128"/>
      <c r="R67" s="128"/>
      <c r="S67" s="128"/>
      <c r="T67" s="128"/>
      <c r="U67" s="128"/>
    </row>
    <row r="68" spans="2:21" x14ac:dyDescent="0.25">
      <c r="B68" s="1"/>
      <c r="C68" s="1"/>
      <c r="D68" s="129"/>
      <c r="E68" s="129"/>
      <c r="F68" s="129"/>
      <c r="G68" s="129"/>
      <c r="H68" s="129"/>
      <c r="J68" s="131"/>
      <c r="O68" s="128"/>
      <c r="P68" s="128"/>
      <c r="Q68" s="128"/>
      <c r="R68" s="128"/>
      <c r="S68" s="128"/>
      <c r="T68" s="128"/>
      <c r="U68" s="128"/>
    </row>
    <row r="69" spans="2:21" x14ac:dyDescent="0.25">
      <c r="B69" s="1"/>
      <c r="C69" s="1"/>
      <c r="D69" s="129"/>
      <c r="E69" s="129"/>
      <c r="F69" s="129"/>
      <c r="G69" s="129"/>
      <c r="H69" s="129"/>
      <c r="J69" s="131"/>
      <c r="O69" s="128"/>
      <c r="P69" s="128"/>
      <c r="Q69" s="128"/>
      <c r="R69" s="128"/>
      <c r="S69" s="128"/>
      <c r="T69" s="128"/>
      <c r="U69" s="128"/>
    </row>
    <row r="70" spans="2:21" x14ac:dyDescent="0.25">
      <c r="D70" s="129"/>
      <c r="E70" s="129"/>
      <c r="F70" s="129"/>
      <c r="G70" s="129"/>
      <c r="H70" s="129"/>
      <c r="J70" s="131"/>
      <c r="O70" s="128"/>
      <c r="P70" s="128"/>
      <c r="Q70" s="128"/>
      <c r="R70" s="128"/>
      <c r="S70" s="128"/>
      <c r="T70" s="128"/>
      <c r="U70" s="128"/>
    </row>
    <row r="71" spans="2:21" ht="12.75" customHeight="1" x14ac:dyDescent="0.25">
      <c r="D71" s="129"/>
      <c r="E71" s="129"/>
      <c r="F71" s="129"/>
      <c r="G71" s="129"/>
      <c r="H71" s="129"/>
      <c r="J71" s="131"/>
      <c r="O71" s="128"/>
      <c r="P71" s="128"/>
      <c r="Q71" s="128"/>
      <c r="R71" s="128"/>
      <c r="S71" s="128"/>
      <c r="T71" s="128"/>
      <c r="U71" s="128"/>
    </row>
    <row r="72" spans="2:21" x14ac:dyDescent="0.25">
      <c r="D72" s="129"/>
      <c r="E72" s="129"/>
      <c r="F72" s="129"/>
      <c r="G72" s="129"/>
      <c r="H72" s="129"/>
      <c r="J72" s="131"/>
      <c r="O72" s="128"/>
      <c r="P72" s="128"/>
      <c r="Q72" s="128"/>
      <c r="R72" s="128"/>
      <c r="S72" s="128"/>
      <c r="T72" s="128"/>
      <c r="U72" s="128"/>
    </row>
    <row r="73" spans="2:21" x14ac:dyDescent="0.25">
      <c r="D73" s="129"/>
      <c r="E73" s="129"/>
      <c r="F73" s="129"/>
      <c r="G73" s="129"/>
      <c r="H73" s="129"/>
      <c r="J73" s="131"/>
      <c r="O73" s="128"/>
      <c r="P73" s="128"/>
      <c r="Q73" s="128"/>
      <c r="R73" s="128"/>
      <c r="S73" s="128"/>
      <c r="T73" s="128"/>
      <c r="U73" s="128"/>
    </row>
    <row r="74" spans="2:21" x14ac:dyDescent="0.25">
      <c r="D74" s="129"/>
      <c r="E74" s="129"/>
      <c r="F74" s="129"/>
      <c r="G74" s="129"/>
      <c r="H74" s="129"/>
      <c r="J74" s="131"/>
      <c r="M74" s="128"/>
      <c r="N74" s="128"/>
      <c r="O74" s="128"/>
      <c r="P74" s="128"/>
      <c r="Q74" s="128"/>
      <c r="R74" s="128"/>
      <c r="S74" s="128"/>
      <c r="T74" s="128"/>
      <c r="U74" s="128"/>
    </row>
    <row r="75" spans="2:21" x14ac:dyDescent="0.25">
      <c r="D75" s="129"/>
      <c r="E75" s="129"/>
      <c r="F75" s="129"/>
      <c r="G75" s="129"/>
      <c r="H75" s="129"/>
      <c r="J75" s="131"/>
      <c r="M75" s="128"/>
      <c r="N75" s="128"/>
      <c r="O75" s="128"/>
      <c r="P75" s="128"/>
      <c r="Q75" s="128"/>
      <c r="R75" s="128"/>
      <c r="S75" s="128"/>
      <c r="T75" s="128"/>
      <c r="U75" s="128"/>
    </row>
    <row r="76" spans="2:21" x14ac:dyDescent="0.25">
      <c r="J76" s="131"/>
      <c r="M76" s="128"/>
      <c r="N76" s="128"/>
      <c r="O76" s="128"/>
      <c r="P76" s="128"/>
      <c r="Q76" s="128"/>
      <c r="R76" s="128"/>
      <c r="S76" s="128"/>
      <c r="T76" s="128"/>
      <c r="U76" s="128"/>
    </row>
    <row r="77" spans="2:21" x14ac:dyDescent="0.25">
      <c r="J77" s="131"/>
    </row>
    <row r="78" spans="2:21" x14ac:dyDescent="0.25">
      <c r="B78" s="1"/>
      <c r="C78" s="1"/>
      <c r="D78" s="1"/>
      <c r="E78" s="1"/>
      <c r="F78" s="1"/>
      <c r="J78" s="131"/>
    </row>
    <row r="79" spans="2:21" x14ac:dyDescent="0.25">
      <c r="B79" s="1"/>
      <c r="C79" s="1"/>
      <c r="D79" s="1"/>
      <c r="E79" s="1"/>
      <c r="F79" s="1"/>
      <c r="J79" s="131"/>
    </row>
    <row r="80" spans="2:21" x14ac:dyDescent="0.25">
      <c r="B80" s="1"/>
      <c r="C80" s="1"/>
      <c r="D80" s="1"/>
      <c r="E80" s="1"/>
      <c r="F80" s="1"/>
      <c r="J80" s="131"/>
    </row>
    <row r="81" spans="2:10" x14ac:dyDescent="0.25">
      <c r="B81" s="1"/>
      <c r="C81" s="1"/>
      <c r="D81" s="1"/>
      <c r="E81" s="1"/>
      <c r="F81" s="1"/>
      <c r="J81" s="131"/>
    </row>
    <row r="82" spans="2:10" x14ac:dyDescent="0.25">
      <c r="J82" s="131"/>
    </row>
  </sheetData>
  <phoneticPr fontId="0" type="noConversion"/>
  <pageMargins left="0.75" right="0.75" top="1" bottom="1" header="0.5" footer="0.5"/>
  <pageSetup scale="7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autoPict="0" r:id="rId5">
            <anchor moveWithCells="1">
              <from>
                <xdr:col>1</xdr:col>
                <xdr:colOff>0</xdr:colOff>
                <xdr:row>30</xdr:row>
                <xdr:rowOff>144780</xdr:rowOff>
              </from>
              <to>
                <xdr:col>3</xdr:col>
                <xdr:colOff>7620</xdr:colOff>
                <xdr:row>33</xdr:row>
                <xdr:rowOff>91440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B4:M155"/>
  <sheetViews>
    <sheetView showGridLines="0" zoomScaleNormal="100" workbookViewId="0">
      <selection activeCell="E28" sqref="E28"/>
    </sheetView>
  </sheetViews>
  <sheetFormatPr baseColWidth="10" defaultColWidth="9.109375" defaultRowHeight="13.2" x14ac:dyDescent="0.25"/>
  <cols>
    <col min="1" max="1" width="2.6640625" customWidth="1"/>
    <col min="2" max="2" width="13.33203125" customWidth="1"/>
    <col min="3" max="3" width="11.88671875" customWidth="1"/>
    <col min="4" max="4" width="13.44140625" customWidth="1"/>
    <col min="5" max="5" width="11.44140625" customWidth="1"/>
    <col min="6" max="6" width="3.6640625" customWidth="1"/>
    <col min="7" max="7" width="15" customWidth="1"/>
    <col min="8" max="12" width="11.5546875" customWidth="1"/>
    <col min="13" max="13" width="10.109375" customWidth="1"/>
  </cols>
  <sheetData>
    <row r="4" spans="2:7" x14ac:dyDescent="0.25">
      <c r="B4" s="126" t="s">
        <v>266</v>
      </c>
    </row>
    <row r="6" spans="2:7" x14ac:dyDescent="0.25">
      <c r="D6" s="142" t="s">
        <v>267</v>
      </c>
      <c r="E6" s="142" t="s">
        <v>268</v>
      </c>
      <c r="F6" s="142"/>
      <c r="G6" s="142" t="s">
        <v>300</v>
      </c>
    </row>
    <row r="7" spans="2:7" x14ac:dyDescent="0.25">
      <c r="C7" s="84" t="s">
        <v>265</v>
      </c>
      <c r="D7" s="234">
        <v>-0.2</v>
      </c>
      <c r="E7" s="234">
        <v>0.3</v>
      </c>
      <c r="F7" s="140"/>
      <c r="G7" s="188">
        <f>FCIL</f>
        <v>10000000</v>
      </c>
    </row>
    <row r="8" spans="2:7" x14ac:dyDescent="0.25">
      <c r="C8" s="84" t="s">
        <v>263</v>
      </c>
      <c r="D8" s="234">
        <v>-0.1</v>
      </c>
      <c r="E8" s="234">
        <v>0.1</v>
      </c>
      <c r="F8" s="140"/>
      <c r="G8" s="188">
        <f>revenue</f>
        <v>75000000</v>
      </c>
    </row>
    <row r="9" spans="2:7" x14ac:dyDescent="0.25">
      <c r="C9" s="84" t="s">
        <v>253</v>
      </c>
      <c r="D9" s="234">
        <v>-0.5</v>
      </c>
      <c r="E9" s="234">
        <v>0.1</v>
      </c>
      <c r="F9" s="140"/>
      <c r="G9" s="188">
        <f>workingCapital</f>
        <v>5000000</v>
      </c>
    </row>
    <row r="10" spans="2:7" x14ac:dyDescent="0.25">
      <c r="C10" s="84" t="s">
        <v>306</v>
      </c>
      <c r="D10" s="234">
        <v>-0.2</v>
      </c>
      <c r="E10" s="234">
        <v>0.2</v>
      </c>
      <c r="F10" s="140"/>
      <c r="G10" s="140">
        <f>taxRate</f>
        <v>0.42</v>
      </c>
    </row>
    <row r="11" spans="2:7" x14ac:dyDescent="0.25">
      <c r="C11" s="84" t="s">
        <v>305</v>
      </c>
      <c r="D11" s="234">
        <v>-0.1</v>
      </c>
      <c r="E11" s="234">
        <v>0.2</v>
      </c>
      <c r="F11" s="140"/>
      <c r="G11" s="140">
        <f>iRate</f>
        <v>0.10000000149011612</v>
      </c>
    </row>
    <row r="12" spans="2:7" x14ac:dyDescent="0.25">
      <c r="C12" s="84" t="s">
        <v>264</v>
      </c>
      <c r="D12" s="234">
        <v>-0.1</v>
      </c>
      <c r="E12" s="234">
        <v>0.15</v>
      </c>
      <c r="F12" s="140"/>
      <c r="G12" s="188">
        <f>costRawMaterials</f>
        <v>25000000</v>
      </c>
    </row>
    <row r="13" spans="2:7" x14ac:dyDescent="0.25">
      <c r="C13" s="84" t="s">
        <v>172</v>
      </c>
      <c r="D13" s="234">
        <v>-0.8</v>
      </c>
      <c r="E13" s="234">
        <v>0.2</v>
      </c>
      <c r="F13" s="140"/>
      <c r="G13" s="188" t="str">
        <f>salvageValue</f>
        <v>0</v>
      </c>
    </row>
    <row r="14" spans="2:7" x14ac:dyDescent="0.25">
      <c r="C14" s="84"/>
      <c r="D14" s="140"/>
      <c r="E14" s="140"/>
      <c r="F14" s="140"/>
      <c r="G14" s="188"/>
    </row>
    <row r="15" spans="2:7" x14ac:dyDescent="0.25">
      <c r="D15" s="193"/>
      <c r="E15" s="193"/>
    </row>
    <row r="16" spans="2:7" x14ac:dyDescent="0.25">
      <c r="C16" t="s">
        <v>307</v>
      </c>
    </row>
    <row r="17" spans="2:13" x14ac:dyDescent="0.25">
      <c r="C17" t="s">
        <v>308</v>
      </c>
    </row>
    <row r="25" spans="2:13" x14ac:dyDescent="0.25">
      <c r="B25" s="26"/>
      <c r="C25" s="26"/>
      <c r="D25" s="26"/>
      <c r="E25" s="26"/>
      <c r="F25" s="26"/>
      <c r="G25" s="26"/>
      <c r="H25" s="26"/>
      <c r="I25" s="26"/>
      <c r="J25" s="197"/>
      <c r="K25" s="197"/>
      <c r="L25" s="197"/>
      <c r="M25" s="26"/>
    </row>
    <row r="26" spans="2:13" x14ac:dyDescent="0.25">
      <c r="B26" s="143"/>
      <c r="C26" s="143"/>
      <c r="D26" s="143"/>
      <c r="E26" s="143"/>
      <c r="F26" s="143"/>
      <c r="G26" s="143"/>
      <c r="I26" s="143"/>
      <c r="J26" s="143"/>
      <c r="K26" s="143"/>
      <c r="L26" s="143"/>
    </row>
    <row r="27" spans="2:13" ht="23.4" thickBot="1" x14ac:dyDescent="0.45">
      <c r="B27" s="169" t="s">
        <v>285</v>
      </c>
      <c r="H27" s="196"/>
    </row>
    <row r="28" spans="2:13" x14ac:dyDescent="0.25">
      <c r="B28" s="146"/>
      <c r="C28" s="161"/>
      <c r="D28" s="147"/>
      <c r="E28" s="147"/>
      <c r="F28" s="147"/>
      <c r="G28" s="147"/>
      <c r="H28" s="147"/>
      <c r="I28" s="147"/>
      <c r="J28" s="147"/>
      <c r="K28" s="147"/>
      <c r="L28" s="147"/>
      <c r="M28" s="148"/>
    </row>
    <row r="29" spans="2:13" x14ac:dyDescent="0.25">
      <c r="B29" s="163" t="s">
        <v>270</v>
      </c>
      <c r="C29" s="157">
        <v>-172.89739990234375</v>
      </c>
      <c r="D29" s="1"/>
      <c r="E29" s="1"/>
      <c r="F29" s="1"/>
      <c r="G29" s="1"/>
      <c r="H29" s="1"/>
      <c r="I29" s="1"/>
      <c r="J29" s="1"/>
      <c r="K29" s="1"/>
      <c r="L29" s="1"/>
      <c r="M29" s="151"/>
    </row>
    <row r="30" spans="2:13" x14ac:dyDescent="0.25">
      <c r="B30" s="163" t="s">
        <v>269</v>
      </c>
      <c r="C30" s="157">
        <v>186.39552307128906</v>
      </c>
      <c r="D30" s="1"/>
      <c r="E30" s="1"/>
      <c r="F30" s="1"/>
      <c r="G30" s="1"/>
      <c r="H30" s="1"/>
      <c r="I30" s="1"/>
      <c r="J30" s="1"/>
      <c r="K30" s="1"/>
      <c r="L30" s="1"/>
      <c r="M30" s="151"/>
    </row>
    <row r="31" spans="2:13" x14ac:dyDescent="0.25">
      <c r="B31" s="149"/>
      <c r="C31" s="1"/>
      <c r="D31" s="1"/>
      <c r="E31" s="1"/>
      <c r="F31" s="1"/>
      <c r="G31" s="1"/>
      <c r="H31" s="1"/>
      <c r="I31" s="1"/>
      <c r="J31" s="1"/>
      <c r="K31" s="1"/>
      <c r="L31" s="1"/>
      <c r="M31" s="151"/>
    </row>
    <row r="32" spans="2:13" x14ac:dyDescent="0.25">
      <c r="B32" s="164" t="s">
        <v>271</v>
      </c>
      <c r="C32" s="166" t="s">
        <v>279</v>
      </c>
      <c r="D32" s="166" t="s">
        <v>280</v>
      </c>
      <c r="E32" s="166" t="s">
        <v>278</v>
      </c>
      <c r="F32" s="166"/>
      <c r="G32" s="1"/>
      <c r="H32" s="1"/>
      <c r="I32" s="1"/>
      <c r="J32" s="1"/>
      <c r="K32" s="1"/>
      <c r="L32" s="1"/>
      <c r="M32" s="151"/>
    </row>
    <row r="33" spans="2:13" x14ac:dyDescent="0.25">
      <c r="B33" s="158">
        <v>0</v>
      </c>
      <c r="C33" s="165">
        <f>C29</f>
        <v>-172.89739990234375</v>
      </c>
      <c r="D33" s="141">
        <v>0</v>
      </c>
      <c r="E33" s="160">
        <v>0</v>
      </c>
      <c r="F33" s="160"/>
      <c r="G33" s="1"/>
      <c r="H33" s="1"/>
      <c r="I33" s="1"/>
      <c r="J33" s="1"/>
      <c r="K33" s="1"/>
      <c r="L33" s="1"/>
      <c r="M33" s="151"/>
    </row>
    <row r="34" spans="2:13" x14ac:dyDescent="0.25">
      <c r="B34" s="159">
        <v>1</v>
      </c>
      <c r="C34" s="157">
        <v>-136.96810913085938</v>
      </c>
      <c r="D34" s="141">
        <v>5</v>
      </c>
      <c r="E34" s="141">
        <f>D34</f>
        <v>5</v>
      </c>
      <c r="F34" s="141"/>
      <c r="G34" s="1"/>
      <c r="H34" s="1"/>
      <c r="I34" s="1"/>
      <c r="J34" s="1"/>
      <c r="K34" s="1"/>
      <c r="L34" s="1"/>
      <c r="M34" s="151"/>
    </row>
    <row r="35" spans="2:13" x14ac:dyDescent="0.25">
      <c r="B35" s="159">
        <f>B34+1</f>
        <v>2</v>
      </c>
      <c r="C35" s="157">
        <v>-101.038818359375</v>
      </c>
      <c r="D35" s="141">
        <v>22</v>
      </c>
      <c r="E35" s="141">
        <f t="shared" ref="E35:E43" si="0">D35+E34</f>
        <v>27</v>
      </c>
      <c r="F35" s="141"/>
      <c r="G35" s="1"/>
      <c r="H35" s="1"/>
      <c r="I35" s="1"/>
      <c r="J35" s="1"/>
      <c r="K35" s="1"/>
      <c r="L35" s="1"/>
      <c r="M35" s="151"/>
    </row>
    <row r="36" spans="2:13" x14ac:dyDescent="0.25">
      <c r="B36" s="159">
        <f t="shared" ref="B36:B43" si="1">B35+1</f>
        <v>3</v>
      </c>
      <c r="C36" s="157">
        <v>-65.109519958496094</v>
      </c>
      <c r="D36" s="141">
        <v>74</v>
      </c>
      <c r="E36" s="141">
        <f t="shared" si="0"/>
        <v>101</v>
      </c>
      <c r="F36" s="141"/>
      <c r="G36" s="1"/>
      <c r="H36" s="1"/>
      <c r="I36" s="1"/>
      <c r="J36" s="1"/>
      <c r="K36" s="1"/>
      <c r="L36" s="1"/>
      <c r="M36" s="151"/>
    </row>
    <row r="37" spans="2:13" x14ac:dyDescent="0.25">
      <c r="B37" s="159">
        <f t="shared" si="1"/>
        <v>4</v>
      </c>
      <c r="C37" s="157">
        <v>-29.180231094360352</v>
      </c>
      <c r="D37" s="141">
        <v>156</v>
      </c>
      <c r="E37" s="141">
        <f t="shared" si="0"/>
        <v>257</v>
      </c>
      <c r="F37" s="141"/>
      <c r="G37" s="1"/>
      <c r="H37" s="1"/>
      <c r="I37" s="1"/>
      <c r="J37" s="1"/>
      <c r="K37" s="1"/>
      <c r="L37" s="1"/>
      <c r="M37" s="151"/>
    </row>
    <row r="38" spans="2:13" x14ac:dyDescent="0.25">
      <c r="B38" s="159">
        <f t="shared" si="1"/>
        <v>5</v>
      </c>
      <c r="C38" s="157">
        <v>6.7490615844726563</v>
      </c>
      <c r="D38" s="141">
        <v>232</v>
      </c>
      <c r="E38" s="141">
        <f t="shared" si="0"/>
        <v>489</v>
      </c>
      <c r="F38" s="141"/>
      <c r="G38" s="1"/>
      <c r="H38" s="1"/>
      <c r="I38" s="1"/>
      <c r="J38" s="1"/>
      <c r="K38" s="1"/>
      <c r="L38" s="1"/>
      <c r="M38" s="151"/>
    </row>
    <row r="39" spans="2:13" x14ac:dyDescent="0.25">
      <c r="B39" s="159">
        <f t="shared" si="1"/>
        <v>6</v>
      </c>
      <c r="C39" s="157">
        <v>42.678352355957031</v>
      </c>
      <c r="D39" s="141">
        <v>235</v>
      </c>
      <c r="E39" s="141">
        <f t="shared" si="0"/>
        <v>724</v>
      </c>
      <c r="F39" s="141"/>
      <c r="G39" s="1"/>
      <c r="H39" s="1"/>
      <c r="I39" s="1"/>
      <c r="J39" s="1"/>
      <c r="K39" s="1"/>
      <c r="L39" s="1"/>
      <c r="M39" s="151"/>
    </row>
    <row r="40" spans="2:13" x14ac:dyDescent="0.25">
      <c r="B40" s="159">
        <f t="shared" si="1"/>
        <v>7</v>
      </c>
      <c r="C40" s="157">
        <v>78.607643127441406</v>
      </c>
      <c r="D40" s="141">
        <v>156</v>
      </c>
      <c r="E40" s="141">
        <f t="shared" si="0"/>
        <v>880</v>
      </c>
      <c r="F40" s="141"/>
      <c r="G40" s="1"/>
      <c r="H40" s="1"/>
      <c r="I40" s="1"/>
      <c r="J40" s="1"/>
      <c r="K40" s="1"/>
      <c r="L40" s="1"/>
      <c r="M40" s="151"/>
    </row>
    <row r="41" spans="2:13" x14ac:dyDescent="0.25">
      <c r="B41" s="159">
        <f t="shared" si="1"/>
        <v>8</v>
      </c>
      <c r="C41" s="157">
        <v>114.53694152832031</v>
      </c>
      <c r="D41" s="141">
        <v>99</v>
      </c>
      <c r="E41" s="141">
        <f t="shared" si="0"/>
        <v>979</v>
      </c>
      <c r="F41" s="141"/>
      <c r="G41" s="1"/>
      <c r="H41" s="1"/>
      <c r="I41" s="1"/>
      <c r="J41" s="1"/>
      <c r="K41" s="1"/>
      <c r="L41" s="1"/>
      <c r="M41" s="151"/>
    </row>
    <row r="42" spans="2:13" x14ac:dyDescent="0.25">
      <c r="B42" s="159">
        <f t="shared" si="1"/>
        <v>9</v>
      </c>
      <c r="C42" s="157">
        <v>150.46623229980469</v>
      </c>
      <c r="D42" s="141">
        <v>19</v>
      </c>
      <c r="E42" s="141">
        <f t="shared" si="0"/>
        <v>998</v>
      </c>
      <c r="F42" s="141"/>
      <c r="G42" s="1"/>
      <c r="H42" s="1"/>
      <c r="I42" s="1"/>
      <c r="J42" s="1"/>
      <c r="K42" s="1"/>
      <c r="L42" s="1"/>
      <c r="M42" s="151"/>
    </row>
    <row r="43" spans="2:13" x14ac:dyDescent="0.25">
      <c r="B43" s="159">
        <f t="shared" si="1"/>
        <v>10</v>
      </c>
      <c r="C43" s="157">
        <v>186.39552307128906</v>
      </c>
      <c r="D43" s="141">
        <v>2</v>
      </c>
      <c r="E43" s="141">
        <f t="shared" si="0"/>
        <v>1000</v>
      </c>
      <c r="F43" s="141"/>
      <c r="G43" s="1"/>
      <c r="H43" s="1"/>
      <c r="I43" s="1"/>
      <c r="J43" s="1"/>
      <c r="K43" s="1"/>
      <c r="L43" s="1"/>
      <c r="M43" s="151"/>
    </row>
    <row r="44" spans="2:13" x14ac:dyDescent="0.25">
      <c r="B44" s="149"/>
      <c r="C44" s="1"/>
      <c r="D44" s="1"/>
      <c r="E44" s="1"/>
      <c r="F44" s="1"/>
      <c r="G44" s="1"/>
      <c r="H44" s="1"/>
      <c r="I44" s="1"/>
      <c r="J44" s="1"/>
      <c r="K44" s="1"/>
      <c r="L44" s="1"/>
      <c r="M44" s="151"/>
    </row>
    <row r="45" spans="2:13" ht="13.8" thickBot="1" x14ac:dyDescent="0.3">
      <c r="B45" s="152"/>
      <c r="C45" s="2"/>
      <c r="D45" s="2"/>
      <c r="E45" s="2"/>
      <c r="F45" s="2"/>
      <c r="G45" s="2"/>
      <c r="H45" s="2"/>
      <c r="I45" s="2"/>
      <c r="J45" s="2"/>
      <c r="K45" s="2"/>
      <c r="L45" s="2"/>
      <c r="M45" s="162"/>
    </row>
    <row r="46" spans="2:13" x14ac:dyDescent="0.25">
      <c r="F46" s="1"/>
    </row>
    <row r="47" spans="2:13" x14ac:dyDescent="0.25">
      <c r="F47" s="1"/>
    </row>
    <row r="49" spans="2:13" ht="23.4" thickBot="1" x14ac:dyDescent="0.45">
      <c r="B49" s="169" t="s">
        <v>289</v>
      </c>
      <c r="C49" s="144"/>
    </row>
    <row r="50" spans="2:13" x14ac:dyDescent="0.25">
      <c r="B50" s="170"/>
      <c r="C50" s="161"/>
      <c r="D50" s="147"/>
      <c r="E50" s="147"/>
      <c r="F50" s="147"/>
      <c r="G50" s="147"/>
      <c r="H50" s="147"/>
      <c r="I50" s="147"/>
      <c r="J50" s="147"/>
      <c r="K50" s="147"/>
      <c r="L50" s="147"/>
      <c r="M50" s="148"/>
    </row>
    <row r="51" spans="2:13" x14ac:dyDescent="0.25">
      <c r="B51" s="167"/>
      <c r="C51" s="144"/>
      <c r="D51" s="1"/>
      <c r="E51" s="1"/>
      <c r="F51" s="1"/>
      <c r="G51" s="1"/>
      <c r="H51" s="1"/>
      <c r="I51" s="1"/>
      <c r="J51" s="1"/>
      <c r="K51" s="1"/>
      <c r="L51" s="1"/>
      <c r="M51" s="151"/>
    </row>
    <row r="52" spans="2:13" x14ac:dyDescent="0.25">
      <c r="B52" s="163" t="s">
        <v>290</v>
      </c>
      <c r="C52" s="48">
        <v>9.021759033203125E-4</v>
      </c>
      <c r="E52" s="187"/>
      <c r="F52" s="187"/>
      <c r="G52" s="1"/>
      <c r="H52" s="1"/>
      <c r="I52" s="1"/>
      <c r="J52" s="1"/>
      <c r="K52" s="1"/>
      <c r="L52" s="1"/>
      <c r="M52" s="151"/>
    </row>
    <row r="53" spans="2:13" x14ac:dyDescent="0.25">
      <c r="B53" s="163" t="s">
        <v>291</v>
      </c>
      <c r="C53" s="48">
        <v>0.26523780822753906</v>
      </c>
      <c r="D53" s="1"/>
      <c r="E53" s="1"/>
      <c r="F53" s="1"/>
      <c r="G53" s="1"/>
      <c r="H53" s="1"/>
      <c r="I53" s="1"/>
      <c r="J53" s="1"/>
      <c r="K53" s="1"/>
      <c r="L53" s="1"/>
      <c r="M53" s="151"/>
    </row>
    <row r="54" spans="2:13" x14ac:dyDescent="0.25">
      <c r="B54" s="149"/>
      <c r="C54" s="1"/>
      <c r="D54" s="1"/>
      <c r="E54" s="1"/>
      <c r="F54" s="1"/>
      <c r="G54" s="1"/>
      <c r="H54" s="1"/>
      <c r="I54" s="1"/>
      <c r="J54" s="1"/>
      <c r="K54" s="1"/>
      <c r="L54" s="1"/>
      <c r="M54" s="151"/>
    </row>
    <row r="55" spans="2:13" x14ac:dyDescent="0.25">
      <c r="B55" s="164" t="s">
        <v>271</v>
      </c>
      <c r="C55" s="166" t="s">
        <v>273</v>
      </c>
      <c r="D55" s="166" t="s">
        <v>272</v>
      </c>
      <c r="E55" s="166" t="s">
        <v>278</v>
      </c>
      <c r="F55" s="1"/>
      <c r="G55" s="1"/>
      <c r="H55" s="1"/>
      <c r="I55" s="1"/>
      <c r="J55" s="1"/>
      <c r="K55" s="1"/>
      <c r="L55" s="1"/>
      <c r="M55" s="151"/>
    </row>
    <row r="56" spans="2:13" x14ac:dyDescent="0.25">
      <c r="B56" s="158">
        <v>0</v>
      </c>
      <c r="C56" s="182">
        <f>C52</f>
        <v>9.021759033203125E-4</v>
      </c>
      <c r="D56" s="141">
        <v>0</v>
      </c>
      <c r="E56" s="160">
        <v>0</v>
      </c>
      <c r="F56" s="160"/>
      <c r="G56" s="1"/>
      <c r="H56" s="1"/>
      <c r="I56" s="1"/>
      <c r="J56" s="1"/>
      <c r="K56" s="1"/>
      <c r="L56" s="1"/>
      <c r="M56" s="151"/>
    </row>
    <row r="57" spans="2:13" x14ac:dyDescent="0.25">
      <c r="B57" s="183">
        <v>1</v>
      </c>
      <c r="C57" s="184">
        <v>2.7335738763213158E-2</v>
      </c>
      <c r="D57" s="37">
        <v>63</v>
      </c>
      <c r="E57" s="37">
        <f>D57</f>
        <v>63</v>
      </c>
      <c r="F57" s="141"/>
      <c r="G57" s="1"/>
      <c r="H57" s="1"/>
      <c r="I57" s="1"/>
      <c r="J57" s="1"/>
      <c r="K57" s="1"/>
      <c r="L57" s="1"/>
      <c r="M57" s="151"/>
    </row>
    <row r="58" spans="2:13" x14ac:dyDescent="0.25">
      <c r="B58" s="159">
        <f>B57+1</f>
        <v>2</v>
      </c>
      <c r="C58" s="182">
        <v>5.3769301623106003E-2</v>
      </c>
      <c r="D58" s="141">
        <v>68</v>
      </c>
      <c r="E58" s="141">
        <f t="shared" ref="E58:E66" si="2">D58+E57</f>
        <v>131</v>
      </c>
      <c r="F58" s="141"/>
      <c r="G58" s="1"/>
      <c r="H58" s="1"/>
      <c r="I58" s="1"/>
      <c r="J58" s="1"/>
      <c r="K58" s="1"/>
      <c r="L58" s="1"/>
      <c r="M58" s="151"/>
    </row>
    <row r="59" spans="2:13" x14ac:dyDescent="0.25">
      <c r="B59" s="159">
        <f t="shared" ref="B59:B66" si="3">B58+1</f>
        <v>3</v>
      </c>
      <c r="C59" s="182">
        <v>8.0202862620353699E-2</v>
      </c>
      <c r="D59" s="141">
        <v>126</v>
      </c>
      <c r="E59" s="141">
        <f t="shared" si="2"/>
        <v>257</v>
      </c>
      <c r="F59" s="141"/>
      <c r="G59" s="1"/>
      <c r="H59" s="1"/>
      <c r="I59" s="1"/>
      <c r="J59" s="1"/>
      <c r="K59" s="1"/>
      <c r="L59" s="1"/>
      <c r="M59" s="151"/>
    </row>
    <row r="60" spans="2:13" x14ac:dyDescent="0.25">
      <c r="B60" s="159">
        <f t="shared" si="3"/>
        <v>4</v>
      </c>
      <c r="C60" s="182">
        <v>0.10663642734289169</v>
      </c>
      <c r="D60" s="141">
        <v>140</v>
      </c>
      <c r="E60" s="141">
        <f t="shared" si="2"/>
        <v>397</v>
      </c>
      <c r="F60" s="141"/>
      <c r="G60" s="1"/>
      <c r="H60" s="1"/>
      <c r="I60" s="1"/>
      <c r="J60" s="1"/>
      <c r="K60" s="1"/>
      <c r="L60" s="1"/>
      <c r="M60" s="151"/>
    </row>
    <row r="61" spans="2:13" x14ac:dyDescent="0.25">
      <c r="B61" s="159">
        <f t="shared" si="3"/>
        <v>5</v>
      </c>
      <c r="C61" s="182">
        <v>0.13306999206542969</v>
      </c>
      <c r="D61" s="141">
        <v>169</v>
      </c>
      <c r="E61" s="141">
        <f t="shared" si="2"/>
        <v>566</v>
      </c>
      <c r="F61" s="141"/>
      <c r="G61" s="1"/>
      <c r="H61" s="1"/>
      <c r="I61" s="1"/>
      <c r="J61" s="1"/>
      <c r="K61" s="1"/>
      <c r="L61" s="1"/>
      <c r="M61" s="151"/>
    </row>
    <row r="62" spans="2:13" x14ac:dyDescent="0.25">
      <c r="B62" s="159">
        <f t="shared" si="3"/>
        <v>6</v>
      </c>
      <c r="C62" s="182">
        <v>0.15950354933738708</v>
      </c>
      <c r="D62" s="141">
        <v>159</v>
      </c>
      <c r="E62" s="141">
        <f t="shared" si="2"/>
        <v>725</v>
      </c>
      <c r="F62" s="141"/>
      <c r="G62" s="1"/>
      <c r="H62" s="1"/>
      <c r="I62" s="1"/>
      <c r="J62" s="1"/>
      <c r="K62" s="1"/>
      <c r="L62" s="1"/>
      <c r="M62" s="151"/>
    </row>
    <row r="63" spans="2:13" x14ac:dyDescent="0.25">
      <c r="B63" s="159">
        <f t="shared" si="3"/>
        <v>7</v>
      </c>
      <c r="C63" s="182">
        <v>0.18593712151050568</v>
      </c>
      <c r="D63" s="141">
        <v>108</v>
      </c>
      <c r="E63" s="141">
        <f t="shared" si="2"/>
        <v>833</v>
      </c>
      <c r="F63" s="141"/>
      <c r="G63" s="1"/>
      <c r="H63" s="1"/>
      <c r="I63" s="1"/>
      <c r="J63" s="1"/>
      <c r="K63" s="1"/>
      <c r="L63" s="1"/>
      <c r="M63" s="151"/>
    </row>
    <row r="64" spans="2:13" x14ac:dyDescent="0.25">
      <c r="B64" s="159">
        <f t="shared" si="3"/>
        <v>8</v>
      </c>
      <c r="C64" s="182">
        <v>0.21237067878246307</v>
      </c>
      <c r="D64" s="141">
        <v>68</v>
      </c>
      <c r="E64" s="141">
        <f t="shared" si="2"/>
        <v>901</v>
      </c>
      <c r="F64" s="141"/>
      <c r="G64" s="1"/>
      <c r="H64" s="1"/>
      <c r="I64" s="1"/>
      <c r="J64" s="1"/>
      <c r="K64" s="1"/>
      <c r="L64" s="1"/>
      <c r="M64" s="151"/>
    </row>
    <row r="65" spans="2:13" x14ac:dyDescent="0.25">
      <c r="B65" s="159">
        <f t="shared" si="3"/>
        <v>9</v>
      </c>
      <c r="C65" s="182">
        <v>0.23880425095558167</v>
      </c>
      <c r="D65" s="141">
        <v>29</v>
      </c>
      <c r="E65" s="141">
        <f t="shared" si="2"/>
        <v>930</v>
      </c>
      <c r="F65" s="141"/>
      <c r="G65" s="1"/>
      <c r="H65" s="1"/>
      <c r="I65" s="1"/>
      <c r="J65" s="1"/>
      <c r="K65" s="1"/>
      <c r="L65" s="1"/>
      <c r="M65" s="151"/>
    </row>
    <row r="66" spans="2:13" x14ac:dyDescent="0.25">
      <c r="B66" s="159">
        <f t="shared" si="3"/>
        <v>10</v>
      </c>
      <c r="C66" s="182">
        <v>0.26523780822753906</v>
      </c>
      <c r="D66" s="141">
        <v>3</v>
      </c>
      <c r="E66" s="141">
        <f t="shared" si="2"/>
        <v>933</v>
      </c>
      <c r="F66" s="141"/>
      <c r="G66" s="1"/>
      <c r="H66" s="1"/>
      <c r="I66" s="1"/>
      <c r="J66" s="1"/>
      <c r="K66" s="1"/>
      <c r="L66" s="1"/>
      <c r="M66" s="151"/>
    </row>
    <row r="67" spans="2:13" ht="13.8" thickBot="1" x14ac:dyDescent="0.3">
      <c r="B67" s="152"/>
      <c r="C67" s="2"/>
      <c r="D67" s="2"/>
      <c r="E67" s="2"/>
      <c r="F67" s="2"/>
      <c r="G67" s="2"/>
      <c r="H67" s="2"/>
      <c r="I67" s="2"/>
      <c r="J67" s="2"/>
      <c r="K67" s="2"/>
      <c r="L67" s="2"/>
      <c r="M67" s="162"/>
    </row>
    <row r="68" spans="2:13" x14ac:dyDescent="0.25">
      <c r="F68" s="1"/>
    </row>
    <row r="69" spans="2:13" x14ac:dyDescent="0.25">
      <c r="F69" s="1"/>
    </row>
    <row r="71" spans="2:13" ht="23.4" thickBot="1" x14ac:dyDescent="0.45">
      <c r="B71" s="169" t="s">
        <v>287</v>
      </c>
      <c r="C71" s="144"/>
    </row>
    <row r="72" spans="2:13" x14ac:dyDescent="0.25">
      <c r="B72" s="170"/>
      <c r="C72" s="161"/>
      <c r="D72" s="147"/>
      <c r="E72" s="147"/>
      <c r="F72" s="147"/>
      <c r="G72" s="147"/>
      <c r="H72" s="147"/>
      <c r="I72" s="147"/>
      <c r="J72" s="147"/>
      <c r="K72" s="147"/>
      <c r="L72" s="147"/>
      <c r="M72" s="148"/>
    </row>
    <row r="73" spans="2:13" x14ac:dyDescent="0.25">
      <c r="B73" s="167"/>
      <c r="C73" s="144"/>
      <c r="D73" s="1"/>
      <c r="E73" s="1"/>
      <c r="F73" s="1"/>
      <c r="G73" s="1"/>
      <c r="H73" s="1"/>
      <c r="I73" s="1"/>
      <c r="J73" s="1"/>
      <c r="K73" s="1"/>
      <c r="L73" s="1"/>
      <c r="M73" s="151"/>
    </row>
    <row r="74" spans="2:13" x14ac:dyDescent="0.25">
      <c r="B74" s="163" t="s">
        <v>276</v>
      </c>
      <c r="C74" s="36">
        <v>2.8007829189300537</v>
      </c>
      <c r="D74" s="1"/>
      <c r="E74" s="1"/>
      <c r="F74" s="1"/>
      <c r="G74" s="1"/>
      <c r="H74" s="1"/>
      <c r="I74" s="1"/>
      <c r="J74" s="1"/>
      <c r="K74" s="1"/>
      <c r="L74" s="1"/>
      <c r="M74" s="151"/>
    </row>
    <row r="75" spans="2:13" x14ac:dyDescent="0.25">
      <c r="B75" s="163" t="s">
        <v>277</v>
      </c>
      <c r="C75" s="36">
        <v>30.674690246582031</v>
      </c>
      <c r="D75" s="1"/>
      <c r="E75" s="1"/>
      <c r="F75" s="1"/>
      <c r="G75" s="1"/>
      <c r="H75" s="1"/>
      <c r="I75" s="1"/>
      <c r="J75" s="1"/>
      <c r="K75" s="1"/>
      <c r="L75" s="1"/>
      <c r="M75" s="151"/>
    </row>
    <row r="76" spans="2:13" x14ac:dyDescent="0.25">
      <c r="B76" s="149"/>
      <c r="C76" s="1"/>
      <c r="D76" s="1"/>
      <c r="E76" s="1"/>
      <c r="F76" s="1"/>
      <c r="G76" s="1"/>
      <c r="H76" s="1"/>
      <c r="I76" s="1"/>
      <c r="J76" s="1"/>
      <c r="K76" s="1"/>
      <c r="L76" s="1"/>
      <c r="M76" s="151"/>
    </row>
    <row r="77" spans="2:13" x14ac:dyDescent="0.25">
      <c r="B77" s="164" t="s">
        <v>271</v>
      </c>
      <c r="C77" s="166" t="s">
        <v>273</v>
      </c>
      <c r="D77" s="166" t="s">
        <v>272</v>
      </c>
      <c r="E77" s="166" t="s">
        <v>278</v>
      </c>
      <c r="F77" s="1"/>
      <c r="G77" s="1"/>
      <c r="H77" s="1"/>
      <c r="I77" s="1"/>
      <c r="J77" s="1"/>
      <c r="K77" s="1"/>
      <c r="L77" s="1"/>
      <c r="M77" s="151"/>
    </row>
    <row r="78" spans="2:13" x14ac:dyDescent="0.25">
      <c r="B78" s="158">
        <v>0</v>
      </c>
      <c r="C78" s="155">
        <f>C74</f>
        <v>2.8007829189300537</v>
      </c>
      <c r="D78" s="141">
        <v>0</v>
      </c>
      <c r="E78" s="160">
        <v>0</v>
      </c>
      <c r="F78" s="160"/>
      <c r="G78" s="1"/>
      <c r="H78" s="1"/>
      <c r="I78" s="1"/>
      <c r="J78" s="1"/>
      <c r="K78" s="1"/>
      <c r="L78" s="1"/>
      <c r="M78" s="151"/>
    </row>
    <row r="79" spans="2:13" x14ac:dyDescent="0.25">
      <c r="B79" s="159">
        <v>1</v>
      </c>
      <c r="C79" s="156">
        <v>5.5881738662719727</v>
      </c>
      <c r="D79" s="141">
        <v>263</v>
      </c>
      <c r="E79" s="141">
        <f>D79</f>
        <v>263</v>
      </c>
      <c r="F79" s="141"/>
      <c r="G79" s="1"/>
      <c r="H79" s="1"/>
      <c r="I79" s="1"/>
      <c r="J79" s="1"/>
      <c r="K79" s="1"/>
      <c r="L79" s="1"/>
      <c r="M79" s="151"/>
    </row>
    <row r="80" spans="2:13" x14ac:dyDescent="0.25">
      <c r="B80" s="159">
        <f>B79+1</f>
        <v>2</v>
      </c>
      <c r="C80" s="156">
        <v>8.3755645751953125</v>
      </c>
      <c r="D80" s="141">
        <v>321</v>
      </c>
      <c r="E80" s="141">
        <f t="shared" ref="E80:E88" si="4">D80+E79</f>
        <v>584</v>
      </c>
      <c r="F80" s="141"/>
      <c r="G80" s="1"/>
      <c r="H80" s="1"/>
      <c r="I80" s="1"/>
      <c r="J80" s="1"/>
      <c r="K80" s="1"/>
      <c r="L80" s="1"/>
      <c r="M80" s="151"/>
    </row>
    <row r="81" spans="2:13" x14ac:dyDescent="0.25">
      <c r="B81" s="159">
        <f t="shared" ref="B81:B88" si="5">B80+1</f>
        <v>3</v>
      </c>
      <c r="C81" s="156">
        <v>11.162955284118652</v>
      </c>
      <c r="D81" s="141">
        <v>163</v>
      </c>
      <c r="E81" s="141">
        <f t="shared" si="4"/>
        <v>747</v>
      </c>
      <c r="F81" s="141"/>
      <c r="G81" s="1"/>
      <c r="H81" s="1"/>
      <c r="I81" s="1"/>
      <c r="J81" s="1"/>
      <c r="K81" s="1"/>
      <c r="L81" s="1"/>
      <c r="M81" s="151"/>
    </row>
    <row r="82" spans="2:13" x14ac:dyDescent="0.25">
      <c r="B82" s="159">
        <f t="shared" si="5"/>
        <v>4</v>
      </c>
      <c r="C82" s="156">
        <v>13.950345993041992</v>
      </c>
      <c r="D82" s="141">
        <v>82</v>
      </c>
      <c r="E82" s="141">
        <f t="shared" si="4"/>
        <v>829</v>
      </c>
      <c r="F82" s="141"/>
      <c r="G82" s="1"/>
      <c r="H82" s="1"/>
      <c r="I82" s="1"/>
      <c r="J82" s="1"/>
      <c r="K82" s="1"/>
      <c r="L82" s="1"/>
      <c r="M82" s="151"/>
    </row>
    <row r="83" spans="2:13" x14ac:dyDescent="0.25">
      <c r="B83" s="159">
        <f t="shared" si="5"/>
        <v>5</v>
      </c>
      <c r="C83" s="156">
        <v>16.737735748291016</v>
      </c>
      <c r="D83" s="141">
        <v>56</v>
      </c>
      <c r="E83" s="141">
        <f t="shared" si="4"/>
        <v>885</v>
      </c>
      <c r="F83" s="141"/>
      <c r="G83" s="1"/>
      <c r="H83" s="1"/>
      <c r="I83" s="1"/>
      <c r="J83" s="1"/>
      <c r="K83" s="1"/>
      <c r="L83" s="1"/>
      <c r="M83" s="151"/>
    </row>
    <row r="84" spans="2:13" x14ac:dyDescent="0.25">
      <c r="B84" s="159">
        <f t="shared" si="5"/>
        <v>6</v>
      </c>
      <c r="C84" s="156">
        <v>19.525127410888672</v>
      </c>
      <c r="D84" s="141">
        <v>35</v>
      </c>
      <c r="E84" s="141">
        <f t="shared" si="4"/>
        <v>920</v>
      </c>
      <c r="F84" s="141"/>
      <c r="G84" s="1"/>
      <c r="H84" s="1"/>
      <c r="I84" s="1"/>
      <c r="J84" s="1"/>
      <c r="K84" s="1"/>
      <c r="L84" s="1"/>
      <c r="M84" s="151"/>
    </row>
    <row r="85" spans="2:13" x14ac:dyDescent="0.25">
      <c r="B85" s="159">
        <f t="shared" si="5"/>
        <v>7</v>
      </c>
      <c r="C85" s="156">
        <v>22.312517166137695</v>
      </c>
      <c r="D85" s="141">
        <v>24</v>
      </c>
      <c r="E85" s="141">
        <f t="shared" si="4"/>
        <v>944</v>
      </c>
      <c r="F85" s="141"/>
      <c r="G85" s="1"/>
      <c r="H85" s="1"/>
      <c r="I85" s="1"/>
      <c r="J85" s="1"/>
      <c r="K85" s="1"/>
      <c r="L85" s="1"/>
      <c r="M85" s="151"/>
    </row>
    <row r="86" spans="2:13" x14ac:dyDescent="0.25">
      <c r="B86" s="159">
        <f t="shared" si="5"/>
        <v>8</v>
      </c>
      <c r="C86" s="156">
        <v>25.099908828735352</v>
      </c>
      <c r="D86" s="141">
        <v>0</v>
      </c>
      <c r="E86" s="141">
        <f t="shared" si="4"/>
        <v>944</v>
      </c>
      <c r="F86" s="141"/>
      <c r="G86" s="1"/>
      <c r="H86" s="1"/>
      <c r="I86" s="1"/>
      <c r="J86" s="1"/>
      <c r="K86" s="1"/>
      <c r="L86" s="1"/>
      <c r="M86" s="151"/>
    </row>
    <row r="87" spans="2:13" x14ac:dyDescent="0.25">
      <c r="B87" s="159">
        <f t="shared" si="5"/>
        <v>9</v>
      </c>
      <c r="C87" s="156">
        <v>27.887298583984375</v>
      </c>
      <c r="D87" s="141">
        <v>6</v>
      </c>
      <c r="E87" s="141">
        <f t="shared" si="4"/>
        <v>950</v>
      </c>
      <c r="F87" s="141"/>
      <c r="G87" s="1"/>
      <c r="H87" s="1"/>
      <c r="I87" s="1"/>
      <c r="J87" s="1"/>
      <c r="K87" s="1"/>
      <c r="L87" s="1"/>
      <c r="M87" s="151"/>
    </row>
    <row r="88" spans="2:13" x14ac:dyDescent="0.25">
      <c r="B88" s="159">
        <f t="shared" si="5"/>
        <v>10</v>
      </c>
      <c r="C88" s="156">
        <v>30.674690246582031</v>
      </c>
      <c r="D88" s="141">
        <v>6</v>
      </c>
      <c r="E88" s="141">
        <f t="shared" si="4"/>
        <v>956</v>
      </c>
      <c r="F88" s="141"/>
      <c r="G88" s="1"/>
      <c r="H88" s="1"/>
      <c r="I88" s="1"/>
      <c r="J88" s="1"/>
      <c r="K88" s="1"/>
      <c r="L88" s="1"/>
      <c r="M88" s="151"/>
    </row>
    <row r="89" spans="2:13" ht="13.8" thickBot="1" x14ac:dyDescent="0.3">
      <c r="B89" s="152"/>
      <c r="C89" s="2"/>
      <c r="D89" s="2"/>
      <c r="E89" s="2"/>
      <c r="F89" s="2"/>
      <c r="G89" s="2"/>
      <c r="H89" s="2"/>
      <c r="I89" s="2"/>
      <c r="J89" s="2"/>
      <c r="K89" s="2"/>
      <c r="L89" s="2"/>
      <c r="M89" s="162"/>
    </row>
    <row r="93" spans="2:13" ht="23.4" thickBot="1" x14ac:dyDescent="0.45">
      <c r="B93" s="168" t="s">
        <v>284</v>
      </c>
    </row>
    <row r="94" spans="2:13" x14ac:dyDescent="0.25">
      <c r="B94" s="146"/>
      <c r="C94" s="147"/>
      <c r="D94" s="147"/>
      <c r="E94" s="147"/>
      <c r="F94" s="147"/>
      <c r="G94" s="147"/>
      <c r="H94" s="147"/>
      <c r="I94" s="147"/>
      <c r="J94" s="147"/>
      <c r="K94" s="147"/>
      <c r="L94" s="147"/>
      <c r="M94" s="148"/>
    </row>
    <row r="95" spans="2:13" x14ac:dyDescent="0.25">
      <c r="B95" s="149"/>
      <c r="C95" s="144"/>
      <c r="D95" s="1"/>
      <c r="E95" s="1"/>
      <c r="F95" s="1"/>
      <c r="G95" s="1"/>
      <c r="H95" s="1"/>
      <c r="I95" s="1"/>
      <c r="J95" s="1"/>
      <c r="K95" s="1"/>
      <c r="L95" s="1"/>
      <c r="M95" s="151"/>
    </row>
    <row r="96" spans="2:13" x14ac:dyDescent="0.25">
      <c r="B96" s="163" t="s">
        <v>282</v>
      </c>
      <c r="C96" s="150">
        <v>-213.33064270019531</v>
      </c>
      <c r="D96" s="1"/>
      <c r="E96" s="1"/>
      <c r="F96" s="1"/>
      <c r="G96" s="1"/>
      <c r="H96" s="1"/>
      <c r="I96" s="1"/>
      <c r="J96" s="1"/>
      <c r="K96" s="1"/>
      <c r="L96" s="1"/>
      <c r="M96" s="151"/>
    </row>
    <row r="97" spans="2:13" x14ac:dyDescent="0.25">
      <c r="B97" s="163" t="s">
        <v>283</v>
      </c>
      <c r="C97" s="150">
        <v>533.67047119140625</v>
      </c>
      <c r="D97" s="1"/>
      <c r="E97" s="1"/>
      <c r="F97" s="1"/>
      <c r="G97" s="1"/>
      <c r="H97" s="1"/>
      <c r="I97" s="1"/>
      <c r="J97" s="1"/>
      <c r="K97" s="1"/>
      <c r="L97" s="1"/>
      <c r="M97" s="151"/>
    </row>
    <row r="98" spans="2:13" x14ac:dyDescent="0.25">
      <c r="B98" s="149"/>
      <c r="C98" s="1"/>
      <c r="D98" s="1"/>
      <c r="E98" s="1"/>
      <c r="F98" s="1"/>
      <c r="G98" s="1"/>
      <c r="H98" s="1"/>
      <c r="I98" s="1"/>
      <c r="J98" s="1"/>
      <c r="K98" s="1"/>
      <c r="L98" s="1"/>
      <c r="M98" s="151"/>
    </row>
    <row r="99" spans="2:13" x14ac:dyDescent="0.25">
      <c r="B99" s="164" t="s">
        <v>271</v>
      </c>
      <c r="C99" s="166" t="s">
        <v>279</v>
      </c>
      <c r="D99" s="166" t="s">
        <v>280</v>
      </c>
      <c r="E99" s="166" t="s">
        <v>281</v>
      </c>
      <c r="F99" s="1"/>
      <c r="G99" s="1"/>
      <c r="H99" s="1"/>
      <c r="I99" s="1"/>
      <c r="J99" s="1"/>
      <c r="K99" s="1"/>
      <c r="L99" s="1"/>
      <c r="M99" s="151"/>
    </row>
    <row r="100" spans="2:13" x14ac:dyDescent="0.25">
      <c r="B100" s="158">
        <v>0</v>
      </c>
      <c r="C100" s="145">
        <f>C96</f>
        <v>-213.33064270019531</v>
      </c>
      <c r="D100" s="141">
        <v>0</v>
      </c>
      <c r="E100" s="160">
        <v>0</v>
      </c>
      <c r="F100" s="160"/>
      <c r="G100" s="1"/>
      <c r="H100" s="1"/>
      <c r="I100" s="1"/>
      <c r="J100" s="1"/>
      <c r="K100" s="1"/>
      <c r="L100" s="1"/>
      <c r="M100" s="151"/>
    </row>
    <row r="101" spans="2:13" x14ac:dyDescent="0.25">
      <c r="B101" s="159">
        <v>1</v>
      </c>
      <c r="C101" s="150">
        <v>-138.63052368164063</v>
      </c>
      <c r="D101" s="141">
        <v>4</v>
      </c>
      <c r="E101" s="141">
        <f>D101</f>
        <v>4</v>
      </c>
      <c r="F101" s="141"/>
      <c r="G101" s="1"/>
      <c r="H101" s="1"/>
      <c r="I101" s="1"/>
      <c r="J101" s="1"/>
      <c r="K101" s="1"/>
      <c r="L101" s="1"/>
      <c r="M101" s="151"/>
    </row>
    <row r="102" spans="2:13" x14ac:dyDescent="0.25">
      <c r="B102" s="159">
        <f>B101+1</f>
        <v>2</v>
      </c>
      <c r="C102" s="150">
        <v>-63.930419921875</v>
      </c>
      <c r="D102" s="141">
        <v>20</v>
      </c>
      <c r="E102" s="141">
        <f t="shared" ref="E102:E110" si="6">D102+E101</f>
        <v>24</v>
      </c>
      <c r="F102" s="141"/>
      <c r="G102" s="1"/>
      <c r="H102" s="1"/>
      <c r="I102" s="1"/>
      <c r="J102" s="1"/>
      <c r="K102" s="1"/>
      <c r="L102" s="1"/>
      <c r="M102" s="151"/>
    </row>
    <row r="103" spans="2:13" x14ac:dyDescent="0.25">
      <c r="B103" s="159">
        <f t="shared" ref="B103:B110" si="7">B102+1</f>
        <v>3</v>
      </c>
      <c r="C103" s="150">
        <v>10.769691467285156</v>
      </c>
      <c r="D103" s="141">
        <v>54</v>
      </c>
      <c r="E103" s="141">
        <f t="shared" si="6"/>
        <v>78</v>
      </c>
      <c r="F103" s="141"/>
      <c r="G103" s="1"/>
      <c r="H103" s="1"/>
      <c r="I103" s="1"/>
      <c r="J103" s="1"/>
      <c r="K103" s="1"/>
      <c r="L103" s="1"/>
      <c r="M103" s="151"/>
    </row>
    <row r="104" spans="2:13" x14ac:dyDescent="0.25">
      <c r="B104" s="159">
        <f t="shared" si="7"/>
        <v>4</v>
      </c>
      <c r="C104" s="150">
        <v>85.469802856445313</v>
      </c>
      <c r="D104" s="141">
        <v>124</v>
      </c>
      <c r="E104" s="141">
        <f t="shared" si="6"/>
        <v>202</v>
      </c>
      <c r="F104" s="141"/>
      <c r="G104" s="1"/>
      <c r="H104" s="1"/>
      <c r="I104" s="1"/>
      <c r="J104" s="1"/>
      <c r="K104" s="1"/>
      <c r="L104" s="1"/>
      <c r="M104" s="151"/>
    </row>
    <row r="105" spans="2:13" x14ac:dyDescent="0.25">
      <c r="B105" s="159">
        <f t="shared" si="7"/>
        <v>5</v>
      </c>
      <c r="C105" s="150">
        <v>160.169921875</v>
      </c>
      <c r="D105" s="141">
        <v>195</v>
      </c>
      <c r="E105" s="141">
        <f t="shared" si="6"/>
        <v>397</v>
      </c>
      <c r="F105" s="141"/>
      <c r="G105" s="1"/>
      <c r="H105" s="1"/>
      <c r="I105" s="1"/>
      <c r="J105" s="1"/>
      <c r="K105" s="1"/>
      <c r="L105" s="1"/>
      <c r="M105" s="151"/>
    </row>
    <row r="106" spans="2:13" x14ac:dyDescent="0.25">
      <c r="B106" s="159">
        <f t="shared" si="7"/>
        <v>6</v>
      </c>
      <c r="C106" s="150">
        <v>234.87002563476563</v>
      </c>
      <c r="D106" s="141">
        <v>228</v>
      </c>
      <c r="E106" s="141">
        <f t="shared" si="6"/>
        <v>625</v>
      </c>
      <c r="F106" s="141"/>
      <c r="G106" s="1"/>
      <c r="H106" s="1"/>
      <c r="I106" s="1"/>
      <c r="J106" s="1"/>
      <c r="K106" s="1"/>
      <c r="L106" s="1"/>
      <c r="M106" s="151"/>
    </row>
    <row r="107" spans="2:13" x14ac:dyDescent="0.25">
      <c r="B107" s="159">
        <f t="shared" si="7"/>
        <v>7</v>
      </c>
      <c r="C107" s="150">
        <v>309.57012939453125</v>
      </c>
      <c r="D107" s="141">
        <v>173</v>
      </c>
      <c r="E107" s="141">
        <f t="shared" si="6"/>
        <v>798</v>
      </c>
      <c r="F107" s="141"/>
      <c r="G107" s="1"/>
      <c r="H107" s="1"/>
      <c r="I107" s="1"/>
      <c r="J107" s="1"/>
      <c r="K107" s="1"/>
      <c r="L107" s="1"/>
      <c r="M107" s="151"/>
    </row>
    <row r="108" spans="2:13" x14ac:dyDescent="0.25">
      <c r="B108" s="159">
        <f t="shared" si="7"/>
        <v>8</v>
      </c>
      <c r="C108" s="150">
        <v>384.270263671875</v>
      </c>
      <c r="D108" s="141">
        <v>118</v>
      </c>
      <c r="E108" s="141">
        <f t="shared" si="6"/>
        <v>916</v>
      </c>
      <c r="F108" s="141"/>
      <c r="G108" s="1"/>
      <c r="H108" s="1"/>
      <c r="I108" s="1"/>
      <c r="J108" s="1"/>
      <c r="K108" s="1"/>
      <c r="L108" s="1"/>
      <c r="M108" s="151"/>
    </row>
    <row r="109" spans="2:13" x14ac:dyDescent="0.25">
      <c r="B109" s="159">
        <f t="shared" si="7"/>
        <v>9</v>
      </c>
      <c r="C109" s="150">
        <v>458.97036743164063</v>
      </c>
      <c r="D109" s="141">
        <v>69</v>
      </c>
      <c r="E109" s="141">
        <f t="shared" si="6"/>
        <v>985</v>
      </c>
      <c r="F109" s="141"/>
      <c r="G109" s="1"/>
      <c r="H109" s="1"/>
      <c r="I109" s="1"/>
      <c r="J109" s="1"/>
      <c r="K109" s="1"/>
      <c r="L109" s="1"/>
      <c r="M109" s="151"/>
    </row>
    <row r="110" spans="2:13" x14ac:dyDescent="0.25">
      <c r="B110" s="159">
        <f t="shared" si="7"/>
        <v>10</v>
      </c>
      <c r="C110" s="150">
        <v>533.67047119140625</v>
      </c>
      <c r="D110" s="141">
        <v>15</v>
      </c>
      <c r="E110" s="141">
        <f t="shared" si="6"/>
        <v>1000</v>
      </c>
      <c r="F110" s="141"/>
      <c r="G110" s="1"/>
      <c r="H110" s="1"/>
      <c r="I110" s="1"/>
      <c r="J110" s="1"/>
      <c r="K110" s="1"/>
      <c r="L110" s="1"/>
      <c r="M110" s="151"/>
    </row>
    <row r="111" spans="2:13" ht="13.8" thickBot="1" x14ac:dyDescent="0.3">
      <c r="B111" s="15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162"/>
    </row>
    <row r="115" spans="2:13" ht="23.4" thickBot="1" x14ac:dyDescent="0.45">
      <c r="B115" s="169" t="s">
        <v>286</v>
      </c>
      <c r="C115" s="144"/>
    </row>
    <row r="116" spans="2:13" x14ac:dyDescent="0.25">
      <c r="B116" s="146"/>
      <c r="C116" s="147"/>
      <c r="D116" s="147"/>
      <c r="E116" s="147"/>
      <c r="F116" s="147"/>
      <c r="G116" s="147"/>
      <c r="H116" s="147"/>
      <c r="I116" s="147"/>
      <c r="J116" s="147"/>
      <c r="K116" s="147"/>
      <c r="L116" s="147"/>
      <c r="M116" s="148"/>
    </row>
    <row r="117" spans="2:13" x14ac:dyDescent="0.25">
      <c r="B117" s="14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51"/>
    </row>
    <row r="118" spans="2:13" x14ac:dyDescent="0.25">
      <c r="B118" s="163" t="s">
        <v>274</v>
      </c>
      <c r="C118" s="154">
        <v>-0.13631637394428253</v>
      </c>
      <c r="D118" s="1"/>
      <c r="E118" s="1"/>
      <c r="F118" s="1"/>
      <c r="G118" s="1"/>
      <c r="H118" s="1"/>
      <c r="I118" s="1"/>
      <c r="J118" s="1"/>
      <c r="K118" s="1"/>
      <c r="L118" s="1"/>
      <c r="M118" s="151"/>
    </row>
    <row r="119" spans="2:13" x14ac:dyDescent="0.25">
      <c r="B119" s="163" t="s">
        <v>275</v>
      </c>
      <c r="C119" s="154">
        <v>0.44412735104560852</v>
      </c>
      <c r="D119" s="1"/>
      <c r="E119" s="1"/>
      <c r="F119" s="1"/>
      <c r="G119" s="1"/>
      <c r="H119" s="1"/>
      <c r="I119" s="1"/>
      <c r="J119" s="1"/>
      <c r="K119" s="1"/>
      <c r="L119" s="1"/>
      <c r="M119" s="151"/>
    </row>
    <row r="120" spans="2:13" x14ac:dyDescent="0.25">
      <c r="B120" s="149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51"/>
    </row>
    <row r="121" spans="2:13" x14ac:dyDescent="0.25">
      <c r="B121" s="164" t="s">
        <v>271</v>
      </c>
      <c r="C121" s="166" t="s">
        <v>279</v>
      </c>
      <c r="D121" s="166" t="s">
        <v>280</v>
      </c>
      <c r="E121" s="166" t="s">
        <v>278</v>
      </c>
      <c r="F121" s="1"/>
      <c r="G121" s="1"/>
      <c r="H121" s="1"/>
      <c r="I121" s="1"/>
      <c r="J121" s="1"/>
      <c r="K121" s="1"/>
      <c r="L121" s="1"/>
      <c r="M121" s="151"/>
    </row>
    <row r="122" spans="2:13" x14ac:dyDescent="0.25">
      <c r="B122" s="158">
        <v>0</v>
      </c>
      <c r="C122" s="153">
        <f>C118</f>
        <v>-0.13631637394428253</v>
      </c>
      <c r="D122" s="141">
        <v>0</v>
      </c>
      <c r="E122" s="160">
        <v>0</v>
      </c>
      <c r="F122" s="1"/>
      <c r="G122" s="1"/>
      <c r="H122" s="1"/>
      <c r="I122" s="1"/>
      <c r="J122" s="1"/>
      <c r="K122" s="1"/>
      <c r="L122" s="1"/>
      <c r="M122" s="151"/>
    </row>
    <row r="123" spans="2:13" x14ac:dyDescent="0.25">
      <c r="B123" s="159">
        <v>1</v>
      </c>
      <c r="C123" s="154">
        <v>-7.8271999955177307E-2</v>
      </c>
      <c r="D123" s="141">
        <v>5</v>
      </c>
      <c r="E123" s="141">
        <f>D123</f>
        <v>5</v>
      </c>
      <c r="F123" s="1"/>
      <c r="G123" s="1"/>
      <c r="H123" s="1"/>
      <c r="I123" s="1"/>
      <c r="J123" s="1"/>
      <c r="K123" s="1"/>
      <c r="L123" s="1"/>
      <c r="M123" s="151"/>
    </row>
    <row r="124" spans="2:13" x14ac:dyDescent="0.25">
      <c r="B124" s="159">
        <f>B123+1</f>
        <v>2</v>
      </c>
      <c r="C124" s="154">
        <v>-2.0227629691362381E-2</v>
      </c>
      <c r="D124" s="141">
        <v>37</v>
      </c>
      <c r="E124" s="141">
        <f t="shared" ref="E124:E132" si="8">D124+E123</f>
        <v>42</v>
      </c>
      <c r="F124" s="1"/>
      <c r="G124" s="1"/>
      <c r="H124" s="1"/>
      <c r="I124" s="1"/>
      <c r="J124" s="1"/>
      <c r="K124" s="1"/>
      <c r="L124" s="1"/>
      <c r="M124" s="151"/>
    </row>
    <row r="125" spans="2:13" x14ac:dyDescent="0.25">
      <c r="B125" s="159">
        <f t="shared" ref="B125:B132" si="9">B124+1</f>
        <v>3</v>
      </c>
      <c r="C125" s="154">
        <v>3.7816744297742844E-2</v>
      </c>
      <c r="D125" s="141">
        <v>100</v>
      </c>
      <c r="E125" s="141">
        <f t="shared" si="8"/>
        <v>142</v>
      </c>
      <c r="F125" s="1"/>
      <c r="G125" s="1"/>
      <c r="H125" s="1"/>
      <c r="I125" s="1"/>
      <c r="J125" s="1"/>
      <c r="K125" s="1"/>
      <c r="L125" s="1"/>
      <c r="M125" s="151"/>
    </row>
    <row r="126" spans="2:13" x14ac:dyDescent="0.25">
      <c r="B126" s="159">
        <f t="shared" si="9"/>
        <v>4</v>
      </c>
      <c r="C126" s="154">
        <v>9.586111456155777E-2</v>
      </c>
      <c r="D126" s="141">
        <v>193</v>
      </c>
      <c r="E126" s="141">
        <f t="shared" si="8"/>
        <v>335</v>
      </c>
      <c r="F126" s="1"/>
      <c r="G126" s="1"/>
      <c r="H126" s="1"/>
      <c r="I126" s="1"/>
      <c r="J126" s="1"/>
      <c r="K126" s="1"/>
      <c r="L126" s="1"/>
      <c r="M126" s="151"/>
    </row>
    <row r="127" spans="2:13" x14ac:dyDescent="0.25">
      <c r="B127" s="159">
        <f t="shared" si="9"/>
        <v>5</v>
      </c>
      <c r="C127" s="154">
        <v>0.1539054811000824</v>
      </c>
      <c r="D127" s="141">
        <v>228</v>
      </c>
      <c r="E127" s="141">
        <f t="shared" si="8"/>
        <v>563</v>
      </c>
      <c r="F127" s="1"/>
      <c r="G127" s="1"/>
      <c r="H127" s="1"/>
      <c r="I127" s="1"/>
      <c r="J127" s="1"/>
      <c r="K127" s="1"/>
      <c r="L127" s="1"/>
      <c r="M127" s="151"/>
    </row>
    <row r="128" spans="2:13" x14ac:dyDescent="0.25">
      <c r="B128" s="159">
        <f t="shared" si="9"/>
        <v>6</v>
      </c>
      <c r="C128" s="154">
        <v>0.21194985508918762</v>
      </c>
      <c r="D128" s="141">
        <v>210</v>
      </c>
      <c r="E128" s="141">
        <f t="shared" si="8"/>
        <v>773</v>
      </c>
      <c r="F128" s="1"/>
      <c r="G128" s="1"/>
      <c r="H128" s="1"/>
      <c r="I128" s="1"/>
      <c r="J128" s="1"/>
      <c r="K128" s="1"/>
      <c r="L128" s="1"/>
      <c r="M128" s="151"/>
    </row>
    <row r="129" spans="2:13" x14ac:dyDescent="0.25">
      <c r="B129" s="159">
        <f t="shared" si="9"/>
        <v>7</v>
      </c>
      <c r="C129" s="154">
        <v>0.26999422907829285</v>
      </c>
      <c r="D129" s="141">
        <v>130</v>
      </c>
      <c r="E129" s="141">
        <f t="shared" si="8"/>
        <v>903</v>
      </c>
      <c r="F129" s="1"/>
      <c r="G129" s="1"/>
      <c r="H129" s="1"/>
      <c r="I129" s="1"/>
      <c r="J129" s="1"/>
      <c r="K129" s="1"/>
      <c r="L129" s="1"/>
      <c r="M129" s="151"/>
    </row>
    <row r="130" spans="2:13" x14ac:dyDescent="0.25">
      <c r="B130" s="159">
        <f t="shared" si="9"/>
        <v>8</v>
      </c>
      <c r="C130" s="154">
        <v>0.32803860306739807</v>
      </c>
      <c r="D130" s="141">
        <v>65</v>
      </c>
      <c r="E130" s="141">
        <f t="shared" si="8"/>
        <v>968</v>
      </c>
      <c r="F130" s="1"/>
      <c r="G130" s="1"/>
      <c r="H130" s="1"/>
      <c r="I130" s="1"/>
      <c r="J130" s="1"/>
      <c r="K130" s="1"/>
      <c r="L130" s="1"/>
      <c r="M130" s="151"/>
    </row>
    <row r="131" spans="2:13" x14ac:dyDescent="0.25">
      <c r="B131" s="159">
        <f t="shared" si="9"/>
        <v>9</v>
      </c>
      <c r="C131" s="154">
        <v>0.3860829770565033</v>
      </c>
      <c r="D131" s="141">
        <v>27</v>
      </c>
      <c r="E131" s="141">
        <f t="shared" si="8"/>
        <v>995</v>
      </c>
      <c r="F131" s="1"/>
      <c r="G131" s="1"/>
      <c r="H131" s="1"/>
      <c r="I131" s="1"/>
      <c r="J131" s="1"/>
      <c r="K131" s="1"/>
      <c r="L131" s="1"/>
      <c r="M131" s="151"/>
    </row>
    <row r="132" spans="2:13" x14ac:dyDescent="0.25">
      <c r="B132" s="159">
        <f t="shared" si="9"/>
        <v>10</v>
      </c>
      <c r="C132" s="154">
        <v>0.44412735104560852</v>
      </c>
      <c r="D132" s="141">
        <v>5</v>
      </c>
      <c r="E132" s="141">
        <f t="shared" si="8"/>
        <v>1000</v>
      </c>
      <c r="F132" s="1"/>
      <c r="G132" s="1"/>
      <c r="H132" s="1"/>
      <c r="I132" s="1"/>
      <c r="J132" s="1"/>
      <c r="K132" s="1"/>
      <c r="L132" s="1"/>
      <c r="M132" s="151"/>
    </row>
    <row r="133" spans="2:13" ht="13.8" thickBot="1" x14ac:dyDescent="0.3">
      <c r="B133" s="15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162"/>
    </row>
    <row r="137" spans="2:13" ht="23.4" thickBot="1" x14ac:dyDescent="0.45">
      <c r="B137" s="169" t="s">
        <v>288</v>
      </c>
      <c r="C137" s="144"/>
    </row>
    <row r="138" spans="2:13" x14ac:dyDescent="0.25">
      <c r="B138" s="170"/>
      <c r="C138" s="161"/>
      <c r="D138" s="147"/>
      <c r="E138" s="147"/>
      <c r="F138" s="147"/>
      <c r="G138" s="147"/>
      <c r="H138" s="147"/>
      <c r="I138" s="147"/>
      <c r="J138" s="147"/>
      <c r="K138" s="147"/>
      <c r="L138" s="147"/>
      <c r="M138" s="148"/>
    </row>
    <row r="139" spans="2:13" x14ac:dyDescent="0.25">
      <c r="B139" s="167"/>
      <c r="C139" s="144"/>
      <c r="D139" s="1"/>
      <c r="E139" s="1"/>
      <c r="F139" s="1"/>
      <c r="G139" s="1"/>
      <c r="H139" s="1"/>
      <c r="I139" s="1"/>
      <c r="J139" s="1"/>
      <c r="K139" s="1"/>
      <c r="L139" s="1"/>
      <c r="M139" s="151"/>
    </row>
    <row r="140" spans="2:13" x14ac:dyDescent="0.25">
      <c r="B140" s="163" t="s">
        <v>276</v>
      </c>
      <c r="C140" s="157">
        <v>1.9233342409133911</v>
      </c>
      <c r="D140" s="1"/>
      <c r="E140" s="1"/>
      <c r="F140" s="1"/>
      <c r="G140" s="1"/>
      <c r="H140" s="1"/>
      <c r="I140" s="1"/>
      <c r="J140" s="1"/>
      <c r="K140" s="1"/>
      <c r="L140" s="1"/>
      <c r="M140" s="151"/>
    </row>
    <row r="141" spans="2:13" x14ac:dyDescent="0.25">
      <c r="B141" s="163" t="s">
        <v>277</v>
      </c>
      <c r="C141" s="157">
        <v>10.134599685668945</v>
      </c>
      <c r="D141" s="1"/>
      <c r="E141" s="1"/>
      <c r="F141" s="1"/>
      <c r="G141" s="1"/>
      <c r="H141" s="1"/>
      <c r="I141" s="1"/>
      <c r="J141" s="1"/>
      <c r="K141" s="1"/>
      <c r="L141" s="1"/>
      <c r="M141" s="151"/>
    </row>
    <row r="142" spans="2:13" x14ac:dyDescent="0.25">
      <c r="B142" s="149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51"/>
    </row>
    <row r="143" spans="2:13" x14ac:dyDescent="0.25">
      <c r="B143" s="164" t="s">
        <v>271</v>
      </c>
      <c r="C143" s="166" t="s">
        <v>273</v>
      </c>
      <c r="D143" s="166" t="s">
        <v>272</v>
      </c>
      <c r="E143" s="166" t="s">
        <v>278</v>
      </c>
      <c r="F143" s="1"/>
      <c r="G143" s="1"/>
      <c r="H143" s="1"/>
      <c r="I143" s="1"/>
      <c r="J143" s="1"/>
      <c r="K143" s="1"/>
      <c r="L143" s="1"/>
      <c r="M143" s="151"/>
    </row>
    <row r="144" spans="2:13" x14ac:dyDescent="0.25">
      <c r="B144" s="158">
        <v>0</v>
      </c>
      <c r="C144" s="155">
        <f>C140</f>
        <v>1.9233342409133911</v>
      </c>
      <c r="D144" s="141">
        <v>0</v>
      </c>
      <c r="E144" s="160">
        <v>0</v>
      </c>
      <c r="F144" s="160"/>
      <c r="G144" s="1"/>
      <c r="H144" s="1"/>
      <c r="I144" s="1"/>
      <c r="J144" s="1"/>
      <c r="K144" s="1"/>
      <c r="L144" s="1"/>
      <c r="M144" s="151"/>
    </row>
    <row r="145" spans="2:13" x14ac:dyDescent="0.25">
      <c r="B145" s="159">
        <v>1</v>
      </c>
      <c r="C145" s="156">
        <v>2.7444608211517334</v>
      </c>
      <c r="D145" s="141">
        <v>214</v>
      </c>
      <c r="E145" s="141">
        <f>D145</f>
        <v>214</v>
      </c>
      <c r="F145" s="141"/>
      <c r="G145" s="1"/>
      <c r="H145" s="1"/>
      <c r="I145" s="1"/>
      <c r="J145" s="1"/>
      <c r="K145" s="1"/>
      <c r="L145" s="1"/>
      <c r="M145" s="151"/>
    </row>
    <row r="146" spans="2:13" x14ac:dyDescent="0.25">
      <c r="B146" s="159">
        <f>B145+1</f>
        <v>2</v>
      </c>
      <c r="C146" s="156">
        <v>3.5655872821807861</v>
      </c>
      <c r="D146" s="141">
        <v>314</v>
      </c>
      <c r="E146" s="141">
        <f t="shared" ref="E146:E154" si="10">D146+E145</f>
        <v>528</v>
      </c>
      <c r="F146" s="141"/>
      <c r="G146" s="1"/>
      <c r="H146" s="1"/>
      <c r="I146" s="1"/>
      <c r="J146" s="1"/>
      <c r="K146" s="1"/>
      <c r="L146" s="1"/>
      <c r="M146" s="151"/>
    </row>
    <row r="147" spans="2:13" x14ac:dyDescent="0.25">
      <c r="B147" s="159">
        <f t="shared" ref="B147:B154" si="11">B146+1</f>
        <v>3</v>
      </c>
      <c r="C147" s="156">
        <v>4.386713981628418</v>
      </c>
      <c r="D147" s="141">
        <v>155</v>
      </c>
      <c r="E147" s="141">
        <f t="shared" si="10"/>
        <v>683</v>
      </c>
      <c r="F147" s="141"/>
      <c r="G147" s="1"/>
      <c r="H147" s="1"/>
      <c r="I147" s="1"/>
      <c r="J147" s="1"/>
      <c r="K147" s="1"/>
      <c r="L147" s="1"/>
      <c r="M147" s="151"/>
    </row>
    <row r="148" spans="2:13" x14ac:dyDescent="0.25">
      <c r="B148" s="159">
        <f t="shared" si="11"/>
        <v>4</v>
      </c>
      <c r="C148" s="156">
        <v>5.2078404426574707</v>
      </c>
      <c r="D148" s="141">
        <v>109</v>
      </c>
      <c r="E148" s="141">
        <f t="shared" si="10"/>
        <v>792</v>
      </c>
      <c r="F148" s="141"/>
      <c r="G148" s="1"/>
      <c r="H148" s="1"/>
      <c r="I148" s="1"/>
      <c r="J148" s="1"/>
      <c r="K148" s="1"/>
      <c r="L148" s="1"/>
      <c r="M148" s="151"/>
    </row>
    <row r="149" spans="2:13" x14ac:dyDescent="0.25">
      <c r="B149" s="159">
        <f t="shared" si="11"/>
        <v>5</v>
      </c>
      <c r="C149" s="156">
        <v>6.0289669036865234</v>
      </c>
      <c r="D149" s="141">
        <v>70</v>
      </c>
      <c r="E149" s="141">
        <f t="shared" si="10"/>
        <v>862</v>
      </c>
      <c r="F149" s="141"/>
      <c r="G149" s="1"/>
      <c r="H149" s="1"/>
      <c r="I149" s="1"/>
      <c r="J149" s="1"/>
      <c r="K149" s="1"/>
      <c r="L149" s="1"/>
      <c r="M149" s="151"/>
    </row>
    <row r="150" spans="2:13" x14ac:dyDescent="0.25">
      <c r="B150" s="159">
        <f t="shared" si="11"/>
        <v>6</v>
      </c>
      <c r="C150" s="156">
        <v>6.8500933647155762</v>
      </c>
      <c r="D150" s="141">
        <v>32</v>
      </c>
      <c r="E150" s="141">
        <f t="shared" si="10"/>
        <v>894</v>
      </c>
      <c r="F150" s="141"/>
      <c r="G150" s="1"/>
      <c r="H150" s="1"/>
      <c r="I150" s="1"/>
      <c r="J150" s="1"/>
      <c r="K150" s="1"/>
      <c r="L150" s="1"/>
      <c r="M150" s="151"/>
    </row>
    <row r="151" spans="2:13" x14ac:dyDescent="0.25">
      <c r="B151" s="159">
        <f t="shared" si="11"/>
        <v>7</v>
      </c>
      <c r="C151" s="156">
        <v>7.6712198257446289</v>
      </c>
      <c r="D151" s="141">
        <v>16</v>
      </c>
      <c r="E151" s="141">
        <f t="shared" si="10"/>
        <v>910</v>
      </c>
      <c r="F151" s="141"/>
      <c r="G151" s="1"/>
      <c r="H151" s="1"/>
      <c r="I151" s="1"/>
      <c r="J151" s="1"/>
      <c r="K151" s="1"/>
      <c r="L151" s="1"/>
      <c r="M151" s="151"/>
    </row>
    <row r="152" spans="2:13" x14ac:dyDescent="0.25">
      <c r="B152" s="159">
        <f t="shared" si="11"/>
        <v>8</v>
      </c>
      <c r="C152" s="156">
        <v>8.4923467636108398</v>
      </c>
      <c r="D152" s="141">
        <v>37</v>
      </c>
      <c r="E152" s="141">
        <f t="shared" si="10"/>
        <v>947</v>
      </c>
      <c r="F152" s="141"/>
      <c r="G152" s="1"/>
      <c r="H152" s="1"/>
      <c r="I152" s="1"/>
      <c r="J152" s="1"/>
      <c r="K152" s="1"/>
      <c r="L152" s="1"/>
      <c r="M152" s="151"/>
    </row>
    <row r="153" spans="2:13" x14ac:dyDescent="0.25">
      <c r="B153" s="159">
        <f t="shared" si="11"/>
        <v>9</v>
      </c>
      <c r="C153" s="156">
        <v>9.3134727478027344</v>
      </c>
      <c r="D153" s="141">
        <v>12</v>
      </c>
      <c r="E153" s="141">
        <f t="shared" si="10"/>
        <v>959</v>
      </c>
      <c r="F153" s="141"/>
      <c r="G153" s="1"/>
      <c r="H153" s="1"/>
      <c r="I153" s="1"/>
      <c r="J153" s="1"/>
      <c r="K153" s="1"/>
      <c r="L153" s="1"/>
      <c r="M153" s="151"/>
    </row>
    <row r="154" spans="2:13" x14ac:dyDescent="0.25">
      <c r="B154" s="159">
        <f t="shared" si="11"/>
        <v>10</v>
      </c>
      <c r="C154" s="156">
        <v>10.134599685668945</v>
      </c>
      <c r="D154" s="141">
        <v>2</v>
      </c>
      <c r="E154" s="141">
        <f t="shared" si="10"/>
        <v>961</v>
      </c>
      <c r="F154" s="141"/>
      <c r="G154" s="1"/>
      <c r="H154" s="1"/>
      <c r="I154" s="1"/>
      <c r="J154" s="1"/>
      <c r="K154" s="1"/>
      <c r="L154" s="1"/>
      <c r="M154" s="151"/>
    </row>
    <row r="155" spans="2:13" ht="13.8" thickBot="1" x14ac:dyDescent="0.3">
      <c r="B155" s="15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162"/>
    </row>
  </sheetData>
  <phoneticPr fontId="0" type="noConversion"/>
  <dataValidations count="1">
    <dataValidation type="decimal" operator="greaterThan" showErrorMessage="1" errorTitle="Upper Limit Range Error" error="The upper limit must be a positive number" sqref="F7:F14" xr:uid="{00000000-0002-0000-0400-000000000000}">
      <formula1>0</formula1>
    </dataValidation>
  </dataValidations>
  <pageMargins left="0.75" right="0.75" top="1" bottom="1" header="0.5" footer="0.5"/>
  <pageSetup scale="79" orientation="landscape" horizontalDpi="4294967294" verticalDpi="300" r:id="rId1"/>
  <headerFooter alignWithMargins="0"/>
  <rowBreaks count="1" manualBreakCount="1">
    <brk id="46" max="16383" man="1"/>
  </rowBreaks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autoLine="0" autoPict="0" r:id="rId5">
            <anchor moveWithCells="1">
              <from>
                <xdr:col>1</xdr:col>
                <xdr:colOff>205740</xdr:colOff>
                <xdr:row>19</xdr:row>
                <xdr:rowOff>30480</xdr:rowOff>
              </from>
              <to>
                <xdr:col>3</xdr:col>
                <xdr:colOff>487680</xdr:colOff>
                <xdr:row>21</xdr:row>
                <xdr:rowOff>144780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1:J55"/>
  <sheetViews>
    <sheetView showGridLines="0" zoomScaleNormal="100" workbookViewId="0">
      <selection activeCell="E28" sqref="E28"/>
    </sheetView>
  </sheetViews>
  <sheetFormatPr baseColWidth="10" defaultColWidth="9.109375" defaultRowHeight="13.2" x14ac:dyDescent="0.25"/>
  <cols>
    <col min="1" max="1" width="6.6640625" style="80" customWidth="1"/>
    <col min="2" max="2" width="32" style="80" customWidth="1"/>
    <col min="3" max="3" width="17" style="80" customWidth="1"/>
    <col min="4" max="4" width="5.6640625" style="80" customWidth="1"/>
    <col min="5" max="5" width="10.6640625" style="80" customWidth="1"/>
    <col min="6" max="6" width="30.88671875" style="80" customWidth="1"/>
    <col min="7" max="7" width="13.6640625" style="113" customWidth="1"/>
    <col min="8" max="16384" width="9.109375" style="80"/>
  </cols>
  <sheetData>
    <row r="1" spans="2:10" ht="28.5" customHeight="1" x14ac:dyDescent="0.25"/>
    <row r="2" spans="2:10" ht="14.25" customHeight="1" x14ac:dyDescent="0.25">
      <c r="B2" s="99" t="s">
        <v>218</v>
      </c>
      <c r="C2" s="236">
        <v>8322</v>
      </c>
    </row>
    <row r="3" spans="2:10" ht="14.25" customHeight="1" x14ac:dyDescent="0.25"/>
    <row r="4" spans="2:10" ht="14.25" customHeight="1" x14ac:dyDescent="0.25">
      <c r="B4" s="104"/>
      <c r="C4" s="105" t="s">
        <v>206</v>
      </c>
      <c r="F4" s="101" t="s">
        <v>27</v>
      </c>
      <c r="G4" s="102"/>
      <c r="H4" s="102"/>
      <c r="I4" s="103"/>
      <c r="J4" s="103"/>
    </row>
    <row r="5" spans="2:10" ht="14.25" customHeight="1" x14ac:dyDescent="0.25">
      <c r="B5" s="108" t="s">
        <v>207</v>
      </c>
      <c r="C5" s="109"/>
      <c r="F5" s="106" t="s">
        <v>433</v>
      </c>
      <c r="G5" s="303">
        <v>1</v>
      </c>
      <c r="H5" s="107" t="s">
        <v>434</v>
      </c>
      <c r="I5" s="103"/>
      <c r="J5" s="103"/>
    </row>
    <row r="6" spans="2:10" ht="14.25" customHeight="1" x14ac:dyDescent="0.25">
      <c r="B6" s="94" t="s">
        <v>187</v>
      </c>
      <c r="C6" s="235">
        <v>16.8</v>
      </c>
      <c r="F6" s="110"/>
      <c r="G6" s="102"/>
      <c r="H6" s="102"/>
      <c r="I6" s="103"/>
      <c r="J6" s="103"/>
    </row>
    <row r="7" spans="2:10" ht="14.25" customHeight="1" x14ac:dyDescent="0.25">
      <c r="B7" s="94" t="s">
        <v>186</v>
      </c>
      <c r="C7" s="235">
        <v>0.35399999999999998</v>
      </c>
      <c r="F7" s="101" t="s">
        <v>26</v>
      </c>
      <c r="G7" s="102"/>
      <c r="H7" s="102"/>
      <c r="I7" s="103"/>
      <c r="J7" s="103"/>
    </row>
    <row r="8" spans="2:10" ht="14.25" customHeight="1" x14ac:dyDescent="0.25">
      <c r="B8" s="94" t="s">
        <v>205</v>
      </c>
      <c r="C8" s="229">
        <v>4.43</v>
      </c>
      <c r="F8" s="106" t="s">
        <v>436</v>
      </c>
      <c r="G8" s="303">
        <v>1</v>
      </c>
      <c r="H8" s="107" t="s">
        <v>437</v>
      </c>
      <c r="I8" s="103"/>
      <c r="J8" s="103"/>
    </row>
    <row r="9" spans="2:10" ht="14.25" customHeight="1" x14ac:dyDescent="0.25">
      <c r="B9" s="112"/>
      <c r="C9" s="109"/>
      <c r="F9" s="110"/>
      <c r="G9" s="102"/>
      <c r="H9" s="102"/>
      <c r="I9" s="103"/>
      <c r="J9" s="103"/>
    </row>
    <row r="10" spans="2:10" ht="14.25" customHeight="1" x14ac:dyDescent="0.25">
      <c r="B10" s="108" t="s">
        <v>182</v>
      </c>
      <c r="C10" s="109"/>
      <c r="F10" s="101" t="s">
        <v>28</v>
      </c>
      <c r="G10" s="102"/>
      <c r="H10" s="102"/>
      <c r="I10" s="103"/>
      <c r="J10" s="103"/>
    </row>
    <row r="11" spans="2:10" ht="14.25" customHeight="1" x14ac:dyDescent="0.25">
      <c r="B11" s="94" t="s">
        <v>184</v>
      </c>
      <c r="C11" s="235">
        <v>13.28</v>
      </c>
      <c r="F11" s="106" t="s">
        <v>444</v>
      </c>
      <c r="G11" s="303">
        <v>3.6</v>
      </c>
      <c r="H11" s="107" t="s">
        <v>445</v>
      </c>
      <c r="I11" s="103"/>
      <c r="J11" s="103"/>
    </row>
    <row r="12" spans="2:10" ht="14.25" customHeight="1" x14ac:dyDescent="0.25">
      <c r="B12" s="94" t="s">
        <v>183</v>
      </c>
      <c r="C12" s="235">
        <v>14.19</v>
      </c>
      <c r="F12" s="110"/>
      <c r="G12" s="102"/>
      <c r="H12" s="102"/>
      <c r="I12" s="103"/>
      <c r="J12" s="103"/>
    </row>
    <row r="13" spans="2:10" ht="14.25" customHeight="1" x14ac:dyDescent="0.25">
      <c r="B13" s="94" t="s">
        <v>185</v>
      </c>
      <c r="C13" s="235">
        <v>17.7</v>
      </c>
      <c r="F13" s="101" t="s">
        <v>25</v>
      </c>
      <c r="G13" s="102"/>
      <c r="H13" s="102"/>
      <c r="I13" s="103"/>
      <c r="J13" s="103"/>
    </row>
    <row r="14" spans="2:10" ht="14.25" customHeight="1" x14ac:dyDescent="0.25">
      <c r="B14" s="94"/>
      <c r="C14" s="109"/>
      <c r="F14" s="106" t="s">
        <v>447</v>
      </c>
      <c r="G14" s="303">
        <v>1</v>
      </c>
      <c r="H14" s="107" t="s">
        <v>448</v>
      </c>
      <c r="I14" s="103"/>
      <c r="J14" s="103"/>
    </row>
    <row r="15" spans="2:10" ht="14.25" customHeight="1" x14ac:dyDescent="0.25">
      <c r="B15" s="108" t="s">
        <v>195</v>
      </c>
      <c r="C15" s="109"/>
      <c r="F15" s="110"/>
      <c r="G15" s="102"/>
      <c r="H15" s="102"/>
      <c r="I15" s="103"/>
      <c r="J15" s="103"/>
    </row>
    <row r="16" spans="2:10" ht="14.25" customHeight="1" x14ac:dyDescent="0.25">
      <c r="B16" s="94" t="s">
        <v>196</v>
      </c>
      <c r="C16" s="237">
        <v>14.2</v>
      </c>
      <c r="F16" s="101" t="s">
        <v>29</v>
      </c>
      <c r="G16" s="102"/>
      <c r="H16" s="102"/>
      <c r="I16" s="103"/>
      <c r="J16" s="103"/>
    </row>
    <row r="17" spans="2:10" ht="14.25" customHeight="1" x14ac:dyDescent="0.25">
      <c r="B17" s="94" t="s">
        <v>197</v>
      </c>
      <c r="C17" s="235">
        <v>11.1</v>
      </c>
      <c r="F17" s="106" t="s">
        <v>453</v>
      </c>
      <c r="G17" s="303">
        <v>1</v>
      </c>
      <c r="H17" s="107" t="s">
        <v>454</v>
      </c>
      <c r="I17" s="103"/>
      <c r="J17" s="103"/>
    </row>
    <row r="18" spans="2:10" ht="14.25" customHeight="1" x14ac:dyDescent="0.25">
      <c r="B18" s="94" t="s">
        <v>198</v>
      </c>
      <c r="C18" s="235">
        <v>1.72</v>
      </c>
      <c r="F18" s="110"/>
      <c r="G18" s="102"/>
      <c r="H18" s="102"/>
      <c r="I18" s="103"/>
      <c r="J18" s="103"/>
    </row>
    <row r="19" spans="2:10" ht="14.25" customHeight="1" x14ac:dyDescent="0.25">
      <c r="B19" s="112"/>
      <c r="C19" s="109"/>
      <c r="F19" s="101" t="s">
        <v>30</v>
      </c>
      <c r="G19" s="102"/>
      <c r="H19" s="102"/>
      <c r="I19" s="103"/>
      <c r="J19" s="103"/>
    </row>
    <row r="20" spans="2:10" ht="14.25" customHeight="1" x14ac:dyDescent="0.25">
      <c r="B20" s="108" t="s">
        <v>199</v>
      </c>
      <c r="C20" s="109"/>
      <c r="F20" s="106" t="s">
        <v>456</v>
      </c>
      <c r="G20" s="303">
        <v>1</v>
      </c>
      <c r="H20" s="107" t="s">
        <v>457</v>
      </c>
      <c r="I20" s="103"/>
      <c r="J20" s="103"/>
    </row>
    <row r="21" spans="2:10" ht="14.25" customHeight="1" x14ac:dyDescent="0.25">
      <c r="B21" s="94" t="s">
        <v>200</v>
      </c>
      <c r="C21" s="235">
        <v>12.33</v>
      </c>
      <c r="F21" s="110"/>
      <c r="G21" s="102"/>
      <c r="H21" s="102"/>
      <c r="I21" s="103"/>
      <c r="J21" s="103"/>
    </row>
    <row r="22" spans="2:10" x14ac:dyDescent="0.25">
      <c r="B22" s="94" t="s">
        <v>201</v>
      </c>
      <c r="C22" s="235">
        <v>13</v>
      </c>
      <c r="F22" s="101" t="s">
        <v>31</v>
      </c>
      <c r="G22" s="102"/>
      <c r="H22" s="102"/>
      <c r="I22" s="103"/>
      <c r="J22" s="103"/>
    </row>
    <row r="23" spans="2:10" x14ac:dyDescent="0.25">
      <c r="B23" s="94" t="s">
        <v>202</v>
      </c>
      <c r="C23" s="235">
        <v>13.88</v>
      </c>
      <c r="F23" s="106" t="s">
        <v>459</v>
      </c>
      <c r="G23" s="303">
        <v>1</v>
      </c>
      <c r="H23" s="107" t="s">
        <v>460</v>
      </c>
      <c r="I23" s="103"/>
      <c r="J23" s="103"/>
    </row>
    <row r="24" spans="2:10" x14ac:dyDescent="0.25">
      <c r="B24" s="112"/>
      <c r="C24" s="109"/>
      <c r="F24" s="103"/>
      <c r="H24" s="113"/>
      <c r="I24" s="103"/>
      <c r="J24" s="103"/>
    </row>
    <row r="25" spans="2:10" x14ac:dyDescent="0.25">
      <c r="B25" s="108" t="s">
        <v>188</v>
      </c>
      <c r="C25" s="109"/>
      <c r="F25" s="101" t="s">
        <v>203</v>
      </c>
      <c r="H25" s="113"/>
      <c r="I25" s="103"/>
      <c r="J25" s="103"/>
    </row>
    <row r="26" spans="2:10" x14ac:dyDescent="0.25">
      <c r="B26" s="94" t="s">
        <v>189</v>
      </c>
      <c r="C26" s="235">
        <v>4.43</v>
      </c>
      <c r="F26" s="106" t="s">
        <v>462</v>
      </c>
      <c r="G26" s="113">
        <v>1</v>
      </c>
      <c r="H26" s="113" t="s">
        <v>463</v>
      </c>
      <c r="I26" s="103"/>
      <c r="J26" s="103"/>
    </row>
    <row r="27" spans="2:10" x14ac:dyDescent="0.25">
      <c r="B27" s="94" t="s">
        <v>190</v>
      </c>
      <c r="C27" s="235">
        <v>7.89</v>
      </c>
      <c r="F27" s="103"/>
      <c r="H27" s="113"/>
      <c r="I27" s="103"/>
      <c r="J27" s="103"/>
    </row>
    <row r="28" spans="2:10" x14ac:dyDescent="0.25">
      <c r="B28" s="94" t="s">
        <v>191</v>
      </c>
      <c r="C28" s="235">
        <v>13.11</v>
      </c>
      <c r="F28" s="101" t="s">
        <v>204</v>
      </c>
      <c r="H28" s="113"/>
      <c r="I28" s="103"/>
      <c r="J28" s="103"/>
    </row>
    <row r="29" spans="2:10" x14ac:dyDescent="0.25">
      <c r="B29" s="94"/>
      <c r="C29" s="111"/>
      <c r="F29" s="106" t="s">
        <v>465</v>
      </c>
      <c r="G29" s="113">
        <v>1</v>
      </c>
      <c r="H29" s="113" t="s">
        <v>463</v>
      </c>
      <c r="I29" s="103"/>
      <c r="J29" s="103"/>
    </row>
    <row r="30" spans="2:10" x14ac:dyDescent="0.25">
      <c r="B30" s="112"/>
      <c r="C30" s="114" t="s">
        <v>208</v>
      </c>
      <c r="H30" s="113"/>
    </row>
    <row r="31" spans="2:10" x14ac:dyDescent="0.25">
      <c r="B31" s="108" t="s">
        <v>192</v>
      </c>
      <c r="C31" s="109"/>
      <c r="F31" s="115" t="s">
        <v>223</v>
      </c>
      <c r="H31" s="113"/>
    </row>
    <row r="32" spans="2:10" x14ac:dyDescent="0.25">
      <c r="B32" s="94" t="s">
        <v>193</v>
      </c>
      <c r="C32" s="238">
        <v>36</v>
      </c>
      <c r="F32" s="116" t="s">
        <v>467</v>
      </c>
      <c r="G32" s="113">
        <v>1</v>
      </c>
      <c r="H32" s="113" t="s">
        <v>468</v>
      </c>
    </row>
    <row r="33" spans="1:3" x14ac:dyDescent="0.25">
      <c r="B33" s="117" t="s">
        <v>194</v>
      </c>
      <c r="C33" s="239">
        <v>200</v>
      </c>
    </row>
    <row r="34" spans="1:3" x14ac:dyDescent="0.25">
      <c r="B34" s="85"/>
      <c r="C34" s="136"/>
    </row>
    <row r="35" spans="1:3" x14ac:dyDescent="0.25">
      <c r="B35" s="118" t="s">
        <v>302</v>
      </c>
      <c r="C35" s="137"/>
    </row>
    <row r="36" spans="1:3" x14ac:dyDescent="0.25">
      <c r="B36" s="94"/>
      <c r="C36" s="138" t="s">
        <v>206</v>
      </c>
    </row>
    <row r="37" spans="1:3" x14ac:dyDescent="0.25">
      <c r="B37" s="117" t="s">
        <v>261</v>
      </c>
      <c r="C37" s="240">
        <v>9.83</v>
      </c>
    </row>
    <row r="39" spans="1:3" x14ac:dyDescent="0.25">
      <c r="B39" s="122" t="s">
        <v>214</v>
      </c>
      <c r="C39" s="119"/>
    </row>
    <row r="40" spans="1:3" x14ac:dyDescent="0.25">
      <c r="B40" s="112"/>
      <c r="C40" s="109"/>
    </row>
    <row r="41" spans="1:3" ht="12.75" customHeight="1" x14ac:dyDescent="0.25">
      <c r="B41" s="94" t="s">
        <v>215</v>
      </c>
      <c r="C41" s="241">
        <v>0.7</v>
      </c>
    </row>
    <row r="42" spans="1:3" ht="12.75" customHeight="1" x14ac:dyDescent="0.25">
      <c r="B42" s="94" t="s">
        <v>220</v>
      </c>
      <c r="C42" s="241">
        <v>0.9</v>
      </c>
    </row>
    <row r="43" spans="1:3" x14ac:dyDescent="0.25">
      <c r="B43" s="94" t="s">
        <v>216</v>
      </c>
      <c r="C43" s="241">
        <v>0.7</v>
      </c>
    </row>
    <row r="44" spans="1:3" x14ac:dyDescent="0.25">
      <c r="B44" s="94" t="s">
        <v>217</v>
      </c>
      <c r="C44" s="241">
        <v>0.9</v>
      </c>
    </row>
    <row r="45" spans="1:3" x14ac:dyDescent="0.25">
      <c r="B45" s="117" t="s">
        <v>221</v>
      </c>
      <c r="C45" s="242">
        <v>0.65</v>
      </c>
    </row>
    <row r="46" spans="1:3" x14ac:dyDescent="0.25">
      <c r="A46" s="26"/>
    </row>
    <row r="47" spans="1:3" x14ac:dyDescent="0.25">
      <c r="B47" s="118" t="s">
        <v>212</v>
      </c>
      <c r="C47" s="119"/>
    </row>
    <row r="48" spans="1:3" x14ac:dyDescent="0.25">
      <c r="B48" s="112"/>
      <c r="C48" s="109"/>
    </row>
    <row r="49" spans="2:3" x14ac:dyDescent="0.25">
      <c r="B49" s="112"/>
      <c r="C49" s="120" t="s">
        <v>213</v>
      </c>
    </row>
    <row r="50" spans="2:3" x14ac:dyDescent="0.25">
      <c r="B50" s="112"/>
      <c r="C50" s="121"/>
    </row>
    <row r="51" spans="2:3" x14ac:dyDescent="0.25">
      <c r="B51" s="221" t="s">
        <v>236</v>
      </c>
      <c r="C51" s="243">
        <v>52900</v>
      </c>
    </row>
    <row r="53" spans="2:3" x14ac:dyDescent="0.25">
      <c r="B53" s="118" t="s">
        <v>428</v>
      </c>
      <c r="C53" s="119"/>
    </row>
    <row r="54" spans="2:3" x14ac:dyDescent="0.25">
      <c r="B54" s="112"/>
      <c r="C54" s="109"/>
    </row>
    <row r="55" spans="2:3" x14ac:dyDescent="0.25">
      <c r="B55" s="117" t="s">
        <v>429</v>
      </c>
      <c r="C55" s="286">
        <v>1</v>
      </c>
    </row>
  </sheetData>
  <phoneticPr fontId="0" type="noConversion"/>
  <pageMargins left="0.75" right="0.75" top="1" bottom="1" header="0.5" footer="0.5"/>
  <pageSetup scale="67" orientation="portrait" horizontalDpi="4294967294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0" r:id="rId4" name="CommandButton1">
          <controlPr autoLine="0" autoPict="0" r:id="rId5">
            <anchor moveWithCells="1">
              <from>
                <xdr:col>4</xdr:col>
                <xdr:colOff>723900</xdr:colOff>
                <xdr:row>0</xdr:row>
                <xdr:rowOff>190500</xdr:rowOff>
              </from>
              <to>
                <xdr:col>5</xdr:col>
                <xdr:colOff>1607820</xdr:colOff>
                <xdr:row>2</xdr:row>
                <xdr:rowOff>45720</xdr:rowOff>
              </to>
            </anchor>
          </controlPr>
        </control>
      </mc:Choice>
      <mc:Fallback>
        <control shapeId="7170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2:X256"/>
  <sheetViews>
    <sheetView showGridLines="0" zoomScaleNormal="100" workbookViewId="0">
      <selection activeCell="E28" sqref="E28"/>
    </sheetView>
  </sheetViews>
  <sheetFormatPr baseColWidth="10" defaultColWidth="9.109375" defaultRowHeight="13.2" x14ac:dyDescent="0.25"/>
  <cols>
    <col min="1" max="1" width="3.88671875" style="26" customWidth="1"/>
    <col min="2" max="2" width="21.33203125" style="26" customWidth="1"/>
    <col min="3" max="14" width="9.109375" style="26"/>
    <col min="15" max="15" width="9.44140625" style="26" bestFit="1" customWidth="1"/>
    <col min="16" max="16384" width="9.109375" style="26"/>
  </cols>
  <sheetData>
    <row r="2" spans="2:8" x14ac:dyDescent="0.25">
      <c r="B2" s="28" t="s">
        <v>389</v>
      </c>
    </row>
    <row r="3" spans="2:8" ht="16.8" x14ac:dyDescent="0.35">
      <c r="B3" s="256" t="s">
        <v>401</v>
      </c>
      <c r="C3" s="45" t="s">
        <v>0</v>
      </c>
      <c r="D3" s="45" t="s">
        <v>1</v>
      </c>
      <c r="E3" s="45" t="s">
        <v>2</v>
      </c>
      <c r="F3" s="45" t="s">
        <v>349</v>
      </c>
      <c r="G3" s="73" t="s">
        <v>350</v>
      </c>
      <c r="H3" s="305" t="s">
        <v>50</v>
      </c>
    </row>
    <row r="4" spans="2:8" x14ac:dyDescent="0.25">
      <c r="B4" s="29" t="s">
        <v>390</v>
      </c>
      <c r="C4" s="30">
        <v>5.0141</v>
      </c>
      <c r="D4" s="30">
        <v>-0.4133</v>
      </c>
      <c r="E4" s="30">
        <v>0.32240000000000002</v>
      </c>
      <c r="F4" s="30">
        <v>0.14000000000000001</v>
      </c>
      <c r="G4" s="31">
        <v>3</v>
      </c>
      <c r="H4" s="306">
        <v>1.5</v>
      </c>
    </row>
    <row r="5" spans="2:8" x14ac:dyDescent="0.25">
      <c r="B5" s="34" t="s">
        <v>391</v>
      </c>
      <c r="C5" s="37">
        <v>4.1365999999999996</v>
      </c>
      <c r="D5" s="37">
        <v>-0.49280000000000002</v>
      </c>
      <c r="E5" s="35">
        <v>7.0000000000000001E-3</v>
      </c>
      <c r="F5" s="48">
        <v>0.7</v>
      </c>
      <c r="G5" s="38">
        <v>11</v>
      </c>
      <c r="H5" s="306">
        <v>1.5</v>
      </c>
    </row>
    <row r="6" spans="2:8" x14ac:dyDescent="0.25">
      <c r="B6" s="39" t="s">
        <v>60</v>
      </c>
      <c r="C6" s="42">
        <v>4.1365999999999996</v>
      </c>
      <c r="D6" s="42">
        <v>-0.49280000000000002</v>
      </c>
      <c r="E6" s="40">
        <v>7.0000000000000001E-3</v>
      </c>
      <c r="F6" s="49">
        <v>0.7</v>
      </c>
      <c r="G6" s="43">
        <v>11</v>
      </c>
      <c r="H6" s="307">
        <v>1.5</v>
      </c>
    </row>
    <row r="9" spans="2:8" x14ac:dyDescent="0.25">
      <c r="B9" s="64" t="s">
        <v>402</v>
      </c>
    </row>
    <row r="10" spans="2:8" ht="15.6" x14ac:dyDescent="0.35">
      <c r="B10" s="270" t="s">
        <v>425</v>
      </c>
      <c r="C10" s="30" t="s">
        <v>0</v>
      </c>
      <c r="D10" s="30" t="s">
        <v>1</v>
      </c>
      <c r="E10" s="30" t="s">
        <v>2</v>
      </c>
      <c r="F10" s="258" t="s">
        <v>406</v>
      </c>
      <c r="G10" s="259" t="s">
        <v>407</v>
      </c>
      <c r="H10" s="316" t="s">
        <v>470</v>
      </c>
    </row>
    <row r="11" spans="2:8" x14ac:dyDescent="0.25">
      <c r="B11" s="249" t="s">
        <v>408</v>
      </c>
      <c r="C11" s="260">
        <v>4.7680999999999996</v>
      </c>
      <c r="D11" s="260">
        <v>-2.5999999999999999E-2</v>
      </c>
      <c r="E11" s="260">
        <v>2.4E-2</v>
      </c>
      <c r="F11" s="261">
        <v>0.5</v>
      </c>
      <c r="G11" s="259">
        <v>1.7</v>
      </c>
      <c r="H11" s="317">
        <v>1.5</v>
      </c>
    </row>
    <row r="12" spans="2:8" x14ac:dyDescent="0.25">
      <c r="B12" s="250" t="s">
        <v>403</v>
      </c>
      <c r="C12" s="246">
        <v>4.3612000000000002</v>
      </c>
      <c r="D12" s="246">
        <v>-0.1236</v>
      </c>
      <c r="E12" s="246">
        <v>-4.8999999999999998E-3</v>
      </c>
      <c r="F12" s="150">
        <v>0.5</v>
      </c>
      <c r="G12" s="262">
        <v>1</v>
      </c>
      <c r="H12" s="318">
        <v>1.5</v>
      </c>
    </row>
    <row r="13" spans="2:8" x14ac:dyDescent="0.25">
      <c r="B13" s="250" t="s">
        <v>404</v>
      </c>
      <c r="C13" s="246">
        <v>4.8600000000000003</v>
      </c>
      <c r="D13" s="246">
        <v>-0.66600000000000004</v>
      </c>
      <c r="E13" s="246">
        <v>0.10630000000000001</v>
      </c>
      <c r="F13" s="150">
        <v>0.5</v>
      </c>
      <c r="G13" s="262">
        <v>1.1000000000000001</v>
      </c>
      <c r="H13" s="318">
        <v>1.5</v>
      </c>
    </row>
    <row r="14" spans="2:8" x14ac:dyDescent="0.25">
      <c r="B14" s="251" t="s">
        <v>405</v>
      </c>
      <c r="C14" s="263">
        <v>4.9696999999999996</v>
      </c>
      <c r="D14" s="263">
        <v>0.16889999999999999</v>
      </c>
      <c r="E14" s="263">
        <v>3.8E-3</v>
      </c>
      <c r="F14" s="264">
        <v>0.3</v>
      </c>
      <c r="G14" s="265">
        <v>2</v>
      </c>
      <c r="H14" s="319">
        <v>1.5</v>
      </c>
    </row>
    <row r="15" spans="2:8" x14ac:dyDescent="0.25">
      <c r="B15" s="1"/>
      <c r="C15" s="246"/>
      <c r="D15" s="246"/>
      <c r="E15" s="246"/>
      <c r="F15" s="150"/>
      <c r="G15" s="150"/>
    </row>
    <row r="16" spans="2:8" x14ac:dyDescent="0.25">
      <c r="B16" s="1"/>
      <c r="C16" s="246"/>
      <c r="D16" s="246"/>
      <c r="E16" s="246"/>
      <c r="F16" s="150"/>
      <c r="G16" s="150"/>
    </row>
    <row r="17" spans="2:10" x14ac:dyDescent="0.25">
      <c r="B17" s="28" t="s">
        <v>59</v>
      </c>
    </row>
    <row r="18" spans="2:10" ht="15.6" x14ac:dyDescent="0.35">
      <c r="B18" s="257" t="s">
        <v>98</v>
      </c>
      <c r="C18" s="30" t="s">
        <v>0</v>
      </c>
      <c r="D18" s="30" t="s">
        <v>1</v>
      </c>
      <c r="E18" s="30" t="s">
        <v>2</v>
      </c>
      <c r="F18" s="30" t="s">
        <v>52</v>
      </c>
      <c r="G18" s="30" t="s">
        <v>54</v>
      </c>
      <c r="H18" s="30" t="s">
        <v>55</v>
      </c>
      <c r="I18" s="30" t="s">
        <v>61</v>
      </c>
      <c r="J18" s="31" t="s">
        <v>62</v>
      </c>
    </row>
    <row r="19" spans="2:10" x14ac:dyDescent="0.25">
      <c r="B19" s="29" t="s">
        <v>58</v>
      </c>
      <c r="C19" s="32">
        <v>2.2890999999999999</v>
      </c>
      <c r="D19" s="32">
        <v>1.3604000000000001</v>
      </c>
      <c r="E19" s="32">
        <v>-0.1027</v>
      </c>
      <c r="F19" s="33">
        <v>2.74</v>
      </c>
      <c r="G19" s="33">
        <v>5.75</v>
      </c>
      <c r="H19" s="33">
        <v>11.45</v>
      </c>
      <c r="I19" s="30">
        <v>450</v>
      </c>
      <c r="J19" s="31">
        <v>3000</v>
      </c>
    </row>
    <row r="20" spans="2:10" x14ac:dyDescent="0.25">
      <c r="B20" s="34" t="s">
        <v>48</v>
      </c>
      <c r="C20" s="35">
        <v>2.2890999999999999</v>
      </c>
      <c r="D20" s="35">
        <v>1.3604000000000001</v>
      </c>
      <c r="E20" s="35">
        <v>-0.1027</v>
      </c>
      <c r="F20" s="36">
        <v>3.83</v>
      </c>
      <c r="G20" s="36">
        <v>8.0399999999999991</v>
      </c>
      <c r="H20" s="36">
        <v>15.92</v>
      </c>
      <c r="I20" s="37">
        <v>450</v>
      </c>
      <c r="J20" s="38">
        <v>3000</v>
      </c>
    </row>
    <row r="21" spans="2:10" x14ac:dyDescent="0.25">
      <c r="B21" s="34" t="s">
        <v>60</v>
      </c>
      <c r="C21" s="35">
        <v>5.0354999999999999</v>
      </c>
      <c r="D21" s="35">
        <v>-1.8002</v>
      </c>
      <c r="E21" s="35">
        <v>0.82530000000000003</v>
      </c>
      <c r="F21" s="36">
        <v>2.41</v>
      </c>
      <c r="G21" s="36">
        <v>5.04</v>
      </c>
      <c r="H21" s="36">
        <v>9.85</v>
      </c>
      <c r="I21" s="37">
        <v>18</v>
      </c>
      <c r="J21" s="38">
        <v>950</v>
      </c>
    </row>
    <row r="22" spans="2:10" x14ac:dyDescent="0.25">
      <c r="B22" s="39" t="s">
        <v>57</v>
      </c>
      <c r="C22" s="40">
        <v>2.2890999999999999</v>
      </c>
      <c r="D22" s="40">
        <v>1.3604000000000001</v>
      </c>
      <c r="E22" s="40">
        <v>-0.1027</v>
      </c>
      <c r="F22" s="41">
        <v>3.37</v>
      </c>
      <c r="G22" s="41">
        <v>7</v>
      </c>
      <c r="H22" s="41">
        <v>13.88</v>
      </c>
      <c r="I22" s="42">
        <v>450</v>
      </c>
      <c r="J22" s="43">
        <v>3000</v>
      </c>
    </row>
    <row r="23" spans="2:10" x14ac:dyDescent="0.25">
      <c r="B23" s="20"/>
      <c r="C23" s="35"/>
      <c r="D23" s="35"/>
      <c r="E23" s="35"/>
      <c r="F23" s="36"/>
      <c r="G23" s="36"/>
      <c r="H23" s="36"/>
      <c r="I23" s="37"/>
      <c r="J23" s="37"/>
    </row>
    <row r="24" spans="2:10" x14ac:dyDescent="0.25">
      <c r="B24" s="20"/>
      <c r="C24" s="35"/>
      <c r="D24" s="35"/>
      <c r="E24" s="35"/>
      <c r="F24" s="36"/>
      <c r="G24" s="36"/>
      <c r="H24" s="36"/>
      <c r="I24" s="37"/>
      <c r="J24" s="37"/>
    </row>
    <row r="25" spans="2:10" x14ac:dyDescent="0.25">
      <c r="B25" s="64" t="s">
        <v>341</v>
      </c>
      <c r="C25" s="20"/>
      <c r="D25" s="35"/>
      <c r="E25" s="35"/>
      <c r="F25" s="20"/>
      <c r="G25" s="48"/>
      <c r="H25" s="36"/>
      <c r="I25" s="37"/>
    </row>
    <row r="26" spans="2:10" ht="16.8" x14ac:dyDescent="0.35">
      <c r="B26" s="256" t="s">
        <v>400</v>
      </c>
      <c r="C26" s="45" t="s">
        <v>0</v>
      </c>
      <c r="D26" s="45" t="s">
        <v>1</v>
      </c>
      <c r="E26" s="45" t="s">
        <v>2</v>
      </c>
      <c r="F26" s="45" t="s">
        <v>342</v>
      </c>
      <c r="G26" s="73" t="s">
        <v>343</v>
      </c>
      <c r="H26" s="316" t="s">
        <v>470</v>
      </c>
      <c r="I26" s="37"/>
      <c r="J26" s="37"/>
    </row>
    <row r="27" spans="2:10" x14ac:dyDescent="0.25">
      <c r="B27" s="29" t="s">
        <v>344</v>
      </c>
      <c r="C27" s="32">
        <v>3.9255</v>
      </c>
      <c r="D27" s="32">
        <v>-0.49609999999999999</v>
      </c>
      <c r="E27" s="32">
        <v>0.15060000000000001</v>
      </c>
      <c r="F27" s="66">
        <v>1</v>
      </c>
      <c r="G27" s="69">
        <v>15</v>
      </c>
      <c r="H27" s="317">
        <v>2</v>
      </c>
      <c r="I27" s="37"/>
      <c r="J27" s="37"/>
    </row>
    <row r="28" spans="2:10" x14ac:dyDescent="0.25">
      <c r="B28" s="34" t="s">
        <v>345</v>
      </c>
      <c r="C28" s="35">
        <v>4.0636999999999999</v>
      </c>
      <c r="D28" s="35">
        <v>-0.74160000000000004</v>
      </c>
      <c r="E28" s="35">
        <v>0.155</v>
      </c>
      <c r="F28" s="252">
        <v>0.5</v>
      </c>
      <c r="G28" s="68">
        <v>325</v>
      </c>
      <c r="H28" s="318">
        <v>2</v>
      </c>
      <c r="I28" s="37"/>
      <c r="J28" s="37"/>
    </row>
    <row r="29" spans="2:10" x14ac:dyDescent="0.25">
      <c r="B29" s="34" t="s">
        <v>346</v>
      </c>
      <c r="C29" s="35">
        <v>4.6616</v>
      </c>
      <c r="D29" s="35">
        <v>-0.67949999999999999</v>
      </c>
      <c r="E29" s="35">
        <v>6.3799999999999996E-2</v>
      </c>
      <c r="F29" s="48">
        <v>0.75</v>
      </c>
      <c r="G29" s="68">
        <v>65</v>
      </c>
      <c r="H29" s="318">
        <v>2</v>
      </c>
      <c r="I29" s="37"/>
      <c r="J29" s="37"/>
    </row>
    <row r="30" spans="2:10" x14ac:dyDescent="0.25">
      <c r="B30" s="39" t="s">
        <v>347</v>
      </c>
      <c r="C30" s="40">
        <v>3.6061999999999999</v>
      </c>
      <c r="D30" s="40">
        <v>-0.73409999999999997</v>
      </c>
      <c r="E30" s="40">
        <v>0.19819999999999999</v>
      </c>
      <c r="F30" s="49">
        <v>0.5</v>
      </c>
      <c r="G30" s="70">
        <v>30</v>
      </c>
      <c r="H30" s="319">
        <v>2</v>
      </c>
      <c r="I30" s="37"/>
      <c r="J30" s="37"/>
    </row>
    <row r="31" spans="2:10" x14ac:dyDescent="0.25">
      <c r="B31" s="20"/>
      <c r="C31" s="35"/>
      <c r="D31" s="35"/>
      <c r="E31" s="35"/>
      <c r="F31" s="36"/>
      <c r="G31" s="36"/>
      <c r="H31" s="36"/>
      <c r="I31" s="37"/>
      <c r="J31" s="37"/>
    </row>
    <row r="32" spans="2:10" x14ac:dyDescent="0.25">
      <c r="B32" s="20"/>
      <c r="C32" s="35"/>
      <c r="D32" s="35"/>
      <c r="E32" s="35"/>
      <c r="F32" s="36"/>
      <c r="G32" s="36"/>
      <c r="H32" s="36"/>
      <c r="I32" s="37"/>
      <c r="J32" s="37"/>
    </row>
    <row r="33" spans="2:12" x14ac:dyDescent="0.25">
      <c r="B33" s="64" t="s">
        <v>348</v>
      </c>
      <c r="C33" s="20"/>
      <c r="D33" s="35"/>
      <c r="E33" s="35"/>
      <c r="F33" s="20"/>
      <c r="G33" s="48"/>
      <c r="H33" s="36"/>
      <c r="I33" s="37"/>
      <c r="J33" s="37"/>
    </row>
    <row r="34" spans="2:12" ht="16.8" x14ac:dyDescent="0.35">
      <c r="B34" s="256" t="s">
        <v>413</v>
      </c>
      <c r="C34" s="45" t="s">
        <v>0</v>
      </c>
      <c r="D34" s="45" t="s">
        <v>1</v>
      </c>
      <c r="E34" s="45" t="s">
        <v>2</v>
      </c>
      <c r="F34" s="45" t="s">
        <v>349</v>
      </c>
      <c r="G34" s="73" t="s">
        <v>350</v>
      </c>
      <c r="H34" s="316" t="s">
        <v>470</v>
      </c>
      <c r="I34" s="37"/>
      <c r="J34" s="37"/>
    </row>
    <row r="35" spans="2:12" x14ac:dyDescent="0.25">
      <c r="B35" s="47" t="s">
        <v>351</v>
      </c>
      <c r="C35" s="214">
        <v>4.5096999999999996</v>
      </c>
      <c r="D35" s="214">
        <v>-0.82689999999999997</v>
      </c>
      <c r="E35" s="214">
        <v>0.13439999999999999</v>
      </c>
      <c r="F35" s="72">
        <v>1.5</v>
      </c>
      <c r="G35" s="73">
        <v>30</v>
      </c>
      <c r="H35" s="320">
        <v>1.5</v>
      </c>
      <c r="I35" s="37"/>
      <c r="J35" s="37"/>
    </row>
    <row r="36" spans="2:12" x14ac:dyDescent="0.25">
      <c r="B36" s="20"/>
      <c r="C36" s="35"/>
      <c r="D36" s="35"/>
      <c r="E36" s="35"/>
      <c r="F36" s="36"/>
      <c r="G36" s="36"/>
      <c r="H36" s="36"/>
      <c r="I36" s="37"/>
      <c r="J36" s="37"/>
    </row>
    <row r="37" spans="2:12" x14ac:dyDescent="0.25">
      <c r="B37" s="20"/>
      <c r="C37" s="35"/>
      <c r="D37" s="35"/>
      <c r="E37" s="35"/>
      <c r="F37" s="36"/>
      <c r="G37" s="36"/>
      <c r="H37" s="36"/>
      <c r="I37" s="37"/>
      <c r="J37" s="37"/>
    </row>
    <row r="38" spans="2:12" x14ac:dyDescent="0.25">
      <c r="B38" s="28" t="s">
        <v>40</v>
      </c>
    </row>
    <row r="39" spans="2:12" ht="15.6" x14ac:dyDescent="0.35">
      <c r="B39" s="44" t="s">
        <v>97</v>
      </c>
      <c r="C39" s="45" t="s">
        <v>0</v>
      </c>
      <c r="D39" s="45" t="s">
        <v>1</v>
      </c>
      <c r="E39" s="45" t="s">
        <v>2</v>
      </c>
      <c r="F39" s="45" t="s">
        <v>50</v>
      </c>
      <c r="G39" s="45" t="s">
        <v>61</v>
      </c>
      <c r="H39" s="46" t="s">
        <v>62</v>
      </c>
    </row>
    <row r="40" spans="2:12" x14ac:dyDescent="0.25">
      <c r="B40" s="34" t="s">
        <v>41</v>
      </c>
      <c r="C40" s="37">
        <v>2.4603999999999999</v>
      </c>
      <c r="D40" s="37">
        <v>1.4191</v>
      </c>
      <c r="E40" s="30">
        <v>-0.17979999999999999</v>
      </c>
      <c r="F40" s="30">
        <v>1.5</v>
      </c>
      <c r="G40" s="30">
        <v>75</v>
      </c>
      <c r="H40" s="31">
        <v>2600</v>
      </c>
    </row>
    <row r="41" spans="2:12" x14ac:dyDescent="0.25">
      <c r="B41" s="34" t="s">
        <v>42</v>
      </c>
      <c r="C41" s="37">
        <v>1.956</v>
      </c>
      <c r="D41" s="37">
        <v>1.7141999999999999</v>
      </c>
      <c r="E41" s="37">
        <v>-0.22819999999999999</v>
      </c>
      <c r="F41" s="37">
        <v>1.5</v>
      </c>
      <c r="G41" s="37">
        <v>75</v>
      </c>
      <c r="H41" s="38">
        <v>2600</v>
      </c>
    </row>
    <row r="42" spans="2:12" x14ac:dyDescent="0.25">
      <c r="B42" s="39" t="s">
        <v>43</v>
      </c>
      <c r="C42" s="42">
        <v>2.9508000000000001</v>
      </c>
      <c r="D42" s="42">
        <v>1.0688</v>
      </c>
      <c r="E42" s="42">
        <v>-0.13150000000000001</v>
      </c>
      <c r="F42" s="42">
        <v>1.5</v>
      </c>
      <c r="G42" s="42">
        <v>75</v>
      </c>
      <c r="H42" s="43">
        <v>2600</v>
      </c>
    </row>
    <row r="43" spans="2:12" x14ac:dyDescent="0.25">
      <c r="B43" s="47"/>
      <c r="C43" s="45"/>
      <c r="D43" s="45"/>
      <c r="E43" s="45"/>
      <c r="F43" s="45"/>
      <c r="G43" s="45"/>
      <c r="H43" s="46"/>
    </row>
    <row r="44" spans="2:12" ht="15.6" x14ac:dyDescent="0.35">
      <c r="B44" s="44" t="s">
        <v>99</v>
      </c>
      <c r="C44" s="45" t="s">
        <v>0</v>
      </c>
      <c r="D44" s="45" t="s">
        <v>1</v>
      </c>
      <c r="E44" s="45" t="s">
        <v>2</v>
      </c>
      <c r="F44" s="45" t="s">
        <v>50</v>
      </c>
      <c r="G44" s="45" t="s">
        <v>61</v>
      </c>
      <c r="H44" s="46" t="s">
        <v>62</v>
      </c>
    </row>
    <row r="45" spans="2:12" x14ac:dyDescent="0.25">
      <c r="B45" s="34" t="s">
        <v>44</v>
      </c>
      <c r="C45" s="37">
        <v>-21.770199999999999</v>
      </c>
      <c r="D45" s="37">
        <v>13.217499999999999</v>
      </c>
      <c r="E45" s="35">
        <v>-1.5279</v>
      </c>
      <c r="F45" s="30">
        <v>3.5</v>
      </c>
      <c r="G45" s="30">
        <v>7500</v>
      </c>
      <c r="H45" s="31">
        <v>23000</v>
      </c>
    </row>
    <row r="46" spans="2:12" x14ac:dyDescent="0.25">
      <c r="B46" s="34" t="s">
        <v>45</v>
      </c>
      <c r="C46" s="37">
        <v>2.6259000000000001</v>
      </c>
      <c r="D46" s="37">
        <v>1.4398</v>
      </c>
      <c r="E46" s="35">
        <v>-0.17760000000000001</v>
      </c>
      <c r="F46" s="37">
        <v>3.5</v>
      </c>
      <c r="G46" s="37">
        <v>70</v>
      </c>
      <c r="H46" s="38">
        <v>7500</v>
      </c>
      <c r="L46" s="20"/>
    </row>
    <row r="47" spans="2:12" x14ac:dyDescent="0.25">
      <c r="B47" s="39" t="s">
        <v>46</v>
      </c>
      <c r="C47" s="42">
        <v>2.7635000000000001</v>
      </c>
      <c r="D47" s="42">
        <v>0.85740000000000005</v>
      </c>
      <c r="E47" s="40">
        <v>-9.7999999999999997E-3</v>
      </c>
      <c r="F47" s="41">
        <v>2</v>
      </c>
      <c r="G47" s="42">
        <v>10</v>
      </c>
      <c r="H47" s="43">
        <v>10000</v>
      </c>
    </row>
    <row r="48" spans="2:12" x14ac:dyDescent="0.25">
      <c r="B48" s="20"/>
      <c r="C48" s="37"/>
      <c r="D48" s="37"/>
      <c r="E48" s="35"/>
      <c r="F48" s="36"/>
    </row>
    <row r="50" spans="2:8" x14ac:dyDescent="0.25">
      <c r="B50" s="64" t="s">
        <v>352</v>
      </c>
      <c r="C50" s="20"/>
      <c r="D50" s="35"/>
      <c r="E50" s="35"/>
      <c r="F50" s="20"/>
      <c r="G50" s="48"/>
    </row>
    <row r="51" spans="2:8" ht="16.8" x14ac:dyDescent="0.35">
      <c r="B51" s="256" t="s">
        <v>399</v>
      </c>
      <c r="C51" s="45" t="s">
        <v>0</v>
      </c>
      <c r="D51" s="45" t="s">
        <v>1</v>
      </c>
      <c r="E51" s="45" t="s">
        <v>2</v>
      </c>
      <c r="F51" s="45" t="s">
        <v>342</v>
      </c>
      <c r="G51" s="73" t="s">
        <v>343</v>
      </c>
      <c r="H51" s="305" t="s">
        <v>50</v>
      </c>
    </row>
    <row r="52" spans="2:8" x14ac:dyDescent="0.25">
      <c r="B52" s="29" t="s">
        <v>353</v>
      </c>
      <c r="C52" s="32">
        <v>4.5472000000000001</v>
      </c>
      <c r="D52" s="32">
        <v>-0.72689999999999999</v>
      </c>
      <c r="E52" s="32">
        <v>0.13400000000000001</v>
      </c>
      <c r="F52" s="66">
        <v>0.5</v>
      </c>
      <c r="G52" s="69">
        <v>50</v>
      </c>
      <c r="H52" s="306">
        <v>1.5</v>
      </c>
    </row>
    <row r="53" spans="2:8" x14ac:dyDescent="0.25">
      <c r="B53" s="34" t="s">
        <v>354</v>
      </c>
      <c r="C53" s="35">
        <v>3.5644999999999998</v>
      </c>
      <c r="D53" s="35">
        <v>0.1118</v>
      </c>
      <c r="E53" s="35">
        <v>-7.7700000000000005E-2</v>
      </c>
      <c r="F53" s="48">
        <v>5</v>
      </c>
      <c r="G53" s="68">
        <v>100</v>
      </c>
      <c r="H53" s="306">
        <v>1.5</v>
      </c>
    </row>
    <row r="54" spans="2:8" x14ac:dyDescent="0.25">
      <c r="B54" s="39" t="s">
        <v>355</v>
      </c>
      <c r="C54" s="40">
        <v>3.6951000000000001</v>
      </c>
      <c r="D54" s="40">
        <v>-0.45579999999999998</v>
      </c>
      <c r="E54" s="40">
        <v>-0.12479999999999999</v>
      </c>
      <c r="F54" s="49">
        <v>1.8</v>
      </c>
      <c r="G54" s="70">
        <v>20</v>
      </c>
      <c r="H54" s="307">
        <v>1.5</v>
      </c>
    </row>
    <row r="55" spans="2:8" x14ac:dyDescent="0.25">
      <c r="B55" s="1"/>
      <c r="C55" s="246"/>
      <c r="D55" s="246"/>
      <c r="E55" s="246"/>
      <c r="F55" s="150"/>
      <c r="G55" s="150"/>
    </row>
    <row r="56" spans="2:8" x14ac:dyDescent="0.25">
      <c r="B56" s="1"/>
      <c r="C56" s="1"/>
      <c r="D56" s="246"/>
      <c r="E56" s="246"/>
      <c r="F56" s="1"/>
      <c r="G56" s="150"/>
    </row>
    <row r="57" spans="2:8" x14ac:dyDescent="0.25">
      <c r="B57" s="64" t="s">
        <v>356</v>
      </c>
      <c r="C57" s="20"/>
      <c r="D57" s="35"/>
      <c r="E57" s="35"/>
      <c r="F57" s="20"/>
      <c r="G57" s="48"/>
    </row>
    <row r="58" spans="2:8" ht="16.8" x14ac:dyDescent="0.35">
      <c r="B58" s="256" t="s">
        <v>398</v>
      </c>
      <c r="C58" s="45" t="s">
        <v>0</v>
      </c>
      <c r="D58" s="45" t="s">
        <v>1</v>
      </c>
      <c r="E58" s="45" t="s">
        <v>2</v>
      </c>
      <c r="F58" s="45" t="s">
        <v>357</v>
      </c>
      <c r="G58" s="73" t="s">
        <v>358</v>
      </c>
      <c r="H58" s="305" t="s">
        <v>50</v>
      </c>
    </row>
    <row r="59" spans="2:8" x14ac:dyDescent="0.25">
      <c r="B59" s="29" t="s">
        <v>359</v>
      </c>
      <c r="C59" s="32">
        <v>4.5007000000000001</v>
      </c>
      <c r="D59" s="32">
        <v>-0.58179999999999998</v>
      </c>
      <c r="E59" s="32">
        <v>8.1299999999999997E-2</v>
      </c>
      <c r="F59" s="66">
        <v>0.08</v>
      </c>
      <c r="G59" s="69">
        <v>350</v>
      </c>
      <c r="H59" s="321">
        <v>1.5</v>
      </c>
    </row>
    <row r="60" spans="2:8" x14ac:dyDescent="0.25">
      <c r="B60" s="34" t="s">
        <v>409</v>
      </c>
      <c r="C60" s="35">
        <v>3.6297999999999999</v>
      </c>
      <c r="D60" s="35">
        <v>-0.49909999999999999</v>
      </c>
      <c r="E60" s="35">
        <v>4.1099999999999998E-2</v>
      </c>
      <c r="F60" s="48">
        <v>0.06</v>
      </c>
      <c r="G60" s="68">
        <v>200</v>
      </c>
      <c r="H60" s="306">
        <v>1.5</v>
      </c>
    </row>
    <row r="61" spans="2:8" x14ac:dyDescent="0.25">
      <c r="B61" s="266" t="s">
        <v>410</v>
      </c>
      <c r="C61" s="35">
        <v>4.1520000000000001</v>
      </c>
      <c r="D61" s="35">
        <v>-0.52990000000000004</v>
      </c>
      <c r="E61" s="35">
        <v>1.7100000000000001E-2</v>
      </c>
      <c r="F61" s="48">
        <v>0.1</v>
      </c>
      <c r="G61" s="68">
        <v>50</v>
      </c>
      <c r="H61" s="306"/>
    </row>
    <row r="62" spans="2:8" x14ac:dyDescent="0.25">
      <c r="B62" s="266" t="s">
        <v>411</v>
      </c>
      <c r="C62" s="35"/>
      <c r="D62" s="35"/>
      <c r="E62" s="35"/>
      <c r="F62" s="48"/>
      <c r="G62" s="68"/>
      <c r="H62" s="306"/>
    </row>
    <row r="63" spans="2:8" x14ac:dyDescent="0.25">
      <c r="B63" s="266" t="s">
        <v>412</v>
      </c>
      <c r="C63" s="35"/>
      <c r="D63" s="35"/>
      <c r="E63" s="35"/>
      <c r="F63" s="48"/>
      <c r="G63" s="68"/>
      <c r="H63" s="306"/>
    </row>
    <row r="64" spans="2:8" x14ac:dyDescent="0.25">
      <c r="B64" s="34" t="s">
        <v>360</v>
      </c>
      <c r="C64" s="35">
        <v>3.6297999999999999</v>
      </c>
      <c r="D64" s="35">
        <v>-0.49909999999999999</v>
      </c>
      <c r="E64" s="35">
        <v>4.1099999999999998E-2</v>
      </c>
      <c r="F64" s="48">
        <v>0.06</v>
      </c>
      <c r="G64" s="68">
        <v>200</v>
      </c>
      <c r="H64" s="306">
        <v>1.5</v>
      </c>
    </row>
    <row r="65" spans="2:24" x14ac:dyDescent="0.25">
      <c r="B65" s="39" t="s">
        <v>361</v>
      </c>
      <c r="C65" s="40">
        <v>3.6297999999999999</v>
      </c>
      <c r="D65" s="40">
        <v>-0.49909999999999999</v>
      </c>
      <c r="E65" s="40">
        <v>4.1099999999999998E-2</v>
      </c>
      <c r="F65" s="49">
        <v>0.06</v>
      </c>
      <c r="G65" s="70">
        <v>200</v>
      </c>
      <c r="H65" s="307">
        <v>1.5</v>
      </c>
    </row>
    <row r="68" spans="2:24" x14ac:dyDescent="0.25">
      <c r="B68" s="28" t="s">
        <v>100</v>
      </c>
    </row>
    <row r="69" spans="2:24" ht="15.6" x14ac:dyDescent="0.35">
      <c r="B69" s="44" t="s">
        <v>101</v>
      </c>
      <c r="C69" s="45" t="s">
        <v>0</v>
      </c>
      <c r="D69" s="45" t="s">
        <v>1</v>
      </c>
      <c r="E69" s="45" t="s">
        <v>2</v>
      </c>
      <c r="F69" s="45" t="s">
        <v>52</v>
      </c>
      <c r="G69" s="45" t="s">
        <v>63</v>
      </c>
      <c r="H69" s="45" t="s">
        <v>54</v>
      </c>
      <c r="I69" s="45" t="s">
        <v>55</v>
      </c>
      <c r="J69" s="207" t="s">
        <v>327</v>
      </c>
      <c r="K69" s="207" t="s">
        <v>3</v>
      </c>
      <c r="L69" s="207" t="s">
        <v>4</v>
      </c>
      <c r="M69" s="207" t="s">
        <v>5</v>
      </c>
      <c r="N69" s="45" t="s">
        <v>66</v>
      </c>
      <c r="O69" s="45" t="s">
        <v>67</v>
      </c>
      <c r="P69" s="46" t="s">
        <v>68</v>
      </c>
      <c r="Q69" s="206"/>
      <c r="R69" s="206"/>
      <c r="S69" s="206"/>
      <c r="T69" s="206"/>
      <c r="U69" s="206"/>
      <c r="V69" s="206"/>
      <c r="W69" s="206"/>
      <c r="X69" s="206"/>
    </row>
    <row r="70" spans="2:24" x14ac:dyDescent="0.25">
      <c r="B70" s="29" t="s">
        <v>94</v>
      </c>
      <c r="C70" s="32">
        <v>3.5390999999999999</v>
      </c>
      <c r="D70" s="32">
        <v>-0.3533</v>
      </c>
      <c r="E70" s="32">
        <v>0.44769999999999999</v>
      </c>
      <c r="F70" s="33">
        <v>2.74</v>
      </c>
      <c r="G70" s="33">
        <v>4.97</v>
      </c>
      <c r="H70" s="33">
        <v>5.75</v>
      </c>
      <c r="I70" s="33">
        <v>11.45</v>
      </c>
      <c r="J70" s="66">
        <v>0.01</v>
      </c>
      <c r="K70" s="66">
        <v>0</v>
      </c>
      <c r="L70" s="210">
        <v>0.20899000000000001</v>
      </c>
      <c r="M70" s="210">
        <v>-3.2800000000000003E-2</v>
      </c>
      <c r="N70" s="30">
        <v>1</v>
      </c>
      <c r="O70" s="30">
        <v>100</v>
      </c>
      <c r="P70" s="31">
        <v>0.16</v>
      </c>
    </row>
    <row r="71" spans="2:24" x14ac:dyDescent="0.25">
      <c r="B71" s="34" t="s">
        <v>95</v>
      </c>
      <c r="C71" s="35">
        <v>3.3471000000000002</v>
      </c>
      <c r="D71" s="35">
        <v>-7.3400000000000007E-2</v>
      </c>
      <c r="E71" s="35">
        <v>0.309</v>
      </c>
      <c r="F71" s="36">
        <v>2.74</v>
      </c>
      <c r="G71" s="36">
        <v>4.97</v>
      </c>
      <c r="H71" s="36">
        <v>5.75</v>
      </c>
      <c r="I71" s="36">
        <v>11.45</v>
      </c>
      <c r="J71" s="48">
        <v>0.01</v>
      </c>
      <c r="K71" s="48">
        <v>0</v>
      </c>
      <c r="L71" s="208">
        <v>0.20899000000000001</v>
      </c>
      <c r="M71" s="208">
        <v>-3.2800000000000003E-2</v>
      </c>
      <c r="N71" s="37">
        <v>1</v>
      </c>
      <c r="O71" s="37">
        <v>100</v>
      </c>
      <c r="P71" s="38">
        <v>0.16</v>
      </c>
    </row>
    <row r="72" spans="2:24" x14ac:dyDescent="0.25">
      <c r="B72" s="34" t="s">
        <v>64</v>
      </c>
      <c r="C72" s="35">
        <v>3.0413999999999999</v>
      </c>
      <c r="D72" s="35">
        <v>-0.33750000000000002</v>
      </c>
      <c r="E72" s="35">
        <v>0.47220000000000001</v>
      </c>
      <c r="F72" s="36">
        <v>2.74</v>
      </c>
      <c r="G72" s="36">
        <v>4.97</v>
      </c>
      <c r="H72" s="36">
        <v>5.75</v>
      </c>
      <c r="I72" s="36">
        <v>11.45</v>
      </c>
      <c r="J72" s="48">
        <v>0.04</v>
      </c>
      <c r="K72" s="48">
        <v>0</v>
      </c>
      <c r="L72" s="208">
        <v>0.20899000000000001</v>
      </c>
      <c r="M72" s="208">
        <v>-3.2800000000000003E-2</v>
      </c>
      <c r="N72" s="37">
        <v>1</v>
      </c>
      <c r="O72" s="37">
        <v>100</v>
      </c>
      <c r="P72" s="38">
        <v>0.16</v>
      </c>
    </row>
    <row r="73" spans="2:24" x14ac:dyDescent="0.25">
      <c r="B73" s="39" t="s">
        <v>65</v>
      </c>
      <c r="C73" s="40">
        <v>3.1760999999999999</v>
      </c>
      <c r="D73" s="40">
        <v>-0.13730000000000001</v>
      </c>
      <c r="E73" s="40">
        <v>0.34139999999999998</v>
      </c>
      <c r="F73" s="41">
        <v>2.74</v>
      </c>
      <c r="G73" s="41">
        <v>4.97</v>
      </c>
      <c r="H73" s="41">
        <v>5.75</v>
      </c>
      <c r="I73" s="41">
        <v>11.45</v>
      </c>
      <c r="J73" s="49">
        <v>0.04</v>
      </c>
      <c r="K73" s="49">
        <v>0</v>
      </c>
      <c r="L73" s="209">
        <v>0.20899000000000001</v>
      </c>
      <c r="M73" s="209">
        <v>-3.2800000000000003E-2</v>
      </c>
      <c r="N73" s="42">
        <v>1</v>
      </c>
      <c r="O73" s="42">
        <v>100</v>
      </c>
      <c r="P73" s="211">
        <v>0.16</v>
      </c>
    </row>
    <row r="74" spans="2:24" x14ac:dyDescent="0.25">
      <c r="B74" s="20"/>
      <c r="C74" s="35"/>
      <c r="D74" s="35"/>
      <c r="E74" s="35"/>
      <c r="F74" s="36"/>
      <c r="G74" s="36"/>
      <c r="H74" s="36"/>
      <c r="I74" s="36"/>
      <c r="J74" s="48"/>
      <c r="K74" s="37"/>
      <c r="L74" s="20"/>
      <c r="M74" s="20"/>
      <c r="N74" s="20"/>
      <c r="O74" s="37"/>
      <c r="P74" s="37"/>
    </row>
    <row r="75" spans="2:24" x14ac:dyDescent="0.25">
      <c r="B75" s="20"/>
      <c r="C75" s="35"/>
      <c r="D75" s="35"/>
      <c r="E75" s="35"/>
      <c r="F75" s="36"/>
      <c r="G75" s="36"/>
      <c r="H75" s="36"/>
      <c r="I75" s="36"/>
      <c r="J75" s="48"/>
      <c r="K75" s="37"/>
      <c r="L75" s="20"/>
      <c r="M75" s="20"/>
      <c r="N75" s="20"/>
      <c r="O75" s="37"/>
      <c r="P75" s="37"/>
    </row>
    <row r="76" spans="2:24" x14ac:dyDescent="0.25">
      <c r="B76" s="64" t="s">
        <v>362</v>
      </c>
      <c r="C76" s="20"/>
      <c r="D76" s="246"/>
      <c r="E76" s="246"/>
      <c r="F76" s="1"/>
      <c r="G76" s="150"/>
      <c r="H76" s="36"/>
      <c r="I76" s="36"/>
      <c r="J76" s="48"/>
      <c r="K76" s="37"/>
      <c r="L76" s="20"/>
      <c r="M76" s="20"/>
      <c r="N76" s="20"/>
      <c r="O76" s="37"/>
      <c r="P76" s="37"/>
    </row>
    <row r="77" spans="2:24" ht="16.8" x14ac:dyDescent="0.35">
      <c r="B77" s="255" t="s">
        <v>397</v>
      </c>
      <c r="C77" s="45" t="s">
        <v>0</v>
      </c>
      <c r="D77" s="45" t="s">
        <v>1</v>
      </c>
      <c r="E77" s="45" t="s">
        <v>2</v>
      </c>
      <c r="F77" s="247" t="s">
        <v>342</v>
      </c>
      <c r="G77" s="248" t="s">
        <v>343</v>
      </c>
      <c r="H77" s="305" t="s">
        <v>50</v>
      </c>
      <c r="I77" s="36"/>
      <c r="J77" s="48"/>
      <c r="K77" s="37"/>
      <c r="L77" s="20"/>
      <c r="M77" s="20"/>
      <c r="N77" s="20"/>
      <c r="O77" s="37"/>
      <c r="P77" s="37"/>
    </row>
    <row r="78" spans="2:24" x14ac:dyDescent="0.25">
      <c r="B78" s="249" t="s">
        <v>363</v>
      </c>
      <c r="C78" s="32">
        <v>5.1055000000000001</v>
      </c>
      <c r="D78" s="32">
        <v>-0.50009999999999999</v>
      </c>
      <c r="E78" s="32">
        <v>1E-4</v>
      </c>
      <c r="F78" s="66">
        <v>0.9</v>
      </c>
      <c r="G78" s="69">
        <v>115</v>
      </c>
      <c r="H78" s="321">
        <v>1.5</v>
      </c>
      <c r="I78" s="36"/>
      <c r="J78" s="48"/>
      <c r="K78" s="37"/>
      <c r="L78" s="20"/>
      <c r="M78" s="20"/>
      <c r="N78" s="20"/>
      <c r="O78" s="37"/>
      <c r="P78" s="37"/>
    </row>
    <row r="79" spans="2:24" x14ac:dyDescent="0.25">
      <c r="B79" s="250" t="s">
        <v>364</v>
      </c>
      <c r="C79" s="35">
        <v>3.2107000000000001</v>
      </c>
      <c r="D79" s="35">
        <v>-0.24030000000000001</v>
      </c>
      <c r="E79" s="35">
        <v>2.7000000000000001E-3</v>
      </c>
      <c r="F79" s="48">
        <v>15</v>
      </c>
      <c r="G79" s="68">
        <v>200</v>
      </c>
      <c r="H79" s="306">
        <v>1.5</v>
      </c>
      <c r="I79" s="36"/>
      <c r="J79" s="48"/>
      <c r="K79" s="37"/>
      <c r="L79" s="20"/>
      <c r="M79" s="20"/>
      <c r="N79" s="20"/>
      <c r="O79" s="37"/>
      <c r="P79" s="37"/>
    </row>
    <row r="80" spans="2:24" x14ac:dyDescent="0.25">
      <c r="B80" s="250" t="s">
        <v>365</v>
      </c>
      <c r="C80" s="35">
        <v>4.8122999999999996</v>
      </c>
      <c r="D80" s="35">
        <v>-0.71419999999999995</v>
      </c>
      <c r="E80" s="35">
        <v>4.2000000000000003E-2</v>
      </c>
      <c r="F80" s="48">
        <v>0.9</v>
      </c>
      <c r="G80" s="68">
        <v>300</v>
      </c>
      <c r="H80" s="306">
        <v>1.5</v>
      </c>
      <c r="I80" s="36"/>
      <c r="J80" s="48"/>
      <c r="K80" s="37"/>
      <c r="L80" s="20"/>
      <c r="M80" s="20"/>
      <c r="N80" s="20"/>
      <c r="O80" s="37"/>
      <c r="P80" s="37"/>
    </row>
    <row r="81" spans="2:16" x14ac:dyDescent="0.25">
      <c r="B81" s="250" t="s">
        <v>366</v>
      </c>
      <c r="C81" s="35">
        <v>4.2755999999999998</v>
      </c>
      <c r="D81" s="35">
        <v>-0.64800000000000002</v>
      </c>
      <c r="E81" s="35">
        <v>7.1400000000000005E-2</v>
      </c>
      <c r="F81" s="48">
        <v>0.5</v>
      </c>
      <c r="G81" s="68">
        <v>80</v>
      </c>
      <c r="H81" s="306">
        <v>1.5</v>
      </c>
      <c r="I81" s="36"/>
      <c r="J81" s="48"/>
      <c r="K81" s="37"/>
      <c r="L81" s="20"/>
      <c r="M81" s="20"/>
      <c r="N81" s="20"/>
      <c r="O81" s="37"/>
      <c r="P81" s="37"/>
    </row>
    <row r="82" spans="2:16" x14ac:dyDescent="0.25">
      <c r="B82" s="250" t="s">
        <v>367</v>
      </c>
      <c r="C82" s="35">
        <v>3.8187000000000002</v>
      </c>
      <c r="D82" s="35">
        <v>-0.3765</v>
      </c>
      <c r="E82" s="35">
        <v>1.7600000000000001E-2</v>
      </c>
      <c r="F82" s="48">
        <v>0.6</v>
      </c>
      <c r="G82" s="68">
        <v>235</v>
      </c>
      <c r="H82" s="306">
        <v>1.5</v>
      </c>
      <c r="I82" s="36"/>
      <c r="J82" s="48"/>
      <c r="K82" s="37"/>
      <c r="L82" s="20"/>
      <c r="M82" s="20"/>
      <c r="N82" s="20"/>
      <c r="O82" s="37"/>
      <c r="P82" s="37"/>
    </row>
    <row r="83" spans="2:16" x14ac:dyDescent="0.25">
      <c r="B83" s="34" t="s">
        <v>368</v>
      </c>
      <c r="C83" s="35">
        <v>4.8122999999999996</v>
      </c>
      <c r="D83" s="35">
        <v>-0.71419999999999995</v>
      </c>
      <c r="E83" s="35">
        <v>4.2000000000000003E-2</v>
      </c>
      <c r="F83" s="48">
        <v>0.9</v>
      </c>
      <c r="G83" s="68">
        <v>300</v>
      </c>
      <c r="H83" s="306">
        <v>1.5</v>
      </c>
      <c r="K83" s="37"/>
      <c r="L83" s="20"/>
      <c r="M83" s="20"/>
      <c r="N83" s="20"/>
      <c r="O83" s="37"/>
      <c r="P83" s="37"/>
    </row>
    <row r="84" spans="2:16" x14ac:dyDescent="0.25">
      <c r="B84" s="34" t="s">
        <v>369</v>
      </c>
      <c r="C84" s="35">
        <v>4.2755999999999998</v>
      </c>
      <c r="D84" s="35">
        <v>-0.64800000000000002</v>
      </c>
      <c r="E84" s="35">
        <v>7.1400000000000005E-2</v>
      </c>
      <c r="F84" s="48">
        <v>0.5</v>
      </c>
      <c r="G84" s="68">
        <v>80</v>
      </c>
      <c r="H84" s="306">
        <v>1.5</v>
      </c>
      <c r="I84" s="36"/>
      <c r="J84" s="48"/>
      <c r="K84" s="37"/>
      <c r="L84" s="20"/>
      <c r="M84" s="20"/>
      <c r="N84" s="20"/>
      <c r="O84" s="37"/>
      <c r="P84" s="37"/>
    </row>
    <row r="85" spans="2:16" x14ac:dyDescent="0.25">
      <c r="B85" s="34" t="s">
        <v>370</v>
      </c>
      <c r="C85" s="35">
        <v>5.1055000000000001</v>
      </c>
      <c r="D85" s="35">
        <v>-0.50009999999999999</v>
      </c>
      <c r="E85" s="35">
        <v>1E-4</v>
      </c>
      <c r="F85" s="48">
        <v>0.9</v>
      </c>
      <c r="G85" s="68">
        <v>115</v>
      </c>
      <c r="H85" s="322">
        <v>1.5</v>
      </c>
      <c r="I85" s="36"/>
      <c r="J85" s="48"/>
      <c r="K85" s="37"/>
      <c r="L85" s="20"/>
      <c r="M85" s="20"/>
      <c r="N85" s="20"/>
      <c r="O85" s="37"/>
      <c r="P85" s="37"/>
    </row>
    <row r="86" spans="2:16" x14ac:dyDescent="0.25">
      <c r="B86" s="39" t="s">
        <v>371</v>
      </c>
      <c r="C86" s="40">
        <v>5.1055000000000001</v>
      </c>
      <c r="D86" s="40">
        <v>-0.50009999999999999</v>
      </c>
      <c r="E86" s="40">
        <v>1E-4</v>
      </c>
      <c r="F86" s="49">
        <v>0.9</v>
      </c>
      <c r="G86" s="70">
        <v>115</v>
      </c>
      <c r="H86" s="323">
        <v>1.5</v>
      </c>
      <c r="I86" s="36"/>
      <c r="J86" s="48"/>
      <c r="K86" s="37"/>
      <c r="L86" s="20"/>
      <c r="M86" s="20"/>
      <c r="N86" s="20"/>
      <c r="O86" s="37"/>
      <c r="P86" s="37"/>
    </row>
    <row r="87" spans="2:16" x14ac:dyDescent="0.25">
      <c r="B87" s="20"/>
      <c r="C87" s="35"/>
      <c r="D87" s="35"/>
      <c r="E87" s="35"/>
      <c r="F87" s="36"/>
      <c r="G87" s="36"/>
      <c r="H87" s="36"/>
      <c r="I87" s="36"/>
      <c r="J87" s="48"/>
      <c r="K87" s="37"/>
      <c r="L87" s="20"/>
      <c r="M87" s="20"/>
      <c r="N87" s="20"/>
      <c r="O87" s="37"/>
      <c r="P87" s="37"/>
    </row>
    <row r="88" spans="2:16" x14ac:dyDescent="0.25">
      <c r="B88" s="20"/>
      <c r="C88" s="35"/>
      <c r="D88" s="35"/>
      <c r="E88" s="35"/>
      <c r="F88" s="36"/>
      <c r="G88" s="36"/>
      <c r="H88" s="36"/>
      <c r="I88" s="36"/>
      <c r="J88" s="48"/>
      <c r="K88" s="37"/>
      <c r="L88" s="20"/>
      <c r="M88" s="20"/>
      <c r="N88" s="20"/>
      <c r="O88" s="37"/>
      <c r="P88" s="37"/>
    </row>
    <row r="89" spans="2:16" x14ac:dyDescent="0.25">
      <c r="B89" s="51" t="s">
        <v>86</v>
      </c>
      <c r="L89" s="37"/>
      <c r="M89" s="37"/>
      <c r="N89" s="36"/>
    </row>
    <row r="90" spans="2:16" x14ac:dyDescent="0.25">
      <c r="B90" s="29"/>
      <c r="C90" s="52"/>
      <c r="D90" s="52"/>
      <c r="E90" s="52"/>
      <c r="F90" s="52"/>
      <c r="G90" s="52"/>
      <c r="H90" s="52"/>
      <c r="I90" s="52"/>
      <c r="J90" s="52"/>
      <c r="K90" s="52"/>
      <c r="L90" s="53" t="s">
        <v>112</v>
      </c>
      <c r="M90" s="33"/>
      <c r="N90" s="54"/>
      <c r="O90" s="212"/>
      <c r="P90" s="212"/>
    </row>
    <row r="91" spans="2:16" ht="15.6" x14ac:dyDescent="0.35">
      <c r="B91" s="253" t="s">
        <v>102</v>
      </c>
      <c r="C91" s="42" t="s">
        <v>0</v>
      </c>
      <c r="D91" s="42" t="s">
        <v>1</v>
      </c>
      <c r="E91" s="42" t="s">
        <v>2</v>
      </c>
      <c r="F91" s="42" t="s">
        <v>91</v>
      </c>
      <c r="G91" s="42" t="s">
        <v>92</v>
      </c>
      <c r="H91" s="42" t="s">
        <v>93</v>
      </c>
      <c r="I91" s="42" t="s">
        <v>3</v>
      </c>
      <c r="J91" s="42" t="s">
        <v>4</v>
      </c>
      <c r="K91" s="42" t="s">
        <v>5</v>
      </c>
      <c r="L91" s="42" t="s">
        <v>82</v>
      </c>
      <c r="M91" s="42" t="s">
        <v>113</v>
      </c>
      <c r="N91" s="43" t="s">
        <v>83</v>
      </c>
    </row>
    <row r="92" spans="2:16" x14ac:dyDescent="0.25">
      <c r="B92" s="34" t="s">
        <v>103</v>
      </c>
      <c r="C92" s="37">
        <v>3.0680000000000001</v>
      </c>
      <c r="D92" s="37">
        <v>0.65969999999999995</v>
      </c>
      <c r="E92" s="37">
        <v>1.9400000000000001E-2</v>
      </c>
      <c r="F92" s="37">
        <v>3000</v>
      </c>
      <c r="G92" s="37">
        <v>100000</v>
      </c>
      <c r="H92" s="37">
        <v>200</v>
      </c>
      <c r="I92" s="37">
        <v>0.14050000000000001</v>
      </c>
      <c r="J92" s="37">
        <v>-0.26979999999999998</v>
      </c>
      <c r="K92" s="37">
        <v>0.1293</v>
      </c>
      <c r="L92" s="37">
        <v>2.13</v>
      </c>
      <c r="M92" s="37">
        <v>2.5099999999999998</v>
      </c>
      <c r="N92" s="38">
        <v>2.81</v>
      </c>
    </row>
    <row r="93" spans="2:16" x14ac:dyDescent="0.25">
      <c r="B93" s="55" t="s">
        <v>87</v>
      </c>
      <c r="C93" s="42">
        <v>2.3858999999999999</v>
      </c>
      <c r="D93" s="42">
        <v>0.97209999999999996</v>
      </c>
      <c r="E93" s="42">
        <v>-2.06E-2</v>
      </c>
      <c r="F93" s="56">
        <v>3000</v>
      </c>
      <c r="G93" s="42">
        <v>100000</v>
      </c>
      <c r="H93" s="42">
        <v>200</v>
      </c>
      <c r="I93" s="42">
        <v>0.1017</v>
      </c>
      <c r="J93" s="42">
        <v>-0.19570000000000001</v>
      </c>
      <c r="K93" s="42">
        <v>9.4030000000000002E-2</v>
      </c>
      <c r="L93" s="42">
        <v>2.13</v>
      </c>
      <c r="M93" s="42">
        <v>2.5099999999999998</v>
      </c>
      <c r="N93" s="43">
        <v>2.81</v>
      </c>
    </row>
    <row r="94" spans="2:16" x14ac:dyDescent="0.25">
      <c r="B94" s="57"/>
      <c r="C94" s="37"/>
      <c r="D94" s="37"/>
      <c r="E94" s="37"/>
      <c r="F94" s="37"/>
      <c r="G94" s="37"/>
      <c r="H94" s="37"/>
      <c r="I94" s="37"/>
      <c r="J94" s="37"/>
      <c r="K94" s="37"/>
    </row>
    <row r="95" spans="2:16" x14ac:dyDescent="0.25">
      <c r="B95" s="58"/>
      <c r="C95" s="30"/>
      <c r="D95" s="30"/>
      <c r="E95" s="52"/>
      <c r="F95" s="52"/>
      <c r="G95" s="52"/>
      <c r="H95" s="52"/>
      <c r="I95" s="52"/>
      <c r="J95" s="52"/>
      <c r="K95" s="52"/>
      <c r="L95" s="53" t="s">
        <v>112</v>
      </c>
      <c r="M95" s="33"/>
      <c r="N95" s="54"/>
    </row>
    <row r="96" spans="2:16" ht="15.6" x14ac:dyDescent="0.35">
      <c r="B96" s="59" t="s">
        <v>105</v>
      </c>
      <c r="C96" s="42" t="s">
        <v>0</v>
      </c>
      <c r="D96" s="42" t="s">
        <v>1</v>
      </c>
      <c r="E96" s="42" t="s">
        <v>2</v>
      </c>
      <c r="F96" s="42" t="s">
        <v>91</v>
      </c>
      <c r="G96" s="42" t="s">
        <v>92</v>
      </c>
      <c r="H96" s="42" t="s">
        <v>93</v>
      </c>
      <c r="I96" s="42" t="s">
        <v>3</v>
      </c>
      <c r="J96" s="42" t="s">
        <v>4</v>
      </c>
      <c r="K96" s="42" t="s">
        <v>5</v>
      </c>
      <c r="L96" s="42" t="s">
        <v>82</v>
      </c>
      <c r="M96" s="42" t="s">
        <v>113</v>
      </c>
      <c r="N96" s="43" t="s">
        <v>83</v>
      </c>
    </row>
    <row r="97" spans="2:16" x14ac:dyDescent="0.25">
      <c r="B97" s="55" t="s">
        <v>89</v>
      </c>
      <c r="C97" s="42">
        <v>7.3487999999999998</v>
      </c>
      <c r="D97" s="42">
        <v>-1.1666000000000001</v>
      </c>
      <c r="E97" s="42">
        <v>0.20280000000000001</v>
      </c>
      <c r="F97" s="42">
        <v>1000</v>
      </c>
      <c r="G97" s="42">
        <v>100000</v>
      </c>
      <c r="H97" s="42">
        <v>200</v>
      </c>
      <c r="I97" s="42">
        <v>0.13469999999999999</v>
      </c>
      <c r="J97" s="42">
        <v>-0.23680000000000001</v>
      </c>
      <c r="K97" s="42">
        <v>0.1021</v>
      </c>
      <c r="L97" s="42">
        <v>2.13</v>
      </c>
      <c r="M97" s="42">
        <v>2.5099999999999998</v>
      </c>
      <c r="N97" s="43">
        <v>2.81</v>
      </c>
    </row>
    <row r="98" spans="2:16" x14ac:dyDescent="0.25">
      <c r="B98" s="57"/>
      <c r="C98" s="37"/>
      <c r="D98" s="37"/>
      <c r="E98" s="37"/>
      <c r="F98" s="37"/>
      <c r="G98" s="37"/>
      <c r="H98" s="37"/>
      <c r="I98" s="48"/>
      <c r="J98" s="48"/>
      <c r="K98" s="48"/>
      <c r="L98" s="48"/>
      <c r="M98" s="20"/>
      <c r="N98" s="20"/>
    </row>
    <row r="99" spans="2:16" x14ac:dyDescent="0.25">
      <c r="B99" s="57"/>
      <c r="C99" s="37"/>
      <c r="D99" s="37"/>
      <c r="E99" s="20"/>
      <c r="F99" s="20"/>
      <c r="G99" s="20"/>
      <c r="H99" s="20"/>
      <c r="I99" s="20"/>
      <c r="J99" s="20"/>
      <c r="K99" s="37"/>
      <c r="L99" s="36"/>
      <c r="M99" s="20"/>
      <c r="N99" s="20"/>
    </row>
    <row r="100" spans="2:16" x14ac:dyDescent="0.25">
      <c r="B100" s="58"/>
      <c r="C100" s="30"/>
      <c r="D100" s="30"/>
      <c r="E100" s="52"/>
      <c r="F100" s="52"/>
      <c r="G100" s="52"/>
      <c r="H100" s="52"/>
      <c r="I100" s="52"/>
      <c r="J100" s="52"/>
      <c r="K100" s="30"/>
      <c r="L100" s="33"/>
      <c r="M100" s="52" t="s">
        <v>115</v>
      </c>
      <c r="N100" s="52"/>
      <c r="O100" s="54"/>
      <c r="P100" s="212"/>
    </row>
    <row r="101" spans="2:16" ht="15.6" x14ac:dyDescent="0.35">
      <c r="B101" s="59" t="s">
        <v>104</v>
      </c>
      <c r="C101" s="42" t="s">
        <v>0</v>
      </c>
      <c r="D101" s="42" t="s">
        <v>1</v>
      </c>
      <c r="E101" s="42" t="s">
        <v>2</v>
      </c>
      <c r="F101" s="42" t="s">
        <v>91</v>
      </c>
      <c r="G101" s="42" t="s">
        <v>92</v>
      </c>
      <c r="H101" s="42" t="s">
        <v>93</v>
      </c>
      <c r="I101" s="42" t="s">
        <v>3</v>
      </c>
      <c r="J101" s="42" t="s">
        <v>4</v>
      </c>
      <c r="K101" s="42" t="s">
        <v>5</v>
      </c>
      <c r="L101" s="42" t="s">
        <v>114</v>
      </c>
      <c r="M101" s="42" t="s">
        <v>330</v>
      </c>
      <c r="N101" s="42" t="s">
        <v>331</v>
      </c>
      <c r="O101" s="43" t="s">
        <v>332</v>
      </c>
    </row>
    <row r="102" spans="2:16" x14ac:dyDescent="0.25">
      <c r="B102" s="60" t="s">
        <v>88</v>
      </c>
      <c r="C102" s="30">
        <v>2.0829</v>
      </c>
      <c r="D102" s="30">
        <v>0.90739999999999998</v>
      </c>
      <c r="E102" s="30">
        <v>-2.4299999999999999E-2</v>
      </c>
      <c r="F102" s="30">
        <v>650</v>
      </c>
      <c r="G102" s="30">
        <v>10750</v>
      </c>
      <c r="H102" s="30">
        <v>200</v>
      </c>
      <c r="I102" s="32">
        <v>-1.6330000000000001E-2</v>
      </c>
      <c r="J102" s="32">
        <v>5.6875000000000002E-2</v>
      </c>
      <c r="K102" s="32">
        <v>-8.7600000000000004E-3</v>
      </c>
      <c r="L102" s="30">
        <v>2.17</v>
      </c>
      <c r="M102" s="30"/>
      <c r="N102" s="30"/>
      <c r="O102" s="31"/>
    </row>
    <row r="103" spans="2:16" x14ac:dyDescent="0.25">
      <c r="B103" s="61" t="s">
        <v>106</v>
      </c>
      <c r="C103" s="37">
        <v>1.1979</v>
      </c>
      <c r="D103" s="37">
        <v>1.4782</v>
      </c>
      <c r="E103" s="37">
        <v>-9.5799999999999996E-2</v>
      </c>
      <c r="F103" s="37">
        <v>650</v>
      </c>
      <c r="G103" s="62">
        <v>10750</v>
      </c>
      <c r="H103" s="37">
        <v>200</v>
      </c>
      <c r="I103" s="35">
        <v>-1.6330000000000001E-2</v>
      </c>
      <c r="J103" s="35">
        <v>5.6875000000000002E-2</v>
      </c>
      <c r="K103" s="35">
        <v>-8.7600000000000004E-3</v>
      </c>
      <c r="L103" s="37">
        <v>2.17</v>
      </c>
      <c r="M103" s="37"/>
      <c r="N103" s="37"/>
      <c r="O103" s="38"/>
    </row>
    <row r="104" spans="2:16" x14ac:dyDescent="0.25">
      <c r="B104" s="34" t="s">
        <v>90</v>
      </c>
      <c r="C104" s="37">
        <v>2.2627999999999999</v>
      </c>
      <c r="D104" s="37">
        <v>0.85809999999999997</v>
      </c>
      <c r="E104" s="37">
        <v>2.9999999999999997E-4</v>
      </c>
      <c r="F104" s="37">
        <v>650</v>
      </c>
      <c r="G104" s="37">
        <v>10750</v>
      </c>
      <c r="H104" s="37">
        <v>200</v>
      </c>
      <c r="I104" s="35">
        <v>-1.6330000000000001E-2</v>
      </c>
      <c r="J104" s="35">
        <v>5.6875000000000002E-2</v>
      </c>
      <c r="K104" s="35">
        <v>-8.7600000000000004E-3</v>
      </c>
      <c r="L104" s="37">
        <v>2.17</v>
      </c>
      <c r="M104" s="37"/>
      <c r="N104" s="37"/>
      <c r="O104" s="38"/>
    </row>
    <row r="105" spans="2:16" x14ac:dyDescent="0.25">
      <c r="B105" s="39" t="s">
        <v>107</v>
      </c>
      <c r="C105" s="42">
        <v>6.9617000000000004</v>
      </c>
      <c r="D105" s="42">
        <v>-1.48</v>
      </c>
      <c r="E105" s="42">
        <v>0.31609999999999999</v>
      </c>
      <c r="F105" s="42">
        <v>1200</v>
      </c>
      <c r="G105" s="42">
        <v>9400</v>
      </c>
      <c r="H105" s="42">
        <v>40</v>
      </c>
      <c r="I105" s="40">
        <v>2.5940720000000002</v>
      </c>
      <c r="J105" s="40">
        <v>-4.2347599999999996</v>
      </c>
      <c r="K105" s="40">
        <v>1.722404</v>
      </c>
      <c r="L105" s="41">
        <v>2.17</v>
      </c>
      <c r="M105" s="209">
        <v>1</v>
      </c>
      <c r="N105" s="75">
        <v>1.8400000000000001E-3</v>
      </c>
      <c r="O105" s="213">
        <v>3.3500000000000001E-6</v>
      </c>
    </row>
    <row r="106" spans="2:16" x14ac:dyDescent="0.25">
      <c r="B106" s="20"/>
      <c r="C106" s="37"/>
      <c r="D106" s="37"/>
      <c r="E106" s="37"/>
      <c r="F106" s="37"/>
      <c r="G106" s="37"/>
      <c r="H106" s="37"/>
      <c r="I106" s="35"/>
      <c r="J106" s="35"/>
      <c r="K106" s="35"/>
      <c r="L106" s="36"/>
      <c r="M106" s="208"/>
      <c r="N106" s="74"/>
      <c r="O106" s="269"/>
    </row>
    <row r="107" spans="2:16" x14ac:dyDescent="0.25">
      <c r="B107" s="20"/>
      <c r="C107" s="48"/>
      <c r="D107" s="48"/>
      <c r="E107" s="48"/>
      <c r="F107" s="37"/>
      <c r="G107" s="37"/>
      <c r="H107" s="37"/>
      <c r="I107" s="37"/>
      <c r="J107" s="37"/>
      <c r="K107" s="37"/>
      <c r="L107" s="37"/>
      <c r="M107" s="37"/>
      <c r="N107" s="36"/>
    </row>
    <row r="108" spans="2:16" x14ac:dyDescent="0.25">
      <c r="B108" s="64" t="s">
        <v>424</v>
      </c>
    </row>
    <row r="109" spans="2:16" x14ac:dyDescent="0.25">
      <c r="B109" s="29"/>
      <c r="C109" s="52"/>
      <c r="D109" s="52"/>
      <c r="E109" s="52"/>
      <c r="F109" s="52"/>
      <c r="G109" s="52"/>
      <c r="H109" s="52"/>
      <c r="I109" s="52"/>
      <c r="J109" s="52"/>
      <c r="K109" s="54"/>
      <c r="L109" s="212"/>
      <c r="M109" s="212"/>
    </row>
    <row r="110" spans="2:16" ht="15.6" x14ac:dyDescent="0.35">
      <c r="B110" s="59" t="s">
        <v>123</v>
      </c>
      <c r="C110" s="42" t="s">
        <v>0</v>
      </c>
      <c r="D110" s="42" t="s">
        <v>1</v>
      </c>
      <c r="E110" s="42" t="s">
        <v>2</v>
      </c>
      <c r="F110" s="42" t="s">
        <v>126</v>
      </c>
      <c r="G110" s="42" t="s">
        <v>127</v>
      </c>
      <c r="H110" s="42" t="s">
        <v>68</v>
      </c>
      <c r="I110" s="42" t="s">
        <v>3</v>
      </c>
      <c r="J110" s="42" t="s">
        <v>4</v>
      </c>
      <c r="K110" s="43" t="s">
        <v>5</v>
      </c>
    </row>
    <row r="111" spans="2:16" x14ac:dyDescent="0.25">
      <c r="B111" s="29" t="s">
        <v>117</v>
      </c>
      <c r="C111" s="30">
        <v>5.0237999999999996</v>
      </c>
      <c r="D111" s="30">
        <v>0.34749999999999998</v>
      </c>
      <c r="E111" s="30">
        <v>7.0300000000000001E-2</v>
      </c>
      <c r="F111" s="30">
        <v>5</v>
      </c>
      <c r="G111" s="30">
        <v>1000</v>
      </c>
      <c r="H111" s="30">
        <v>150</v>
      </c>
      <c r="I111" s="30">
        <v>0.1578</v>
      </c>
      <c r="J111" s="30">
        <v>-0.29920000000000002</v>
      </c>
      <c r="K111" s="31">
        <v>0.14130000000000001</v>
      </c>
    </row>
    <row r="112" spans="2:16" x14ac:dyDescent="0.25">
      <c r="B112" s="34" t="s">
        <v>118</v>
      </c>
      <c r="C112" s="37">
        <v>3.9119000000000002</v>
      </c>
      <c r="D112" s="37">
        <v>0.86270000000000002</v>
      </c>
      <c r="E112" s="37">
        <v>-8.8000000000000005E-3</v>
      </c>
      <c r="F112" s="37">
        <v>50</v>
      </c>
      <c r="G112" s="37">
        <v>500</v>
      </c>
      <c r="H112" s="37">
        <v>150</v>
      </c>
      <c r="I112" s="37">
        <v>0.1578</v>
      </c>
      <c r="J112" s="37">
        <v>-0.29920000000000002</v>
      </c>
      <c r="K112" s="38">
        <v>0.14130000000000001</v>
      </c>
    </row>
    <row r="113" spans="2:18" x14ac:dyDescent="0.25">
      <c r="B113" s="34" t="s">
        <v>119</v>
      </c>
      <c r="C113" s="37">
        <v>5</v>
      </c>
      <c r="D113" s="37">
        <v>0.14899999999999999</v>
      </c>
      <c r="E113" s="37">
        <v>-1.34E-2</v>
      </c>
      <c r="F113" s="37">
        <v>0.5</v>
      </c>
      <c r="G113" s="37">
        <v>5</v>
      </c>
      <c r="H113" s="37">
        <v>150</v>
      </c>
      <c r="I113" s="37">
        <v>0.1578</v>
      </c>
      <c r="J113" s="37">
        <v>-0.29920000000000002</v>
      </c>
      <c r="K113" s="38">
        <v>0.14130000000000001</v>
      </c>
      <c r="L113" s="212"/>
      <c r="M113" s="212"/>
    </row>
    <row r="114" spans="2:18" x14ac:dyDescent="0.25">
      <c r="B114" s="34" t="s">
        <v>120</v>
      </c>
      <c r="C114" s="37">
        <v>5.2366000000000001</v>
      </c>
      <c r="D114" s="37">
        <v>-0.65720000000000001</v>
      </c>
      <c r="E114" s="37">
        <v>0.35</v>
      </c>
      <c r="F114" s="37">
        <v>10</v>
      </c>
      <c r="G114" s="37">
        <v>100</v>
      </c>
      <c r="H114" s="37">
        <v>150</v>
      </c>
      <c r="I114" s="37">
        <v>0.1578</v>
      </c>
      <c r="J114" s="37">
        <v>-0.29920000000000002</v>
      </c>
      <c r="K114" s="38">
        <v>0.14130000000000001</v>
      </c>
      <c r="L114" s="212"/>
      <c r="M114" s="212"/>
    </row>
    <row r="115" spans="2:18" x14ac:dyDescent="0.25">
      <c r="B115" s="39" t="s">
        <v>121</v>
      </c>
      <c r="C115" s="42">
        <v>4.6420000000000003</v>
      </c>
      <c r="D115" s="42">
        <v>0.36980000000000002</v>
      </c>
      <c r="E115" s="42">
        <v>2.5000000000000001E-3</v>
      </c>
      <c r="F115" s="42">
        <v>100</v>
      </c>
      <c r="G115" s="42">
        <v>10000</v>
      </c>
      <c r="H115" s="42">
        <v>150</v>
      </c>
      <c r="I115" s="42">
        <v>0.1578</v>
      </c>
      <c r="J115" s="42">
        <v>-0.29920000000000002</v>
      </c>
      <c r="K115" s="43">
        <v>0.14130000000000001</v>
      </c>
      <c r="L115" s="212"/>
      <c r="M115" s="212"/>
    </row>
    <row r="116" spans="2:18" x14ac:dyDescent="0.25">
      <c r="B116" s="20"/>
      <c r="C116" s="37"/>
      <c r="D116" s="37"/>
      <c r="E116" s="37"/>
      <c r="F116" s="37"/>
      <c r="G116" s="37"/>
      <c r="H116" s="37"/>
      <c r="I116" s="48"/>
      <c r="J116" s="48"/>
      <c r="K116" s="48"/>
      <c r="L116" s="20"/>
      <c r="M116" s="63"/>
      <c r="N116" s="63"/>
      <c r="O116" s="63"/>
      <c r="P116" s="212"/>
    </row>
    <row r="117" spans="2:18" x14ac:dyDescent="0.25">
      <c r="B117" s="20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6"/>
      <c r="P117" s="212"/>
    </row>
    <row r="118" spans="2:18" x14ac:dyDescent="0.25">
      <c r="B118" s="64" t="s">
        <v>138</v>
      </c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6"/>
    </row>
    <row r="119" spans="2:18" ht="15.6" x14ac:dyDescent="0.35">
      <c r="B119" s="65" t="s">
        <v>139</v>
      </c>
      <c r="C119" s="30" t="s">
        <v>0</v>
      </c>
      <c r="D119" s="30" t="s">
        <v>1</v>
      </c>
      <c r="E119" s="30" t="s">
        <v>2</v>
      </c>
      <c r="F119" s="30" t="s">
        <v>3</v>
      </c>
      <c r="G119" s="30" t="s">
        <v>4</v>
      </c>
      <c r="H119" s="30" t="s">
        <v>5</v>
      </c>
      <c r="I119" s="30" t="s">
        <v>6</v>
      </c>
      <c r="J119" s="30" t="s">
        <v>7</v>
      </c>
      <c r="K119" s="30" t="s">
        <v>126</v>
      </c>
      <c r="L119" s="30" t="s">
        <v>127</v>
      </c>
      <c r="M119" s="31" t="s">
        <v>68</v>
      </c>
      <c r="N119" s="36"/>
    </row>
    <row r="120" spans="2:18" x14ac:dyDescent="0.25">
      <c r="B120" s="29" t="s">
        <v>140</v>
      </c>
      <c r="C120" s="30">
        <v>3.3443999999999998</v>
      </c>
      <c r="D120" s="30">
        <v>0.27450000000000002</v>
      </c>
      <c r="E120" s="30">
        <v>-4.7199999999999999E-2</v>
      </c>
      <c r="F120" s="30">
        <v>13.146699999999999</v>
      </c>
      <c r="G120" s="30">
        <v>-12.657400000000001</v>
      </c>
      <c r="H120" s="30">
        <v>3.0705</v>
      </c>
      <c r="I120" s="66">
        <v>1.74</v>
      </c>
      <c r="J120" s="66">
        <v>1.55</v>
      </c>
      <c r="K120" s="30">
        <v>1</v>
      </c>
      <c r="L120" s="30">
        <v>10</v>
      </c>
      <c r="M120" s="31">
        <v>300</v>
      </c>
      <c r="N120" s="36"/>
    </row>
    <row r="121" spans="2:18" x14ac:dyDescent="0.25">
      <c r="B121" s="67" t="s">
        <v>179</v>
      </c>
      <c r="C121" s="37"/>
      <c r="D121" s="37"/>
      <c r="E121" s="37"/>
      <c r="F121" s="37">
        <v>0.60719999999999996</v>
      </c>
      <c r="G121" s="37">
        <v>-0.91200000000000003</v>
      </c>
      <c r="H121" s="37">
        <v>0.3327</v>
      </c>
      <c r="I121" s="48"/>
      <c r="J121" s="48"/>
      <c r="K121" s="48"/>
      <c r="L121" s="48"/>
      <c r="M121" s="68"/>
      <c r="N121" s="36"/>
    </row>
    <row r="122" spans="2:18" x14ac:dyDescent="0.25">
      <c r="B122" s="67" t="s">
        <v>180</v>
      </c>
      <c r="C122" s="37"/>
      <c r="D122" s="37"/>
      <c r="E122" s="37"/>
      <c r="F122" s="37">
        <v>0</v>
      </c>
      <c r="G122" s="37">
        <v>0</v>
      </c>
      <c r="H122" s="37">
        <v>0</v>
      </c>
      <c r="I122" s="48"/>
      <c r="J122" s="48"/>
      <c r="K122" s="48"/>
      <c r="L122" s="48"/>
      <c r="M122" s="68"/>
      <c r="N122" s="36"/>
    </row>
    <row r="123" spans="2:18" x14ac:dyDescent="0.25">
      <c r="B123" s="34" t="s">
        <v>141</v>
      </c>
      <c r="C123" s="37">
        <v>2.7652000000000001</v>
      </c>
      <c r="D123" s="37">
        <v>0.72819999999999996</v>
      </c>
      <c r="E123" s="37">
        <v>7.8299999999999995E-2</v>
      </c>
      <c r="F123" s="37">
        <v>13.146699999999999</v>
      </c>
      <c r="G123" s="37">
        <v>-12.657400000000001</v>
      </c>
      <c r="H123" s="37">
        <v>3.0705</v>
      </c>
      <c r="I123" s="48">
        <v>1.74</v>
      </c>
      <c r="J123" s="48">
        <v>1.55</v>
      </c>
      <c r="K123" s="37">
        <v>10</v>
      </c>
      <c r="L123" s="37">
        <v>100</v>
      </c>
      <c r="M123" s="38">
        <v>300</v>
      </c>
      <c r="N123" s="36"/>
    </row>
    <row r="124" spans="2:18" x14ac:dyDescent="0.25">
      <c r="B124" s="67" t="s">
        <v>179</v>
      </c>
      <c r="C124" s="37"/>
      <c r="D124" s="37"/>
      <c r="E124" s="37"/>
      <c r="F124" s="37">
        <v>0.60719999999999996</v>
      </c>
      <c r="G124" s="37">
        <v>-0.91200000000000003</v>
      </c>
      <c r="H124" s="37">
        <v>0.3327</v>
      </c>
      <c r="I124" s="48"/>
      <c r="J124" s="48"/>
      <c r="K124" s="48"/>
      <c r="L124" s="48"/>
      <c r="M124" s="68"/>
      <c r="N124" s="36"/>
    </row>
    <row r="125" spans="2:18" x14ac:dyDescent="0.25">
      <c r="B125" s="67" t="s">
        <v>180</v>
      </c>
      <c r="C125" s="37"/>
      <c r="D125" s="37"/>
      <c r="E125" s="37"/>
      <c r="F125" s="37">
        <v>0</v>
      </c>
      <c r="G125" s="37">
        <v>0</v>
      </c>
      <c r="H125" s="37">
        <v>0</v>
      </c>
      <c r="I125" s="48"/>
      <c r="J125" s="48"/>
      <c r="K125" s="48"/>
      <c r="L125" s="48"/>
      <c r="M125" s="68"/>
      <c r="N125" s="36"/>
      <c r="O125" s="36"/>
      <c r="P125" s="36"/>
      <c r="Q125" s="36"/>
      <c r="R125" s="36"/>
    </row>
    <row r="126" spans="2:18" x14ac:dyDescent="0.25">
      <c r="B126" s="34" t="s">
        <v>142</v>
      </c>
      <c r="C126" s="37">
        <v>4.3247</v>
      </c>
      <c r="D126" s="37">
        <v>-0.30299999999999999</v>
      </c>
      <c r="E126" s="37">
        <v>0.16339999999999999</v>
      </c>
      <c r="F126" s="37">
        <v>3.8809999999999997E-2</v>
      </c>
      <c r="G126" s="37">
        <v>-0.11272</v>
      </c>
      <c r="H126" s="37">
        <v>8.183E-2</v>
      </c>
      <c r="I126" s="48">
        <v>1.63</v>
      </c>
      <c r="J126" s="48">
        <v>1.66</v>
      </c>
      <c r="K126" s="36">
        <v>10</v>
      </c>
      <c r="L126" s="37">
        <v>1000</v>
      </c>
      <c r="M126" s="38">
        <v>140</v>
      </c>
      <c r="N126" s="36"/>
      <c r="O126" s="36"/>
      <c r="P126" s="36"/>
      <c r="Q126" s="36"/>
      <c r="R126" s="36"/>
    </row>
    <row r="127" spans="2:18" x14ac:dyDescent="0.25">
      <c r="B127" s="94" t="s">
        <v>322</v>
      </c>
      <c r="C127" s="37"/>
      <c r="D127" s="37"/>
      <c r="E127" s="37"/>
      <c r="F127" s="37">
        <v>-1.64E-3</v>
      </c>
      <c r="G127" s="37">
        <v>-6.2700000000000004E-3</v>
      </c>
      <c r="H127" s="37">
        <v>1.23E-2</v>
      </c>
      <c r="I127" s="48"/>
      <c r="J127" s="48"/>
      <c r="K127" s="36"/>
      <c r="L127" s="37"/>
      <c r="M127" s="38"/>
      <c r="N127" s="36"/>
      <c r="O127" s="36"/>
      <c r="P127" s="36"/>
      <c r="Q127" s="36"/>
      <c r="R127" s="36"/>
    </row>
    <row r="128" spans="2:18" x14ac:dyDescent="0.25">
      <c r="B128" s="34" t="s">
        <v>143</v>
      </c>
      <c r="C128" s="37">
        <v>4.8305999999999996</v>
      </c>
      <c r="D128" s="37">
        <v>-0.85089999999999999</v>
      </c>
      <c r="E128" s="37">
        <v>0.31869999999999998</v>
      </c>
      <c r="F128" s="37">
        <v>3.8809999999999997E-2</v>
      </c>
      <c r="G128" s="37">
        <v>-0.11272</v>
      </c>
      <c r="H128" s="37">
        <v>8.183E-2</v>
      </c>
      <c r="I128" s="48">
        <v>1.63</v>
      </c>
      <c r="J128" s="48">
        <v>1.66</v>
      </c>
      <c r="K128" s="36">
        <v>10</v>
      </c>
      <c r="L128" s="37">
        <v>1000</v>
      </c>
      <c r="M128" s="38">
        <v>140</v>
      </c>
      <c r="N128" s="36"/>
      <c r="O128" s="36"/>
      <c r="P128" s="36"/>
      <c r="Q128" s="36"/>
      <c r="R128" s="36"/>
    </row>
    <row r="129" spans="1:18" x14ac:dyDescent="0.25">
      <c r="B129" s="94" t="s">
        <v>323</v>
      </c>
      <c r="C129" s="37"/>
      <c r="D129" s="37"/>
      <c r="E129" s="37"/>
      <c r="F129" s="37">
        <v>-1.64E-3</v>
      </c>
      <c r="G129" s="37">
        <v>-6.2700000000000004E-3</v>
      </c>
      <c r="H129" s="37">
        <v>1.23E-2</v>
      </c>
      <c r="I129" s="48"/>
      <c r="J129" s="48"/>
      <c r="K129" s="36"/>
      <c r="L129" s="37"/>
      <c r="M129" s="38"/>
      <c r="N129" s="36"/>
      <c r="O129" s="36"/>
      <c r="P129" s="36"/>
      <c r="Q129" s="36"/>
      <c r="R129" s="36"/>
    </row>
    <row r="130" spans="1:18" x14ac:dyDescent="0.25">
      <c r="B130" s="34" t="s">
        <v>144</v>
      </c>
      <c r="C130" s="37">
        <v>4.2767999999999997</v>
      </c>
      <c r="D130" s="37">
        <v>-4.9500000000000002E-2</v>
      </c>
      <c r="E130" s="37">
        <v>0.1431</v>
      </c>
      <c r="F130" s="37">
        <v>3.8809999999999997E-2</v>
      </c>
      <c r="G130" s="37">
        <v>-0.11272</v>
      </c>
      <c r="H130" s="37">
        <v>8.183E-2</v>
      </c>
      <c r="I130" s="48">
        <v>1.63</v>
      </c>
      <c r="J130" s="48">
        <v>1.66</v>
      </c>
      <c r="K130" s="36">
        <v>10</v>
      </c>
      <c r="L130" s="37">
        <v>1000</v>
      </c>
      <c r="M130" s="38">
        <v>140</v>
      </c>
      <c r="N130" s="36"/>
      <c r="O130" s="36"/>
      <c r="P130" s="36"/>
      <c r="Q130" s="36"/>
      <c r="R130" s="36"/>
    </row>
    <row r="131" spans="1:18" x14ac:dyDescent="0.25">
      <c r="B131" s="94" t="s">
        <v>322</v>
      </c>
      <c r="C131" s="37"/>
      <c r="D131" s="37"/>
      <c r="E131" s="37"/>
      <c r="F131" s="37">
        <v>-1.64E-3</v>
      </c>
      <c r="G131" s="37">
        <v>-6.2700000000000004E-3</v>
      </c>
      <c r="H131" s="37">
        <v>1.23E-2</v>
      </c>
      <c r="I131" s="48"/>
      <c r="J131" s="48"/>
      <c r="K131" s="36"/>
      <c r="L131" s="37"/>
      <c r="M131" s="38"/>
      <c r="N131" s="36"/>
      <c r="O131" s="36"/>
      <c r="P131" s="36"/>
      <c r="Q131" s="36"/>
      <c r="R131" s="36"/>
    </row>
    <row r="132" spans="1:18" x14ac:dyDescent="0.25">
      <c r="B132" s="34" t="s">
        <v>145</v>
      </c>
      <c r="C132" s="37">
        <v>4.4645999999999999</v>
      </c>
      <c r="D132" s="37">
        <v>-0.52769999999999995</v>
      </c>
      <c r="E132" s="37">
        <v>0.39550000000000002</v>
      </c>
      <c r="F132" s="37">
        <v>3.8809999999999997E-2</v>
      </c>
      <c r="G132" s="37">
        <v>-0.11272</v>
      </c>
      <c r="H132" s="37">
        <v>8.183E-2</v>
      </c>
      <c r="I132" s="48">
        <v>1.63</v>
      </c>
      <c r="J132" s="48">
        <v>1.66</v>
      </c>
      <c r="K132" s="36">
        <v>10</v>
      </c>
      <c r="L132" s="37">
        <v>100</v>
      </c>
      <c r="M132" s="38">
        <v>140</v>
      </c>
      <c r="N132" s="36"/>
      <c r="O132" s="36"/>
      <c r="P132" s="36"/>
      <c r="Q132" s="36"/>
      <c r="R132" s="36"/>
    </row>
    <row r="133" spans="1:18" x14ac:dyDescent="0.25">
      <c r="B133" s="94" t="s">
        <v>322</v>
      </c>
      <c r="C133" s="37"/>
      <c r="D133" s="37"/>
      <c r="E133" s="37"/>
      <c r="F133" s="37">
        <v>-1.64E-3</v>
      </c>
      <c r="G133" s="37">
        <v>-6.2700000000000004E-3</v>
      </c>
      <c r="H133" s="37">
        <v>1.23E-2</v>
      </c>
      <c r="I133" s="48"/>
      <c r="J133" s="48"/>
      <c r="K133" s="36"/>
      <c r="L133" s="37"/>
      <c r="M133" s="38"/>
      <c r="N133" s="36"/>
      <c r="O133" s="36"/>
      <c r="P133" s="36"/>
      <c r="Q133" s="36"/>
      <c r="R133" s="36"/>
    </row>
    <row r="134" spans="1:18" x14ac:dyDescent="0.25">
      <c r="B134" s="34" t="s">
        <v>146</v>
      </c>
      <c r="C134" s="37">
        <v>3.7803</v>
      </c>
      <c r="D134" s="37">
        <v>0.8569</v>
      </c>
      <c r="E134" s="37">
        <v>3.49E-2</v>
      </c>
      <c r="F134" s="37">
        <v>13.146699999999999</v>
      </c>
      <c r="G134" s="37">
        <v>-12.657400000000001</v>
      </c>
      <c r="H134" s="37">
        <v>3.0705</v>
      </c>
      <c r="I134" s="48">
        <v>1.74</v>
      </c>
      <c r="J134" s="48">
        <v>1.55</v>
      </c>
      <c r="K134" s="36">
        <v>2</v>
      </c>
      <c r="L134" s="37">
        <v>20</v>
      </c>
      <c r="M134" s="38">
        <v>300</v>
      </c>
      <c r="N134" s="36"/>
      <c r="O134" s="36"/>
      <c r="P134" s="36"/>
      <c r="Q134" s="36"/>
      <c r="R134" s="36"/>
    </row>
    <row r="135" spans="1:18" x14ac:dyDescent="0.25">
      <c r="B135" s="67" t="s">
        <v>179</v>
      </c>
      <c r="C135" s="37"/>
      <c r="D135" s="37"/>
      <c r="E135" s="37"/>
      <c r="F135" s="37">
        <v>0.60719999999999996</v>
      </c>
      <c r="G135" s="37">
        <v>-0.91200000000000003</v>
      </c>
      <c r="H135" s="37">
        <v>0.3327</v>
      </c>
      <c r="I135" s="48"/>
      <c r="J135" s="48"/>
      <c r="K135" s="48"/>
      <c r="L135" s="48"/>
      <c r="M135" s="68"/>
      <c r="N135" s="36"/>
      <c r="O135" s="36"/>
      <c r="P135" s="36"/>
      <c r="Q135" s="36"/>
      <c r="R135" s="36"/>
    </row>
    <row r="136" spans="1:18" x14ac:dyDescent="0.25">
      <c r="B136" s="67" t="s">
        <v>180</v>
      </c>
      <c r="C136" s="37"/>
      <c r="D136" s="37"/>
      <c r="E136" s="37"/>
      <c r="F136" s="37">
        <v>0</v>
      </c>
      <c r="G136" s="37">
        <v>0</v>
      </c>
      <c r="H136" s="37">
        <v>0</v>
      </c>
      <c r="I136" s="48"/>
      <c r="J136" s="48"/>
      <c r="K136" s="48"/>
      <c r="L136" s="48"/>
      <c r="M136" s="68"/>
      <c r="N136" s="36"/>
      <c r="O136" s="36"/>
      <c r="P136" s="36"/>
      <c r="Q136" s="36"/>
      <c r="R136" s="36"/>
    </row>
    <row r="137" spans="1:18" x14ac:dyDescent="0.25">
      <c r="B137" s="34" t="s">
        <v>147</v>
      </c>
      <c r="C137" s="37">
        <v>3.8062</v>
      </c>
      <c r="D137" s="37">
        <v>0.89239999999999997</v>
      </c>
      <c r="E137" s="37">
        <v>-0.1671</v>
      </c>
      <c r="F137" s="37">
        <v>0</v>
      </c>
      <c r="G137" s="37">
        <v>0</v>
      </c>
      <c r="H137" s="37">
        <v>0</v>
      </c>
      <c r="I137" s="48">
        <v>1.63</v>
      </c>
      <c r="J137" s="48">
        <v>1.66</v>
      </c>
      <c r="K137" s="36">
        <v>1</v>
      </c>
      <c r="L137" s="37">
        <v>10</v>
      </c>
      <c r="M137" s="38">
        <v>15</v>
      </c>
      <c r="N137" s="204"/>
    </row>
    <row r="138" spans="1:18" x14ac:dyDescent="0.25">
      <c r="B138" s="34" t="s">
        <v>148</v>
      </c>
      <c r="C138" s="37">
        <v>4.0335999999999999</v>
      </c>
      <c r="D138" s="37">
        <v>0.2341</v>
      </c>
      <c r="E138" s="37">
        <v>4.9700000000000001E-2</v>
      </c>
      <c r="F138" s="37">
        <v>-0.125</v>
      </c>
      <c r="G138" s="37">
        <v>0.15361</v>
      </c>
      <c r="H138" s="37">
        <v>-2.861E-2</v>
      </c>
      <c r="I138" s="48">
        <v>0.96</v>
      </c>
      <c r="J138" s="48">
        <v>1.21</v>
      </c>
      <c r="K138" s="37">
        <v>10</v>
      </c>
      <c r="L138" s="37">
        <v>10000</v>
      </c>
      <c r="M138" s="38">
        <v>100</v>
      </c>
      <c r="N138" s="205"/>
    </row>
    <row r="139" spans="1:18" x14ac:dyDescent="0.25">
      <c r="A139" s="80"/>
      <c r="B139" s="112" t="s">
        <v>324</v>
      </c>
      <c r="C139" s="37">
        <v>3.9912000000000001</v>
      </c>
      <c r="D139" s="37">
        <v>6.6799999999999998E-2</v>
      </c>
      <c r="E139" s="37">
        <v>0.24299999999999999</v>
      </c>
      <c r="F139" s="37">
        <v>-0.40450000000000003</v>
      </c>
      <c r="G139" s="37">
        <v>0.18590000000000001</v>
      </c>
      <c r="H139" s="37">
        <v>0</v>
      </c>
      <c r="I139" s="48">
        <v>1.74</v>
      </c>
      <c r="J139" s="48">
        <v>1.55</v>
      </c>
      <c r="K139" s="37">
        <v>1</v>
      </c>
      <c r="L139" s="37">
        <v>100</v>
      </c>
      <c r="M139" s="38">
        <v>400</v>
      </c>
      <c r="N139" s="204"/>
    </row>
    <row r="140" spans="1:18" x14ac:dyDescent="0.25">
      <c r="A140" s="80"/>
      <c r="B140" s="112" t="s">
        <v>325</v>
      </c>
      <c r="C140" s="37"/>
      <c r="D140" s="37"/>
      <c r="E140" s="37"/>
      <c r="F140" s="37">
        <v>-0.21149999999999999</v>
      </c>
      <c r="G140" s="37">
        <v>9.7170000000000006E-2</v>
      </c>
      <c r="H140" s="37">
        <v>0</v>
      </c>
      <c r="I140" s="48"/>
      <c r="J140" s="48"/>
      <c r="K140" s="37"/>
      <c r="L140" s="37"/>
      <c r="M140" s="38"/>
      <c r="N140" s="36"/>
    </row>
    <row r="141" spans="1:18" x14ac:dyDescent="0.25">
      <c r="B141" s="34" t="s">
        <v>150</v>
      </c>
      <c r="C141" s="37">
        <v>4.6561000000000003</v>
      </c>
      <c r="D141" s="37">
        <v>-0.29470000000000002</v>
      </c>
      <c r="E141" s="37">
        <v>0.22070000000000001</v>
      </c>
      <c r="F141" s="37">
        <v>0</v>
      </c>
      <c r="G141" s="37">
        <v>0</v>
      </c>
      <c r="H141" s="37">
        <v>0</v>
      </c>
      <c r="I141" s="48">
        <v>0.96</v>
      </c>
      <c r="J141" s="48">
        <v>1.21</v>
      </c>
      <c r="K141" s="37">
        <v>1</v>
      </c>
      <c r="L141" s="37">
        <v>100</v>
      </c>
      <c r="M141" s="38">
        <v>19</v>
      </c>
      <c r="N141" s="36"/>
    </row>
    <row r="142" spans="1:18" x14ac:dyDescent="0.25">
      <c r="B142" s="39" t="s">
        <v>151</v>
      </c>
      <c r="C142" s="42">
        <v>4.6656000000000004</v>
      </c>
      <c r="D142" s="42">
        <v>-0.15570000000000001</v>
      </c>
      <c r="E142" s="42">
        <v>0.1547</v>
      </c>
      <c r="F142" s="42">
        <v>0</v>
      </c>
      <c r="G142" s="42">
        <v>0</v>
      </c>
      <c r="H142" s="42">
        <v>0</v>
      </c>
      <c r="I142" s="49">
        <v>0.96</v>
      </c>
      <c r="J142" s="49">
        <v>1.21</v>
      </c>
      <c r="K142" s="42">
        <v>10</v>
      </c>
      <c r="L142" s="42">
        <v>1000</v>
      </c>
      <c r="M142" s="43">
        <v>19</v>
      </c>
      <c r="N142" s="36"/>
    </row>
    <row r="143" spans="1:18" x14ac:dyDescent="0.25">
      <c r="B143" s="20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6"/>
    </row>
    <row r="144" spans="1:18" ht="15.6" x14ac:dyDescent="0.35">
      <c r="B144" s="20" t="s">
        <v>159</v>
      </c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6"/>
    </row>
    <row r="145" spans="2:14" x14ac:dyDescent="0.25">
      <c r="B145" s="29"/>
      <c r="C145" s="30" t="s">
        <v>153</v>
      </c>
      <c r="D145" s="30" t="s">
        <v>82</v>
      </c>
      <c r="E145" s="30" t="s">
        <v>132</v>
      </c>
      <c r="F145" s="30" t="s">
        <v>82</v>
      </c>
      <c r="G145" s="30" t="s">
        <v>83</v>
      </c>
      <c r="H145" s="30" t="s">
        <v>82</v>
      </c>
      <c r="I145" s="30" t="s">
        <v>155</v>
      </c>
      <c r="J145" s="30" t="s">
        <v>82</v>
      </c>
      <c r="K145" s="31" t="s">
        <v>131</v>
      </c>
      <c r="L145" s="37"/>
      <c r="M145" s="37"/>
      <c r="N145" s="36"/>
    </row>
    <row r="146" spans="2:14" x14ac:dyDescent="0.25">
      <c r="B146" s="254" t="s">
        <v>152</v>
      </c>
      <c r="C146" s="37" t="s">
        <v>154</v>
      </c>
      <c r="D146" s="37" t="s">
        <v>132</v>
      </c>
      <c r="E146" s="37" t="s">
        <v>132</v>
      </c>
      <c r="F146" s="37" t="s">
        <v>83</v>
      </c>
      <c r="G146" s="37" t="s">
        <v>83</v>
      </c>
      <c r="H146" s="37" t="s">
        <v>155</v>
      </c>
      <c r="I146" s="37" t="s">
        <v>155</v>
      </c>
      <c r="J146" s="37" t="s">
        <v>131</v>
      </c>
      <c r="K146" s="38" t="s">
        <v>131</v>
      </c>
      <c r="L146" s="37"/>
      <c r="M146" s="37"/>
      <c r="N146" s="36"/>
    </row>
    <row r="147" spans="2:14" x14ac:dyDescent="0.25">
      <c r="B147" s="29" t="s">
        <v>140</v>
      </c>
      <c r="C147" s="66">
        <v>1</v>
      </c>
      <c r="D147" s="66">
        <v>1.35</v>
      </c>
      <c r="E147" s="66">
        <v>1.69</v>
      </c>
      <c r="F147" s="66">
        <v>1.81</v>
      </c>
      <c r="G147" s="66">
        <v>2.73</v>
      </c>
      <c r="H147" s="66">
        <v>2.68</v>
      </c>
      <c r="I147" s="66">
        <v>3.73</v>
      </c>
      <c r="J147" s="66">
        <v>4.63</v>
      </c>
      <c r="K147" s="69">
        <v>11.38</v>
      </c>
      <c r="L147" s="37"/>
      <c r="M147" s="37"/>
      <c r="N147" s="36"/>
    </row>
    <row r="148" spans="2:14" x14ac:dyDescent="0.25">
      <c r="B148" s="34" t="s">
        <v>141</v>
      </c>
      <c r="C148" s="48">
        <v>1</v>
      </c>
      <c r="D148" s="48">
        <v>1.35</v>
      </c>
      <c r="E148" s="48">
        <v>1.69</v>
      </c>
      <c r="F148" s="48">
        <v>1.81</v>
      </c>
      <c r="G148" s="48">
        <v>2.73</v>
      </c>
      <c r="H148" s="48">
        <v>2.68</v>
      </c>
      <c r="I148" s="48">
        <v>3.73</v>
      </c>
      <c r="J148" s="48">
        <v>4.63</v>
      </c>
      <c r="K148" s="68">
        <v>11.38</v>
      </c>
      <c r="L148" s="37"/>
      <c r="M148" s="37"/>
      <c r="N148" s="36"/>
    </row>
    <row r="149" spans="2:14" x14ac:dyDescent="0.25">
      <c r="B149" s="34" t="s">
        <v>142</v>
      </c>
      <c r="C149" s="48">
        <v>1</v>
      </c>
      <c r="D149" s="48">
        <v>1.35</v>
      </c>
      <c r="E149" s="48">
        <v>1.69</v>
      </c>
      <c r="F149" s="48">
        <v>1.81</v>
      </c>
      <c r="G149" s="48">
        <v>2.73</v>
      </c>
      <c r="H149" s="48">
        <v>2.68</v>
      </c>
      <c r="I149" s="48">
        <v>3.73</v>
      </c>
      <c r="J149" s="48">
        <v>4.63</v>
      </c>
      <c r="K149" s="68">
        <v>11.38</v>
      </c>
      <c r="L149" s="37"/>
      <c r="M149" s="37"/>
      <c r="N149" s="36"/>
    </row>
    <row r="150" spans="2:14" x14ac:dyDescent="0.25">
      <c r="B150" s="34" t="s">
        <v>143</v>
      </c>
      <c r="C150" s="48">
        <v>1</v>
      </c>
      <c r="D150" s="48">
        <v>1.35</v>
      </c>
      <c r="E150" s="48">
        <v>1.69</v>
      </c>
      <c r="F150" s="48">
        <v>1.81</v>
      </c>
      <c r="G150" s="48">
        <v>2.73</v>
      </c>
      <c r="H150" s="48">
        <v>2.68</v>
      </c>
      <c r="I150" s="48">
        <v>3.73</v>
      </c>
      <c r="J150" s="48">
        <v>4.63</v>
      </c>
      <c r="K150" s="68">
        <v>11.38</v>
      </c>
      <c r="L150" s="37"/>
      <c r="M150" s="37"/>
      <c r="N150" s="36"/>
    </row>
    <row r="151" spans="2:14" x14ac:dyDescent="0.25">
      <c r="B151" s="34" t="s">
        <v>144</v>
      </c>
      <c r="C151" s="48">
        <v>1</v>
      </c>
      <c r="D151" s="48">
        <v>1.35</v>
      </c>
      <c r="E151" s="48">
        <v>1.69</v>
      </c>
      <c r="F151" s="48">
        <v>1.81</v>
      </c>
      <c r="G151" s="48">
        <v>2.73</v>
      </c>
      <c r="H151" s="48">
        <v>2.68</v>
      </c>
      <c r="I151" s="48">
        <v>3.73</v>
      </c>
      <c r="J151" s="48">
        <v>4.63</v>
      </c>
      <c r="K151" s="68">
        <v>11.38</v>
      </c>
      <c r="L151" s="37"/>
      <c r="M151" s="37"/>
      <c r="N151" s="36"/>
    </row>
    <row r="152" spans="2:14" x14ac:dyDescent="0.25">
      <c r="B152" s="34" t="s">
        <v>145</v>
      </c>
      <c r="C152" s="48">
        <v>1</v>
      </c>
      <c r="D152" s="48">
        <v>1.35</v>
      </c>
      <c r="E152" s="48">
        <v>1.69</v>
      </c>
      <c r="F152" s="48">
        <v>1.81</v>
      </c>
      <c r="G152" s="48">
        <v>2.73</v>
      </c>
      <c r="H152" s="48">
        <v>2.68</v>
      </c>
      <c r="I152" s="48">
        <v>3.73</v>
      </c>
      <c r="J152" s="48">
        <v>4.63</v>
      </c>
      <c r="K152" s="68">
        <v>11.38</v>
      </c>
      <c r="L152" s="37"/>
      <c r="M152" s="37"/>
      <c r="N152" s="36"/>
    </row>
    <row r="153" spans="2:14" x14ac:dyDescent="0.25">
      <c r="B153" s="34" t="s">
        <v>146</v>
      </c>
      <c r="C153" s="48">
        <v>1</v>
      </c>
      <c r="D153" s="48">
        <v>1.35</v>
      </c>
      <c r="E153" s="48">
        <v>1.69</v>
      </c>
      <c r="F153" s="48">
        <v>1.81</v>
      </c>
      <c r="G153" s="48">
        <v>2.73</v>
      </c>
      <c r="H153" s="48">
        <v>2.68</v>
      </c>
      <c r="I153" s="48">
        <v>3.73</v>
      </c>
      <c r="J153" s="48">
        <v>4.63</v>
      </c>
      <c r="K153" s="68">
        <v>11.38</v>
      </c>
      <c r="L153" s="37"/>
      <c r="M153" s="37"/>
      <c r="N153" s="36"/>
    </row>
    <row r="154" spans="2:14" x14ac:dyDescent="0.25">
      <c r="B154" s="39" t="s">
        <v>149</v>
      </c>
      <c r="C154" s="49">
        <v>1</v>
      </c>
      <c r="D154" s="49">
        <v>1.35</v>
      </c>
      <c r="E154" s="49">
        <v>1.69</v>
      </c>
      <c r="F154" s="49">
        <v>1.81</v>
      </c>
      <c r="G154" s="49">
        <v>2.73</v>
      </c>
      <c r="H154" s="49">
        <v>2.68</v>
      </c>
      <c r="I154" s="49">
        <v>3.73</v>
      </c>
      <c r="J154" s="49">
        <v>4.63</v>
      </c>
      <c r="K154" s="70">
        <v>11.38</v>
      </c>
      <c r="L154" s="37"/>
      <c r="M154" s="37"/>
      <c r="N154" s="36"/>
    </row>
    <row r="155" spans="2:14" x14ac:dyDescent="0.25">
      <c r="B155" s="20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6"/>
    </row>
    <row r="156" spans="2:14" x14ac:dyDescent="0.25">
      <c r="B156" s="29"/>
      <c r="C156" s="71" t="s">
        <v>157</v>
      </c>
      <c r="D156" s="30"/>
      <c r="E156" s="30"/>
      <c r="F156" s="30"/>
      <c r="G156" s="31"/>
      <c r="H156" s="37"/>
      <c r="I156" s="37"/>
      <c r="J156" s="37"/>
      <c r="K156" s="37"/>
      <c r="L156" s="37"/>
      <c r="M156" s="37"/>
      <c r="N156" s="36"/>
    </row>
    <row r="157" spans="2:14" x14ac:dyDescent="0.25">
      <c r="B157" s="254" t="s">
        <v>152</v>
      </c>
      <c r="C157" s="42" t="s">
        <v>82</v>
      </c>
      <c r="D157" s="42" t="s">
        <v>132</v>
      </c>
      <c r="E157" s="42" t="s">
        <v>83</v>
      </c>
      <c r="F157" s="42" t="s">
        <v>155</v>
      </c>
      <c r="G157" s="43" t="s">
        <v>131</v>
      </c>
      <c r="H157" s="37"/>
      <c r="I157" s="37"/>
      <c r="J157" s="37"/>
      <c r="K157" s="37"/>
      <c r="L157" s="37"/>
      <c r="M157" s="37"/>
      <c r="N157" s="36"/>
    </row>
    <row r="158" spans="2:14" x14ac:dyDescent="0.25">
      <c r="B158" s="47" t="s">
        <v>156</v>
      </c>
      <c r="C158" s="72">
        <v>1</v>
      </c>
      <c r="D158" s="72">
        <v>1.2</v>
      </c>
      <c r="E158" s="72">
        <v>1.3</v>
      </c>
      <c r="F158" s="72">
        <v>1.4</v>
      </c>
      <c r="G158" s="73">
        <v>3.3</v>
      </c>
      <c r="H158" s="37"/>
      <c r="I158" s="37"/>
      <c r="J158" s="37"/>
      <c r="K158" s="37"/>
      <c r="L158" s="37"/>
      <c r="M158" s="37"/>
      <c r="N158" s="36"/>
    </row>
    <row r="159" spans="2:14" x14ac:dyDescent="0.25">
      <c r="B159" s="20"/>
      <c r="C159" s="48"/>
      <c r="D159" s="48"/>
      <c r="E159" s="48"/>
      <c r="F159" s="48"/>
      <c r="G159" s="48"/>
      <c r="H159" s="37"/>
      <c r="I159" s="37"/>
      <c r="J159" s="37"/>
      <c r="K159" s="37"/>
      <c r="L159" s="37"/>
      <c r="M159" s="37"/>
      <c r="N159" s="36"/>
    </row>
    <row r="160" spans="2:14" x14ac:dyDescent="0.25">
      <c r="B160" s="29"/>
      <c r="C160" s="71" t="s">
        <v>160</v>
      </c>
      <c r="D160" s="30"/>
      <c r="E160" s="30"/>
      <c r="F160" s="30"/>
      <c r="G160" s="31"/>
      <c r="H160" s="37"/>
      <c r="I160" s="37"/>
      <c r="J160" s="37"/>
      <c r="K160" s="37"/>
      <c r="L160" s="37"/>
      <c r="M160" s="37"/>
      <c r="N160" s="36"/>
    </row>
    <row r="161" spans="2:14" x14ac:dyDescent="0.25">
      <c r="B161" s="254" t="s">
        <v>152</v>
      </c>
      <c r="C161" s="37" t="s">
        <v>82</v>
      </c>
      <c r="D161" s="37" t="s">
        <v>132</v>
      </c>
      <c r="E161" s="37" t="s">
        <v>83</v>
      </c>
      <c r="F161" s="37" t="s">
        <v>155</v>
      </c>
      <c r="G161" s="38" t="s">
        <v>131</v>
      </c>
      <c r="H161" s="37"/>
      <c r="I161" s="37"/>
      <c r="J161" s="37"/>
      <c r="K161" s="37"/>
      <c r="L161" s="37"/>
      <c r="M161" s="37"/>
      <c r="N161" s="36"/>
    </row>
    <row r="162" spans="2:14" x14ac:dyDescent="0.25">
      <c r="B162" s="29" t="s">
        <v>150</v>
      </c>
      <c r="C162" s="66">
        <v>1</v>
      </c>
      <c r="D162" s="66">
        <v>1.35</v>
      </c>
      <c r="E162" s="66">
        <v>2.4500000000000002</v>
      </c>
      <c r="F162" s="66">
        <v>2.68</v>
      </c>
      <c r="G162" s="69">
        <v>4.63</v>
      </c>
      <c r="H162" s="37"/>
      <c r="I162" s="37"/>
      <c r="J162" s="37"/>
      <c r="K162" s="37"/>
      <c r="L162" s="37"/>
      <c r="M162" s="37"/>
      <c r="N162" s="36"/>
    </row>
    <row r="163" spans="2:14" x14ac:dyDescent="0.25">
      <c r="B163" s="39" t="s">
        <v>151</v>
      </c>
      <c r="C163" s="49">
        <v>1</v>
      </c>
      <c r="D163" s="49">
        <v>1.35</v>
      </c>
      <c r="E163" s="49">
        <v>2.4500000000000002</v>
      </c>
      <c r="F163" s="49">
        <v>2.68</v>
      </c>
      <c r="G163" s="70">
        <v>4.63</v>
      </c>
      <c r="H163" s="37"/>
      <c r="I163" s="37"/>
      <c r="J163" s="37"/>
      <c r="K163" s="37"/>
      <c r="L163" s="37"/>
      <c r="M163" s="37"/>
      <c r="N163" s="36"/>
    </row>
    <row r="164" spans="2:14" x14ac:dyDescent="0.25"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6"/>
    </row>
    <row r="165" spans="2:14" x14ac:dyDescent="0.25">
      <c r="B165" s="29"/>
      <c r="C165" s="71" t="s">
        <v>161</v>
      </c>
      <c r="D165" s="30"/>
      <c r="E165" s="31"/>
      <c r="F165" s="37"/>
      <c r="G165" s="37"/>
      <c r="H165" s="37"/>
      <c r="I165" s="37"/>
      <c r="J165" s="37"/>
      <c r="M165" s="37"/>
      <c r="N165" s="36"/>
    </row>
    <row r="166" spans="2:14" x14ac:dyDescent="0.25">
      <c r="B166" s="254" t="s">
        <v>152</v>
      </c>
      <c r="C166" s="42" t="s">
        <v>82</v>
      </c>
      <c r="D166" s="42" t="s">
        <v>158</v>
      </c>
      <c r="E166" s="43" t="s">
        <v>83</v>
      </c>
      <c r="F166" s="37"/>
      <c r="G166" s="37"/>
      <c r="H166" s="37"/>
      <c r="I166" s="37"/>
      <c r="J166" s="37"/>
      <c r="K166" s="37"/>
      <c r="L166" s="37"/>
      <c r="M166" s="37"/>
      <c r="N166" s="36"/>
    </row>
    <row r="167" spans="2:14" x14ac:dyDescent="0.25">
      <c r="B167" s="47" t="s">
        <v>148</v>
      </c>
      <c r="C167" s="72">
        <v>1</v>
      </c>
      <c r="D167" s="72">
        <v>1.42</v>
      </c>
      <c r="E167" s="73">
        <v>2.93</v>
      </c>
      <c r="F167" s="37"/>
      <c r="G167" s="37"/>
      <c r="H167" s="37"/>
      <c r="I167" s="37"/>
      <c r="J167" s="37"/>
      <c r="K167" s="37"/>
      <c r="L167" s="37"/>
      <c r="M167" s="37"/>
      <c r="N167" s="36"/>
    </row>
    <row r="168" spans="2:14" x14ac:dyDescent="0.25">
      <c r="B168" s="20"/>
      <c r="C168" s="48"/>
      <c r="D168" s="48"/>
      <c r="E168" s="48"/>
      <c r="F168" s="37"/>
      <c r="G168" s="37"/>
      <c r="H168" s="37"/>
      <c r="I168" s="37"/>
      <c r="J168" s="37"/>
      <c r="K168" s="37"/>
      <c r="L168" s="37"/>
      <c r="M168" s="37"/>
      <c r="N168" s="36"/>
    </row>
    <row r="169" spans="2:14" x14ac:dyDescent="0.25">
      <c r="B169" s="20"/>
      <c r="C169" s="48"/>
      <c r="D169" s="48"/>
      <c r="E169" s="48"/>
      <c r="F169" s="37"/>
      <c r="G169" s="37"/>
      <c r="H169" s="37"/>
      <c r="I169" s="37"/>
      <c r="J169" s="37"/>
      <c r="K169" s="37"/>
      <c r="L169" s="37"/>
      <c r="M169" s="37"/>
      <c r="N169" s="36"/>
    </row>
    <row r="170" spans="2:14" x14ac:dyDescent="0.25">
      <c r="B170" s="144" t="s">
        <v>372</v>
      </c>
      <c r="C170" s="20"/>
      <c r="D170" s="246"/>
      <c r="E170" s="246"/>
      <c r="F170" s="1"/>
      <c r="G170" s="150"/>
      <c r="H170" s="37"/>
      <c r="I170" s="37"/>
      <c r="J170" s="37"/>
      <c r="K170" s="37"/>
      <c r="L170" s="37"/>
      <c r="M170" s="37"/>
      <c r="N170" s="36"/>
    </row>
    <row r="171" spans="2:14" ht="15.6" x14ac:dyDescent="0.35">
      <c r="B171" s="255" t="s">
        <v>396</v>
      </c>
      <c r="C171" s="45" t="s">
        <v>0</v>
      </c>
      <c r="D171" s="45" t="s">
        <v>1</v>
      </c>
      <c r="E171" s="45" t="s">
        <v>2</v>
      </c>
      <c r="F171" s="247" t="s">
        <v>373</v>
      </c>
      <c r="G171" s="248" t="s">
        <v>374</v>
      </c>
      <c r="H171" s="305" t="s">
        <v>50</v>
      </c>
      <c r="I171" s="37"/>
      <c r="J171" s="37"/>
      <c r="K171" s="37"/>
      <c r="L171" s="37"/>
      <c r="M171" s="37"/>
      <c r="N171" s="36"/>
    </row>
    <row r="172" spans="2:14" x14ac:dyDescent="0.25">
      <c r="B172" s="249" t="s">
        <v>375</v>
      </c>
      <c r="C172" s="32">
        <v>3.8511000000000002</v>
      </c>
      <c r="D172" s="32">
        <v>-0.29909999999999998</v>
      </c>
      <c r="E172" s="32">
        <v>-2.9999999999999997E-4</v>
      </c>
      <c r="F172" s="66">
        <v>5</v>
      </c>
      <c r="G172" s="69">
        <v>150</v>
      </c>
      <c r="H172" s="306">
        <v>1.5</v>
      </c>
      <c r="I172" s="37"/>
      <c r="J172" s="37"/>
      <c r="K172" s="37"/>
      <c r="L172" s="37"/>
      <c r="M172" s="37"/>
      <c r="N172" s="36"/>
    </row>
    <row r="173" spans="2:14" x14ac:dyDescent="0.25">
      <c r="B173" s="250" t="s">
        <v>376</v>
      </c>
      <c r="C173" s="35">
        <v>4.3207000000000004</v>
      </c>
      <c r="D173" s="35">
        <v>-0.96409999999999996</v>
      </c>
      <c r="E173" s="35">
        <v>0.1346</v>
      </c>
      <c r="F173" s="48">
        <v>5</v>
      </c>
      <c r="G173" s="68">
        <v>500</v>
      </c>
      <c r="H173" s="306">
        <v>1.5</v>
      </c>
      <c r="I173" s="37"/>
      <c r="J173" s="37"/>
      <c r="K173" s="37"/>
      <c r="L173" s="37"/>
      <c r="M173" s="37"/>
      <c r="N173" s="36"/>
    </row>
    <row r="174" spans="2:14" x14ac:dyDescent="0.25">
      <c r="B174" s="251" t="s">
        <v>377</v>
      </c>
      <c r="C174" s="40">
        <v>3.4091999999999998</v>
      </c>
      <c r="D174" s="40">
        <v>-0.51039999999999996</v>
      </c>
      <c r="E174" s="40">
        <v>3.0000000000000001E-3</v>
      </c>
      <c r="F174" s="49">
        <v>5</v>
      </c>
      <c r="G174" s="70">
        <v>150</v>
      </c>
      <c r="H174" s="307">
        <v>1.5</v>
      </c>
      <c r="I174" s="37"/>
      <c r="J174" s="37"/>
      <c r="K174" s="37"/>
      <c r="L174" s="37"/>
      <c r="M174" s="37"/>
      <c r="N174" s="36"/>
    </row>
    <row r="175" spans="2:14" x14ac:dyDescent="0.25">
      <c r="B175" s="20"/>
      <c r="C175" s="48"/>
      <c r="D175" s="48"/>
      <c r="E175" s="48"/>
      <c r="F175" s="37"/>
      <c r="G175" s="37"/>
      <c r="H175" s="37"/>
      <c r="I175" s="37"/>
      <c r="J175" s="37"/>
      <c r="K175" s="37"/>
      <c r="L175" s="37"/>
      <c r="M175" s="37"/>
      <c r="N175" s="36"/>
    </row>
    <row r="176" spans="2:14" x14ac:dyDescent="0.25">
      <c r="B176" s="20"/>
      <c r="C176" s="48"/>
      <c r="D176" s="48"/>
      <c r="E176" s="48"/>
      <c r="F176" s="37"/>
      <c r="G176" s="37"/>
      <c r="H176" s="37"/>
      <c r="I176" s="37"/>
      <c r="J176" s="37"/>
      <c r="K176" s="37"/>
      <c r="L176" s="37"/>
      <c r="M176" s="37"/>
      <c r="N176" s="36"/>
    </row>
    <row r="177" spans="2:19" x14ac:dyDescent="0.25">
      <c r="B177" s="64" t="s">
        <v>108</v>
      </c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6"/>
    </row>
    <row r="178" spans="2:19" ht="15.6" x14ac:dyDescent="0.35">
      <c r="B178" s="44" t="s">
        <v>20</v>
      </c>
      <c r="C178" s="45" t="s">
        <v>0</v>
      </c>
      <c r="D178" s="45" t="s">
        <v>1</v>
      </c>
      <c r="E178" s="45" t="s">
        <v>2</v>
      </c>
      <c r="F178" s="45" t="s">
        <v>3</v>
      </c>
      <c r="G178" s="45" t="s">
        <v>4</v>
      </c>
      <c r="H178" s="45" t="s">
        <v>5</v>
      </c>
      <c r="I178" s="45" t="s">
        <v>6</v>
      </c>
      <c r="J178" s="45" t="s">
        <v>7</v>
      </c>
      <c r="K178" s="45" t="s">
        <v>8</v>
      </c>
      <c r="L178" s="45" t="s">
        <v>9</v>
      </c>
      <c r="M178" s="45" t="s">
        <v>12</v>
      </c>
      <c r="N178" s="45" t="s">
        <v>10</v>
      </c>
      <c r="O178" s="45" t="s">
        <v>11</v>
      </c>
      <c r="P178" s="45" t="s">
        <v>13</v>
      </c>
      <c r="Q178" s="45" t="s">
        <v>68</v>
      </c>
      <c r="R178" s="45" t="s">
        <v>61</v>
      </c>
      <c r="S178" s="46" t="s">
        <v>62</v>
      </c>
    </row>
    <row r="179" spans="2:19" x14ac:dyDescent="0.25">
      <c r="B179" s="29" t="s">
        <v>22</v>
      </c>
      <c r="C179" s="30">
        <v>3.3892000000000002</v>
      </c>
      <c r="D179" s="30">
        <v>5.3600000000000002E-2</v>
      </c>
      <c r="E179" s="30">
        <v>0.15379999999999999</v>
      </c>
      <c r="F179" s="30">
        <v>-0.39350000000000002</v>
      </c>
      <c r="G179" s="30">
        <v>0.3957</v>
      </c>
      <c r="H179" s="30">
        <v>-2.2599999999999999E-3</v>
      </c>
      <c r="I179" s="66">
        <v>1.89</v>
      </c>
      <c r="J179" s="30">
        <v>1.35</v>
      </c>
      <c r="K179" s="33">
        <v>1</v>
      </c>
      <c r="L179" s="33">
        <v>1.55</v>
      </c>
      <c r="M179" s="33" t="s">
        <v>24</v>
      </c>
      <c r="N179" s="33">
        <v>2.2799999999999998</v>
      </c>
      <c r="O179" s="33">
        <v>4.3600000000000003</v>
      </c>
      <c r="P179" s="37" t="s">
        <v>24</v>
      </c>
      <c r="Q179" s="37">
        <v>100</v>
      </c>
      <c r="R179" s="37">
        <v>1</v>
      </c>
      <c r="S179" s="38">
        <v>300</v>
      </c>
    </row>
    <row r="180" spans="2:19" x14ac:dyDescent="0.25">
      <c r="B180" s="34" t="s">
        <v>18</v>
      </c>
      <c r="C180" s="35">
        <v>3.4771000000000001</v>
      </c>
      <c r="D180" s="35">
        <v>0.13500000000000001</v>
      </c>
      <c r="E180" s="74">
        <v>0.14380000000000001</v>
      </c>
      <c r="F180" s="37">
        <v>-0.24538199999999999</v>
      </c>
      <c r="G180" s="37">
        <v>0.25901600000000002</v>
      </c>
      <c r="H180" s="37">
        <v>-1.363E-2</v>
      </c>
      <c r="I180" s="48">
        <v>1.89</v>
      </c>
      <c r="J180" s="48">
        <v>1.35</v>
      </c>
      <c r="K180" s="36">
        <v>1</v>
      </c>
      <c r="L180" s="36">
        <v>1.41</v>
      </c>
      <c r="M180" s="36">
        <v>1.28</v>
      </c>
      <c r="N180" s="36">
        <v>2.67</v>
      </c>
      <c r="O180" s="36">
        <v>4.74</v>
      </c>
      <c r="P180" s="36">
        <v>10.66</v>
      </c>
      <c r="Q180" s="37">
        <v>100</v>
      </c>
      <c r="R180" s="37">
        <v>1</v>
      </c>
      <c r="S180" s="38">
        <v>100</v>
      </c>
    </row>
    <row r="181" spans="2:19" x14ac:dyDescent="0.25">
      <c r="B181" s="39" t="s">
        <v>23</v>
      </c>
      <c r="C181" s="40">
        <v>3.8696000000000002</v>
      </c>
      <c r="D181" s="40">
        <v>0.31609999999999999</v>
      </c>
      <c r="E181" s="75">
        <v>0.122</v>
      </c>
      <c r="F181" s="40">
        <v>-0.24538199999999999</v>
      </c>
      <c r="G181" s="40">
        <v>0.25901600000000002</v>
      </c>
      <c r="H181" s="40">
        <v>-1.363E-2</v>
      </c>
      <c r="I181" s="49">
        <v>1.89</v>
      </c>
      <c r="J181" s="49">
        <v>1.35</v>
      </c>
      <c r="K181" s="41">
        <v>1</v>
      </c>
      <c r="L181" s="41">
        <v>1.46</v>
      </c>
      <c r="M181" s="41">
        <v>1.28</v>
      </c>
      <c r="N181" s="41">
        <v>2.35</v>
      </c>
      <c r="O181" s="41">
        <v>3.95</v>
      </c>
      <c r="P181" s="41">
        <v>6.44</v>
      </c>
      <c r="Q181" s="42">
        <v>100</v>
      </c>
      <c r="R181" s="42">
        <v>0.1</v>
      </c>
      <c r="S181" s="43">
        <v>200</v>
      </c>
    </row>
    <row r="184" spans="2:19" x14ac:dyDescent="0.25">
      <c r="B184" s="144" t="s">
        <v>378</v>
      </c>
      <c r="C184" s="1"/>
      <c r="D184" s="246"/>
      <c r="E184" s="246"/>
      <c r="F184" s="1"/>
      <c r="G184" s="150"/>
    </row>
    <row r="185" spans="2:19" ht="16.8" x14ac:dyDescent="0.35">
      <c r="B185" s="255" t="s">
        <v>392</v>
      </c>
      <c r="C185" s="45" t="s">
        <v>0</v>
      </c>
      <c r="D185" s="45" t="s">
        <v>1</v>
      </c>
      <c r="E185" s="45" t="s">
        <v>2</v>
      </c>
      <c r="F185" s="247" t="s">
        <v>349</v>
      </c>
      <c r="G185" s="248" t="s">
        <v>350</v>
      </c>
      <c r="H185" s="305" t="s">
        <v>50</v>
      </c>
    </row>
    <row r="186" spans="2:19" x14ac:dyDescent="0.25">
      <c r="B186" s="249" t="s">
        <v>379</v>
      </c>
      <c r="C186" s="32">
        <v>4.5587</v>
      </c>
      <c r="D186" s="32">
        <v>-0.70140000000000002</v>
      </c>
      <c r="E186" s="32">
        <v>2E-3</v>
      </c>
      <c r="F186" s="66">
        <v>1</v>
      </c>
      <c r="G186" s="69">
        <v>15</v>
      </c>
      <c r="H186" s="306">
        <v>1.5</v>
      </c>
    </row>
    <row r="187" spans="2:19" x14ac:dyDescent="0.25">
      <c r="B187" s="34" t="s">
        <v>380</v>
      </c>
      <c r="C187" s="35">
        <v>4.1052</v>
      </c>
      <c r="D187" s="35">
        <v>-0.46800000000000003</v>
      </c>
      <c r="E187" s="35">
        <v>-5.0000000000000001E-4</v>
      </c>
      <c r="F187" s="48">
        <v>0.1</v>
      </c>
      <c r="G187" s="68">
        <v>35</v>
      </c>
      <c r="H187" s="306">
        <v>1.5</v>
      </c>
    </row>
    <row r="188" spans="2:19" x14ac:dyDescent="0.25">
      <c r="B188" s="250" t="s">
        <v>381</v>
      </c>
      <c r="C188" s="35">
        <v>3.7957000000000001</v>
      </c>
      <c r="D188" s="35">
        <v>-0.54069999999999996</v>
      </c>
      <c r="E188" s="35">
        <v>1.6E-2</v>
      </c>
      <c r="F188" s="48">
        <v>7.0000000000000007E-2</v>
      </c>
      <c r="G188" s="68">
        <v>1</v>
      </c>
      <c r="H188" s="306">
        <v>1.5</v>
      </c>
    </row>
    <row r="189" spans="2:19" x14ac:dyDescent="0.25">
      <c r="B189" s="250" t="s">
        <v>382</v>
      </c>
      <c r="C189" s="35">
        <v>4.1052</v>
      </c>
      <c r="D189" s="35">
        <v>-0.46800000000000003</v>
      </c>
      <c r="E189" s="35">
        <v>-5.0000000000000001E-4</v>
      </c>
      <c r="F189" s="48">
        <v>0.1</v>
      </c>
      <c r="G189" s="68">
        <v>35</v>
      </c>
      <c r="H189" s="306">
        <v>1.5</v>
      </c>
    </row>
    <row r="190" spans="2:19" x14ac:dyDescent="0.25">
      <c r="B190" s="250" t="s">
        <v>383</v>
      </c>
      <c r="C190" s="35">
        <v>3.3496000000000001</v>
      </c>
      <c r="D190" s="35">
        <v>-0.27650000000000002</v>
      </c>
      <c r="E190" s="35">
        <v>2.5000000000000001E-3</v>
      </c>
      <c r="F190" s="48">
        <v>5</v>
      </c>
      <c r="G190" s="68">
        <v>45</v>
      </c>
      <c r="H190" s="306">
        <v>1.5</v>
      </c>
    </row>
    <row r="191" spans="2:19" x14ac:dyDescent="0.25">
      <c r="B191" s="251" t="s">
        <v>384</v>
      </c>
      <c r="C191" s="40">
        <v>4.7115999999999998</v>
      </c>
      <c r="D191" s="40">
        <v>-0.55210000000000004</v>
      </c>
      <c r="E191" s="40">
        <v>4.0000000000000002E-4</v>
      </c>
      <c r="F191" s="49">
        <v>0.04</v>
      </c>
      <c r="G191" s="70">
        <v>6</v>
      </c>
      <c r="H191" s="307">
        <v>1.5</v>
      </c>
      <c r="K191" s="57"/>
    </row>
    <row r="192" spans="2:19" x14ac:dyDescent="0.25">
      <c r="B192" s="1"/>
      <c r="C192" s="246"/>
      <c r="D192" s="246"/>
      <c r="E192" s="246"/>
      <c r="F192" s="150"/>
      <c r="G192" s="150"/>
    </row>
    <row r="193" spans="2:9" x14ac:dyDescent="0.25">
      <c r="B193" s="1"/>
      <c r="C193" s="1"/>
      <c r="D193" s="246"/>
      <c r="E193" s="246"/>
      <c r="F193" s="1"/>
      <c r="G193" s="150"/>
    </row>
    <row r="194" spans="2:9" x14ac:dyDescent="0.25">
      <c r="B194" s="64" t="s">
        <v>385</v>
      </c>
      <c r="C194" s="1"/>
      <c r="D194" s="246"/>
      <c r="E194" s="246"/>
      <c r="F194" s="1"/>
      <c r="G194" s="150"/>
    </row>
    <row r="195" spans="2:9" ht="16.8" x14ac:dyDescent="0.35">
      <c r="B195" s="255" t="s">
        <v>393</v>
      </c>
      <c r="C195" s="45" t="s">
        <v>0</v>
      </c>
      <c r="D195" s="45" t="s">
        <v>1</v>
      </c>
      <c r="E195" s="45" t="s">
        <v>2</v>
      </c>
      <c r="F195" s="247" t="s">
        <v>342</v>
      </c>
      <c r="G195" s="248" t="s">
        <v>343</v>
      </c>
      <c r="H195" s="305" t="s">
        <v>50</v>
      </c>
    </row>
    <row r="196" spans="2:9" x14ac:dyDescent="0.25">
      <c r="B196" s="29" t="s">
        <v>386</v>
      </c>
      <c r="C196" s="32">
        <v>3.8050000000000002</v>
      </c>
      <c r="D196" s="32">
        <v>-0.41439999999999999</v>
      </c>
      <c r="E196" s="32">
        <v>0.21199999999999999</v>
      </c>
      <c r="F196" s="66">
        <v>0.3</v>
      </c>
      <c r="G196" s="69">
        <v>6</v>
      </c>
      <c r="H196" s="306">
        <v>1.5</v>
      </c>
    </row>
    <row r="197" spans="2:9" x14ac:dyDescent="0.25">
      <c r="B197" s="34" t="s">
        <v>60</v>
      </c>
      <c r="C197" s="35">
        <v>4.0484999999999998</v>
      </c>
      <c r="D197" s="35">
        <v>-0.88819999999999999</v>
      </c>
      <c r="E197" s="35">
        <v>0.32600000000000001</v>
      </c>
      <c r="F197" s="48">
        <v>0.3</v>
      </c>
      <c r="G197" s="68">
        <v>15</v>
      </c>
      <c r="H197" s="306">
        <v>1.5</v>
      </c>
    </row>
    <row r="198" spans="2:9" x14ac:dyDescent="0.25">
      <c r="B198" s="34" t="s">
        <v>387</v>
      </c>
      <c r="C198" s="35">
        <v>3.8218999999999999</v>
      </c>
      <c r="D198" s="35">
        <v>3.6799999999999999E-2</v>
      </c>
      <c r="E198" s="35">
        <v>-0.60499999999999998</v>
      </c>
      <c r="F198" s="48">
        <v>2</v>
      </c>
      <c r="G198" s="68">
        <v>11</v>
      </c>
      <c r="H198" s="306">
        <v>1.5</v>
      </c>
    </row>
    <row r="199" spans="2:9" x14ac:dyDescent="0.25">
      <c r="B199" s="251" t="s">
        <v>388</v>
      </c>
      <c r="C199" s="40">
        <v>4.0484999999999998</v>
      </c>
      <c r="D199" s="40">
        <v>-0.88819999999999999</v>
      </c>
      <c r="E199" s="40">
        <v>0.32600000000000001</v>
      </c>
      <c r="F199" s="49">
        <v>0.3</v>
      </c>
      <c r="G199" s="70">
        <v>15</v>
      </c>
      <c r="H199" s="307">
        <v>1.5</v>
      </c>
    </row>
    <row r="202" spans="2:9" x14ac:dyDescent="0.25">
      <c r="B202" s="28" t="s">
        <v>311</v>
      </c>
    </row>
    <row r="203" spans="2:9" ht="15.6" x14ac:dyDescent="0.35">
      <c r="B203" s="44" t="s">
        <v>310</v>
      </c>
      <c r="C203" s="45" t="s">
        <v>0</v>
      </c>
      <c r="D203" s="45" t="s">
        <v>1</v>
      </c>
      <c r="E203" s="45" t="s">
        <v>2</v>
      </c>
      <c r="F203" s="45" t="s">
        <v>6</v>
      </c>
      <c r="G203" s="45" t="s">
        <v>7</v>
      </c>
      <c r="H203" s="45" t="s">
        <v>66</v>
      </c>
      <c r="I203" s="46" t="s">
        <v>67</v>
      </c>
    </row>
    <row r="204" spans="2:9" x14ac:dyDescent="0.25">
      <c r="B204" s="29" t="s">
        <v>312</v>
      </c>
      <c r="C204" s="30">
        <v>4.8509000000000002</v>
      </c>
      <c r="D204" s="30">
        <v>-0.39729999999999999</v>
      </c>
      <c r="E204" s="30">
        <v>0.14449999999999999</v>
      </c>
      <c r="F204" s="66">
        <v>1.1000000000000001</v>
      </c>
      <c r="G204" s="30">
        <v>0</v>
      </c>
      <c r="H204" s="30">
        <v>90</v>
      </c>
      <c r="I204" s="31">
        <v>30000</v>
      </c>
    </row>
    <row r="205" spans="2:9" x14ac:dyDescent="0.25">
      <c r="B205" s="39" t="s">
        <v>313</v>
      </c>
      <c r="C205" s="42">
        <v>5.9566999999999997</v>
      </c>
      <c r="D205" s="42">
        <v>-0.75849999999999995</v>
      </c>
      <c r="E205" s="42">
        <v>0.1749</v>
      </c>
      <c r="F205" s="49">
        <v>1.1000000000000001</v>
      </c>
      <c r="G205" s="49">
        <v>0</v>
      </c>
      <c r="H205" s="42">
        <v>1000</v>
      </c>
      <c r="I205" s="43">
        <v>40000</v>
      </c>
    </row>
    <row r="208" spans="2:9" x14ac:dyDescent="0.25">
      <c r="B208" s="64" t="s">
        <v>47</v>
      </c>
    </row>
    <row r="209" spans="2:13" ht="15.6" x14ac:dyDescent="0.35">
      <c r="B209" s="44" t="s">
        <v>109</v>
      </c>
      <c r="C209" s="45" t="s">
        <v>0</v>
      </c>
      <c r="D209" s="45" t="s">
        <v>1</v>
      </c>
      <c r="E209" s="45" t="s">
        <v>2</v>
      </c>
      <c r="F209" s="45" t="s">
        <v>51</v>
      </c>
      <c r="G209" s="45" t="s">
        <v>52</v>
      </c>
      <c r="H209" s="45" t="s">
        <v>53</v>
      </c>
      <c r="I209" s="45" t="s">
        <v>54</v>
      </c>
      <c r="J209" s="45" t="s">
        <v>55</v>
      </c>
      <c r="K209" s="45" t="s">
        <v>56</v>
      </c>
      <c r="L209" s="45" t="s">
        <v>61</v>
      </c>
      <c r="M209" s="46" t="s">
        <v>62</v>
      </c>
    </row>
    <row r="210" spans="2:13" x14ac:dyDescent="0.25">
      <c r="B210" s="34" t="s">
        <v>48</v>
      </c>
      <c r="C210" s="37">
        <v>2.7050999999999998</v>
      </c>
      <c r="D210" s="37">
        <v>1.4398</v>
      </c>
      <c r="E210" s="35">
        <v>-0.17760000000000001</v>
      </c>
      <c r="F210" s="37" t="s">
        <v>24</v>
      </c>
      <c r="G210" s="37">
        <v>3.5</v>
      </c>
      <c r="H210" s="37" t="s">
        <v>24</v>
      </c>
      <c r="I210" s="36">
        <v>6.13</v>
      </c>
      <c r="J210" s="36">
        <v>11.66</v>
      </c>
      <c r="K210" s="37" t="s">
        <v>24</v>
      </c>
      <c r="L210" s="37">
        <v>100</v>
      </c>
      <c r="M210" s="38">
        <v>4000</v>
      </c>
    </row>
    <row r="211" spans="2:13" x14ac:dyDescent="0.25">
      <c r="B211" s="39" t="s">
        <v>49</v>
      </c>
      <c r="C211" s="42">
        <v>2.2475999999999998</v>
      </c>
      <c r="D211" s="42">
        <v>1.4964999999999999</v>
      </c>
      <c r="E211" s="40">
        <v>-0.1618</v>
      </c>
      <c r="F211" s="42" t="s">
        <v>24</v>
      </c>
      <c r="G211" s="41">
        <v>3.5</v>
      </c>
      <c r="H211" s="42" t="s">
        <v>24</v>
      </c>
      <c r="I211" s="41">
        <v>6.13</v>
      </c>
      <c r="J211" s="41">
        <v>11.66</v>
      </c>
      <c r="K211" s="42" t="s">
        <v>24</v>
      </c>
      <c r="L211" s="42">
        <v>100</v>
      </c>
      <c r="M211" s="43">
        <v>1500</v>
      </c>
    </row>
    <row r="213" spans="2:13" x14ac:dyDescent="0.25">
      <c r="L213" s="212"/>
      <c r="M213" s="212"/>
    </row>
    <row r="214" spans="2:13" x14ac:dyDescent="0.25">
      <c r="B214" s="29"/>
      <c r="C214" s="52"/>
      <c r="D214" s="52"/>
      <c r="E214" s="52"/>
      <c r="F214" s="52"/>
      <c r="G214" s="52"/>
      <c r="H214" s="52"/>
      <c r="I214" s="52"/>
      <c r="J214" s="52"/>
      <c r="K214" s="54"/>
      <c r="L214" s="212"/>
      <c r="M214" s="212"/>
    </row>
    <row r="215" spans="2:13" ht="15.6" x14ac:dyDescent="0.35">
      <c r="B215" s="59" t="s">
        <v>122</v>
      </c>
      <c r="C215" s="42" t="s">
        <v>0</v>
      </c>
      <c r="D215" s="42" t="s">
        <v>1</v>
      </c>
      <c r="E215" s="42" t="s">
        <v>2</v>
      </c>
      <c r="F215" s="42" t="s">
        <v>178</v>
      </c>
      <c r="G215" s="42" t="s">
        <v>177</v>
      </c>
      <c r="H215" s="42" t="s">
        <v>68</v>
      </c>
      <c r="I215" s="42" t="s">
        <v>3</v>
      </c>
      <c r="J215" s="42" t="s">
        <v>4</v>
      </c>
      <c r="K215" s="43" t="s">
        <v>5</v>
      </c>
    </row>
    <row r="216" spans="2:13" x14ac:dyDescent="0.25">
      <c r="B216" s="29" t="s">
        <v>124</v>
      </c>
      <c r="C216" s="30">
        <v>3.8751000000000002</v>
      </c>
      <c r="D216" s="30">
        <v>0.33279999999999998</v>
      </c>
      <c r="E216" s="30">
        <v>0.19009999999999999</v>
      </c>
      <c r="F216" s="30">
        <v>1</v>
      </c>
      <c r="G216" s="30">
        <v>100</v>
      </c>
      <c r="H216" s="30">
        <v>320</v>
      </c>
      <c r="I216" s="30">
        <v>0.1578</v>
      </c>
      <c r="J216" s="30">
        <v>-0.29920000000000002</v>
      </c>
      <c r="K216" s="31">
        <v>0.14130000000000001</v>
      </c>
    </row>
    <row r="217" spans="2:13" x14ac:dyDescent="0.25">
      <c r="B217" s="34" t="s">
        <v>125</v>
      </c>
      <c r="C217" s="37">
        <v>4.0380000000000003</v>
      </c>
      <c r="D217" s="37">
        <v>9.1420000000000001E-2</v>
      </c>
      <c r="E217" s="37">
        <v>0.27660000000000001</v>
      </c>
      <c r="F217" s="37">
        <v>1</v>
      </c>
      <c r="G217" s="37">
        <v>100</v>
      </c>
      <c r="H217" s="37">
        <v>320</v>
      </c>
      <c r="I217" s="37">
        <v>0.1578</v>
      </c>
      <c r="J217" s="37">
        <v>-0.29920000000000002</v>
      </c>
      <c r="K217" s="38">
        <v>0.14130000000000001</v>
      </c>
    </row>
    <row r="218" spans="2:13" x14ac:dyDescent="0.25">
      <c r="B218" s="39" t="s">
        <v>136</v>
      </c>
      <c r="C218" s="42">
        <v>4.0380000000000003</v>
      </c>
      <c r="D218" s="42">
        <v>9.1420000000000001E-2</v>
      </c>
      <c r="E218" s="42">
        <v>0.27660000000000001</v>
      </c>
      <c r="F218" s="42">
        <v>1</v>
      </c>
      <c r="G218" s="42">
        <v>100</v>
      </c>
      <c r="H218" s="42">
        <v>320</v>
      </c>
      <c r="I218" s="42">
        <v>0.1578</v>
      </c>
      <c r="J218" s="42">
        <v>-0.29920000000000002</v>
      </c>
      <c r="K218" s="43">
        <v>0.14130000000000001</v>
      </c>
      <c r="L218" s="37"/>
    </row>
    <row r="221" spans="2:13" ht="15.6" x14ac:dyDescent="0.35">
      <c r="B221" s="29"/>
      <c r="C221" s="52"/>
      <c r="D221" s="52" t="s">
        <v>128</v>
      </c>
      <c r="E221" s="52"/>
      <c r="F221" s="52"/>
      <c r="G221" s="54"/>
    </row>
    <row r="222" spans="2:13" x14ac:dyDescent="0.25">
      <c r="B222" s="59" t="s">
        <v>123</v>
      </c>
      <c r="C222" s="42" t="s">
        <v>82</v>
      </c>
      <c r="D222" s="42" t="s">
        <v>129</v>
      </c>
      <c r="E222" s="42" t="s">
        <v>83</v>
      </c>
      <c r="F222" s="42" t="s">
        <v>130</v>
      </c>
      <c r="G222" s="43" t="s">
        <v>131</v>
      </c>
    </row>
    <row r="223" spans="2:13" x14ac:dyDescent="0.25">
      <c r="B223" s="29" t="s">
        <v>117</v>
      </c>
      <c r="C223" s="30">
        <v>2.9</v>
      </c>
      <c r="D223" s="30">
        <v>3.63</v>
      </c>
      <c r="E223" s="30">
        <v>5.08</v>
      </c>
      <c r="F223" s="30">
        <v>9.66</v>
      </c>
      <c r="G223" s="31">
        <v>14.5</v>
      </c>
    </row>
    <row r="224" spans="2:13" x14ac:dyDescent="0.25">
      <c r="B224" s="34" t="s">
        <v>118</v>
      </c>
      <c r="C224" s="37">
        <v>2.25</v>
      </c>
      <c r="D224" s="37">
        <v>2.81</v>
      </c>
      <c r="E224" s="37">
        <v>3.94</v>
      </c>
      <c r="F224" s="37">
        <v>7.49</v>
      </c>
      <c r="G224" s="38">
        <v>11.25</v>
      </c>
    </row>
    <row r="225" spans="2:19" x14ac:dyDescent="0.25">
      <c r="B225" s="34" t="s">
        <v>119</v>
      </c>
      <c r="C225" s="37">
        <v>2.25</v>
      </c>
      <c r="D225" s="37">
        <v>2.81</v>
      </c>
      <c r="E225" s="37">
        <v>3.94</v>
      </c>
      <c r="F225" s="37">
        <v>7.49</v>
      </c>
      <c r="G225" s="38">
        <v>11.25</v>
      </c>
    </row>
    <row r="226" spans="2:19" x14ac:dyDescent="0.25">
      <c r="B226" s="34" t="s">
        <v>120</v>
      </c>
      <c r="C226" s="37">
        <v>2.9</v>
      </c>
      <c r="D226" s="37">
        <v>3.63</v>
      </c>
      <c r="E226" s="37">
        <v>5.08</v>
      </c>
      <c r="F226" s="37">
        <v>9.66</v>
      </c>
      <c r="G226" s="38">
        <v>14.5</v>
      </c>
    </row>
    <row r="227" spans="2:19" x14ac:dyDescent="0.25">
      <c r="B227" s="39" t="s">
        <v>121</v>
      </c>
      <c r="C227" s="42">
        <v>2.9</v>
      </c>
      <c r="D227" s="42">
        <v>3.63</v>
      </c>
      <c r="E227" s="42">
        <v>5.08</v>
      </c>
      <c r="F227" s="42">
        <v>9.66</v>
      </c>
      <c r="G227" s="43">
        <v>14.5</v>
      </c>
    </row>
    <row r="229" spans="2:19" ht="15.6" x14ac:dyDescent="0.35">
      <c r="B229" s="29"/>
      <c r="C229" s="52"/>
      <c r="D229" s="52" t="s">
        <v>128</v>
      </c>
      <c r="E229" s="52"/>
      <c r="F229" s="52"/>
      <c r="G229" s="52"/>
      <c r="H229" s="52"/>
      <c r="I229" s="52"/>
      <c r="J229" s="52"/>
      <c r="K229" s="52"/>
      <c r="L229" s="54"/>
    </row>
    <row r="230" spans="2:19" x14ac:dyDescent="0.25">
      <c r="B230" s="59" t="s">
        <v>122</v>
      </c>
      <c r="C230" s="42" t="s">
        <v>82</v>
      </c>
      <c r="D230" s="42" t="s">
        <v>132</v>
      </c>
      <c r="E230" s="42" t="s">
        <v>395</v>
      </c>
      <c r="F230" s="42" t="s">
        <v>176</v>
      </c>
      <c r="G230" s="42" t="s">
        <v>83</v>
      </c>
      <c r="H230" s="42" t="s">
        <v>133</v>
      </c>
      <c r="I230" s="42" t="s">
        <v>130</v>
      </c>
      <c r="J230" s="42" t="s">
        <v>134</v>
      </c>
      <c r="K230" s="42" t="s">
        <v>131</v>
      </c>
      <c r="L230" s="43" t="s">
        <v>135</v>
      </c>
    </row>
    <row r="231" spans="2:19" x14ac:dyDescent="0.25">
      <c r="B231" s="34" t="s">
        <v>124</v>
      </c>
      <c r="C231" s="36">
        <v>2.74</v>
      </c>
      <c r="D231" s="36">
        <v>3.43</v>
      </c>
      <c r="E231" s="36">
        <v>4.66</v>
      </c>
      <c r="F231" s="36">
        <v>4.93</v>
      </c>
      <c r="G231" s="36">
        <v>4.8</v>
      </c>
      <c r="H231" s="36">
        <v>3.77</v>
      </c>
      <c r="I231" s="36">
        <v>9.1199999999999992</v>
      </c>
      <c r="J231" s="36">
        <v>5.93</v>
      </c>
      <c r="K231" s="36">
        <v>13.7</v>
      </c>
      <c r="L231" s="76">
        <v>9.5299999999999994</v>
      </c>
    </row>
    <row r="232" spans="2:19" x14ac:dyDescent="0.25">
      <c r="B232" s="34" t="s">
        <v>125</v>
      </c>
      <c r="C232" s="36">
        <v>3.03</v>
      </c>
      <c r="D232" s="36">
        <v>3.79</v>
      </c>
      <c r="E232" s="36">
        <v>5.15</v>
      </c>
      <c r="F232" s="36">
        <v>5.45</v>
      </c>
      <c r="G232" s="36">
        <v>5.15</v>
      </c>
      <c r="H232" s="36">
        <v>4.09</v>
      </c>
      <c r="I232" s="36">
        <v>10.09</v>
      </c>
      <c r="J232" s="36">
        <v>6.56</v>
      </c>
      <c r="K232" s="36">
        <v>15.15</v>
      </c>
      <c r="L232" s="76">
        <v>10.61</v>
      </c>
    </row>
    <row r="233" spans="2:19" x14ac:dyDescent="0.25">
      <c r="B233" s="39" t="s">
        <v>136</v>
      </c>
      <c r="C233" s="41">
        <v>3.03</v>
      </c>
      <c r="D233" s="41">
        <v>3.79</v>
      </c>
      <c r="E233" s="41">
        <v>5.15</v>
      </c>
      <c r="F233" s="41">
        <v>5.45</v>
      </c>
      <c r="G233" s="41">
        <v>5.15</v>
      </c>
      <c r="H233" s="41">
        <v>4.09</v>
      </c>
      <c r="I233" s="41">
        <v>10.09</v>
      </c>
      <c r="J233" s="41">
        <v>6.56</v>
      </c>
      <c r="K233" s="41">
        <v>15.15</v>
      </c>
      <c r="L233" s="77">
        <v>10.61</v>
      </c>
    </row>
    <row r="234" spans="2:19" x14ac:dyDescent="0.25">
      <c r="B234" s="20"/>
    </row>
    <row r="235" spans="2:19" x14ac:dyDescent="0.25">
      <c r="B235" s="20"/>
    </row>
    <row r="236" spans="2:19" x14ac:dyDescent="0.25">
      <c r="B236" s="64" t="s">
        <v>137</v>
      </c>
    </row>
    <row r="237" spans="2:19" x14ac:dyDescent="0.25">
      <c r="B237" s="65" t="s">
        <v>110</v>
      </c>
      <c r="C237" s="52"/>
      <c r="D237" s="30"/>
      <c r="E237" s="52"/>
      <c r="F237" s="52"/>
      <c r="G237" s="78" t="s">
        <v>111</v>
      </c>
      <c r="H237" s="52"/>
      <c r="I237" s="52"/>
      <c r="J237" s="52"/>
      <c r="K237" s="52"/>
      <c r="L237" s="54"/>
      <c r="S237" s="212"/>
    </row>
    <row r="238" spans="2:19" ht="15.6" x14ac:dyDescent="0.35">
      <c r="B238" s="79" t="s">
        <v>0</v>
      </c>
      <c r="C238" s="42" t="s">
        <v>1</v>
      </c>
      <c r="D238" s="42" t="s">
        <v>2</v>
      </c>
      <c r="E238" s="42" t="s">
        <v>328</v>
      </c>
      <c r="F238" s="42" t="s">
        <v>329</v>
      </c>
      <c r="G238" s="42" t="s">
        <v>0</v>
      </c>
      <c r="H238" s="42" t="s">
        <v>1</v>
      </c>
      <c r="I238" s="42" t="s">
        <v>2</v>
      </c>
      <c r="J238" s="42" t="s">
        <v>328</v>
      </c>
      <c r="K238" s="42" t="s">
        <v>329</v>
      </c>
      <c r="L238" s="43" t="s">
        <v>68</v>
      </c>
    </row>
    <row r="239" spans="2:19" x14ac:dyDescent="0.25">
      <c r="B239" s="217">
        <v>3.4973999999999998</v>
      </c>
      <c r="C239" s="214">
        <v>0.44850000000000001</v>
      </c>
      <c r="D239" s="214">
        <v>0.1074</v>
      </c>
      <c r="E239" s="45">
        <v>0.3</v>
      </c>
      <c r="F239" s="45">
        <v>520</v>
      </c>
      <c r="G239" s="214">
        <v>3.5565000000000002</v>
      </c>
      <c r="H239" s="214">
        <v>0.37759999999999999</v>
      </c>
      <c r="I239" s="214">
        <v>9.0499999999999997E-2</v>
      </c>
      <c r="J239" s="215">
        <v>0.1</v>
      </c>
      <c r="K239" s="45">
        <v>628</v>
      </c>
      <c r="L239" s="46">
        <v>400</v>
      </c>
    </row>
    <row r="240" spans="2:19" x14ac:dyDescent="0.25">
      <c r="C240" s="20"/>
      <c r="D240" s="20"/>
      <c r="E240" s="20"/>
      <c r="P240" s="37"/>
    </row>
    <row r="241" spans="2:23" ht="15.6" x14ac:dyDescent="0.35">
      <c r="B241" s="27" t="s">
        <v>73</v>
      </c>
      <c r="D241" s="20"/>
      <c r="E241" s="20"/>
      <c r="I241" s="80" t="s">
        <v>50</v>
      </c>
      <c r="Q241" s="212"/>
      <c r="R241" s="212"/>
    </row>
    <row r="242" spans="2:23" x14ac:dyDescent="0.25">
      <c r="B242" s="257" t="s">
        <v>394</v>
      </c>
      <c r="C242" s="30" t="s">
        <v>71</v>
      </c>
      <c r="D242" s="31" t="s">
        <v>72</v>
      </c>
      <c r="I242" s="29" t="s">
        <v>15</v>
      </c>
      <c r="J242" s="52"/>
      <c r="K242" s="30" t="s">
        <v>319</v>
      </c>
      <c r="L242" s="30" t="s">
        <v>321</v>
      </c>
      <c r="M242" s="31" t="s">
        <v>320</v>
      </c>
      <c r="Q242" s="212"/>
      <c r="R242" s="212"/>
      <c r="S242" s="212"/>
      <c r="T242" s="212"/>
      <c r="U242" s="212"/>
      <c r="V242" s="212"/>
      <c r="W242" s="212"/>
    </row>
    <row r="243" spans="2:23" x14ac:dyDescent="0.25">
      <c r="B243" s="29" t="s">
        <v>70</v>
      </c>
      <c r="C243" s="66">
        <v>1.49</v>
      </c>
      <c r="D243" s="69">
        <v>1.52</v>
      </c>
      <c r="I243" s="34" t="s">
        <v>82</v>
      </c>
      <c r="J243" s="20"/>
      <c r="K243" s="36">
        <v>1</v>
      </c>
      <c r="L243" s="37">
        <v>1</v>
      </c>
      <c r="M243" s="76"/>
    </row>
    <row r="244" spans="2:23" x14ac:dyDescent="0.25">
      <c r="B244" s="39" t="s">
        <v>69</v>
      </c>
      <c r="C244" s="49">
        <v>2.25</v>
      </c>
      <c r="D244" s="70">
        <v>1.82</v>
      </c>
      <c r="I244" s="34" t="s">
        <v>83</v>
      </c>
      <c r="J244" s="20"/>
      <c r="K244" s="36">
        <v>1.83</v>
      </c>
      <c r="L244" s="37">
        <v>1.83</v>
      </c>
      <c r="M244" s="76">
        <v>1</v>
      </c>
    </row>
    <row r="245" spans="2:23" x14ac:dyDescent="0.25">
      <c r="B245" s="20"/>
      <c r="C245" s="20"/>
      <c r="D245" s="20"/>
      <c r="I245" s="34" t="s">
        <v>84</v>
      </c>
      <c r="J245" s="20"/>
      <c r="K245" s="36"/>
      <c r="L245" s="37"/>
      <c r="M245" s="76">
        <v>1.83</v>
      </c>
    </row>
    <row r="246" spans="2:23" ht="15.6" x14ac:dyDescent="0.35">
      <c r="B246" s="80" t="s">
        <v>81</v>
      </c>
      <c r="I246" s="39" t="s">
        <v>85</v>
      </c>
      <c r="J246" s="50"/>
      <c r="K246" s="41">
        <v>5.58</v>
      </c>
      <c r="L246" s="42">
        <v>5.58</v>
      </c>
      <c r="M246" s="77">
        <v>5.58</v>
      </c>
    </row>
    <row r="247" spans="2:23" ht="16.8" x14ac:dyDescent="0.35">
      <c r="B247" s="44" t="s">
        <v>333</v>
      </c>
      <c r="C247" s="207" t="s">
        <v>0</v>
      </c>
      <c r="D247" s="207" t="s">
        <v>1</v>
      </c>
      <c r="E247" s="207" t="s">
        <v>2</v>
      </c>
      <c r="F247" s="207" t="s">
        <v>334</v>
      </c>
      <c r="G247" s="100" t="s">
        <v>335</v>
      </c>
    </row>
    <row r="248" spans="2:23" x14ac:dyDescent="0.25">
      <c r="B248" s="61" t="s">
        <v>319</v>
      </c>
      <c r="C248" s="62">
        <v>2.9948999999999999</v>
      </c>
      <c r="D248" s="62">
        <v>0.44650000000000001</v>
      </c>
      <c r="E248" s="62">
        <v>0.39610000000000001</v>
      </c>
      <c r="F248" s="37">
        <v>7.0000000000000007E-2</v>
      </c>
      <c r="G248" s="38">
        <v>12.3</v>
      </c>
      <c r="I248" s="80" t="s">
        <v>74</v>
      </c>
    </row>
    <row r="249" spans="2:23" ht="15.6" x14ac:dyDescent="0.35">
      <c r="B249" s="61" t="s">
        <v>321</v>
      </c>
      <c r="C249" s="62">
        <v>3.3321999999999998</v>
      </c>
      <c r="D249" s="62">
        <v>0.48380000000000001</v>
      </c>
      <c r="E249" s="62">
        <v>0.34339999999999998</v>
      </c>
      <c r="F249" s="37">
        <v>0.7</v>
      </c>
      <c r="G249" s="38">
        <v>10.5</v>
      </c>
      <c r="I249" s="29" t="s">
        <v>75</v>
      </c>
      <c r="J249" s="81">
        <v>1</v>
      </c>
    </row>
    <row r="250" spans="2:23" ht="15.6" x14ac:dyDescent="0.35">
      <c r="B250" s="216" t="s">
        <v>320</v>
      </c>
      <c r="C250" s="56">
        <v>3.2353000000000001</v>
      </c>
      <c r="D250" s="56">
        <v>0.48380000000000001</v>
      </c>
      <c r="E250" s="56">
        <v>0.34339999999999998</v>
      </c>
      <c r="F250" s="42">
        <v>0.7</v>
      </c>
      <c r="G250" s="43">
        <v>10.5</v>
      </c>
      <c r="I250" s="34" t="s">
        <v>76</v>
      </c>
      <c r="J250" s="82">
        <v>1.74</v>
      </c>
    </row>
    <row r="251" spans="2:23" ht="15.6" x14ac:dyDescent="0.35">
      <c r="I251" s="34" t="s">
        <v>166</v>
      </c>
      <c r="J251" s="82">
        <v>3.11</v>
      </c>
    </row>
    <row r="252" spans="2:23" ht="15.6" x14ac:dyDescent="0.35">
      <c r="B252" s="27" t="s">
        <v>116</v>
      </c>
      <c r="C252" s="20"/>
      <c r="I252" s="34" t="s">
        <v>77</v>
      </c>
      <c r="J252" s="82">
        <v>3.62</v>
      </c>
    </row>
    <row r="253" spans="2:23" ht="16.8" x14ac:dyDescent="0.35">
      <c r="B253" s="256" t="s">
        <v>74</v>
      </c>
      <c r="C253" s="207" t="s">
        <v>0</v>
      </c>
      <c r="D253" s="207" t="s">
        <v>1</v>
      </c>
      <c r="E253" s="207" t="s">
        <v>2</v>
      </c>
      <c r="F253" s="207" t="s">
        <v>336</v>
      </c>
      <c r="G253" s="100" t="s">
        <v>337</v>
      </c>
      <c r="I253" s="34" t="s">
        <v>78</v>
      </c>
      <c r="J253" s="82">
        <v>7.07</v>
      </c>
    </row>
    <row r="254" spans="2:23" ht="15.6" x14ac:dyDescent="0.35">
      <c r="B254" s="112" t="s">
        <v>338</v>
      </c>
      <c r="C254" s="27">
        <v>3.0663999999999998</v>
      </c>
      <c r="D254" s="27">
        <v>0.97440000000000004</v>
      </c>
      <c r="E254" s="27">
        <v>5.4999999999999997E-3</v>
      </c>
      <c r="F254" s="27">
        <v>0.03</v>
      </c>
      <c r="G254" s="109">
        <v>628</v>
      </c>
      <c r="I254" s="34" t="s">
        <v>79</v>
      </c>
      <c r="J254" s="82">
        <v>4.68</v>
      </c>
    </row>
    <row r="255" spans="2:23" ht="15.6" x14ac:dyDescent="0.35">
      <c r="B255" s="112" t="s">
        <v>96</v>
      </c>
      <c r="C255" s="27">
        <v>3.2999000000000001</v>
      </c>
      <c r="D255" s="27">
        <v>0.97440000000000004</v>
      </c>
      <c r="E255" s="27">
        <v>5.4999999999999997E-3</v>
      </c>
      <c r="F255" s="27">
        <v>0.03</v>
      </c>
      <c r="G255" s="109">
        <v>628</v>
      </c>
      <c r="I255" s="39" t="s">
        <v>80</v>
      </c>
      <c r="J255" s="83">
        <v>9.4</v>
      </c>
    </row>
    <row r="256" spans="2:23" x14ac:dyDescent="0.25">
      <c r="B256" s="218" t="s">
        <v>326</v>
      </c>
      <c r="C256" s="219">
        <v>2.4493</v>
      </c>
      <c r="D256" s="219">
        <v>0.97440000000000004</v>
      </c>
      <c r="E256" s="219">
        <v>5.4999999999999997E-3</v>
      </c>
      <c r="F256" s="219">
        <v>0.03</v>
      </c>
      <c r="G256" s="220">
        <v>628</v>
      </c>
    </row>
  </sheetData>
  <phoneticPr fontId="0" type="noConversion"/>
  <pageMargins left="0.75" right="0.75" top="1" bottom="1" header="0.5" footer="0.5"/>
  <pageSetup scale="47" orientation="portrait" horizontalDpi="4294967294" verticalDpi="300" r:id="rId1"/>
  <headerFooter alignWithMargins="0"/>
  <rowBreaks count="1" manualBreakCount="1">
    <brk id="1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1:C32"/>
  <sheetViews>
    <sheetView topLeftCell="A10" workbookViewId="0">
      <selection activeCell="E28" sqref="E28"/>
    </sheetView>
  </sheetViews>
  <sheetFormatPr baseColWidth="10" defaultRowHeight="13.2" x14ac:dyDescent="0.25"/>
  <sheetData>
    <row r="31" spans="2:3" ht="15" x14ac:dyDescent="0.25">
      <c r="B31" s="326" t="s">
        <v>479</v>
      </c>
    </row>
    <row r="32" spans="2:3" ht="17.399999999999999" x14ac:dyDescent="0.3">
      <c r="B32" s="325">
        <v>2016</v>
      </c>
      <c r="C32" s="324">
        <v>556</v>
      </c>
    </row>
  </sheetData>
  <hyperlinks>
    <hyperlink ref="B31" r:id="rId1" xr:uid="{00000000-0004-0000-0700-000000000000}"/>
  </hyperlink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4CEB4-2A39-40DF-A01C-19A8F5F264E3}">
  <dimension ref="F6:J13"/>
  <sheetViews>
    <sheetView tabSelected="1" workbookViewId="0">
      <selection activeCell="F6" sqref="F6:J13"/>
    </sheetView>
  </sheetViews>
  <sheetFormatPr baseColWidth="10" defaultRowHeight="13.2" x14ac:dyDescent="0.25"/>
  <cols>
    <col min="6" max="6" width="17.6640625" customWidth="1"/>
    <col min="7" max="7" width="19.77734375" customWidth="1"/>
    <col min="8" max="8" width="20.77734375" customWidth="1"/>
    <col min="9" max="9" width="15.5546875" customWidth="1"/>
    <col min="10" max="10" width="20.88671875" customWidth="1"/>
  </cols>
  <sheetData>
    <row r="6" spans="6:10" ht="26.4" x14ac:dyDescent="0.25">
      <c r="F6" s="333" t="s">
        <v>489</v>
      </c>
      <c r="G6" s="333" t="s">
        <v>490</v>
      </c>
      <c r="H6" s="333" t="s">
        <v>491</v>
      </c>
      <c r="I6" s="333" t="s">
        <v>492</v>
      </c>
      <c r="J6" s="333" t="s">
        <v>493</v>
      </c>
    </row>
    <row r="7" spans="6:10" ht="26.4" x14ac:dyDescent="0.25">
      <c r="F7" s="335" t="s">
        <v>494</v>
      </c>
      <c r="G7" s="334" t="s">
        <v>495</v>
      </c>
      <c r="H7" s="334" t="s">
        <v>496</v>
      </c>
      <c r="I7" s="336">
        <v>8590</v>
      </c>
      <c r="J7" s="336">
        <v>12900</v>
      </c>
    </row>
    <row r="8" spans="6:10" ht="52.8" x14ac:dyDescent="0.25">
      <c r="F8" s="335" t="s">
        <v>497</v>
      </c>
      <c r="G8" s="334" t="s">
        <v>498</v>
      </c>
      <c r="H8" s="334" t="s">
        <v>499</v>
      </c>
      <c r="I8" s="336">
        <v>31400</v>
      </c>
      <c r="J8" s="336">
        <v>103000</v>
      </c>
    </row>
    <row r="9" spans="6:10" ht="52.8" x14ac:dyDescent="0.25">
      <c r="F9" s="334"/>
      <c r="G9" s="334" t="s">
        <v>500</v>
      </c>
      <c r="H9" s="334" t="s">
        <v>501</v>
      </c>
      <c r="I9" s="336">
        <v>31400</v>
      </c>
      <c r="J9" s="336">
        <v>145000</v>
      </c>
    </row>
    <row r="10" spans="6:10" ht="66" x14ac:dyDescent="0.25">
      <c r="F10" s="335" t="s">
        <v>502</v>
      </c>
      <c r="G10" s="334" t="s">
        <v>503</v>
      </c>
      <c r="H10" s="334" t="s">
        <v>504</v>
      </c>
      <c r="I10" s="336">
        <v>13900</v>
      </c>
      <c r="J10" s="336">
        <v>57000</v>
      </c>
    </row>
    <row r="11" spans="6:10" ht="39.6" x14ac:dyDescent="0.25">
      <c r="F11" s="335" t="s">
        <v>505</v>
      </c>
      <c r="G11" s="334" t="s">
        <v>506</v>
      </c>
      <c r="H11" s="334" t="s">
        <v>507</v>
      </c>
      <c r="I11" s="336">
        <v>663000</v>
      </c>
      <c r="J11" s="336">
        <v>1660000</v>
      </c>
    </row>
    <row r="12" spans="6:10" ht="39.6" x14ac:dyDescent="0.25">
      <c r="F12" s="335" t="s">
        <v>508</v>
      </c>
      <c r="G12" s="334" t="s">
        <v>509</v>
      </c>
      <c r="H12" s="334" t="s">
        <v>510</v>
      </c>
      <c r="I12" s="336">
        <v>303000</v>
      </c>
      <c r="J12" s="336">
        <v>1060000</v>
      </c>
    </row>
    <row r="13" spans="6:10" x14ac:dyDescent="0.25">
      <c r="F13" s="335" t="s">
        <v>511</v>
      </c>
      <c r="G13" s="334"/>
      <c r="H13" s="334"/>
      <c r="I13" s="334"/>
      <c r="J13" s="336">
        <v>3037900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1131</vt:i4>
      </vt:variant>
    </vt:vector>
  </HeadingPairs>
  <TitlesOfParts>
    <vt:vector size="1140" baseType="lpstr">
      <vt:lpstr>Equipment Summary</vt:lpstr>
      <vt:lpstr>COM Summary</vt:lpstr>
      <vt:lpstr>Utilities Summary</vt:lpstr>
      <vt:lpstr>Cash Flow Analysis</vt:lpstr>
      <vt:lpstr>Monte Carlo Simulation</vt:lpstr>
      <vt:lpstr>User Options</vt:lpstr>
      <vt:lpstr>Equipment Cost Data</vt:lpstr>
      <vt:lpstr>CEPCI 2016</vt:lpstr>
      <vt:lpstr>Hoja1</vt:lpstr>
      <vt:lpstr>'COM Summary'!Área_de_impresión</vt:lpstr>
      <vt:lpstr>'Equipment Cost Data'!Área_de_impresión</vt:lpstr>
      <vt:lpstr>'Equipment Summary'!Área_de_impresión</vt:lpstr>
      <vt:lpstr>'User Options'!Área_de_impresión</vt:lpstr>
      <vt:lpstr>'Utilities Summary'!Área_de_impresión</vt:lpstr>
      <vt:lpstr>blenderKneaderFBM</vt:lpstr>
      <vt:lpstr>blenderKneaderK1</vt:lpstr>
      <vt:lpstr>blenderKneaderK2</vt:lpstr>
      <vt:lpstr>blenderKneaderK3</vt:lpstr>
      <vt:lpstr>blenderKneaderVmax</vt:lpstr>
      <vt:lpstr>blenderKneaderVmin</vt:lpstr>
      <vt:lpstr>blenderRibbonFBM</vt:lpstr>
      <vt:lpstr>blenderRibbonK1</vt:lpstr>
      <vt:lpstr>blenderRibbonK2</vt:lpstr>
      <vt:lpstr>blenderRibbonK3</vt:lpstr>
      <vt:lpstr>blenderRibbonVmax</vt:lpstr>
      <vt:lpstr>blenderRibbonVmin</vt:lpstr>
      <vt:lpstr>blenderRotaryFBM</vt:lpstr>
      <vt:lpstr>blenderRotaryK1</vt:lpstr>
      <vt:lpstr>blenderRotaryK2</vt:lpstr>
      <vt:lpstr>blenderRotaryK3</vt:lpstr>
      <vt:lpstr>blenderRotaryVmax</vt:lpstr>
      <vt:lpstr>blenderRotaryVmin</vt:lpstr>
      <vt:lpstr>capitalDistribution</vt:lpstr>
      <vt:lpstr>CCP</vt:lpstr>
      <vt:lpstr>CCPBin</vt:lpstr>
      <vt:lpstr>centrifugeAutoBatchDmax</vt:lpstr>
      <vt:lpstr>centrifugeAutoBatchDmin</vt:lpstr>
      <vt:lpstr>centrifugeAutoBatchFBM</vt:lpstr>
      <vt:lpstr>centrifugeAutoBatchK1</vt:lpstr>
      <vt:lpstr>centrifugeAutoBatchK2</vt:lpstr>
      <vt:lpstr>centrifugeAutoBatchK3</vt:lpstr>
      <vt:lpstr>centrifugeCentrifugalDmax</vt:lpstr>
      <vt:lpstr>centrifugeCentrifugalDmin</vt:lpstr>
      <vt:lpstr>centrifugeCentrifugalFBM</vt:lpstr>
      <vt:lpstr>centrifugeCentrifugalK1</vt:lpstr>
      <vt:lpstr>centrifugeCentrifugalK2</vt:lpstr>
      <vt:lpstr>centrifugeCentrifugalK3</vt:lpstr>
      <vt:lpstr>centrifugeOscillatingDmax</vt:lpstr>
      <vt:lpstr>centrifugeOscillatingDmin</vt:lpstr>
      <vt:lpstr>centrifugeOscillatingFBM</vt:lpstr>
      <vt:lpstr>centrifugeOscillatingK1</vt:lpstr>
      <vt:lpstr>centrifugeOscillatingK2</vt:lpstr>
      <vt:lpstr>centrifugeOscillatingK3</vt:lpstr>
      <vt:lpstr>centrifugeSolidBowlDmax</vt:lpstr>
      <vt:lpstr>centrifugeSolidBowlDmin</vt:lpstr>
      <vt:lpstr>centrifugeSolidBowlFBM</vt:lpstr>
      <vt:lpstr>centrifugeSolidBowlK1</vt:lpstr>
      <vt:lpstr>centrifugeSolidBowlK2</vt:lpstr>
      <vt:lpstr>centrifugeSolidBowlK3</vt:lpstr>
      <vt:lpstr>CEPCI</vt:lpstr>
      <vt:lpstr>CFDTable</vt:lpstr>
      <vt:lpstr>COMd</vt:lpstr>
      <vt:lpstr>compressorAxialFBMCS</vt:lpstr>
      <vt:lpstr>compressorAxialFBMNi</vt:lpstr>
      <vt:lpstr>compressorAxialFBMSS</vt:lpstr>
      <vt:lpstr>compressorAxialK1</vt:lpstr>
      <vt:lpstr>compressorAxialK2</vt:lpstr>
      <vt:lpstr>compressorAxialK3</vt:lpstr>
      <vt:lpstr>compressorAxialWmax</vt:lpstr>
      <vt:lpstr>compressorAxialWmin</vt:lpstr>
      <vt:lpstr>compressorCentrifugalFBMCS</vt:lpstr>
      <vt:lpstr>compressorCentrifugalFBMNi</vt:lpstr>
      <vt:lpstr>compressorCentrifugalFBMSS</vt:lpstr>
      <vt:lpstr>compressorCentrifugalK1</vt:lpstr>
      <vt:lpstr>compressorCentrifugalK2</vt:lpstr>
      <vt:lpstr>compressorCentrifugalK3</vt:lpstr>
      <vt:lpstr>compressorCentrifugalWmax</vt:lpstr>
      <vt:lpstr>compressorCentrifugalWmin</vt:lpstr>
      <vt:lpstr>compressorReciprocatingFBMCS</vt:lpstr>
      <vt:lpstr>compressorReciprocatingFBMNi</vt:lpstr>
      <vt:lpstr>compressorReciprocatingFBMSS</vt:lpstr>
      <vt:lpstr>compressorReciprocatingK1</vt:lpstr>
      <vt:lpstr>compressorReciprocatingK2</vt:lpstr>
      <vt:lpstr>compressorReciprocatingK3</vt:lpstr>
      <vt:lpstr>compressorReciprocatingWmax</vt:lpstr>
      <vt:lpstr>compressorReciprocatingWmin</vt:lpstr>
      <vt:lpstr>compressorRotaryFBMCS</vt:lpstr>
      <vt:lpstr>compressorRotaryFBMNi</vt:lpstr>
      <vt:lpstr>compressorRotaryFBMSS</vt:lpstr>
      <vt:lpstr>compressorRotaryK1</vt:lpstr>
      <vt:lpstr>compressorRotaryK2</vt:lpstr>
      <vt:lpstr>compressorRotaryK3</vt:lpstr>
      <vt:lpstr>compressorRotaryWmax</vt:lpstr>
      <vt:lpstr>compressorRotaryWmin</vt:lpstr>
      <vt:lpstr>constructionPeriod</vt:lpstr>
      <vt:lpstr>conveyorApronAmax</vt:lpstr>
      <vt:lpstr>conveyorApronAmin</vt:lpstr>
      <vt:lpstr>conveyorApronFBM</vt:lpstr>
      <vt:lpstr>conveyorApronK1</vt:lpstr>
      <vt:lpstr>conveyorApronK2</vt:lpstr>
      <vt:lpstr>conveyorApronK3</vt:lpstr>
      <vt:lpstr>conveyorBeltAmax</vt:lpstr>
      <vt:lpstr>conveyorBeltAmin</vt:lpstr>
      <vt:lpstr>conveyorBeltFBM</vt:lpstr>
      <vt:lpstr>conveyorBeltK1</vt:lpstr>
      <vt:lpstr>conveyorBeltK2</vt:lpstr>
      <vt:lpstr>conveyorBeltK3</vt:lpstr>
      <vt:lpstr>conveyorPneumaticAmax</vt:lpstr>
      <vt:lpstr>conveyorPneumaticAmin</vt:lpstr>
      <vt:lpstr>conveyorPneumaticFBM</vt:lpstr>
      <vt:lpstr>conveyorPneumaticK1</vt:lpstr>
      <vt:lpstr>conveyorPneumaticK2</vt:lpstr>
      <vt:lpstr>conveyorPneumaticK3</vt:lpstr>
      <vt:lpstr>conveyorScrewAmax</vt:lpstr>
      <vt:lpstr>conveyorScrewAmin</vt:lpstr>
      <vt:lpstr>conveyorScrewFBM</vt:lpstr>
      <vt:lpstr>conveyorScrewK1</vt:lpstr>
      <vt:lpstr>conveyorScrewK2</vt:lpstr>
      <vt:lpstr>conveyorScrewK3</vt:lpstr>
      <vt:lpstr>costCoal</vt:lpstr>
      <vt:lpstr>costCW</vt:lpstr>
      <vt:lpstr>costElectricity</vt:lpstr>
      <vt:lpstr>costFuelOil</vt:lpstr>
      <vt:lpstr>costHPS</vt:lpstr>
      <vt:lpstr>costLabor</vt:lpstr>
      <vt:lpstr>costLand</vt:lpstr>
      <vt:lpstr>costLPS</vt:lpstr>
      <vt:lpstr>costMPS</vt:lpstr>
      <vt:lpstr>costNaturalGas</vt:lpstr>
      <vt:lpstr>costOperatingLabor</vt:lpstr>
      <vt:lpstr>costRawMaterials</vt:lpstr>
      <vt:lpstr>costRefrigerationLow</vt:lpstr>
      <vt:lpstr>costRefrigerationLower</vt:lpstr>
      <vt:lpstr>costRefrigerationLowest</vt:lpstr>
      <vt:lpstr>costRW</vt:lpstr>
      <vt:lpstr>costSteam</vt:lpstr>
      <vt:lpstr>costSummary</vt:lpstr>
      <vt:lpstr>costThermalHigh</vt:lpstr>
      <vt:lpstr>costThermalLow</vt:lpstr>
      <vt:lpstr>costThermalMedium</vt:lpstr>
      <vt:lpstr>costUtilities</vt:lpstr>
      <vt:lpstr>costWasteHazardous</vt:lpstr>
      <vt:lpstr>costWasteNonHazardous</vt:lpstr>
      <vt:lpstr>costWasteTreatment</vt:lpstr>
      <vt:lpstr>crystallizerBatchFBM</vt:lpstr>
      <vt:lpstr>crystallizerBatchK1</vt:lpstr>
      <vt:lpstr>crystallizerBatchK2</vt:lpstr>
      <vt:lpstr>crystallizerBatchK3</vt:lpstr>
      <vt:lpstr>crystallizerBatchVmax</vt:lpstr>
      <vt:lpstr>crystallizerBatchVmin</vt:lpstr>
      <vt:lpstr>CSGRC</vt:lpstr>
      <vt:lpstr>CSTMC</vt:lpstr>
      <vt:lpstr>CSUtility</vt:lpstr>
      <vt:lpstr>DCFROR</vt:lpstr>
      <vt:lpstr>DCFRORBin</vt:lpstr>
      <vt:lpstr>demisterAmax</vt:lpstr>
      <vt:lpstr>demisterAmin</vt:lpstr>
      <vt:lpstr>demisterK1</vt:lpstr>
      <vt:lpstr>demisterK2</vt:lpstr>
      <vt:lpstr>demisterK3</vt:lpstr>
      <vt:lpstr>demisterMOCCS</vt:lpstr>
      <vt:lpstr>demisterMOCF</vt:lpstr>
      <vt:lpstr>demisterMOCNi</vt:lpstr>
      <vt:lpstr>demisterMOCSS</vt:lpstr>
      <vt:lpstr>DPBP</vt:lpstr>
      <vt:lpstr>DPBPBin</vt:lpstr>
      <vt:lpstr>driveEEPFbm</vt:lpstr>
      <vt:lpstr>driveEEPK1</vt:lpstr>
      <vt:lpstr>driveEEPK2</vt:lpstr>
      <vt:lpstr>driveEEPK3</vt:lpstr>
      <vt:lpstr>driveEEPWmax</vt:lpstr>
      <vt:lpstr>driveEEPWmin</vt:lpstr>
      <vt:lpstr>driveEfficiency</vt:lpstr>
      <vt:lpstr>driveEODPFbm</vt:lpstr>
      <vt:lpstr>driveEODPK1</vt:lpstr>
      <vt:lpstr>driveEODPK2</vt:lpstr>
      <vt:lpstr>driveEODPK3</vt:lpstr>
      <vt:lpstr>driveEODPWmax</vt:lpstr>
      <vt:lpstr>driveEODPWmin</vt:lpstr>
      <vt:lpstr>driveETEFbm</vt:lpstr>
      <vt:lpstr>driveETEK1</vt:lpstr>
      <vt:lpstr>driveETEK2</vt:lpstr>
      <vt:lpstr>driveETEK3</vt:lpstr>
      <vt:lpstr>driveETEWmax</vt:lpstr>
      <vt:lpstr>driveETEWmin</vt:lpstr>
      <vt:lpstr>driveGasFbm</vt:lpstr>
      <vt:lpstr>driveGasK1</vt:lpstr>
      <vt:lpstr>driveGasK2</vt:lpstr>
      <vt:lpstr>driveGasK3</vt:lpstr>
      <vt:lpstr>driveGasWmax</vt:lpstr>
      <vt:lpstr>driveGasWmin</vt:lpstr>
      <vt:lpstr>driveICEFbm</vt:lpstr>
      <vt:lpstr>driveICEK1</vt:lpstr>
      <vt:lpstr>driveICEK2</vt:lpstr>
      <vt:lpstr>driveICEK3</vt:lpstr>
      <vt:lpstr>driveICEWmax</vt:lpstr>
      <vt:lpstr>driveICEWmin</vt:lpstr>
      <vt:lpstr>driveSteamFbm</vt:lpstr>
      <vt:lpstr>driveSteamK1</vt:lpstr>
      <vt:lpstr>driveSteamK2</vt:lpstr>
      <vt:lpstr>driveSteamK3</vt:lpstr>
      <vt:lpstr>driveSteamWmax</vt:lpstr>
      <vt:lpstr>driveSteamWmin</vt:lpstr>
      <vt:lpstr>dryerDrumAmax</vt:lpstr>
      <vt:lpstr>dryerDrumAmin</vt:lpstr>
      <vt:lpstr>dryerDrumFBM</vt:lpstr>
      <vt:lpstr>dryerDrumK1</vt:lpstr>
      <vt:lpstr>dryerDrumK2</vt:lpstr>
      <vt:lpstr>dryerDrumK3</vt:lpstr>
      <vt:lpstr>dryerRotaryAmax</vt:lpstr>
      <vt:lpstr>dryerRotaryAmin</vt:lpstr>
      <vt:lpstr>dryerRotaryFBM</vt:lpstr>
      <vt:lpstr>dryerRotaryK1</vt:lpstr>
      <vt:lpstr>dryerRotaryK2</vt:lpstr>
      <vt:lpstr>dryerRotaryK3</vt:lpstr>
      <vt:lpstr>dryerTrayAmax</vt:lpstr>
      <vt:lpstr>dryerTrayAmin</vt:lpstr>
      <vt:lpstr>dryerTrayFBM</vt:lpstr>
      <vt:lpstr>dryerTrayK1</vt:lpstr>
      <vt:lpstr>dryerTrayK2</vt:lpstr>
      <vt:lpstr>dryerTrayK3</vt:lpstr>
      <vt:lpstr>dustCollectorBaghouse</vt:lpstr>
      <vt:lpstr>dustCollectorBaghouseFBM</vt:lpstr>
      <vt:lpstr>dustCollectorBaghouseK1</vt:lpstr>
      <vt:lpstr>dustCollectorBaghouseK2</vt:lpstr>
      <vt:lpstr>dustCollectorBaghouseK3</vt:lpstr>
      <vt:lpstr>dustCollectorBaghouseVmax</vt:lpstr>
      <vt:lpstr>dustCollectorBaghouseVmin</vt:lpstr>
      <vt:lpstr>dustCollectorCycloneFBM</vt:lpstr>
      <vt:lpstr>dustCollectorCycloneK1</vt:lpstr>
      <vt:lpstr>dustCollectorCycloneK2</vt:lpstr>
      <vt:lpstr>dustCollectorCycloneK3</vt:lpstr>
      <vt:lpstr>dustCollectorCycloneVmax</vt:lpstr>
      <vt:lpstr>dustCollectorCycloneVmin</vt:lpstr>
      <vt:lpstr>dustCollectorElectrostaticFBM</vt:lpstr>
      <vt:lpstr>dustCollectorElectrostaticK1</vt:lpstr>
      <vt:lpstr>dustCollectorElectrostaticK2</vt:lpstr>
      <vt:lpstr>dustCollectorElectrostaticK3</vt:lpstr>
      <vt:lpstr>dustCollectorElectrostaticVmax</vt:lpstr>
      <vt:lpstr>dustCollectorElectrostaticVmin</vt:lpstr>
      <vt:lpstr>dustCollectorScrubberK1</vt:lpstr>
      <vt:lpstr>dustCollectorScrubberK2</vt:lpstr>
      <vt:lpstr>dustCollectorScrubberK3</vt:lpstr>
      <vt:lpstr>dustCollectorScrubberVmax</vt:lpstr>
      <vt:lpstr>dustCollectorScrubberVmin</vt:lpstr>
      <vt:lpstr>dustCollectorVenturiFBM</vt:lpstr>
      <vt:lpstr>dustCollectorVenturiK1</vt:lpstr>
      <vt:lpstr>dustCollectorVenturiK2</vt:lpstr>
      <vt:lpstr>dustCollectorVenturiK3</vt:lpstr>
      <vt:lpstr>dustCollectorVenturiVmax</vt:lpstr>
      <vt:lpstr>dustCollectorVenturiVmin</vt:lpstr>
      <vt:lpstr>endClassification</vt:lpstr>
      <vt:lpstr>endMaterial</vt:lpstr>
      <vt:lpstr>endMid</vt:lpstr>
      <vt:lpstr>evaporatorAgitatedAmax</vt:lpstr>
      <vt:lpstr>evaporatorAgitatedAmin</vt:lpstr>
      <vt:lpstr>evaporatorAgitatedC1</vt:lpstr>
      <vt:lpstr>evaporatorAgitatedC2</vt:lpstr>
      <vt:lpstr>evaporatorAgitatedC3</vt:lpstr>
      <vt:lpstr>evaporatorAgitatedFBMCS</vt:lpstr>
      <vt:lpstr>evaporatorAgitatedFBMCu</vt:lpstr>
      <vt:lpstr>evaporatorAgitatedFBMNi</vt:lpstr>
      <vt:lpstr>evaporatorAgitatedFBMSS</vt:lpstr>
      <vt:lpstr>evaporatorAgitatedFBMTi</vt:lpstr>
      <vt:lpstr>evaporatorAgitatedK1</vt:lpstr>
      <vt:lpstr>evaporatorAgitatedK2</vt:lpstr>
      <vt:lpstr>evaporatorAgitatedK3</vt:lpstr>
      <vt:lpstr>evaporatorAgitatedPmax</vt:lpstr>
      <vt:lpstr>evaporatorFilmAmax</vt:lpstr>
      <vt:lpstr>evaporatorFilmAmin</vt:lpstr>
      <vt:lpstr>evaporatorFilmC1</vt:lpstr>
      <vt:lpstr>evaporatorFilmC2</vt:lpstr>
      <vt:lpstr>evaporatorFilmC3</vt:lpstr>
      <vt:lpstr>evaporatorFilmFBMCS</vt:lpstr>
      <vt:lpstr>evaporatorFilmFBMCu</vt:lpstr>
      <vt:lpstr>evaporatorFilmFBMNi</vt:lpstr>
      <vt:lpstr>evaporatorFilmFBMSS</vt:lpstr>
      <vt:lpstr>evaporatorFilmFBMTi</vt:lpstr>
      <vt:lpstr>evaporatorFilmK1</vt:lpstr>
      <vt:lpstr>evaporatorFilmK2</vt:lpstr>
      <vt:lpstr>evaporatorFilmK3</vt:lpstr>
      <vt:lpstr>evaporatorFilmPmax</vt:lpstr>
      <vt:lpstr>evaporatorForcedAmax</vt:lpstr>
      <vt:lpstr>evaporatorForcedAmin</vt:lpstr>
      <vt:lpstr>evaporatorForcedC1</vt:lpstr>
      <vt:lpstr>evaporatorForcedC2</vt:lpstr>
      <vt:lpstr>evaporatorForcedC3</vt:lpstr>
      <vt:lpstr>evaporatorForcedFBMCS</vt:lpstr>
      <vt:lpstr>evaporatorForcedFBMCu</vt:lpstr>
      <vt:lpstr>evaporatorForcedFBMNi</vt:lpstr>
      <vt:lpstr>evaporatorForcedFBMSS</vt:lpstr>
      <vt:lpstr>evaporatorForcedFBMTi</vt:lpstr>
      <vt:lpstr>evaporatorForcedK1</vt:lpstr>
      <vt:lpstr>evaporatorForcedK2</vt:lpstr>
      <vt:lpstr>evaporatorForcedK3</vt:lpstr>
      <vt:lpstr>evaporatorForcedPmax</vt:lpstr>
      <vt:lpstr>evaporatorLongAmax</vt:lpstr>
      <vt:lpstr>evaporatorLongAmin</vt:lpstr>
      <vt:lpstr>evaporatorLongC1</vt:lpstr>
      <vt:lpstr>evaporatorLongC2</vt:lpstr>
      <vt:lpstr>evaporatorLongC3</vt:lpstr>
      <vt:lpstr>evaporatorLongFBMCS</vt:lpstr>
      <vt:lpstr>evaporatorLongFBMCu</vt:lpstr>
      <vt:lpstr>evaporatorLongFBMNi</vt:lpstr>
      <vt:lpstr>evaporatorLongFBMSS</vt:lpstr>
      <vt:lpstr>evaporatorLongFBMTi</vt:lpstr>
      <vt:lpstr>evaporatorLongK1</vt:lpstr>
      <vt:lpstr>evaporatorLongK2</vt:lpstr>
      <vt:lpstr>evaporatorLongK3</vt:lpstr>
      <vt:lpstr>evaporatorLongPmax</vt:lpstr>
      <vt:lpstr>evaporatorShortAmax</vt:lpstr>
      <vt:lpstr>evaporatorShortAmin</vt:lpstr>
      <vt:lpstr>evaporatorShortC1</vt:lpstr>
      <vt:lpstr>evaporatorShortC2</vt:lpstr>
      <vt:lpstr>evaporatorShortC3</vt:lpstr>
      <vt:lpstr>evaporatorShortFBMCS</vt:lpstr>
      <vt:lpstr>evaporatorShortFBMCu</vt:lpstr>
      <vt:lpstr>evaporatorShortFBMNi</vt:lpstr>
      <vt:lpstr>evaporatorShortFBMSS</vt:lpstr>
      <vt:lpstr>evaporatorShortFBMTi</vt:lpstr>
      <vt:lpstr>evaporatorShortK1</vt:lpstr>
      <vt:lpstr>evaporatorShortK2</vt:lpstr>
      <vt:lpstr>evaporatorShortK3</vt:lpstr>
      <vt:lpstr>evaporatorShortPmax</vt:lpstr>
      <vt:lpstr>exchangerAirAmax</vt:lpstr>
      <vt:lpstr>exchangerAirAmin</vt:lpstr>
      <vt:lpstr>exchangerAirB1</vt:lpstr>
      <vt:lpstr>exchangerAirB2</vt:lpstr>
      <vt:lpstr>exchangerAirC1</vt:lpstr>
      <vt:lpstr>exchangerAirC2</vt:lpstr>
      <vt:lpstr>exchangerAirC3</vt:lpstr>
      <vt:lpstr>exchangerAirFMAl</vt:lpstr>
      <vt:lpstr>exchangerAirFMCS</vt:lpstr>
      <vt:lpstr>exchangerAirFMSS</vt:lpstr>
      <vt:lpstr>exchangerAirK1</vt:lpstr>
      <vt:lpstr>exchangerAirK2</vt:lpstr>
      <vt:lpstr>exchangerAirK3</vt:lpstr>
      <vt:lpstr>exchangerAirPmax</vt:lpstr>
      <vt:lpstr>exchangerBayonetAmax</vt:lpstr>
      <vt:lpstr>exchangerBayonetAmin</vt:lpstr>
      <vt:lpstr>exchangerBayonetB1</vt:lpstr>
      <vt:lpstr>exchangerBayonetB2</vt:lpstr>
      <vt:lpstr>exchangerBayonetC1</vt:lpstr>
      <vt:lpstr>exchangerBayonetC12</vt:lpstr>
      <vt:lpstr>exchangerBayonetC2</vt:lpstr>
      <vt:lpstr>exchangerBayonetC22</vt:lpstr>
      <vt:lpstr>exchangerBayonetC3</vt:lpstr>
      <vt:lpstr>exchangerBayonetC32</vt:lpstr>
      <vt:lpstr>exchangerBayonetFMCSCS</vt:lpstr>
      <vt:lpstr>exchangerBayonetFMCSCu</vt:lpstr>
      <vt:lpstr>exchangerBayonetFMCSNi</vt:lpstr>
      <vt:lpstr>exchangerBayonetFMCSSS</vt:lpstr>
      <vt:lpstr>exchangerBayonetFMCSTi</vt:lpstr>
      <vt:lpstr>exchangerBayonetFMCuCu</vt:lpstr>
      <vt:lpstr>exchangerBayonetFMNiNi</vt:lpstr>
      <vt:lpstr>exchangerBayonetFMSSSS</vt:lpstr>
      <vt:lpstr>exchangerBayonetFMTiTi</vt:lpstr>
      <vt:lpstr>exchangerBayonetK1</vt:lpstr>
      <vt:lpstr>exchangerBayonetK2</vt:lpstr>
      <vt:lpstr>exchangerBayonetK3</vt:lpstr>
      <vt:lpstr>exchangerBayonetPmax</vt:lpstr>
      <vt:lpstr>exchangerDoubleAmax</vt:lpstr>
      <vt:lpstr>exchangerDoubleAmin</vt:lpstr>
      <vt:lpstr>exchangerDoubleB1</vt:lpstr>
      <vt:lpstr>exchangerDoubleB2</vt:lpstr>
      <vt:lpstr>exchangerDoubleC1</vt:lpstr>
      <vt:lpstr>exchangerDoubleC12</vt:lpstr>
      <vt:lpstr>exchangerDoubleC13</vt:lpstr>
      <vt:lpstr>exchangerDoubleC2</vt:lpstr>
      <vt:lpstr>exchangerDoubleC22</vt:lpstr>
      <vt:lpstr>exchangerDoubleC23</vt:lpstr>
      <vt:lpstr>exchangerDoubleC3</vt:lpstr>
      <vt:lpstr>exchangerDoubleC32</vt:lpstr>
      <vt:lpstr>exchangerDoubleC33</vt:lpstr>
      <vt:lpstr>exchangerDoubleFMCSCS</vt:lpstr>
      <vt:lpstr>exchangerDoubleFMCSCu</vt:lpstr>
      <vt:lpstr>exchangerDoubleFMCSNi</vt:lpstr>
      <vt:lpstr>exchangerDoubleFMCSSS</vt:lpstr>
      <vt:lpstr>exchangerDoubleFMCSTi</vt:lpstr>
      <vt:lpstr>exchangerDoubleFMCuCu</vt:lpstr>
      <vt:lpstr>exchangerDoubleFMNiNi</vt:lpstr>
      <vt:lpstr>exchangerDoubleFMSSSS</vt:lpstr>
      <vt:lpstr>exchangerDoubleFMTiTi</vt:lpstr>
      <vt:lpstr>exchangerDoubleK1</vt:lpstr>
      <vt:lpstr>exchangerDoubleK2</vt:lpstr>
      <vt:lpstr>exchangerDoubleK3</vt:lpstr>
      <vt:lpstr>exchangerDoublePmax</vt:lpstr>
      <vt:lpstr>exchangerFixedAmax</vt:lpstr>
      <vt:lpstr>exchangerFixedAmin</vt:lpstr>
      <vt:lpstr>exchangerFixedB1</vt:lpstr>
      <vt:lpstr>exchangerFixedB2</vt:lpstr>
      <vt:lpstr>exchangerFixedC1</vt:lpstr>
      <vt:lpstr>exchangerFixedC12</vt:lpstr>
      <vt:lpstr>exchangerFixedC2</vt:lpstr>
      <vt:lpstr>exchangerFixedC22</vt:lpstr>
      <vt:lpstr>exchangerFixedC3</vt:lpstr>
      <vt:lpstr>exchangerFixedC32</vt:lpstr>
      <vt:lpstr>exchangerFixedFMCSCS</vt:lpstr>
      <vt:lpstr>exchangerFixedFMCSCu</vt:lpstr>
      <vt:lpstr>exchangerFixedFMCSNi</vt:lpstr>
      <vt:lpstr>exchangerFixedFMCSSS</vt:lpstr>
      <vt:lpstr>exchangerFixedFMCSTi</vt:lpstr>
      <vt:lpstr>exchangerFixedFMCuCu</vt:lpstr>
      <vt:lpstr>exchangerFixedFMNiNi</vt:lpstr>
      <vt:lpstr>exchangerFixedFMSSSS</vt:lpstr>
      <vt:lpstr>exchangerFixedFMTiTi</vt:lpstr>
      <vt:lpstr>exchangerFixedK1</vt:lpstr>
      <vt:lpstr>exchangerFixedK2</vt:lpstr>
      <vt:lpstr>exchangerFixedK3</vt:lpstr>
      <vt:lpstr>exchangerFixedPmax</vt:lpstr>
      <vt:lpstr>exchangerFlatAmax</vt:lpstr>
      <vt:lpstr>exchangerFlatAmin</vt:lpstr>
      <vt:lpstr>exchangerFlatB1</vt:lpstr>
      <vt:lpstr>exchangerFlatB2</vt:lpstr>
      <vt:lpstr>exchangerFlatC1</vt:lpstr>
      <vt:lpstr>exchangerFlatC2</vt:lpstr>
      <vt:lpstr>exchangerFlatC3</vt:lpstr>
      <vt:lpstr>exchangerFlatFMCS</vt:lpstr>
      <vt:lpstr>exchangerFlatFMCu</vt:lpstr>
      <vt:lpstr>exchangerFlatFMNi</vt:lpstr>
      <vt:lpstr>exchangerFlatFMSS</vt:lpstr>
      <vt:lpstr>exchangerFlatFMTi</vt:lpstr>
      <vt:lpstr>exchangerFlatK1</vt:lpstr>
      <vt:lpstr>exchangerFlatK2</vt:lpstr>
      <vt:lpstr>exchangerFlatK3</vt:lpstr>
      <vt:lpstr>exchangerFlatPmax</vt:lpstr>
      <vt:lpstr>exchangerFloatingAmax</vt:lpstr>
      <vt:lpstr>exchangerFloatingAmin</vt:lpstr>
      <vt:lpstr>exchangerFloatingB1</vt:lpstr>
      <vt:lpstr>exchangerFloatingB2</vt:lpstr>
      <vt:lpstr>exchangerFloatingC1</vt:lpstr>
      <vt:lpstr>exchangerFloatingC12</vt:lpstr>
      <vt:lpstr>exchangerFloatingC2</vt:lpstr>
      <vt:lpstr>exchangerFloatingC22</vt:lpstr>
      <vt:lpstr>exchangerFloatingC3</vt:lpstr>
      <vt:lpstr>exchangerFloatingC32</vt:lpstr>
      <vt:lpstr>exchangerFloatingFMCSCS</vt:lpstr>
      <vt:lpstr>exchangerFloatingFMCSCu</vt:lpstr>
      <vt:lpstr>exchangerFloatingFMCSNi</vt:lpstr>
      <vt:lpstr>exchangerFloatingFMCSSS</vt:lpstr>
      <vt:lpstr>exchangerFloatingFMCSTi</vt:lpstr>
      <vt:lpstr>exchangerFloatingFMCuCu</vt:lpstr>
      <vt:lpstr>exchangerFloatingFMNiNi</vt:lpstr>
      <vt:lpstr>exchangerFloatingFMSSSS</vt:lpstr>
      <vt:lpstr>exchangerFloatingFMTiTi</vt:lpstr>
      <vt:lpstr>exchangerFloatingK1</vt:lpstr>
      <vt:lpstr>exchangerFloatingK2</vt:lpstr>
      <vt:lpstr>exchangerFloatingK3</vt:lpstr>
      <vt:lpstr>exchangerFloatingPmax</vt:lpstr>
      <vt:lpstr>exchangerKettleAmax</vt:lpstr>
      <vt:lpstr>exchangerKettleAmin</vt:lpstr>
      <vt:lpstr>exchangerKettleB1</vt:lpstr>
      <vt:lpstr>exchangerKettleB2</vt:lpstr>
      <vt:lpstr>exchangerKettleC1</vt:lpstr>
      <vt:lpstr>exchangerKettleC12</vt:lpstr>
      <vt:lpstr>exchangerKettleC2</vt:lpstr>
      <vt:lpstr>exchangerKettleC22</vt:lpstr>
      <vt:lpstr>exchangerKettleC3</vt:lpstr>
      <vt:lpstr>exchangerKettleC32</vt:lpstr>
      <vt:lpstr>exchangerKettleFMCSCS</vt:lpstr>
      <vt:lpstr>exchangerKettleFMCSCu</vt:lpstr>
      <vt:lpstr>exchangerKettleFMCSNi</vt:lpstr>
      <vt:lpstr>exchangerKettleFMCSSS</vt:lpstr>
      <vt:lpstr>exchangerKettleFMCSTi</vt:lpstr>
      <vt:lpstr>exchangerKettleFMCuCu</vt:lpstr>
      <vt:lpstr>exchangerKettleFMNiNi</vt:lpstr>
      <vt:lpstr>exchangerKettleFMSSSS</vt:lpstr>
      <vt:lpstr>exchangerKettleFMTiTi</vt:lpstr>
      <vt:lpstr>exchangerKettleK1</vt:lpstr>
      <vt:lpstr>exchangerKettleK2</vt:lpstr>
      <vt:lpstr>exchangerKettleK3</vt:lpstr>
      <vt:lpstr>exchangerKettlePmax</vt:lpstr>
      <vt:lpstr>exchangerMultipleAmax</vt:lpstr>
      <vt:lpstr>exchangerMultipleAmin</vt:lpstr>
      <vt:lpstr>exchangerMultipleB1</vt:lpstr>
      <vt:lpstr>exchangerMultipleB2</vt:lpstr>
      <vt:lpstr>exchangerMultipleC1</vt:lpstr>
      <vt:lpstr>exchangerMultipleC11</vt:lpstr>
      <vt:lpstr>exchangerMultipleC12</vt:lpstr>
      <vt:lpstr>exchangerMultipleC13</vt:lpstr>
      <vt:lpstr>exchangerMultipleC2</vt:lpstr>
      <vt:lpstr>exchangerMultipleC22</vt:lpstr>
      <vt:lpstr>exchangerMultipleC23</vt:lpstr>
      <vt:lpstr>exchangerMultipleC3</vt:lpstr>
      <vt:lpstr>exchangerMultipleC32</vt:lpstr>
      <vt:lpstr>exchangerMultipleC33</vt:lpstr>
      <vt:lpstr>exchangerMultipleFMCSCS</vt:lpstr>
      <vt:lpstr>exchangerMultipleFMCSCu</vt:lpstr>
      <vt:lpstr>exchangerMultipleFMCSNi</vt:lpstr>
      <vt:lpstr>exchangerMultipleFMCSSS</vt:lpstr>
      <vt:lpstr>exchangerMultipleFMCSTi</vt:lpstr>
      <vt:lpstr>exchangerMultipleFMCuCu</vt:lpstr>
      <vt:lpstr>exchangerMultipleFMNiNi</vt:lpstr>
      <vt:lpstr>exchangerMultipleFMSSSS</vt:lpstr>
      <vt:lpstr>exchangerMultipleFMTiTi</vt:lpstr>
      <vt:lpstr>exchangerMultipleK1</vt:lpstr>
      <vt:lpstr>exchangerMultipleK2</vt:lpstr>
      <vt:lpstr>exchangerMultipleK3</vt:lpstr>
      <vt:lpstr>exchangerMultiplePmax</vt:lpstr>
      <vt:lpstr>exchangerScrapedAmax</vt:lpstr>
      <vt:lpstr>exchangerScrapedAmin</vt:lpstr>
      <vt:lpstr>exchangerScrapedB1</vt:lpstr>
      <vt:lpstr>exchangerScrapedB2</vt:lpstr>
      <vt:lpstr>exchangerScrapedC1</vt:lpstr>
      <vt:lpstr>exchangerScrapedC12</vt:lpstr>
      <vt:lpstr>exchangerScrapedC13</vt:lpstr>
      <vt:lpstr>exchangerScrapedC2</vt:lpstr>
      <vt:lpstr>exchangerScrapedC22</vt:lpstr>
      <vt:lpstr>exchangerScrapedC23</vt:lpstr>
      <vt:lpstr>exchangerScrapedC3</vt:lpstr>
      <vt:lpstr>exchangerScrapedC32</vt:lpstr>
      <vt:lpstr>exchangerScrapedC33</vt:lpstr>
      <vt:lpstr>exchangerScrapedFMCSCS</vt:lpstr>
      <vt:lpstr>exchangerScrapedFMCSCu</vt:lpstr>
      <vt:lpstr>exchangerScrapedFMCSNi</vt:lpstr>
      <vt:lpstr>exchangerScrapedFMCSSS</vt:lpstr>
      <vt:lpstr>exchangerScrapedFMCSTi</vt:lpstr>
      <vt:lpstr>exchangerScrapedFMCuCu</vt:lpstr>
      <vt:lpstr>exchangerScrapedFMNiNi</vt:lpstr>
      <vt:lpstr>exchangerScrapedFMSSSS</vt:lpstr>
      <vt:lpstr>exchangerScrapedFMTiTi</vt:lpstr>
      <vt:lpstr>exchangerScrapedK1</vt:lpstr>
      <vt:lpstr>exchangerScrapedK2</vt:lpstr>
      <vt:lpstr>exchangerScrapedK3</vt:lpstr>
      <vt:lpstr>exchangerScrapedPmax</vt:lpstr>
      <vt:lpstr>exchangerSpiralPlateAmax</vt:lpstr>
      <vt:lpstr>exchangerSpiralPlateAmin</vt:lpstr>
      <vt:lpstr>exchangerSpiralPlateB1</vt:lpstr>
      <vt:lpstr>exchangerSpiralPlateB2</vt:lpstr>
      <vt:lpstr>exchangerSpiralPlateC1</vt:lpstr>
      <vt:lpstr>exchangerSpiralPlateC2</vt:lpstr>
      <vt:lpstr>exchangerSpiralPlateC3</vt:lpstr>
      <vt:lpstr>exchangerSpiralPlateFMCS</vt:lpstr>
      <vt:lpstr>exchangerSpiralPlateFMCu</vt:lpstr>
      <vt:lpstr>exchangerSpiralPlateFMNi</vt:lpstr>
      <vt:lpstr>exchangerSpiralPlateFMSS</vt:lpstr>
      <vt:lpstr>exchangerSpiralPlateFMTi</vt:lpstr>
      <vt:lpstr>exchangerSpiralPlateK1</vt:lpstr>
      <vt:lpstr>exchangerSpiralPlateK2</vt:lpstr>
      <vt:lpstr>exchangerSpiralPlateK3</vt:lpstr>
      <vt:lpstr>exchangerSpiralPlatePmax</vt:lpstr>
      <vt:lpstr>exchangerSpiralTubeAmax</vt:lpstr>
      <vt:lpstr>exchangerSpiralTubeAmin</vt:lpstr>
      <vt:lpstr>exchangerSpiralTubeB1</vt:lpstr>
      <vt:lpstr>exchangerSpiralTubeB2</vt:lpstr>
      <vt:lpstr>exchangerSpiralTubeC1</vt:lpstr>
      <vt:lpstr>exchangerSpiralTubeC12</vt:lpstr>
      <vt:lpstr>exchangerSpiralTubeC2</vt:lpstr>
      <vt:lpstr>exchangerSpiralTubeC22</vt:lpstr>
      <vt:lpstr>exchangerSpiralTubeC3</vt:lpstr>
      <vt:lpstr>exchangerSpiralTubeC32</vt:lpstr>
      <vt:lpstr>exchangerSpiralTubeFMCSCS</vt:lpstr>
      <vt:lpstr>exchangerSpiralTubeFMCSCu</vt:lpstr>
      <vt:lpstr>exchangerSpiralTubeFMCSNi</vt:lpstr>
      <vt:lpstr>exchangerSpiralTubeFMCSSS</vt:lpstr>
      <vt:lpstr>exchangerSpiralTubeFMCSTi</vt:lpstr>
      <vt:lpstr>exchangerSpiralTubeFMCuCu</vt:lpstr>
      <vt:lpstr>exchangerSpiralTubeFMNiNi</vt:lpstr>
      <vt:lpstr>exchangerSpiralTubeFMSSSS</vt:lpstr>
      <vt:lpstr>exchangerSpiralTubeFMTiTi</vt:lpstr>
      <vt:lpstr>exchangerSpiralTubeK1</vt:lpstr>
      <vt:lpstr>exchangerSpiralTubeK2</vt:lpstr>
      <vt:lpstr>exchangerSpiralTubeK3</vt:lpstr>
      <vt:lpstr>exchangerSpiralTubePmax</vt:lpstr>
      <vt:lpstr>exchangerTeflonAmax</vt:lpstr>
      <vt:lpstr>exchangerTeflonAmin</vt:lpstr>
      <vt:lpstr>exchangerTeflonB1</vt:lpstr>
      <vt:lpstr>exchangerTeflonB2</vt:lpstr>
      <vt:lpstr>exchangerTeflonC1</vt:lpstr>
      <vt:lpstr>exchangerTeflonC2</vt:lpstr>
      <vt:lpstr>exchangerTeflonC3</vt:lpstr>
      <vt:lpstr>exchangerTeflonFMCS</vt:lpstr>
      <vt:lpstr>exchangerTeflonFMCu</vt:lpstr>
      <vt:lpstr>exchangerTeflonFMNi</vt:lpstr>
      <vt:lpstr>exchangerTeflonFMSS</vt:lpstr>
      <vt:lpstr>exchangerTeflonFMTi</vt:lpstr>
      <vt:lpstr>exchangerTeflonK1</vt:lpstr>
      <vt:lpstr>exchangerTeflonK2</vt:lpstr>
      <vt:lpstr>exchangerTeflonK3</vt:lpstr>
      <vt:lpstr>exchangerTeflonPmax</vt:lpstr>
      <vt:lpstr>fanCurvedC1</vt:lpstr>
      <vt:lpstr>fanCurvedC2</vt:lpstr>
      <vt:lpstr>fanCurvedC3</vt:lpstr>
      <vt:lpstr>fanCurvedFBMCS</vt:lpstr>
      <vt:lpstr>fanCurvedFBMfiberglass</vt:lpstr>
      <vt:lpstr>fanCurvedFBMNi</vt:lpstr>
      <vt:lpstr>fanCurvedFBMSS</vt:lpstr>
      <vt:lpstr>fanCurvedK1</vt:lpstr>
      <vt:lpstr>fanCurvedK2</vt:lpstr>
      <vt:lpstr>fanCurvedK3</vt:lpstr>
      <vt:lpstr>fanCurvedPmax</vt:lpstr>
      <vt:lpstr>fanCurvedPressure</vt:lpstr>
      <vt:lpstr>fanCurvedVmax</vt:lpstr>
      <vt:lpstr>fanCurvedVmin</vt:lpstr>
      <vt:lpstr>fanEfficiency</vt:lpstr>
      <vt:lpstr>fanRadialC1</vt:lpstr>
      <vt:lpstr>fanRadialC2</vt:lpstr>
      <vt:lpstr>fanRadialC3</vt:lpstr>
      <vt:lpstr>fanRadialFBMCS</vt:lpstr>
      <vt:lpstr>fanRadialFBMfiberglass</vt:lpstr>
      <vt:lpstr>fanRadialFBMNi</vt:lpstr>
      <vt:lpstr>fanRadialFBMSS</vt:lpstr>
      <vt:lpstr>fanRadialK1</vt:lpstr>
      <vt:lpstr>fanRadialK2</vt:lpstr>
      <vt:lpstr>fanRadialK3</vt:lpstr>
      <vt:lpstr>fanRadialPmax</vt:lpstr>
      <vt:lpstr>fanRadialPressure</vt:lpstr>
      <vt:lpstr>fanRadialVmax</vt:lpstr>
      <vt:lpstr>fanRadialVmin</vt:lpstr>
      <vt:lpstr>fanTubeC1</vt:lpstr>
      <vt:lpstr>fanTubeC2</vt:lpstr>
      <vt:lpstr>fanTubeC3</vt:lpstr>
      <vt:lpstr>fanTubeFBMCS</vt:lpstr>
      <vt:lpstr>fanTubeFBMfiberglass</vt:lpstr>
      <vt:lpstr>fanTubeFBMNi</vt:lpstr>
      <vt:lpstr>fanTubeFBMSS</vt:lpstr>
      <vt:lpstr>fanTubeK1</vt:lpstr>
      <vt:lpstr>fanTubeK2</vt:lpstr>
      <vt:lpstr>fanTubeK3</vt:lpstr>
      <vt:lpstr>fanTubePmax</vt:lpstr>
      <vt:lpstr>fanTubePressure</vt:lpstr>
      <vt:lpstr>fanTubeVmax</vt:lpstr>
      <vt:lpstr>fanTubeVmin</vt:lpstr>
      <vt:lpstr>fanVaneC1</vt:lpstr>
      <vt:lpstr>fanVaneC2</vt:lpstr>
      <vt:lpstr>fanVaneC3</vt:lpstr>
      <vt:lpstr>fanVaneFBMCS</vt:lpstr>
      <vt:lpstr>fanVaneFBMfiberglass</vt:lpstr>
      <vt:lpstr>fanVaneFBMNi</vt:lpstr>
      <vt:lpstr>fanVaneFBMSS</vt:lpstr>
      <vt:lpstr>fanVaneK1</vt:lpstr>
      <vt:lpstr>fanVaneK2</vt:lpstr>
      <vt:lpstr>fanVaneK3</vt:lpstr>
      <vt:lpstr>fanVanePmax</vt:lpstr>
      <vt:lpstr>fanVanePressure</vt:lpstr>
      <vt:lpstr>fanVaneVmax</vt:lpstr>
      <vt:lpstr>fanVaneVmin</vt:lpstr>
      <vt:lpstr>FBM</vt:lpstr>
      <vt:lpstr>FCIL</vt:lpstr>
      <vt:lpstr>filterBentAmax</vt:lpstr>
      <vt:lpstr>filterBentAmin</vt:lpstr>
      <vt:lpstr>filterBentFBM</vt:lpstr>
      <vt:lpstr>filterBentK1</vt:lpstr>
      <vt:lpstr>filterBentK2</vt:lpstr>
      <vt:lpstr>filterBentK3</vt:lpstr>
      <vt:lpstr>filterCartridgeAmax</vt:lpstr>
      <vt:lpstr>filterCartridgeAmin</vt:lpstr>
      <vt:lpstr>filterCartridgeFBM</vt:lpstr>
      <vt:lpstr>filterCartridgeK1</vt:lpstr>
      <vt:lpstr>filterCartridgeK2</vt:lpstr>
      <vt:lpstr>filterCartridgeK3</vt:lpstr>
      <vt:lpstr>filterDiscAndDrumAmax</vt:lpstr>
      <vt:lpstr>filterDiscAndDrumAmin</vt:lpstr>
      <vt:lpstr>filterDiscAndDrumFBM</vt:lpstr>
      <vt:lpstr>filterDiscAndDrumK1</vt:lpstr>
      <vt:lpstr>filterDiscAndDrumK2</vt:lpstr>
      <vt:lpstr>filterDiscAndDrumK3</vt:lpstr>
      <vt:lpstr>filterGravityAmax</vt:lpstr>
      <vt:lpstr>filterGravityAmin</vt:lpstr>
      <vt:lpstr>filterGravityFBM</vt:lpstr>
      <vt:lpstr>filterGravityK1</vt:lpstr>
      <vt:lpstr>filterGravityK2</vt:lpstr>
      <vt:lpstr>filterGravityK3</vt:lpstr>
      <vt:lpstr>filterLeafAmax</vt:lpstr>
      <vt:lpstr>filterLeafAmin</vt:lpstr>
      <vt:lpstr>filterLeafFBM</vt:lpstr>
      <vt:lpstr>filterLeafK1</vt:lpstr>
      <vt:lpstr>filterLeafK2</vt:lpstr>
      <vt:lpstr>filterLeafK3</vt:lpstr>
      <vt:lpstr>filterPanAmax</vt:lpstr>
      <vt:lpstr>filterPanAmin</vt:lpstr>
      <vt:lpstr>filterPanFBM</vt:lpstr>
      <vt:lpstr>filterPanK1</vt:lpstr>
      <vt:lpstr>filterPanK2</vt:lpstr>
      <vt:lpstr>filterPanK3</vt:lpstr>
      <vt:lpstr>filterPlateAndFrameAmax</vt:lpstr>
      <vt:lpstr>filterPlateAndFrameAmin</vt:lpstr>
      <vt:lpstr>filterPlateAndFrameFBM</vt:lpstr>
      <vt:lpstr>filterPlateAndFrameK1</vt:lpstr>
      <vt:lpstr>filterPlateAndFrameK2</vt:lpstr>
      <vt:lpstr>filterPlateAndFrameK3</vt:lpstr>
      <vt:lpstr>filterTableAmax</vt:lpstr>
      <vt:lpstr>filterTableAmin</vt:lpstr>
      <vt:lpstr>filterTableFBM</vt:lpstr>
      <vt:lpstr>filterTableK1</vt:lpstr>
      <vt:lpstr>filterTableK2</vt:lpstr>
      <vt:lpstr>filterTableK3</vt:lpstr>
      <vt:lpstr>filterTubeAmax</vt:lpstr>
      <vt:lpstr>filterTubeAmin</vt:lpstr>
      <vt:lpstr>filterTubeFBM</vt:lpstr>
      <vt:lpstr>filterTubeK1</vt:lpstr>
      <vt:lpstr>filterTubeK2</vt:lpstr>
      <vt:lpstr>filterTubeK3</vt:lpstr>
      <vt:lpstr>furnaceEfficiency</vt:lpstr>
      <vt:lpstr>grassRootsFactor</vt:lpstr>
      <vt:lpstr>heaterDiphenylC1</vt:lpstr>
      <vt:lpstr>heaterDiphenylC2</vt:lpstr>
      <vt:lpstr>heaterDiphenylC3</vt:lpstr>
      <vt:lpstr>heaterDiphenylFBM</vt:lpstr>
      <vt:lpstr>heaterDiphenylK1</vt:lpstr>
      <vt:lpstr>heaterDiphenylK2</vt:lpstr>
      <vt:lpstr>heaterDiphenylK3</vt:lpstr>
      <vt:lpstr>heaterDiphenylPmax</vt:lpstr>
      <vt:lpstr>heaterDiphenylQmax</vt:lpstr>
      <vt:lpstr>heaterDiphenylQmin</vt:lpstr>
      <vt:lpstr>heaterMoltenC1</vt:lpstr>
      <vt:lpstr>heaterMoltenC2</vt:lpstr>
      <vt:lpstr>heaterMoltenC3</vt:lpstr>
      <vt:lpstr>heaterMoltenFBM</vt:lpstr>
      <vt:lpstr>heaterMoltenK1</vt:lpstr>
      <vt:lpstr>heaterMoltenK2</vt:lpstr>
      <vt:lpstr>heaterMoltenK3</vt:lpstr>
      <vt:lpstr>heaterMoltenPmax</vt:lpstr>
      <vt:lpstr>heaterMoltenQmax</vt:lpstr>
      <vt:lpstr>heaterMoltenQmin</vt:lpstr>
      <vt:lpstr>heaterProcessC1</vt:lpstr>
      <vt:lpstr>heaterProcessC2</vt:lpstr>
      <vt:lpstr>heaterProcessC3</vt:lpstr>
      <vt:lpstr>heaterProcessFBMAlloy</vt:lpstr>
      <vt:lpstr>heaterProcessFBMCS</vt:lpstr>
      <vt:lpstr>heaterProcessFBMSS</vt:lpstr>
      <vt:lpstr>heaterProcessK1</vt:lpstr>
      <vt:lpstr>heaterProcessK2</vt:lpstr>
      <vt:lpstr>heaterProcessK3</vt:lpstr>
      <vt:lpstr>heaterProcessPmax</vt:lpstr>
      <vt:lpstr>heaterProcessQmax</vt:lpstr>
      <vt:lpstr>heaterProcessQmin</vt:lpstr>
      <vt:lpstr>heaterPyrolysisC1</vt:lpstr>
      <vt:lpstr>heaterPyrolysisC2</vt:lpstr>
      <vt:lpstr>heaterPyrolysisC3</vt:lpstr>
      <vt:lpstr>heaterPyrolysisFBMAlloy</vt:lpstr>
      <vt:lpstr>heaterPyrolysisFBMCS</vt:lpstr>
      <vt:lpstr>heaterPyrolysisFBMSS</vt:lpstr>
      <vt:lpstr>heaterPyrolysisK1</vt:lpstr>
      <vt:lpstr>heaterPyrolysisK2</vt:lpstr>
      <vt:lpstr>heaterPyrolysisK3</vt:lpstr>
      <vt:lpstr>heaterPyrolysisPmax</vt:lpstr>
      <vt:lpstr>heaterPyrolysisQmax</vt:lpstr>
      <vt:lpstr>heaterPyrolysisQmin</vt:lpstr>
      <vt:lpstr>heaterReformerC1</vt:lpstr>
      <vt:lpstr>heaterReformerC2</vt:lpstr>
      <vt:lpstr>heaterReformerC3</vt:lpstr>
      <vt:lpstr>heaterReformerFBMAlloy</vt:lpstr>
      <vt:lpstr>heaterReformerFBMCS</vt:lpstr>
      <vt:lpstr>heaterReformerFBMSS</vt:lpstr>
      <vt:lpstr>heaterReformerK1</vt:lpstr>
      <vt:lpstr>heaterReformerK2</vt:lpstr>
      <vt:lpstr>heaterReformerK3</vt:lpstr>
      <vt:lpstr>heaterReformerPmax</vt:lpstr>
      <vt:lpstr>heaterReformerQmax</vt:lpstr>
      <vt:lpstr>heaterReformerQmin</vt:lpstr>
      <vt:lpstr>heaterSaltFBM</vt:lpstr>
      <vt:lpstr>heaterSaltK1</vt:lpstr>
      <vt:lpstr>heaterSaltK2</vt:lpstr>
      <vt:lpstr>heaterSaltK3</vt:lpstr>
      <vt:lpstr>heaterSaltQmax</vt:lpstr>
      <vt:lpstr>heaterSaltQmin</vt:lpstr>
      <vt:lpstr>heaterSteamC1</vt:lpstr>
      <vt:lpstr>heaterSteamC2</vt:lpstr>
      <vt:lpstr>heaterSteamC3</vt:lpstr>
      <vt:lpstr>heaterSteamFBM</vt:lpstr>
      <vt:lpstr>heaterSteamFT1</vt:lpstr>
      <vt:lpstr>heaterSteamFT2</vt:lpstr>
      <vt:lpstr>heaterSteamFT3</vt:lpstr>
      <vt:lpstr>heaterSteamK1</vt:lpstr>
      <vt:lpstr>heaterSteamK2</vt:lpstr>
      <vt:lpstr>heaterSteamK3</vt:lpstr>
      <vt:lpstr>heaterSteamPmax</vt:lpstr>
      <vt:lpstr>heaterSteamQmax</vt:lpstr>
      <vt:lpstr>heaterSteamQmin</vt:lpstr>
      <vt:lpstr>heaterWaterC1</vt:lpstr>
      <vt:lpstr>heaterWaterC2</vt:lpstr>
      <vt:lpstr>heaterWaterC3</vt:lpstr>
      <vt:lpstr>heaterWaterFBM</vt:lpstr>
      <vt:lpstr>heaterWaterK1</vt:lpstr>
      <vt:lpstr>heaterWaterK2</vt:lpstr>
      <vt:lpstr>heaterWaterK3</vt:lpstr>
      <vt:lpstr>heaterWaterPmax</vt:lpstr>
      <vt:lpstr>heaterWaterQmax</vt:lpstr>
      <vt:lpstr>heaterWaterQmin</vt:lpstr>
      <vt:lpstr>hoursPerYear</vt:lpstr>
      <vt:lpstr>iRate</vt:lpstr>
      <vt:lpstr>lowerFCIL</vt:lpstr>
      <vt:lpstr>lowerIncomeTaxRate</vt:lpstr>
      <vt:lpstr>lowerInterestRate</vt:lpstr>
      <vt:lpstr>lowerMaterialPrice</vt:lpstr>
      <vt:lpstr>lowerProductPrice</vt:lpstr>
      <vt:lpstr>lowerSalvageValue</vt:lpstr>
      <vt:lpstr>lowerWorkingCapital</vt:lpstr>
      <vt:lpstr>MFCOL</vt:lpstr>
      <vt:lpstr>MFCUT</vt:lpstr>
      <vt:lpstr>MFFCIL</vt:lpstr>
      <vt:lpstr>mixerImpellerFBM</vt:lpstr>
      <vt:lpstr>mixerImpellerK1</vt:lpstr>
      <vt:lpstr>mixerImpellerK2</vt:lpstr>
      <vt:lpstr>mixerImpellerK3</vt:lpstr>
      <vt:lpstr>mixerImpellerPmax</vt:lpstr>
      <vt:lpstr>mixerImpellerPmin</vt:lpstr>
      <vt:lpstr>mixerPropellerFBM</vt:lpstr>
      <vt:lpstr>mixerPropellerK1</vt:lpstr>
      <vt:lpstr>mixerPropellerK2</vt:lpstr>
      <vt:lpstr>mixerPropellerK3</vt:lpstr>
      <vt:lpstr>mixerPropellerPmax</vt:lpstr>
      <vt:lpstr>mixerPropellerPmin</vt:lpstr>
      <vt:lpstr>mixerTurbineFBM</vt:lpstr>
      <vt:lpstr>mixerTurbineK1</vt:lpstr>
      <vt:lpstr>mixerTurbineK2</vt:lpstr>
      <vt:lpstr>mixerTurbineK3</vt:lpstr>
      <vt:lpstr>mixerTurbinePmax</vt:lpstr>
      <vt:lpstr>mixerTurbinePmin</vt:lpstr>
      <vt:lpstr>NPV</vt:lpstr>
      <vt:lpstr>NPVBin</vt:lpstr>
      <vt:lpstr>packing304SSK1</vt:lpstr>
      <vt:lpstr>packing304SSK2</vt:lpstr>
      <vt:lpstr>packing304SSK3</vt:lpstr>
      <vt:lpstr>packing304SSVmax</vt:lpstr>
      <vt:lpstr>packing304SSVmin</vt:lpstr>
      <vt:lpstr>packingCeramicK1</vt:lpstr>
      <vt:lpstr>packingCeramicK2</vt:lpstr>
      <vt:lpstr>packingCeramicK3</vt:lpstr>
      <vt:lpstr>packingCeramicVmax</vt:lpstr>
      <vt:lpstr>packingCeramicVmin</vt:lpstr>
      <vt:lpstr>packingSaddleK1</vt:lpstr>
      <vt:lpstr>packingSaddleK2</vt:lpstr>
      <vt:lpstr>packingSaddleK3</vt:lpstr>
      <vt:lpstr>packingSaddleVmax</vt:lpstr>
      <vt:lpstr>packingSaddleVmin</vt:lpstr>
      <vt:lpstr>PBP</vt:lpstr>
      <vt:lpstr>PBPBin</vt:lpstr>
      <vt:lpstr>preferenceArea</vt:lpstr>
      <vt:lpstr>preferenceCost</vt:lpstr>
      <vt:lpstr>preferenceEnergyPrice</vt:lpstr>
      <vt:lpstr>preferenceFlowrate</vt:lpstr>
      <vt:lpstr>preferenceGasFlowrate</vt:lpstr>
      <vt:lpstr>preferenceHeatDuty</vt:lpstr>
      <vt:lpstr>preferenceLength</vt:lpstr>
      <vt:lpstr>preferencePower</vt:lpstr>
      <vt:lpstr>preferencePressure</vt:lpstr>
      <vt:lpstr>preferenceVolume</vt:lpstr>
      <vt:lpstr>projectLife</vt:lpstr>
      <vt:lpstr>pumpCentB1</vt:lpstr>
      <vt:lpstr>pumpCentB2</vt:lpstr>
      <vt:lpstr>pumpCentC1</vt:lpstr>
      <vt:lpstr>pumpCentC2</vt:lpstr>
      <vt:lpstr>pumpCentC3</vt:lpstr>
      <vt:lpstr>pumpCentFmCI</vt:lpstr>
      <vt:lpstr>pumpCentFmCS</vt:lpstr>
      <vt:lpstr>pumpCentFmCu</vt:lpstr>
      <vt:lpstr>pumpCentFmNi</vt:lpstr>
      <vt:lpstr>pumpCentFmSS</vt:lpstr>
      <vt:lpstr>pumpCentFmTi</vt:lpstr>
      <vt:lpstr>pumpCentK1</vt:lpstr>
      <vt:lpstr>pumpCentK2</vt:lpstr>
      <vt:lpstr>pumpCentK3</vt:lpstr>
      <vt:lpstr>pumpCentPmax</vt:lpstr>
      <vt:lpstr>pumpCentWmax</vt:lpstr>
      <vt:lpstr>pumpCentWmin</vt:lpstr>
      <vt:lpstr>pumpEfficiency</vt:lpstr>
      <vt:lpstr>pumpPDB1</vt:lpstr>
      <vt:lpstr>pumpPDB2</vt:lpstr>
      <vt:lpstr>pumpPDC1</vt:lpstr>
      <vt:lpstr>pumpPDC2</vt:lpstr>
      <vt:lpstr>pumpPDC3</vt:lpstr>
      <vt:lpstr>pumpPDFmCI</vt:lpstr>
      <vt:lpstr>pumpPDFmCS</vt:lpstr>
      <vt:lpstr>pumpPDFmCu</vt:lpstr>
      <vt:lpstr>pumpPDFmNi</vt:lpstr>
      <vt:lpstr>pumpPDFmSS</vt:lpstr>
      <vt:lpstr>pumpPDFmTi</vt:lpstr>
      <vt:lpstr>pumpPDK1</vt:lpstr>
      <vt:lpstr>pumpPDK2</vt:lpstr>
      <vt:lpstr>pumpPDK3</vt:lpstr>
      <vt:lpstr>pumpPDPmax</vt:lpstr>
      <vt:lpstr>pumpPDWmax</vt:lpstr>
      <vt:lpstr>pumpPDWmin</vt:lpstr>
      <vt:lpstr>pumpRecipB1</vt:lpstr>
      <vt:lpstr>pumpRecipB2</vt:lpstr>
      <vt:lpstr>pumpRecipC1</vt:lpstr>
      <vt:lpstr>pumpRecipC2</vt:lpstr>
      <vt:lpstr>pumpRecipC3</vt:lpstr>
      <vt:lpstr>pumpRecipFmCI</vt:lpstr>
      <vt:lpstr>pumpRecipFmCS</vt:lpstr>
      <vt:lpstr>pumpRecipFmCu</vt:lpstr>
      <vt:lpstr>pumpRecipFmNi</vt:lpstr>
      <vt:lpstr>pumpRecipFmSS</vt:lpstr>
      <vt:lpstr>pumpRecipFmTi</vt:lpstr>
      <vt:lpstr>pumpRecipK1</vt:lpstr>
      <vt:lpstr>pumpRecipK2</vt:lpstr>
      <vt:lpstr>pumpRecipK3</vt:lpstr>
      <vt:lpstr>pumpRecipPmax</vt:lpstr>
      <vt:lpstr>pumpRecipWmax</vt:lpstr>
      <vt:lpstr>pumpRecipWmin</vt:lpstr>
      <vt:lpstr>Qmin</vt:lpstr>
      <vt:lpstr>reactorAutoclaveFBM</vt:lpstr>
      <vt:lpstr>reactorAutoclaveK1</vt:lpstr>
      <vt:lpstr>reactorAutoclaveK2</vt:lpstr>
      <vt:lpstr>reactorAutoclaveK3</vt:lpstr>
      <vt:lpstr>reactorAutoclaveVmax</vt:lpstr>
      <vt:lpstr>reactorAutoclaveVmin</vt:lpstr>
      <vt:lpstr>reactorFermenterFBM</vt:lpstr>
      <vt:lpstr>reactorFermenterK1</vt:lpstr>
      <vt:lpstr>reactorFermenterK2</vt:lpstr>
      <vt:lpstr>reactorFermenterK3</vt:lpstr>
      <vt:lpstr>reactorFermenterVmax</vt:lpstr>
      <vt:lpstr>reactorFermenterVmin</vt:lpstr>
      <vt:lpstr>reactorInoculumFBM</vt:lpstr>
      <vt:lpstr>reactorInoculumK1</vt:lpstr>
      <vt:lpstr>reactorInoculumK2</vt:lpstr>
      <vt:lpstr>reactorInoculumK3</vt:lpstr>
      <vt:lpstr>reactorInoculumVmax</vt:lpstr>
      <vt:lpstr>reactorInoculumVmin</vt:lpstr>
      <vt:lpstr>reactorJacketedAgitatedFBM</vt:lpstr>
      <vt:lpstr>reactorJacketedAgitatedK1</vt:lpstr>
      <vt:lpstr>reactorJacketedAgitatedK2</vt:lpstr>
      <vt:lpstr>reactorJacketedAgitatedK3</vt:lpstr>
      <vt:lpstr>reactorJacketedAgitatedVmax</vt:lpstr>
      <vt:lpstr>reactorJacketedAgitatedVmin</vt:lpstr>
      <vt:lpstr>reactorJacketedNonAgitatedFBM</vt:lpstr>
      <vt:lpstr>reactorJacketedNonAgitatedK1</vt:lpstr>
      <vt:lpstr>reactorJacketedNonAgitatedK2</vt:lpstr>
      <vt:lpstr>reactorJacketedNonAgitatedK3</vt:lpstr>
      <vt:lpstr>reactorJacketedNonAgitatedVmax</vt:lpstr>
      <vt:lpstr>reactorJacketedNonAgitatedVmin</vt:lpstr>
      <vt:lpstr>reactorMixerSettlerFBM</vt:lpstr>
      <vt:lpstr>reactorMixerSettlerK1</vt:lpstr>
      <vt:lpstr>reactorMixerSettlerK2</vt:lpstr>
      <vt:lpstr>reactorMixerSettlerK3</vt:lpstr>
      <vt:lpstr>reactorMixerSettlerVmax</vt:lpstr>
      <vt:lpstr>reactorMixerSettlerVmin</vt:lpstr>
      <vt:lpstr>revenue</vt:lpstr>
      <vt:lpstr>ROROI</vt:lpstr>
      <vt:lpstr>ROROIBin</vt:lpstr>
      <vt:lpstr>salvageValue</vt:lpstr>
      <vt:lpstr>screenDSMAmax</vt:lpstr>
      <vt:lpstr>screenDSMAmin</vt:lpstr>
      <vt:lpstr>screenDSMFBM</vt:lpstr>
      <vt:lpstr>screenDSMK1</vt:lpstr>
      <vt:lpstr>screenDSMK2</vt:lpstr>
      <vt:lpstr>screenDSMK3</vt:lpstr>
      <vt:lpstr>screenRotaryAmax</vt:lpstr>
      <vt:lpstr>screenRotaryAmin</vt:lpstr>
      <vt:lpstr>screenRotaryFBM</vt:lpstr>
      <vt:lpstr>screenRotaryK1</vt:lpstr>
      <vt:lpstr>screenRotaryK2</vt:lpstr>
      <vt:lpstr>screenRotaryK3</vt:lpstr>
      <vt:lpstr>screenStationaryAmax</vt:lpstr>
      <vt:lpstr>screenStationaryAmin</vt:lpstr>
      <vt:lpstr>screenStationaryFBM</vt:lpstr>
      <vt:lpstr>screenStationaryK1</vt:lpstr>
      <vt:lpstr>screenStationaryK2</vt:lpstr>
      <vt:lpstr>screenStationaryK3</vt:lpstr>
      <vt:lpstr>screenVibratingAmax</vt:lpstr>
      <vt:lpstr>screenVibratingAmin</vt:lpstr>
      <vt:lpstr>screenVibratingFBM</vt:lpstr>
      <vt:lpstr>screenVibratingK1</vt:lpstr>
      <vt:lpstr>screenVibratingK2</vt:lpstr>
      <vt:lpstr>screenVibratingK3</vt:lpstr>
      <vt:lpstr>solidsCoefficient</vt:lpstr>
      <vt:lpstr>startMid</vt:lpstr>
      <vt:lpstr>sumProcessNumbers</vt:lpstr>
      <vt:lpstr>sumProduct</vt:lpstr>
      <vt:lpstr>sumRawMaterial</vt:lpstr>
      <vt:lpstr>sumSolidNumbers</vt:lpstr>
      <vt:lpstr>sumWaste</vt:lpstr>
      <vt:lpstr>'COM Summary'!TABLE</vt:lpstr>
      <vt:lpstr>'COM Summary'!TABLE_2</vt:lpstr>
      <vt:lpstr>'COM Summary'!TABLE_3</vt:lpstr>
      <vt:lpstr>tankFixedB1</vt:lpstr>
      <vt:lpstr>tankFixedB2</vt:lpstr>
      <vt:lpstr>tankFixedK1</vt:lpstr>
      <vt:lpstr>tankFixedK2</vt:lpstr>
      <vt:lpstr>tankFixedK3</vt:lpstr>
      <vt:lpstr>tankFixedVmax</vt:lpstr>
      <vt:lpstr>tankFixedVmin</vt:lpstr>
      <vt:lpstr>tankFloatingB1</vt:lpstr>
      <vt:lpstr>tankFloatingB2</vt:lpstr>
      <vt:lpstr>tankFloatingK1</vt:lpstr>
      <vt:lpstr>tankFloatingK2</vt:lpstr>
      <vt:lpstr>tankFloatingK3</vt:lpstr>
      <vt:lpstr>tankFloatingVmax</vt:lpstr>
      <vt:lpstr>tankFloatingVmin</vt:lpstr>
      <vt:lpstr>taxRate</vt:lpstr>
      <vt:lpstr>temp</vt:lpstr>
      <vt:lpstr>totalModuleFactor</vt:lpstr>
      <vt:lpstr>totals</vt:lpstr>
      <vt:lpstr>traysSieveAmax</vt:lpstr>
      <vt:lpstr>traysSieveAmin</vt:lpstr>
      <vt:lpstr>traysSieveK1</vt:lpstr>
      <vt:lpstr>traysSieveK2</vt:lpstr>
      <vt:lpstr>traysSieveK3</vt:lpstr>
      <vt:lpstr>traysSieveMOCCS</vt:lpstr>
      <vt:lpstr>traysSieveMOCF</vt:lpstr>
      <vt:lpstr>traysSieveMOCNi</vt:lpstr>
      <vt:lpstr>traysSieveMOCSS</vt:lpstr>
      <vt:lpstr>traysValveAmax</vt:lpstr>
      <vt:lpstr>traysValveAmin</vt:lpstr>
      <vt:lpstr>traysValveK1</vt:lpstr>
      <vt:lpstr>traysValveK2</vt:lpstr>
      <vt:lpstr>traysValveK3</vt:lpstr>
      <vt:lpstr>traysValveMOCCS</vt:lpstr>
      <vt:lpstr>traysValveMOCF</vt:lpstr>
      <vt:lpstr>traysValveMOCNi</vt:lpstr>
      <vt:lpstr>traysValveMOCSS</vt:lpstr>
      <vt:lpstr>turbineAxialFBMCI</vt:lpstr>
      <vt:lpstr>turbineAxialFBMCS</vt:lpstr>
      <vt:lpstr>turbineAxialFBMCu</vt:lpstr>
      <vt:lpstr>turbineAxialFBMNi</vt:lpstr>
      <vt:lpstr>turbineAxialFBMSS</vt:lpstr>
      <vt:lpstr>turbineAxialFBMTi</vt:lpstr>
      <vt:lpstr>turbineAxialK1</vt:lpstr>
      <vt:lpstr>turbineAxialK2</vt:lpstr>
      <vt:lpstr>turbineAxialK3</vt:lpstr>
      <vt:lpstr>turbineAxialWmax</vt:lpstr>
      <vt:lpstr>turbineAxialWmin</vt:lpstr>
      <vt:lpstr>turbineEfficiency</vt:lpstr>
      <vt:lpstr>turbineRadialFBMCI</vt:lpstr>
      <vt:lpstr>turbineRadialFBMCS</vt:lpstr>
      <vt:lpstr>turbineRadialFBMCu</vt:lpstr>
      <vt:lpstr>turbineRadialFBMNi</vt:lpstr>
      <vt:lpstr>turbineRadialFBMSS</vt:lpstr>
      <vt:lpstr>turbineRadialFBMTi</vt:lpstr>
      <vt:lpstr>turbineRadialK1</vt:lpstr>
      <vt:lpstr>turbineRadialK2</vt:lpstr>
      <vt:lpstr>turbineRadialK3</vt:lpstr>
      <vt:lpstr>turbineRadialWmax</vt:lpstr>
      <vt:lpstr>turbineRadialWmin</vt:lpstr>
      <vt:lpstr>unitNumber</vt:lpstr>
      <vt:lpstr>upperFCIL</vt:lpstr>
      <vt:lpstr>upperIncomeTaxRate</vt:lpstr>
      <vt:lpstr>upperInterestRate</vt:lpstr>
      <vt:lpstr>upperMaterialPrice</vt:lpstr>
      <vt:lpstr>upperProductPrice</vt:lpstr>
      <vt:lpstr>upperSalvageValue</vt:lpstr>
      <vt:lpstr>upperWorkingCapital</vt:lpstr>
      <vt:lpstr>userAddedBlenders</vt:lpstr>
      <vt:lpstr>userAddedCentrifuges</vt:lpstr>
      <vt:lpstr>userAddedCompressors</vt:lpstr>
      <vt:lpstr>userAddedConveyors</vt:lpstr>
      <vt:lpstr>userAddedCrystallizers</vt:lpstr>
      <vt:lpstr>userAddedDrives</vt:lpstr>
      <vt:lpstr>userAddedDryers</vt:lpstr>
      <vt:lpstr>userAddedDustCollectors</vt:lpstr>
      <vt:lpstr>userAddedEvaporators</vt:lpstr>
      <vt:lpstr>userAddedExchangers</vt:lpstr>
      <vt:lpstr>userAddedFans</vt:lpstr>
      <vt:lpstr>userAddedFilters</vt:lpstr>
      <vt:lpstr>userAddedHeaters</vt:lpstr>
      <vt:lpstr>userAddedMaterials</vt:lpstr>
      <vt:lpstr>userAddedMixers</vt:lpstr>
      <vt:lpstr>userAddedPumps</vt:lpstr>
      <vt:lpstr>userAddedReactors</vt:lpstr>
      <vt:lpstr>userAddedScreens</vt:lpstr>
      <vt:lpstr>userAddedTanks</vt:lpstr>
      <vt:lpstr>userAddedTowers</vt:lpstr>
      <vt:lpstr>userAddedTurbines</vt:lpstr>
      <vt:lpstr>userAddedUserAddeds</vt:lpstr>
      <vt:lpstr>userAddedVessels</vt:lpstr>
      <vt:lpstr>VaporizerBothC1</vt:lpstr>
      <vt:lpstr>VaporizerBothC2</vt:lpstr>
      <vt:lpstr>VaporizerBothC3</vt:lpstr>
      <vt:lpstr>VaporizerBothFBMCS</vt:lpstr>
      <vt:lpstr>VaporizerBothFBMCu</vt:lpstr>
      <vt:lpstr>VaporizerBothFBMGLNi</vt:lpstr>
      <vt:lpstr>VaporizerBothFBMGLSS</vt:lpstr>
      <vt:lpstr>VaporizerBothFBMNi</vt:lpstr>
      <vt:lpstr>VaporizerBothFBMNiClad</vt:lpstr>
      <vt:lpstr>VaporizerBothFBMSS</vt:lpstr>
      <vt:lpstr>VaporizerBothFBMSSClad</vt:lpstr>
      <vt:lpstr>VaporizerBothFBMTi</vt:lpstr>
      <vt:lpstr>VaporizerBothFBMTiClad</vt:lpstr>
      <vt:lpstr>VaporizerBothK1</vt:lpstr>
      <vt:lpstr>VaporizerBothK2</vt:lpstr>
      <vt:lpstr>VaporizerBothK3</vt:lpstr>
      <vt:lpstr>VaporizerBothPmax</vt:lpstr>
      <vt:lpstr>VaporizerBothVmax</vt:lpstr>
      <vt:lpstr>VaporizerBothVmin</vt:lpstr>
      <vt:lpstr>VaporizerCoilC1</vt:lpstr>
      <vt:lpstr>VaporizerCoilC2</vt:lpstr>
      <vt:lpstr>VaporizerCoilC3</vt:lpstr>
      <vt:lpstr>VaporizerCoilFBMCS</vt:lpstr>
      <vt:lpstr>VaporizerCoilFBMCu</vt:lpstr>
      <vt:lpstr>VaporizerCoilFBMGLNi</vt:lpstr>
      <vt:lpstr>VaporizerCoilFBMGLSS</vt:lpstr>
      <vt:lpstr>VaporizerCoilFBMNi</vt:lpstr>
      <vt:lpstr>VaporizerCoilFBMNiClad</vt:lpstr>
      <vt:lpstr>VaporizerCoilFBMSS</vt:lpstr>
      <vt:lpstr>VaporizerCoilFBMSSClad</vt:lpstr>
      <vt:lpstr>VaporizerCoilFBMTi</vt:lpstr>
      <vt:lpstr>VaporizerCoilFBMTiClad</vt:lpstr>
      <vt:lpstr>VaporizerCoilK1</vt:lpstr>
      <vt:lpstr>VaporizerCoilK2</vt:lpstr>
      <vt:lpstr>VaporizerCoilK3</vt:lpstr>
      <vt:lpstr>VaporizerCoilPmax</vt:lpstr>
      <vt:lpstr>VaporizerCoilVmax</vt:lpstr>
      <vt:lpstr>VaporizerCoilVmin</vt:lpstr>
      <vt:lpstr>VaporizerJacketC1</vt:lpstr>
      <vt:lpstr>VaporizerJacketC2</vt:lpstr>
      <vt:lpstr>VaporizerJacketC3</vt:lpstr>
      <vt:lpstr>VaporizerJacketFBMCS</vt:lpstr>
      <vt:lpstr>VaporizerJacketFBMCu</vt:lpstr>
      <vt:lpstr>VaporizerJacketFBMGLNi</vt:lpstr>
      <vt:lpstr>VaporizerJacketFBMGLSS</vt:lpstr>
      <vt:lpstr>VaporizerJacketFBMNi</vt:lpstr>
      <vt:lpstr>VaporizerJacketFBMNiClad</vt:lpstr>
      <vt:lpstr>VaporizerJacketFBMSS</vt:lpstr>
      <vt:lpstr>VaporizerJacketFBMSSClad</vt:lpstr>
      <vt:lpstr>VaporizerJacketFBMTi</vt:lpstr>
      <vt:lpstr>VaporizerJacketFBMTiClad</vt:lpstr>
      <vt:lpstr>VaporizerJacketK1</vt:lpstr>
      <vt:lpstr>VaporizerJacketK2</vt:lpstr>
      <vt:lpstr>VaporizerJacketK3</vt:lpstr>
      <vt:lpstr>VaporizerJacketPmax</vt:lpstr>
      <vt:lpstr>VaporizerJacketVmax</vt:lpstr>
      <vt:lpstr>VaporizerJacketVmin</vt:lpstr>
      <vt:lpstr>vesselFMCS</vt:lpstr>
      <vt:lpstr>vesselFMNi</vt:lpstr>
      <vt:lpstr>vesselFMNiClad</vt:lpstr>
      <vt:lpstr>vesselFMSS</vt:lpstr>
      <vt:lpstr>vesselFMSSClad</vt:lpstr>
      <vt:lpstr>vesselFMTi</vt:lpstr>
      <vt:lpstr>vesselFMTiClad</vt:lpstr>
      <vt:lpstr>vesselHorizontalB1</vt:lpstr>
      <vt:lpstr>vesselHorizontalB2</vt:lpstr>
      <vt:lpstr>vesselHorizontalK1</vt:lpstr>
      <vt:lpstr>vesselHorizontalK2</vt:lpstr>
      <vt:lpstr>vesselHorizontalK3</vt:lpstr>
      <vt:lpstr>vesselHorizontalVmax</vt:lpstr>
      <vt:lpstr>vesselHorizontalVmin</vt:lpstr>
      <vt:lpstr>vesselPmax</vt:lpstr>
      <vt:lpstr>vesselVerticalB1</vt:lpstr>
      <vt:lpstr>vesselVerticalB2</vt:lpstr>
      <vt:lpstr>vesselVerticalK1</vt:lpstr>
      <vt:lpstr>vesselVerticalK2</vt:lpstr>
      <vt:lpstr>vesselVerticalK3</vt:lpstr>
      <vt:lpstr>vesselVerticalVmax</vt:lpstr>
      <vt:lpstr>vesselVerticalVmin</vt:lpstr>
      <vt:lpstr>workingCapital</vt:lpstr>
      <vt:lpstr>workingCapitalA</vt:lpstr>
      <vt:lpstr>workingCapitalB</vt:lpstr>
      <vt:lpstr>workingCapitalC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Capcost Beta</dc:title>
  <dc:creator>Joe Stoffa</dc:creator>
  <cp:lastModifiedBy>Carlos Jovany</cp:lastModifiedBy>
  <cp:lastPrinted>2008-08-06T17:37:31Z</cp:lastPrinted>
  <dcterms:created xsi:type="dcterms:W3CDTF">2001-05-14T14:47:43Z</dcterms:created>
  <dcterms:modified xsi:type="dcterms:W3CDTF">2024-11-26T14:56:28Z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54e3f0e0-81e8-4c39-8586-9ba4d43394ab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