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ampbr-my.sharepoint.com/personal/i207760_m_unicamp_br/Documents/JUAN TESIS/"/>
    </mc:Choice>
  </mc:AlternateContent>
  <xr:revisionPtr revIDLastSave="204" documentId="8_{D8AD5A6C-F866-4B75-8189-CCB443E0E575}" xr6:coauthVersionLast="47" xr6:coauthVersionMax="47" xr10:uidLastSave="{F34B17FC-9053-4A70-842C-F1DCA6363AFE}"/>
  <bookViews>
    <workbookView xWindow="-19320" yWindow="-945" windowWidth="19440" windowHeight="14880" tabRatio="723" firstSheet="9" activeTab="12" xr2:uid="{2CA58785-5256-401C-A54D-1D50705933D6}"/>
  </bookViews>
  <sheets>
    <sheet name="INVERSIÓN TOTAL" sheetId="1" r:id="rId1"/>
    <sheet name="MANO DE OBRA" sheetId="6" r:id="rId2"/>
    <sheet name="DEPRECIACIÓN" sheetId="5" r:id="rId3"/>
    <sheet name="CIF" sheetId="7" r:id="rId4"/>
    <sheet name="GASTOS ADMINISTRATIVOS" sheetId="8" r:id="rId5"/>
    <sheet name="COSTO CAPITAL DE TRABAJO" sheetId="9" r:id="rId6"/>
    <sheet name="AMORTIZACIONES" sheetId="10" r:id="rId7"/>
    <sheet name="ANÁLISIS DE PRECIOS" sheetId="12" r:id="rId8"/>
    <sheet name="BALANCE GENERAL" sheetId="3" r:id="rId9"/>
    <sheet name="ESTADO DE RESULTADOS Y FLUJO DE" sheetId="13" r:id="rId10"/>
    <sheet name="INDICADORES FINANCIEROS" sheetId="14" r:id="rId11"/>
    <sheet name="ESCENARIO OPTIMISTA" sheetId="16" r:id="rId12"/>
    <sheet name="ESCENARIO PESIMISTA" sheetId="15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3" l="1"/>
  <c r="L7" i="13"/>
  <c r="L6" i="13"/>
  <c r="L5" i="13"/>
  <c r="L4" i="13"/>
  <c r="E20" i="16"/>
  <c r="H35" i="13"/>
  <c r="D5" i="15"/>
  <c r="D5" i="16"/>
  <c r="I5" i="16"/>
  <c r="D3" i="10"/>
  <c r="C4" i="10"/>
  <c r="H5" i="12"/>
  <c r="H7" i="12" s="1"/>
  <c r="G3" i="9"/>
  <c r="D23" i="9" s="1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8" i="10"/>
  <c r="L78" i="10"/>
  <c r="K80" i="10"/>
  <c r="K81" i="10"/>
  <c r="K82" i="10"/>
  <c r="K83" i="10"/>
  <c r="K84" i="10"/>
  <c r="K85" i="10"/>
  <c r="K86" i="10"/>
  <c r="K87" i="10"/>
  <c r="K138" i="10" s="1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79" i="10"/>
  <c r="N73" i="10"/>
  <c r="N75" i="10" s="1"/>
  <c r="G3" i="10"/>
  <c r="G5" i="10" s="1"/>
  <c r="D55" i="8"/>
  <c r="D51" i="8"/>
  <c r="C51" i="8"/>
  <c r="D17" i="8"/>
  <c r="E17" i="8" s="1"/>
  <c r="F17" i="8" s="1"/>
  <c r="B57" i="7"/>
  <c r="D27" i="9"/>
  <c r="E5" i="16" l="1"/>
  <c r="D7" i="16"/>
  <c r="R5" i="16" s="1"/>
  <c r="G17" i="8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F36" i="1" s="1"/>
  <c r="D23" i="1"/>
  <c r="F35" i="1"/>
  <c r="D83" i="6"/>
  <c r="E83" i="6"/>
  <c r="F83" i="6"/>
  <c r="G83" i="6"/>
  <c r="H83" i="6"/>
  <c r="I83" i="6"/>
  <c r="J83" i="6"/>
  <c r="K83" i="6"/>
  <c r="L83" i="6"/>
  <c r="M83" i="6"/>
  <c r="N83" i="6"/>
  <c r="C83" i="6"/>
  <c r="D35" i="6"/>
  <c r="E35" i="6"/>
  <c r="F35" i="6"/>
  <c r="G35" i="6"/>
  <c r="H35" i="6"/>
  <c r="I35" i="6"/>
  <c r="J35" i="6"/>
  <c r="K35" i="6"/>
  <c r="L35" i="6"/>
  <c r="M35" i="6"/>
  <c r="N35" i="6"/>
  <c r="C35" i="6"/>
  <c r="K5" i="1"/>
  <c r="K6" i="1"/>
  <c r="J36" i="12"/>
  <c r="H17" i="8" l="1"/>
  <c r="D32" i="12"/>
  <c r="D31" i="12"/>
  <c r="D17" i="12"/>
  <c r="D18" i="12"/>
  <c r="D19" i="12"/>
  <c r="D20" i="12"/>
  <c r="D21" i="12"/>
  <c r="D16" i="12"/>
  <c r="B10" i="3"/>
  <c r="D16" i="9"/>
  <c r="F25" i="1"/>
  <c r="F27" i="1"/>
  <c r="F33" i="1"/>
  <c r="F34" i="1"/>
  <c r="F23" i="1"/>
  <c r="F24" i="1"/>
  <c r="F26" i="1"/>
  <c r="F28" i="1"/>
  <c r="F29" i="1"/>
  <c r="F30" i="1"/>
  <c r="F31" i="1"/>
  <c r="F32" i="1"/>
  <c r="H162" i="6"/>
  <c r="H163" i="6"/>
  <c r="H164" i="6"/>
  <c r="H165" i="6"/>
  <c r="H166" i="6"/>
  <c r="H167" i="6"/>
  <c r="H169" i="6"/>
  <c r="H161" i="6"/>
  <c r="G162" i="6"/>
  <c r="G163" i="6"/>
  <c r="G164" i="6"/>
  <c r="G165" i="6"/>
  <c r="G166" i="6"/>
  <c r="G167" i="6"/>
  <c r="G169" i="6"/>
  <c r="G161" i="6"/>
  <c r="F162" i="6"/>
  <c r="F163" i="6"/>
  <c r="F164" i="6"/>
  <c r="F165" i="6"/>
  <c r="F166" i="6"/>
  <c r="F167" i="6"/>
  <c r="F168" i="6"/>
  <c r="F169" i="6"/>
  <c r="F161" i="6"/>
  <c r="E162" i="6"/>
  <c r="E163" i="6"/>
  <c r="E164" i="6"/>
  <c r="E165" i="6"/>
  <c r="E166" i="6"/>
  <c r="E167" i="6"/>
  <c r="E169" i="6"/>
  <c r="E161" i="6"/>
  <c r="D162" i="6"/>
  <c r="D163" i="6"/>
  <c r="D164" i="6"/>
  <c r="D165" i="6"/>
  <c r="D166" i="6"/>
  <c r="D167" i="6"/>
  <c r="D168" i="6"/>
  <c r="D169" i="6"/>
  <c r="D161" i="6"/>
  <c r="C162" i="6"/>
  <c r="C163" i="6"/>
  <c r="C164" i="6"/>
  <c r="C165" i="6"/>
  <c r="C166" i="6"/>
  <c r="C167" i="6"/>
  <c r="C168" i="6"/>
  <c r="C169" i="6"/>
  <c r="C161" i="6"/>
  <c r="C149" i="6"/>
  <c r="C150" i="6"/>
  <c r="C151" i="6"/>
  <c r="C152" i="6"/>
  <c r="C153" i="6"/>
  <c r="C154" i="6"/>
  <c r="C155" i="6"/>
  <c r="C156" i="6"/>
  <c r="C148" i="6"/>
  <c r="C137" i="6"/>
  <c r="C138" i="6"/>
  <c r="C139" i="6"/>
  <c r="C140" i="6"/>
  <c r="C141" i="6"/>
  <c r="C142" i="6"/>
  <c r="C143" i="6"/>
  <c r="C144" i="6"/>
  <c r="C136" i="6"/>
  <c r="E130" i="6"/>
  <c r="E131" i="6"/>
  <c r="E129" i="6"/>
  <c r="E10" i="6"/>
  <c r="F10" i="6" s="1"/>
  <c r="J22" i="6" s="1"/>
  <c r="E9" i="6"/>
  <c r="F9" i="6" s="1"/>
  <c r="E21" i="6" s="1"/>
  <c r="E8" i="6"/>
  <c r="F8" i="6" s="1"/>
  <c r="H20" i="6" s="1"/>
  <c r="E4" i="6"/>
  <c r="K28" i="6" s="1"/>
  <c r="C24" i="12" l="1"/>
  <c r="D26" i="12"/>
  <c r="I17" i="8"/>
  <c r="F37" i="1"/>
  <c r="D5" i="13" s="1"/>
  <c r="E5" i="13" s="1"/>
  <c r="S6" i="16" s="1"/>
  <c r="J29" i="12"/>
  <c r="J41" i="12" s="1"/>
  <c r="D104" i="6"/>
  <c r="H106" i="6"/>
  <c r="L104" i="6"/>
  <c r="K104" i="6"/>
  <c r="I104" i="6"/>
  <c r="H104" i="6"/>
  <c r="J104" i="6"/>
  <c r="C104" i="6"/>
  <c r="G104" i="6"/>
  <c r="G106" i="6"/>
  <c r="C105" i="6"/>
  <c r="N106" i="6"/>
  <c r="H105" i="6"/>
  <c r="M106" i="6"/>
  <c r="E106" i="6"/>
  <c r="G105" i="6"/>
  <c r="L106" i="6"/>
  <c r="F105" i="6"/>
  <c r="J106" i="6"/>
  <c r="L105" i="6"/>
  <c r="N104" i="6"/>
  <c r="F104" i="6"/>
  <c r="D105" i="6"/>
  <c r="J105" i="6"/>
  <c r="C106" i="6"/>
  <c r="I105" i="6"/>
  <c r="F106" i="6"/>
  <c r="N105" i="6"/>
  <c r="K106" i="6"/>
  <c r="M105" i="6"/>
  <c r="E105" i="6"/>
  <c r="D106" i="6"/>
  <c r="I106" i="6"/>
  <c r="K105" i="6"/>
  <c r="M104" i="6"/>
  <c r="E104" i="6"/>
  <c r="I82" i="6"/>
  <c r="F80" i="6"/>
  <c r="E80" i="6"/>
  <c r="K76" i="6"/>
  <c r="K80" i="6"/>
  <c r="I76" i="6"/>
  <c r="C76" i="6"/>
  <c r="I80" i="6"/>
  <c r="H76" i="6"/>
  <c r="N80" i="6"/>
  <c r="M80" i="6"/>
  <c r="D80" i="6"/>
  <c r="L80" i="6"/>
  <c r="J76" i="6"/>
  <c r="J80" i="6"/>
  <c r="C80" i="6"/>
  <c r="G80" i="6"/>
  <c r="G76" i="6"/>
  <c r="J81" i="6"/>
  <c r="F82" i="6"/>
  <c r="H81" i="6"/>
  <c r="L82" i="6"/>
  <c r="D82" i="6"/>
  <c r="N76" i="6"/>
  <c r="F76" i="6"/>
  <c r="D81" i="6"/>
  <c r="N82" i="6"/>
  <c r="I81" i="6"/>
  <c r="G81" i="6"/>
  <c r="C82" i="6"/>
  <c r="K82" i="6"/>
  <c r="N81" i="6"/>
  <c r="F81" i="6"/>
  <c r="M76" i="6"/>
  <c r="E76" i="6"/>
  <c r="L81" i="6"/>
  <c r="H82" i="6"/>
  <c r="K81" i="6"/>
  <c r="G82" i="6"/>
  <c r="M82" i="6"/>
  <c r="E82" i="6"/>
  <c r="C81" i="6"/>
  <c r="J82" i="6"/>
  <c r="M81" i="6"/>
  <c r="E81" i="6"/>
  <c r="H80" i="6"/>
  <c r="L76" i="6"/>
  <c r="D76" i="6"/>
  <c r="C45" i="6"/>
  <c r="L45" i="6"/>
  <c r="K45" i="6"/>
  <c r="I46" i="6"/>
  <c r="D45" i="6"/>
  <c r="H46" i="6"/>
  <c r="G44" i="6"/>
  <c r="M44" i="6"/>
  <c r="N46" i="6"/>
  <c r="L44" i="6"/>
  <c r="K44" i="6"/>
  <c r="L46" i="6"/>
  <c r="D46" i="6"/>
  <c r="G45" i="6"/>
  <c r="J44" i="6"/>
  <c r="F44" i="6"/>
  <c r="I45" i="6"/>
  <c r="M46" i="6"/>
  <c r="H45" i="6"/>
  <c r="K46" i="6"/>
  <c r="N45" i="6"/>
  <c r="F45" i="6"/>
  <c r="I44" i="6"/>
  <c r="C44" i="6"/>
  <c r="N44" i="6"/>
  <c r="G46" i="6"/>
  <c r="J45" i="6"/>
  <c r="E44" i="6"/>
  <c r="F46" i="6"/>
  <c r="D44" i="6"/>
  <c r="E46" i="6"/>
  <c r="C46" i="6"/>
  <c r="J46" i="6"/>
  <c r="M45" i="6"/>
  <c r="E45" i="6"/>
  <c r="H44" i="6"/>
  <c r="F34" i="6"/>
  <c r="K33" i="6"/>
  <c r="J33" i="6"/>
  <c r="N34" i="6"/>
  <c r="I28" i="6"/>
  <c r="H28" i="6"/>
  <c r="N32" i="6"/>
  <c r="C32" i="6"/>
  <c r="F32" i="6"/>
  <c r="H34" i="6"/>
  <c r="G34" i="6"/>
  <c r="F28" i="6"/>
  <c r="M32" i="6"/>
  <c r="I33" i="6"/>
  <c r="D32" i="6"/>
  <c r="E34" i="6"/>
  <c r="G28" i="6"/>
  <c r="G33" i="6"/>
  <c r="J32" i="6"/>
  <c r="N28" i="6"/>
  <c r="K34" i="6"/>
  <c r="N33" i="6"/>
  <c r="F33" i="6"/>
  <c r="I32" i="6"/>
  <c r="M28" i="6"/>
  <c r="E28" i="6"/>
  <c r="L32" i="6"/>
  <c r="M34" i="6"/>
  <c r="H33" i="6"/>
  <c r="C28" i="6"/>
  <c r="L34" i="6"/>
  <c r="C34" i="6"/>
  <c r="M70" i="6" s="1"/>
  <c r="J34" i="6"/>
  <c r="M33" i="6"/>
  <c r="E33" i="6"/>
  <c r="H32" i="6"/>
  <c r="L28" i="6"/>
  <c r="D28" i="6"/>
  <c r="J28" i="6"/>
  <c r="E32" i="6"/>
  <c r="K32" i="6"/>
  <c r="D34" i="6"/>
  <c r="C33" i="6"/>
  <c r="K57" i="6" s="1"/>
  <c r="I34" i="6"/>
  <c r="L33" i="6"/>
  <c r="D33" i="6"/>
  <c r="G32" i="6"/>
  <c r="G22" i="6"/>
  <c r="L21" i="6"/>
  <c r="K21" i="6"/>
  <c r="C22" i="6"/>
  <c r="I22" i="6"/>
  <c r="G20" i="6"/>
  <c r="J21" i="6"/>
  <c r="D21" i="6"/>
  <c r="N20" i="6"/>
  <c r="H22" i="6"/>
  <c r="F20" i="6"/>
  <c r="N22" i="6"/>
  <c r="I21" i="6"/>
  <c r="D20" i="6"/>
  <c r="C21" i="6"/>
  <c r="M22" i="6"/>
  <c r="K20" i="6"/>
  <c r="L22" i="6"/>
  <c r="D22" i="6"/>
  <c r="G21" i="6"/>
  <c r="J20" i="6"/>
  <c r="E20" i="6"/>
  <c r="C20" i="6"/>
  <c r="F22" i="6"/>
  <c r="L20" i="6"/>
  <c r="E22" i="6"/>
  <c r="K22" i="6"/>
  <c r="N21" i="6"/>
  <c r="F21" i="6"/>
  <c r="I20" i="6"/>
  <c r="M20" i="6"/>
  <c r="H21" i="6"/>
  <c r="M21" i="6"/>
  <c r="J17" i="8" l="1"/>
  <c r="E26" i="12"/>
  <c r="K29" i="12"/>
  <c r="J70" i="6"/>
  <c r="L69" i="6"/>
  <c r="E70" i="6"/>
  <c r="K70" i="6"/>
  <c r="I69" i="6"/>
  <c r="N69" i="6"/>
  <c r="G69" i="6"/>
  <c r="M69" i="6"/>
  <c r="K69" i="6"/>
  <c r="E58" i="6"/>
  <c r="I70" i="6"/>
  <c r="C56" i="6"/>
  <c r="K68" i="6"/>
  <c r="D68" i="6"/>
  <c r="N68" i="6"/>
  <c r="L68" i="6"/>
  <c r="E68" i="6"/>
  <c r="F68" i="6"/>
  <c r="G68" i="6"/>
  <c r="C68" i="6"/>
  <c r="M68" i="6"/>
  <c r="F70" i="6"/>
  <c r="G70" i="6"/>
  <c r="J69" i="6"/>
  <c r="J68" i="6"/>
  <c r="N70" i="6"/>
  <c r="C70" i="6"/>
  <c r="C69" i="6"/>
  <c r="D70" i="6"/>
  <c r="H68" i="6"/>
  <c r="I68" i="6"/>
  <c r="H70" i="6"/>
  <c r="L70" i="6"/>
  <c r="E69" i="6"/>
  <c r="F69" i="6"/>
  <c r="H69" i="6"/>
  <c r="D69" i="6"/>
  <c r="M58" i="6"/>
  <c r="D56" i="6"/>
  <c r="E56" i="6"/>
  <c r="F56" i="6"/>
  <c r="L56" i="6"/>
  <c r="H58" i="6"/>
  <c r="M56" i="6"/>
  <c r="N56" i="6"/>
  <c r="D58" i="6"/>
  <c r="F58" i="6"/>
  <c r="G58" i="6"/>
  <c r="I58" i="6"/>
  <c r="D57" i="6"/>
  <c r="C57" i="6"/>
  <c r="E57" i="6"/>
  <c r="L57" i="6"/>
  <c r="M57" i="6"/>
  <c r="N57" i="6"/>
  <c r="H57" i="6"/>
  <c r="F57" i="6"/>
  <c r="G57" i="6"/>
  <c r="I57" i="6"/>
  <c r="I56" i="6"/>
  <c r="K56" i="6"/>
  <c r="J56" i="6"/>
  <c r="G56" i="6"/>
  <c r="H56" i="6"/>
  <c r="N58" i="6"/>
  <c r="C58" i="6"/>
  <c r="J58" i="6"/>
  <c r="J57" i="6"/>
  <c r="K58" i="6"/>
  <c r="L58" i="6"/>
  <c r="Z8" i="1"/>
  <c r="Z5" i="1"/>
  <c r="Z6" i="1"/>
  <c r="Z7" i="1"/>
  <c r="Z4" i="1"/>
  <c r="C5" i="1"/>
  <c r="C43" i="3"/>
  <c r="K17" i="8" l="1"/>
  <c r="Z9" i="1"/>
  <c r="L17" i="8" l="1"/>
  <c r="C42" i="3"/>
  <c r="M17" i="8" l="1"/>
  <c r="F79" i="13"/>
  <c r="F80" i="13"/>
  <c r="F81" i="13"/>
  <c r="E152" i="10"/>
  <c r="G81" i="13" l="1"/>
  <c r="N17" i="8"/>
  <c r="V15" i="16"/>
  <c r="U15" i="16"/>
  <c r="T15" i="16"/>
  <c r="S15" i="16"/>
  <c r="R15" i="16"/>
  <c r="V14" i="16"/>
  <c r="U14" i="16"/>
  <c r="T14" i="16"/>
  <c r="S14" i="16"/>
  <c r="R14" i="16"/>
  <c r="C5" i="16"/>
  <c r="D2" i="16"/>
  <c r="D2" i="15"/>
  <c r="E5" i="15" s="1"/>
  <c r="S14" i="15"/>
  <c r="T14" i="15"/>
  <c r="U14" i="15"/>
  <c r="V14" i="15"/>
  <c r="S15" i="15"/>
  <c r="T15" i="15"/>
  <c r="U15" i="15"/>
  <c r="V15" i="15"/>
  <c r="R15" i="15"/>
  <c r="R14" i="15"/>
  <c r="C5" i="15"/>
  <c r="C33" i="13"/>
  <c r="H81" i="13" l="1"/>
  <c r="G79" i="13"/>
  <c r="H79" i="13" s="1"/>
  <c r="J5" i="15"/>
  <c r="I5" i="15"/>
  <c r="D10" i="15" s="1"/>
  <c r="R5" i="15" s="1"/>
  <c r="J5" i="16"/>
  <c r="C37" i="13"/>
  <c r="Q32" i="15" s="1"/>
  <c r="R16" i="15"/>
  <c r="R16" i="16"/>
  <c r="V16" i="16"/>
  <c r="U16" i="16"/>
  <c r="Q32" i="16"/>
  <c r="T16" i="16"/>
  <c r="S16" i="16"/>
  <c r="D16" i="13"/>
  <c r="E7" i="16" l="1"/>
  <c r="S5" i="16" s="1"/>
  <c r="S7" i="16" s="1"/>
  <c r="F5" i="16"/>
  <c r="F5" i="15"/>
  <c r="E10" i="15"/>
  <c r="S5" i="15" s="1"/>
  <c r="S16" i="15"/>
  <c r="G5" i="16" l="1"/>
  <c r="G5" i="15"/>
  <c r="T16" i="15"/>
  <c r="E16" i="13"/>
  <c r="H5" i="16" l="1"/>
  <c r="H5" i="15"/>
  <c r="U16" i="15"/>
  <c r="V16" i="15"/>
  <c r="F16" i="13"/>
  <c r="G16" i="13" l="1"/>
  <c r="H16" i="13"/>
  <c r="F30" i="3" l="1"/>
  <c r="G30" i="3"/>
  <c r="H30" i="3"/>
  <c r="I30" i="3"/>
  <c r="E30" i="3"/>
  <c r="L29" i="12" l="1"/>
  <c r="K5" i="16" s="1"/>
  <c r="F7" i="16" s="1"/>
  <c r="T5" i="16" s="1"/>
  <c r="J30" i="12" l="1"/>
  <c r="K30" i="12" s="1"/>
  <c r="L30" i="12" s="1"/>
  <c r="M30" i="12" s="1"/>
  <c r="N30" i="12" s="1"/>
  <c r="M29" i="12"/>
  <c r="L5" i="16" s="1"/>
  <c r="G7" i="16" s="1"/>
  <c r="U5" i="16" s="1"/>
  <c r="K5" i="15"/>
  <c r="F10" i="15" s="1"/>
  <c r="T5" i="15" s="1"/>
  <c r="B11" i="3"/>
  <c r="B12" i="3"/>
  <c r="B13" i="3"/>
  <c r="D9" i="3"/>
  <c r="E31" i="12" l="1"/>
  <c r="C37" i="12" s="1"/>
  <c r="D33" i="12"/>
  <c r="E32" i="12"/>
  <c r="C38" i="12" s="1"/>
  <c r="D38" i="12" s="1"/>
  <c r="E38" i="12" s="1"/>
  <c r="F38" i="12" s="1"/>
  <c r="G38" i="12" s="1"/>
  <c r="N29" i="12"/>
  <c r="L5" i="15"/>
  <c r="G10" i="15" s="1"/>
  <c r="U5" i="15" s="1"/>
  <c r="C9" i="3"/>
  <c r="F9" i="3"/>
  <c r="E9" i="3"/>
  <c r="H9" i="3"/>
  <c r="G9" i="3"/>
  <c r="C39" i="12" l="1"/>
  <c r="D37" i="12"/>
  <c r="E33" i="12"/>
  <c r="D18" i="13" s="1"/>
  <c r="E18" i="13" s="1"/>
  <c r="M5" i="15"/>
  <c r="H10" i="15" s="1"/>
  <c r="V5" i="15" s="1"/>
  <c r="M5" i="16"/>
  <c r="H7" i="16" s="1"/>
  <c r="V5" i="16" s="1"/>
  <c r="K4" i="1"/>
  <c r="K7" i="1" s="1"/>
  <c r="D39" i="12" l="1"/>
  <c r="E37" i="12"/>
  <c r="R18" i="15"/>
  <c r="R18" i="16" s="1"/>
  <c r="F18" i="13"/>
  <c r="S18" i="15"/>
  <c r="S18" i="16" s="1"/>
  <c r="F37" i="12" l="1"/>
  <c r="E39" i="12"/>
  <c r="G18" i="13"/>
  <c r="T18" i="15"/>
  <c r="T18" i="16" s="1"/>
  <c r="J37" i="12"/>
  <c r="K37" i="12" s="1"/>
  <c r="L37" i="12" s="1"/>
  <c r="M37" i="12" s="1"/>
  <c r="N37" i="12" s="1"/>
  <c r="F26" i="12"/>
  <c r="G37" i="12" l="1"/>
  <c r="G39" i="12" s="1"/>
  <c r="F39" i="12"/>
  <c r="K36" i="12"/>
  <c r="J42" i="12"/>
  <c r="H18" i="13"/>
  <c r="V18" i="15" s="1"/>
  <c r="V18" i="16" s="1"/>
  <c r="U18" i="15"/>
  <c r="U18" i="16" s="1"/>
  <c r="K78" i="10"/>
  <c r="N77" i="10"/>
  <c r="J78" i="10"/>
  <c r="M78" i="10" s="1"/>
  <c r="C78" i="10"/>
  <c r="C89" i="10" s="1"/>
  <c r="G73" i="10"/>
  <c r="G75" i="10" s="1"/>
  <c r="B78" i="10" s="1"/>
  <c r="C99" i="10"/>
  <c r="C110" i="10"/>
  <c r="G77" i="10"/>
  <c r="D78" i="10" s="1"/>
  <c r="N3" i="10"/>
  <c r="N5" i="10" s="1"/>
  <c r="J8" i="10" s="1"/>
  <c r="M8" i="10" s="1"/>
  <c r="K8" i="10"/>
  <c r="K12" i="10" s="1"/>
  <c r="N7" i="10"/>
  <c r="L8" i="10" s="1"/>
  <c r="C14" i="1"/>
  <c r="B8" i="10"/>
  <c r="C68" i="10"/>
  <c r="G7" i="10"/>
  <c r="C130" i="10" l="1"/>
  <c r="D8" i="10"/>
  <c r="E8" i="10" s="1"/>
  <c r="J10" i="3"/>
  <c r="J11" i="3" s="1"/>
  <c r="J12" i="3" s="1"/>
  <c r="F8" i="10"/>
  <c r="G8" i="10" s="1"/>
  <c r="D9" i="10" s="1"/>
  <c r="E9" i="10" s="1"/>
  <c r="C120" i="10"/>
  <c r="C98" i="10"/>
  <c r="C119" i="10"/>
  <c r="K50" i="10"/>
  <c r="E78" i="10"/>
  <c r="K49" i="10"/>
  <c r="K40" i="10"/>
  <c r="C129" i="10"/>
  <c r="C109" i="10"/>
  <c r="C88" i="10"/>
  <c r="C79" i="10"/>
  <c r="C97" i="10"/>
  <c r="C87" i="10"/>
  <c r="K39" i="10"/>
  <c r="C137" i="10"/>
  <c r="C127" i="10"/>
  <c r="C117" i="10"/>
  <c r="C106" i="10"/>
  <c r="C96" i="10"/>
  <c r="C85" i="10"/>
  <c r="C128" i="10"/>
  <c r="K30" i="10"/>
  <c r="C136" i="10"/>
  <c r="C126" i="10"/>
  <c r="C115" i="10"/>
  <c r="C105" i="10"/>
  <c r="C94" i="10"/>
  <c r="C83" i="10"/>
  <c r="C118" i="10"/>
  <c r="K27" i="10"/>
  <c r="C135" i="10"/>
  <c r="C125" i="10"/>
  <c r="C114" i="10"/>
  <c r="C103" i="10"/>
  <c r="C93" i="10"/>
  <c r="C82" i="10"/>
  <c r="C107" i="10"/>
  <c r="K62" i="10"/>
  <c r="K18" i="10"/>
  <c r="C134" i="10"/>
  <c r="C123" i="10"/>
  <c r="C112" i="10"/>
  <c r="C102" i="10"/>
  <c r="C91" i="10"/>
  <c r="C81" i="10"/>
  <c r="K59" i="10"/>
  <c r="K17" i="10"/>
  <c r="C133" i="10"/>
  <c r="C121" i="10"/>
  <c r="C111" i="10"/>
  <c r="C101" i="10"/>
  <c r="C90" i="10"/>
  <c r="C80" i="10"/>
  <c r="K58" i="10"/>
  <c r="K48" i="10"/>
  <c r="K38" i="10"/>
  <c r="K26" i="10"/>
  <c r="K16" i="10"/>
  <c r="K67" i="10"/>
  <c r="K57" i="10"/>
  <c r="K47" i="10"/>
  <c r="K35" i="10"/>
  <c r="K25" i="10"/>
  <c r="K15" i="10"/>
  <c r="K66" i="10"/>
  <c r="K56" i="10"/>
  <c r="K46" i="10"/>
  <c r="K34" i="10"/>
  <c r="K24" i="10"/>
  <c r="K14" i="10"/>
  <c r="K65" i="10"/>
  <c r="K55" i="10"/>
  <c r="K43" i="10"/>
  <c r="K33" i="10"/>
  <c r="K23" i="10"/>
  <c r="K11" i="10"/>
  <c r="K64" i="10"/>
  <c r="K54" i="10"/>
  <c r="K42" i="10"/>
  <c r="K32" i="10"/>
  <c r="K22" i="10"/>
  <c r="K10" i="10"/>
  <c r="K63" i="10"/>
  <c r="K51" i="10"/>
  <c r="K41" i="10"/>
  <c r="K31" i="10"/>
  <c r="K19" i="10"/>
  <c r="C131" i="10"/>
  <c r="C122" i="10"/>
  <c r="C113" i="10"/>
  <c r="C104" i="10"/>
  <c r="C95" i="10"/>
  <c r="C86" i="10"/>
  <c r="K61" i="10"/>
  <c r="K53" i="10"/>
  <c r="K45" i="10"/>
  <c r="K37" i="10"/>
  <c r="K29" i="10"/>
  <c r="K21" i="10"/>
  <c r="K13" i="10"/>
  <c r="K9" i="10"/>
  <c r="K60" i="10"/>
  <c r="K52" i="10"/>
  <c r="K44" i="10"/>
  <c r="K36" i="10"/>
  <c r="K28" i="10"/>
  <c r="K20" i="10"/>
  <c r="C132" i="10"/>
  <c r="C124" i="10"/>
  <c r="C116" i="10"/>
  <c r="C108" i="10"/>
  <c r="C100" i="10"/>
  <c r="C92" i="10"/>
  <c r="C84" i="10"/>
  <c r="J79" i="10"/>
  <c r="B79" i="10"/>
  <c r="N8" i="10"/>
  <c r="L9" i="10" s="1"/>
  <c r="J9" i="10"/>
  <c r="B9" i="10"/>
  <c r="F9" i="10" l="1"/>
  <c r="D4" i="13"/>
  <c r="L36" i="12"/>
  <c r="K41" i="12"/>
  <c r="K42" i="12" s="1"/>
  <c r="C138" i="10"/>
  <c r="K68" i="10"/>
  <c r="N78" i="10"/>
  <c r="L79" i="10" s="1"/>
  <c r="J80" i="10"/>
  <c r="F78" i="10"/>
  <c r="G78" i="10" s="1"/>
  <c r="D79" i="10" s="1"/>
  <c r="E79" i="10" s="1"/>
  <c r="B80" i="10"/>
  <c r="J10" i="10"/>
  <c r="B10" i="10"/>
  <c r="B11" i="10" s="1"/>
  <c r="E4" i="13" l="1"/>
  <c r="M36" i="12"/>
  <c r="L41" i="12"/>
  <c r="L42" i="12" s="1"/>
  <c r="J81" i="10"/>
  <c r="B81" i="10"/>
  <c r="J11" i="10"/>
  <c r="M9" i="10"/>
  <c r="N9" i="10" s="1"/>
  <c r="L10" i="10" s="1"/>
  <c r="B12" i="10"/>
  <c r="N36" i="12" l="1"/>
  <c r="N41" i="12" s="1"/>
  <c r="N42" i="12" s="1"/>
  <c r="M41" i="12"/>
  <c r="M42" i="12" s="1"/>
  <c r="F4" i="13"/>
  <c r="M79" i="10"/>
  <c r="N79" i="10" s="1"/>
  <c r="L80" i="10" s="1"/>
  <c r="J82" i="10"/>
  <c r="F79" i="10"/>
  <c r="G79" i="10" s="1"/>
  <c r="D80" i="10" s="1"/>
  <c r="E80" i="10" s="1"/>
  <c r="B82" i="10"/>
  <c r="J12" i="10"/>
  <c r="G9" i="10"/>
  <c r="D10" i="10" s="1"/>
  <c r="B13" i="10"/>
  <c r="G4" i="13" l="1"/>
  <c r="H4" i="13"/>
  <c r="F10" i="10"/>
  <c r="E10" i="10"/>
  <c r="J83" i="10"/>
  <c r="B83" i="10"/>
  <c r="M10" i="10"/>
  <c r="N10" i="10" s="1"/>
  <c r="L11" i="10" s="1"/>
  <c r="J13" i="10"/>
  <c r="B14" i="10"/>
  <c r="M80" i="10" l="1"/>
  <c r="N80" i="10" s="1"/>
  <c r="L81" i="10" s="1"/>
  <c r="J84" i="10"/>
  <c r="F80" i="10"/>
  <c r="G80" i="10" s="1"/>
  <c r="D81" i="10" s="1"/>
  <c r="E81" i="10" s="1"/>
  <c r="B84" i="10"/>
  <c r="M11" i="10"/>
  <c r="N11" i="10" s="1"/>
  <c r="L12" i="10" s="1"/>
  <c r="J14" i="10"/>
  <c r="G10" i="10"/>
  <c r="B15" i="10"/>
  <c r="J85" i="10" l="1"/>
  <c r="B85" i="10"/>
  <c r="M12" i="10"/>
  <c r="N12" i="10" s="1"/>
  <c r="L13" i="10" s="1"/>
  <c r="J15" i="10"/>
  <c r="D11" i="10"/>
  <c r="B16" i="10"/>
  <c r="F11" i="10" l="1"/>
  <c r="E11" i="10"/>
  <c r="M81" i="10"/>
  <c r="N81" i="10" s="1"/>
  <c r="L82" i="10" s="1"/>
  <c r="J86" i="10"/>
  <c r="F81" i="10"/>
  <c r="G81" i="10" s="1"/>
  <c r="D82" i="10" s="1"/>
  <c r="E82" i="10" s="1"/>
  <c r="B86" i="10"/>
  <c r="M13" i="10"/>
  <c r="N13" i="10" s="1"/>
  <c r="L14" i="10" s="1"/>
  <c r="J16" i="10"/>
  <c r="G11" i="10"/>
  <c r="B17" i="10"/>
  <c r="J87" i="10" l="1"/>
  <c r="M82" i="10"/>
  <c r="N82" i="10" s="1"/>
  <c r="L83" i="10" s="1"/>
  <c r="B87" i="10"/>
  <c r="F82" i="10"/>
  <c r="G82" i="10" s="1"/>
  <c r="D83" i="10" s="1"/>
  <c r="E83" i="10" s="1"/>
  <c r="M14" i="10"/>
  <c r="N14" i="10" s="1"/>
  <c r="L15" i="10" s="1"/>
  <c r="J17" i="10"/>
  <c r="D12" i="10"/>
  <c r="B18" i="10"/>
  <c r="F12" i="10" l="1"/>
  <c r="E12" i="10"/>
  <c r="M83" i="10"/>
  <c r="N83" i="10" s="1"/>
  <c r="L84" i="10" s="1"/>
  <c r="J88" i="10"/>
  <c r="F83" i="10"/>
  <c r="G83" i="10" s="1"/>
  <c r="D84" i="10" s="1"/>
  <c r="E84" i="10" s="1"/>
  <c r="B88" i="10"/>
  <c r="M15" i="10"/>
  <c r="N15" i="10" s="1"/>
  <c r="L16" i="10" s="1"/>
  <c r="J18" i="10"/>
  <c r="G12" i="10"/>
  <c r="D13" i="10" s="1"/>
  <c r="B19" i="10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F13" i="10" l="1"/>
  <c r="G13" i="10" s="1"/>
  <c r="E13" i="10"/>
  <c r="M84" i="10"/>
  <c r="N84" i="10" s="1"/>
  <c r="L85" i="10" s="1"/>
  <c r="J89" i="10"/>
  <c r="B89" i="10"/>
  <c r="F84" i="10"/>
  <c r="G84" i="10" s="1"/>
  <c r="D85" i="10" s="1"/>
  <c r="E85" i="10" s="1"/>
  <c r="M16" i="10"/>
  <c r="N16" i="10" s="1"/>
  <c r="L17" i="10" s="1"/>
  <c r="J19" i="10"/>
  <c r="M85" i="10" l="1"/>
  <c r="N85" i="10" s="1"/>
  <c r="L86" i="10" s="1"/>
  <c r="J90" i="10"/>
  <c r="F85" i="10"/>
  <c r="G85" i="10" s="1"/>
  <c r="D86" i="10" s="1"/>
  <c r="E86" i="10" s="1"/>
  <c r="B90" i="10"/>
  <c r="M17" i="10"/>
  <c r="N17" i="10" s="1"/>
  <c r="L18" i="10" s="1"/>
  <c r="J20" i="10"/>
  <c r="D14" i="10"/>
  <c r="F14" i="10" l="1"/>
  <c r="G14" i="10" s="1"/>
  <c r="E14" i="10"/>
  <c r="J91" i="10"/>
  <c r="M86" i="10"/>
  <c r="N86" i="10" s="1"/>
  <c r="L87" i="10" s="1"/>
  <c r="B91" i="10"/>
  <c r="F86" i="10"/>
  <c r="G86" i="10" s="1"/>
  <c r="D87" i="10" s="1"/>
  <c r="E87" i="10" s="1"/>
  <c r="M18" i="10"/>
  <c r="N18" i="10" s="1"/>
  <c r="L19" i="10" s="1"/>
  <c r="J21" i="10"/>
  <c r="M87" i="10" l="1"/>
  <c r="N87" i="10" s="1"/>
  <c r="L88" i="10" s="1"/>
  <c r="J92" i="10"/>
  <c r="F87" i="10"/>
  <c r="G87" i="10" s="1"/>
  <c r="D88" i="10" s="1"/>
  <c r="E88" i="10" s="1"/>
  <c r="B92" i="10"/>
  <c r="M19" i="10"/>
  <c r="N19" i="10" s="1"/>
  <c r="L20" i="10" s="1"/>
  <c r="J22" i="10"/>
  <c r="D15" i="10"/>
  <c r="F15" i="10" l="1"/>
  <c r="E15" i="10"/>
  <c r="M88" i="10"/>
  <c r="N88" i="10" s="1"/>
  <c r="L89" i="10" s="1"/>
  <c r="J93" i="10"/>
  <c r="B93" i="10"/>
  <c r="F88" i="10"/>
  <c r="G88" i="10" s="1"/>
  <c r="D89" i="10" s="1"/>
  <c r="E89" i="10" s="1"/>
  <c r="M20" i="10"/>
  <c r="N20" i="10" s="1"/>
  <c r="L21" i="10" s="1"/>
  <c r="J23" i="10"/>
  <c r="G15" i="10"/>
  <c r="D16" i="10" s="1"/>
  <c r="F16" i="10" l="1"/>
  <c r="E16" i="10"/>
  <c r="J94" i="10"/>
  <c r="M89" i="10"/>
  <c r="N89" i="10" s="1"/>
  <c r="L90" i="10" s="1"/>
  <c r="F89" i="10"/>
  <c r="G89" i="10" s="1"/>
  <c r="B94" i="10"/>
  <c r="M21" i="10"/>
  <c r="N21" i="10" s="1"/>
  <c r="L22" i="10" s="1"/>
  <c r="J24" i="10"/>
  <c r="G16" i="10"/>
  <c r="D90" i="10" l="1"/>
  <c r="E90" i="10" s="1"/>
  <c r="M90" i="10"/>
  <c r="N90" i="10" s="1"/>
  <c r="L91" i="10" s="1"/>
  <c r="J95" i="10"/>
  <c r="B95" i="10"/>
  <c r="M22" i="10"/>
  <c r="N22" i="10" s="1"/>
  <c r="L23" i="10" s="1"/>
  <c r="J25" i="10"/>
  <c r="D17" i="10"/>
  <c r="F90" i="10" l="1"/>
  <c r="G90" i="10" s="1"/>
  <c r="D91" i="10" s="1"/>
  <c r="E91" i="10" s="1"/>
  <c r="F17" i="10"/>
  <c r="G17" i="10" s="1"/>
  <c r="E17" i="10"/>
  <c r="M91" i="10"/>
  <c r="N91" i="10" s="1"/>
  <c r="L92" i="10" s="1"/>
  <c r="J96" i="10"/>
  <c r="B96" i="10"/>
  <c r="M23" i="10"/>
  <c r="N23" i="10" s="1"/>
  <c r="L24" i="10" s="1"/>
  <c r="J26" i="10"/>
  <c r="F91" i="10" l="1"/>
  <c r="G91" i="10" s="1"/>
  <c r="D92" i="10" s="1"/>
  <c r="E92" i="10" s="1"/>
  <c r="M92" i="10"/>
  <c r="N92" i="10" s="1"/>
  <c r="L93" i="10" s="1"/>
  <c r="J97" i="10"/>
  <c r="B97" i="10"/>
  <c r="M24" i="10"/>
  <c r="N24" i="10" s="1"/>
  <c r="L25" i="10" s="1"/>
  <c r="J27" i="10"/>
  <c r="D18" i="10"/>
  <c r="F92" i="10" l="1"/>
  <c r="G92" i="10" s="1"/>
  <c r="D93" i="10" s="1"/>
  <c r="E93" i="10" s="1"/>
  <c r="F18" i="10"/>
  <c r="G18" i="10" s="1"/>
  <c r="E18" i="10"/>
  <c r="M93" i="10"/>
  <c r="N93" i="10" s="1"/>
  <c r="L94" i="10" s="1"/>
  <c r="J98" i="10"/>
  <c r="B98" i="10"/>
  <c r="M25" i="10"/>
  <c r="N25" i="10" s="1"/>
  <c r="L26" i="10" s="1"/>
  <c r="J28" i="10"/>
  <c r="F93" i="10" l="1"/>
  <c r="G93" i="10" s="1"/>
  <c r="D94" i="10" s="1"/>
  <c r="E94" i="10" s="1"/>
  <c r="J99" i="10"/>
  <c r="M94" i="10"/>
  <c r="N94" i="10" s="1"/>
  <c r="L95" i="10" s="1"/>
  <c r="B99" i="10"/>
  <c r="F94" i="10"/>
  <c r="G94" i="10" s="1"/>
  <c r="D95" i="10" s="1"/>
  <c r="E95" i="10" s="1"/>
  <c r="M26" i="10"/>
  <c r="N26" i="10" s="1"/>
  <c r="L27" i="10" s="1"/>
  <c r="J29" i="10"/>
  <c r="D19" i="10"/>
  <c r="F19" i="10" l="1"/>
  <c r="D28" i="13" s="1"/>
  <c r="E19" i="10"/>
  <c r="D19" i="13" s="1"/>
  <c r="M95" i="10"/>
  <c r="N95" i="10" s="1"/>
  <c r="L96" i="10" s="1"/>
  <c r="J100" i="10"/>
  <c r="F95" i="10"/>
  <c r="G95" i="10" s="1"/>
  <c r="D96" i="10" s="1"/>
  <c r="E96" i="10" s="1"/>
  <c r="B100" i="10"/>
  <c r="M27" i="10"/>
  <c r="N27" i="10" s="1"/>
  <c r="L28" i="10" s="1"/>
  <c r="J30" i="10"/>
  <c r="G19" i="10"/>
  <c r="K10" i="3" s="1"/>
  <c r="R19" i="16" l="1"/>
  <c r="R19" i="15"/>
  <c r="D37" i="13"/>
  <c r="R28" i="16"/>
  <c r="R32" i="16" s="1"/>
  <c r="R28" i="15"/>
  <c r="D20" i="10"/>
  <c r="E20" i="10" s="1"/>
  <c r="K11" i="3"/>
  <c r="M96" i="10"/>
  <c r="N96" i="10" s="1"/>
  <c r="L97" i="10" s="1"/>
  <c r="J101" i="10"/>
  <c r="B101" i="10"/>
  <c r="F96" i="10"/>
  <c r="G96" i="10" s="1"/>
  <c r="D97" i="10" s="1"/>
  <c r="E97" i="10" s="1"/>
  <c r="J31" i="10"/>
  <c r="M28" i="10"/>
  <c r="N28" i="10" s="1"/>
  <c r="L29" i="10" s="1"/>
  <c r="R32" i="15" l="1"/>
  <c r="F20" i="10"/>
  <c r="G20" i="10" s="1"/>
  <c r="D21" i="10" s="1"/>
  <c r="E21" i="10" s="1"/>
  <c r="J102" i="10"/>
  <c r="M97" i="10"/>
  <c r="N97" i="10" s="1"/>
  <c r="L98" i="10" s="1"/>
  <c r="F97" i="10"/>
  <c r="G97" i="10" s="1"/>
  <c r="D98" i="10" s="1"/>
  <c r="E98" i="10" s="1"/>
  <c r="B102" i="10"/>
  <c r="M29" i="10"/>
  <c r="N29" i="10" s="1"/>
  <c r="L30" i="10" s="1"/>
  <c r="J32" i="10"/>
  <c r="F21" i="10" l="1"/>
  <c r="G21" i="10" s="1"/>
  <c r="D22" i="10" s="1"/>
  <c r="E22" i="10" s="1"/>
  <c r="M98" i="10"/>
  <c r="N98" i="10" s="1"/>
  <c r="L99" i="10" s="1"/>
  <c r="J103" i="10"/>
  <c r="F98" i="10"/>
  <c r="G98" i="10" s="1"/>
  <c r="D99" i="10" s="1"/>
  <c r="E99" i="10" s="1"/>
  <c r="B103" i="10"/>
  <c r="M30" i="10"/>
  <c r="N30" i="10" s="1"/>
  <c r="L31" i="10" s="1"/>
  <c r="J33" i="10"/>
  <c r="F22" i="10" l="1"/>
  <c r="G22" i="10" s="1"/>
  <c r="D23" i="10" s="1"/>
  <c r="E23" i="10" s="1"/>
  <c r="M99" i="10"/>
  <c r="N99" i="10" s="1"/>
  <c r="L100" i="10" s="1"/>
  <c r="J104" i="10"/>
  <c r="B104" i="10"/>
  <c r="F99" i="10"/>
  <c r="G99" i="10" s="1"/>
  <c r="D100" i="10" s="1"/>
  <c r="E100" i="10" s="1"/>
  <c r="M31" i="10"/>
  <c r="N31" i="10" s="1"/>
  <c r="L32" i="10" s="1"/>
  <c r="J34" i="10"/>
  <c r="F23" i="10" l="1"/>
  <c r="G23" i="10" s="1"/>
  <c r="D24" i="10" s="1"/>
  <c r="E24" i="10" s="1"/>
  <c r="M100" i="10"/>
  <c r="N100" i="10" s="1"/>
  <c r="L101" i="10" s="1"/>
  <c r="J105" i="10"/>
  <c r="F100" i="10"/>
  <c r="G100" i="10" s="1"/>
  <c r="D101" i="10" s="1"/>
  <c r="E101" i="10" s="1"/>
  <c r="B105" i="10"/>
  <c r="M32" i="10"/>
  <c r="N32" i="10" s="1"/>
  <c r="L33" i="10" s="1"/>
  <c r="J35" i="10"/>
  <c r="F24" i="10" l="1"/>
  <c r="G24" i="10" s="1"/>
  <c r="D25" i="10" s="1"/>
  <c r="E25" i="10" s="1"/>
  <c r="M101" i="10"/>
  <c r="N101" i="10" s="1"/>
  <c r="L102" i="10" s="1"/>
  <c r="J106" i="10"/>
  <c r="F101" i="10"/>
  <c r="G101" i="10" s="1"/>
  <c r="D102" i="10" s="1"/>
  <c r="E102" i="10" s="1"/>
  <c r="B106" i="10"/>
  <c r="M33" i="10"/>
  <c r="N33" i="10" s="1"/>
  <c r="L34" i="10" s="1"/>
  <c r="J36" i="10"/>
  <c r="F25" i="10" l="1"/>
  <c r="J107" i="10"/>
  <c r="M102" i="10"/>
  <c r="N102" i="10" s="1"/>
  <c r="L103" i="10" s="1"/>
  <c r="B107" i="10"/>
  <c r="F102" i="10"/>
  <c r="G102" i="10" s="1"/>
  <c r="D103" i="10" s="1"/>
  <c r="E103" i="10" s="1"/>
  <c r="M34" i="10"/>
  <c r="N34" i="10" s="1"/>
  <c r="L35" i="10" s="1"/>
  <c r="J37" i="10"/>
  <c r="G25" i="10" l="1"/>
  <c r="D26" i="10" s="1"/>
  <c r="M103" i="10"/>
  <c r="N103" i="10" s="1"/>
  <c r="L104" i="10" s="1"/>
  <c r="J108" i="10"/>
  <c r="F103" i="10"/>
  <c r="G103" i="10" s="1"/>
  <c r="D104" i="10" s="1"/>
  <c r="E104" i="10" s="1"/>
  <c r="B108" i="10"/>
  <c r="M35" i="10"/>
  <c r="N35" i="10" s="1"/>
  <c r="L36" i="10" s="1"/>
  <c r="J38" i="10"/>
  <c r="E26" i="10" l="1"/>
  <c r="F26" i="10"/>
  <c r="G26" i="10" s="1"/>
  <c r="D27" i="10" s="1"/>
  <c r="M104" i="10"/>
  <c r="N104" i="10" s="1"/>
  <c r="L105" i="10" s="1"/>
  <c r="J109" i="10"/>
  <c r="B109" i="10"/>
  <c r="F104" i="10"/>
  <c r="G104" i="10" s="1"/>
  <c r="D105" i="10" s="1"/>
  <c r="E105" i="10" s="1"/>
  <c r="M36" i="10"/>
  <c r="N36" i="10" s="1"/>
  <c r="L37" i="10" s="1"/>
  <c r="J39" i="10"/>
  <c r="E27" i="10" l="1"/>
  <c r="F27" i="10"/>
  <c r="G27" i="10" s="1"/>
  <c r="D28" i="10" s="1"/>
  <c r="J110" i="10"/>
  <c r="M105" i="10"/>
  <c r="N105" i="10" s="1"/>
  <c r="L106" i="10" s="1"/>
  <c r="F105" i="10"/>
  <c r="G105" i="10" s="1"/>
  <c r="D106" i="10" s="1"/>
  <c r="E106" i="10" s="1"/>
  <c r="B110" i="10"/>
  <c r="M37" i="10"/>
  <c r="N37" i="10" s="1"/>
  <c r="L38" i="10" s="1"/>
  <c r="J40" i="10"/>
  <c r="E28" i="10" l="1"/>
  <c r="F28" i="10"/>
  <c r="G28" i="10" s="1"/>
  <c r="D29" i="10" s="1"/>
  <c r="M106" i="10"/>
  <c r="N106" i="10" s="1"/>
  <c r="L107" i="10" s="1"/>
  <c r="J111" i="10"/>
  <c r="F106" i="10"/>
  <c r="G106" i="10" s="1"/>
  <c r="D107" i="10" s="1"/>
  <c r="E107" i="10" s="1"/>
  <c r="B111" i="10"/>
  <c r="M38" i="10"/>
  <c r="N38" i="10" s="1"/>
  <c r="L39" i="10" s="1"/>
  <c r="J41" i="10"/>
  <c r="E29" i="10" l="1"/>
  <c r="F29" i="10"/>
  <c r="G29" i="10" s="1"/>
  <c r="D30" i="10" s="1"/>
  <c r="M107" i="10"/>
  <c r="N107" i="10" s="1"/>
  <c r="L108" i="10" s="1"/>
  <c r="J112" i="10"/>
  <c r="B112" i="10"/>
  <c r="F107" i="10"/>
  <c r="G107" i="10" s="1"/>
  <c r="D108" i="10" s="1"/>
  <c r="E108" i="10" s="1"/>
  <c r="M39" i="10"/>
  <c r="N39" i="10" s="1"/>
  <c r="L40" i="10" s="1"/>
  <c r="J42" i="10"/>
  <c r="E30" i="10" l="1"/>
  <c r="F30" i="10"/>
  <c r="G30" i="10" s="1"/>
  <c r="D31" i="10" s="1"/>
  <c r="M108" i="10"/>
  <c r="N108" i="10" s="1"/>
  <c r="L109" i="10" s="1"/>
  <c r="J113" i="10"/>
  <c r="F108" i="10"/>
  <c r="G108" i="10" s="1"/>
  <c r="D109" i="10" s="1"/>
  <c r="E109" i="10" s="1"/>
  <c r="B113" i="10"/>
  <c r="J43" i="10"/>
  <c r="M40" i="10"/>
  <c r="N40" i="10" s="1"/>
  <c r="L41" i="10" s="1"/>
  <c r="E31" i="10" l="1"/>
  <c r="E19" i="13" s="1"/>
  <c r="F31" i="10"/>
  <c r="M109" i="10"/>
  <c r="N109" i="10" s="1"/>
  <c r="L110" i="10" s="1"/>
  <c r="J114" i="10"/>
  <c r="F109" i="10"/>
  <c r="G109" i="10" s="1"/>
  <c r="D110" i="10" s="1"/>
  <c r="E110" i="10" s="1"/>
  <c r="B114" i="10"/>
  <c r="M41" i="10"/>
  <c r="N41" i="10" s="1"/>
  <c r="L42" i="10" s="1"/>
  <c r="J44" i="10"/>
  <c r="G31" i="10" l="1"/>
  <c r="E28" i="13"/>
  <c r="S19" i="16"/>
  <c r="S19" i="15"/>
  <c r="J115" i="10"/>
  <c r="M110" i="10"/>
  <c r="N110" i="10" s="1"/>
  <c r="L111" i="10" s="1"/>
  <c r="B115" i="10"/>
  <c r="F110" i="10"/>
  <c r="G110" i="10" s="1"/>
  <c r="D111" i="10" s="1"/>
  <c r="E111" i="10" s="1"/>
  <c r="M42" i="10"/>
  <c r="N42" i="10" s="1"/>
  <c r="L43" i="10" s="1"/>
  <c r="J45" i="10"/>
  <c r="E37" i="13" l="1"/>
  <c r="S28" i="15"/>
  <c r="S32" i="15" s="1"/>
  <c r="S28" i="16"/>
  <c r="S32" i="16" s="1"/>
  <c r="L10" i="3"/>
  <c r="L11" i="3" s="1"/>
  <c r="D32" i="10"/>
  <c r="M111" i="10"/>
  <c r="N111" i="10" s="1"/>
  <c r="L112" i="10" s="1"/>
  <c r="J116" i="10"/>
  <c r="F111" i="10"/>
  <c r="G111" i="10" s="1"/>
  <c r="D112" i="10" s="1"/>
  <c r="E112" i="10" s="1"/>
  <c r="B116" i="10"/>
  <c r="M43" i="10"/>
  <c r="N43" i="10" s="1"/>
  <c r="L44" i="10" s="1"/>
  <c r="J46" i="10"/>
  <c r="E32" i="10" l="1"/>
  <c r="F32" i="10"/>
  <c r="M112" i="10"/>
  <c r="N112" i="10" s="1"/>
  <c r="L113" i="10" s="1"/>
  <c r="J117" i="10"/>
  <c r="F112" i="10"/>
  <c r="G112" i="10" s="1"/>
  <c r="D113" i="10" s="1"/>
  <c r="E113" i="10" s="1"/>
  <c r="B117" i="10"/>
  <c r="J47" i="10"/>
  <c r="M44" i="10"/>
  <c r="N44" i="10" s="1"/>
  <c r="L45" i="10" s="1"/>
  <c r="G32" i="10" l="1"/>
  <c r="D33" i="10" s="1"/>
  <c r="J118" i="10"/>
  <c r="M113" i="10"/>
  <c r="N113" i="10" s="1"/>
  <c r="L114" i="10" s="1"/>
  <c r="F113" i="10"/>
  <c r="G113" i="10" s="1"/>
  <c r="D114" i="10" s="1"/>
  <c r="E114" i="10" s="1"/>
  <c r="B118" i="10"/>
  <c r="M45" i="10"/>
  <c r="N45" i="10" s="1"/>
  <c r="L46" i="10" s="1"/>
  <c r="J48" i="10"/>
  <c r="E33" i="10" l="1"/>
  <c r="F33" i="10"/>
  <c r="M114" i="10"/>
  <c r="N114" i="10" s="1"/>
  <c r="L115" i="10" s="1"/>
  <c r="J119" i="10"/>
  <c r="F114" i="10"/>
  <c r="G114" i="10" s="1"/>
  <c r="D115" i="10" s="1"/>
  <c r="E115" i="10" s="1"/>
  <c r="B119" i="10"/>
  <c r="M46" i="10"/>
  <c r="N46" i="10" s="1"/>
  <c r="L47" i="10" s="1"/>
  <c r="J49" i="10"/>
  <c r="G33" i="10" l="1"/>
  <c r="D34" i="10" s="1"/>
  <c r="M115" i="10"/>
  <c r="N115" i="10" s="1"/>
  <c r="L116" i="10" s="1"/>
  <c r="J120" i="10"/>
  <c r="B120" i="10"/>
  <c r="F115" i="10"/>
  <c r="G115" i="10" s="1"/>
  <c r="D116" i="10" s="1"/>
  <c r="E116" i="10" s="1"/>
  <c r="M47" i="10"/>
  <c r="N47" i="10" s="1"/>
  <c r="L48" i="10" s="1"/>
  <c r="J50" i="10"/>
  <c r="E34" i="10" l="1"/>
  <c r="F34" i="10"/>
  <c r="M116" i="10"/>
  <c r="N116" i="10" s="1"/>
  <c r="L117" i="10" s="1"/>
  <c r="J121" i="10"/>
  <c r="F116" i="10"/>
  <c r="G116" i="10" s="1"/>
  <c r="D117" i="10" s="1"/>
  <c r="E117" i="10" s="1"/>
  <c r="B121" i="10"/>
  <c r="M48" i="10"/>
  <c r="N48" i="10" s="1"/>
  <c r="L49" i="10" s="1"/>
  <c r="J51" i="10"/>
  <c r="G34" i="10" l="1"/>
  <c r="D35" i="10" s="1"/>
  <c r="M117" i="10"/>
  <c r="N117" i="10" s="1"/>
  <c r="L118" i="10" s="1"/>
  <c r="J122" i="10"/>
  <c r="F117" i="10"/>
  <c r="G117" i="10" s="1"/>
  <c r="D118" i="10" s="1"/>
  <c r="E118" i="10" s="1"/>
  <c r="B122" i="10"/>
  <c r="M49" i="10"/>
  <c r="N49" i="10" s="1"/>
  <c r="L50" i="10" s="1"/>
  <c r="J52" i="10"/>
  <c r="E35" i="10" l="1"/>
  <c r="F35" i="10"/>
  <c r="M118" i="10"/>
  <c r="N118" i="10" s="1"/>
  <c r="L119" i="10" s="1"/>
  <c r="J123" i="10"/>
  <c r="B123" i="10"/>
  <c r="F118" i="10"/>
  <c r="G118" i="10" s="1"/>
  <c r="D119" i="10" s="1"/>
  <c r="E119" i="10" s="1"/>
  <c r="J53" i="10"/>
  <c r="M50" i="10"/>
  <c r="N50" i="10" s="1"/>
  <c r="L51" i="10" s="1"/>
  <c r="G35" i="10" l="1"/>
  <c r="D36" i="10" s="1"/>
  <c r="M119" i="10"/>
  <c r="N119" i="10" s="1"/>
  <c r="L120" i="10" s="1"/>
  <c r="J124" i="10"/>
  <c r="F119" i="10"/>
  <c r="G119" i="10" s="1"/>
  <c r="D120" i="10" s="1"/>
  <c r="E120" i="10" s="1"/>
  <c r="B124" i="10"/>
  <c r="M51" i="10"/>
  <c r="N51" i="10" s="1"/>
  <c r="L52" i="10" s="1"/>
  <c r="J54" i="10"/>
  <c r="E36" i="10" l="1"/>
  <c r="F36" i="10"/>
  <c r="M120" i="10"/>
  <c r="N120" i="10" s="1"/>
  <c r="L121" i="10" s="1"/>
  <c r="J125" i="10"/>
  <c r="F120" i="10"/>
  <c r="G120" i="10" s="1"/>
  <c r="D121" i="10" s="1"/>
  <c r="E121" i="10" s="1"/>
  <c r="B125" i="10"/>
  <c r="M52" i="10"/>
  <c r="N52" i="10" s="1"/>
  <c r="L53" i="10" s="1"/>
  <c r="J55" i="10"/>
  <c r="G36" i="10" l="1"/>
  <c r="D37" i="10" s="1"/>
  <c r="J126" i="10"/>
  <c r="M121" i="10"/>
  <c r="N121" i="10" s="1"/>
  <c r="L122" i="10" s="1"/>
  <c r="F121" i="10"/>
  <c r="G121" i="10" s="1"/>
  <c r="D122" i="10" s="1"/>
  <c r="E122" i="10" s="1"/>
  <c r="B126" i="10"/>
  <c r="M53" i="10"/>
  <c r="N53" i="10" s="1"/>
  <c r="L54" i="10" s="1"/>
  <c r="J56" i="10"/>
  <c r="E37" i="10" l="1"/>
  <c r="F37" i="10"/>
  <c r="G37" i="10" s="1"/>
  <c r="D38" i="10" s="1"/>
  <c r="M122" i="10"/>
  <c r="N122" i="10" s="1"/>
  <c r="L123" i="10" s="1"/>
  <c r="J127" i="10"/>
  <c r="F122" i="10"/>
  <c r="G122" i="10" s="1"/>
  <c r="D123" i="10" s="1"/>
  <c r="E123" i="10" s="1"/>
  <c r="B127" i="10"/>
  <c r="M54" i="10"/>
  <c r="N54" i="10" s="1"/>
  <c r="L55" i="10" s="1"/>
  <c r="J57" i="10"/>
  <c r="E38" i="10" l="1"/>
  <c r="F38" i="10"/>
  <c r="G38" i="10" s="1"/>
  <c r="D39" i="10" s="1"/>
  <c r="M123" i="10"/>
  <c r="N123" i="10" s="1"/>
  <c r="L124" i="10" s="1"/>
  <c r="J128" i="10"/>
  <c r="B128" i="10"/>
  <c r="F123" i="10"/>
  <c r="G123" i="10" s="1"/>
  <c r="D124" i="10" s="1"/>
  <c r="E124" i="10" s="1"/>
  <c r="M55" i="10"/>
  <c r="N55" i="10" s="1"/>
  <c r="L56" i="10" s="1"/>
  <c r="J58" i="10"/>
  <c r="E39" i="10" l="1"/>
  <c r="F39" i="10"/>
  <c r="G39" i="10" s="1"/>
  <c r="D40" i="10" s="1"/>
  <c r="M124" i="10"/>
  <c r="N124" i="10" s="1"/>
  <c r="L125" i="10" s="1"/>
  <c r="J129" i="10"/>
  <c r="F124" i="10"/>
  <c r="G124" i="10" s="1"/>
  <c r="D125" i="10" s="1"/>
  <c r="E125" i="10" s="1"/>
  <c r="B129" i="10"/>
  <c r="M56" i="10"/>
  <c r="N56" i="10" s="1"/>
  <c r="L57" i="10" s="1"/>
  <c r="J59" i="10"/>
  <c r="E40" i="10" l="1"/>
  <c r="F40" i="10"/>
  <c r="G40" i="10" s="1"/>
  <c r="D41" i="10" s="1"/>
  <c r="M125" i="10"/>
  <c r="N125" i="10" s="1"/>
  <c r="L126" i="10" s="1"/>
  <c r="J130" i="10"/>
  <c r="F125" i="10"/>
  <c r="G125" i="10" s="1"/>
  <c r="D126" i="10" s="1"/>
  <c r="E126" i="10" s="1"/>
  <c r="B130" i="10"/>
  <c r="M57" i="10"/>
  <c r="N57" i="10" s="1"/>
  <c r="L58" i="10" s="1"/>
  <c r="J60" i="10"/>
  <c r="E41" i="10" l="1"/>
  <c r="F41" i="10"/>
  <c r="G41" i="10" s="1"/>
  <c r="D42" i="10" s="1"/>
  <c r="J131" i="10"/>
  <c r="M126" i="10"/>
  <c r="N126" i="10" s="1"/>
  <c r="L127" i="10" s="1"/>
  <c r="B131" i="10"/>
  <c r="F126" i="10"/>
  <c r="G126" i="10" s="1"/>
  <c r="D127" i="10" s="1"/>
  <c r="E127" i="10" s="1"/>
  <c r="M58" i="10"/>
  <c r="N58" i="10" s="1"/>
  <c r="L59" i="10" s="1"/>
  <c r="J61" i="10"/>
  <c r="E42" i="10" l="1"/>
  <c r="F42" i="10"/>
  <c r="G42" i="10" s="1"/>
  <c r="D43" i="10" s="1"/>
  <c r="M127" i="10"/>
  <c r="N127" i="10" s="1"/>
  <c r="L128" i="10" s="1"/>
  <c r="J132" i="10"/>
  <c r="F127" i="10"/>
  <c r="G127" i="10" s="1"/>
  <c r="D128" i="10" s="1"/>
  <c r="E128" i="10" s="1"/>
  <c r="B132" i="10"/>
  <c r="M59" i="10"/>
  <c r="N59" i="10" s="1"/>
  <c r="L60" i="10" s="1"/>
  <c r="J62" i="10"/>
  <c r="E43" i="10" l="1"/>
  <c r="F19" i="13" s="1"/>
  <c r="F43" i="10"/>
  <c r="M128" i="10"/>
  <c r="N128" i="10" s="1"/>
  <c r="L129" i="10" s="1"/>
  <c r="J133" i="10"/>
  <c r="F128" i="10"/>
  <c r="G128" i="10" s="1"/>
  <c r="D129" i="10" s="1"/>
  <c r="E129" i="10" s="1"/>
  <c r="B133" i="10"/>
  <c r="J63" i="10"/>
  <c r="M60" i="10"/>
  <c r="N60" i="10" s="1"/>
  <c r="L61" i="10" s="1"/>
  <c r="G43" i="10" l="1"/>
  <c r="F28" i="13"/>
  <c r="T19" i="16"/>
  <c r="T19" i="15"/>
  <c r="M129" i="10"/>
  <c r="N129" i="10" s="1"/>
  <c r="L130" i="10" s="1"/>
  <c r="J134" i="10"/>
  <c r="F129" i="10"/>
  <c r="G129" i="10" s="1"/>
  <c r="D130" i="10" s="1"/>
  <c r="E130" i="10" s="1"/>
  <c r="B134" i="10"/>
  <c r="M61" i="10"/>
  <c r="N61" i="10" s="1"/>
  <c r="L62" i="10" s="1"/>
  <c r="J64" i="10"/>
  <c r="T28" i="16" l="1"/>
  <c r="T32" i="16" s="1"/>
  <c r="T28" i="15"/>
  <c r="T32" i="15" s="1"/>
  <c r="F37" i="13"/>
  <c r="M10" i="3"/>
  <c r="M11" i="3" s="1"/>
  <c r="D44" i="10"/>
  <c r="M130" i="10"/>
  <c r="N130" i="10" s="1"/>
  <c r="L131" i="10" s="1"/>
  <c r="J135" i="10"/>
  <c r="B135" i="10"/>
  <c r="F130" i="10"/>
  <c r="G130" i="10" s="1"/>
  <c r="D131" i="10" s="1"/>
  <c r="E131" i="10" s="1"/>
  <c r="M62" i="10"/>
  <c r="N62" i="10" s="1"/>
  <c r="L63" i="10" s="1"/>
  <c r="J65" i="10"/>
  <c r="E44" i="10" l="1"/>
  <c r="F44" i="10"/>
  <c r="M131" i="10"/>
  <c r="N131" i="10" s="1"/>
  <c r="L132" i="10" s="1"/>
  <c r="J136" i="10"/>
  <c r="F131" i="10"/>
  <c r="G131" i="10" s="1"/>
  <c r="D132" i="10" s="1"/>
  <c r="E132" i="10" s="1"/>
  <c r="B136" i="10"/>
  <c r="M63" i="10"/>
  <c r="N63" i="10" s="1"/>
  <c r="L64" i="10" s="1"/>
  <c r="J66" i="10"/>
  <c r="G44" i="10" l="1"/>
  <c r="D45" i="10" s="1"/>
  <c r="M132" i="10"/>
  <c r="N132" i="10" s="1"/>
  <c r="L133" i="10" s="1"/>
  <c r="J137" i="10"/>
  <c r="B137" i="10"/>
  <c r="F132" i="10"/>
  <c r="G132" i="10" s="1"/>
  <c r="D133" i="10" s="1"/>
  <c r="E133" i="10" s="1"/>
  <c r="M64" i="10"/>
  <c r="N64" i="10" s="1"/>
  <c r="L65" i="10" s="1"/>
  <c r="J67" i="10"/>
  <c r="E45" i="10" l="1"/>
  <c r="F45" i="10"/>
  <c r="M133" i="10"/>
  <c r="N133" i="10" s="1"/>
  <c r="L134" i="10" s="1"/>
  <c r="F133" i="10"/>
  <c r="G133" i="10" s="1"/>
  <c r="D134" i="10" s="1"/>
  <c r="E134" i="10" s="1"/>
  <c r="M65" i="10"/>
  <c r="N65" i="10" s="1"/>
  <c r="L66" i="10" s="1"/>
  <c r="G45" i="10" l="1"/>
  <c r="D46" i="10" s="1"/>
  <c r="M134" i="10"/>
  <c r="N134" i="10" s="1"/>
  <c r="L135" i="10" s="1"/>
  <c r="F134" i="10"/>
  <c r="G134" i="10" s="1"/>
  <c r="D135" i="10" s="1"/>
  <c r="E135" i="10" s="1"/>
  <c r="M66" i="10"/>
  <c r="N66" i="10" s="1"/>
  <c r="L67" i="10" s="1"/>
  <c r="E46" i="10" l="1"/>
  <c r="F46" i="10"/>
  <c r="M135" i="10"/>
  <c r="N135" i="10" s="1"/>
  <c r="L136" i="10" s="1"/>
  <c r="F135" i="10"/>
  <c r="G135" i="10" s="1"/>
  <c r="D136" i="10" s="1"/>
  <c r="E136" i="10" s="1"/>
  <c r="G46" i="10" l="1"/>
  <c r="D47" i="10" s="1"/>
  <c r="M136" i="10"/>
  <c r="N136" i="10" s="1"/>
  <c r="F136" i="10"/>
  <c r="G136" i="10" s="1"/>
  <c r="D137" i="10" s="1"/>
  <c r="E137" i="10" s="1"/>
  <c r="L68" i="10"/>
  <c r="M67" i="10"/>
  <c r="N67" i="10" s="1"/>
  <c r="L138" i="10" l="1"/>
  <c r="L139" i="10" s="1"/>
  <c r="L137" i="10"/>
  <c r="E47" i="10"/>
  <c r="F47" i="10"/>
  <c r="L69" i="10"/>
  <c r="C146" i="10" s="1"/>
  <c r="G47" i="10" l="1"/>
  <c r="D48" i="10" s="1"/>
  <c r="M137" i="10"/>
  <c r="N137" i="10" s="1"/>
  <c r="D138" i="10"/>
  <c r="D139" i="10" s="1"/>
  <c r="C147" i="10" s="1"/>
  <c r="F137" i="10"/>
  <c r="G137" i="10" s="1"/>
  <c r="C148" i="10" l="1"/>
  <c r="E48" i="10"/>
  <c r="F48" i="10"/>
  <c r="G48" i="10" l="1"/>
  <c r="D49" i="10" s="1"/>
  <c r="E49" i="10" l="1"/>
  <c r="F49" i="10"/>
  <c r="G49" i="10" s="1"/>
  <c r="D50" i="10" s="1"/>
  <c r="E50" i="10" l="1"/>
  <c r="F50" i="10"/>
  <c r="G50" i="10" s="1"/>
  <c r="D51" i="10" s="1"/>
  <c r="E51" i="10" l="1"/>
  <c r="F51" i="10"/>
  <c r="G51" i="10" s="1"/>
  <c r="D52" i="10" s="1"/>
  <c r="E52" i="10" l="1"/>
  <c r="F52" i="10"/>
  <c r="G52" i="10" s="1"/>
  <c r="D53" i="10" s="1"/>
  <c r="C24" i="8"/>
  <c r="D23" i="8"/>
  <c r="E23" i="8" s="1"/>
  <c r="F23" i="8" s="1"/>
  <c r="G23" i="8" s="1"/>
  <c r="H23" i="8" s="1"/>
  <c r="I23" i="8" s="1"/>
  <c r="J23" i="8" s="1"/>
  <c r="K23" i="8" s="1"/>
  <c r="L23" i="8" s="1"/>
  <c r="M23" i="8" s="1"/>
  <c r="N23" i="8" s="1"/>
  <c r="D22" i="8"/>
  <c r="E22" i="8" s="1"/>
  <c r="F22" i="8" s="1"/>
  <c r="G22" i="8" s="1"/>
  <c r="H22" i="8" s="1"/>
  <c r="I22" i="8" s="1"/>
  <c r="J22" i="8" s="1"/>
  <c r="K22" i="8" s="1"/>
  <c r="L22" i="8" s="1"/>
  <c r="M22" i="8" s="1"/>
  <c r="N22" i="8" s="1"/>
  <c r="D21" i="8"/>
  <c r="E21" i="8" s="1"/>
  <c r="F21" i="8" s="1"/>
  <c r="G21" i="8" s="1"/>
  <c r="H21" i="8" s="1"/>
  <c r="I21" i="8" s="1"/>
  <c r="J21" i="8" s="1"/>
  <c r="K21" i="8" s="1"/>
  <c r="L21" i="8" s="1"/>
  <c r="M21" i="8" s="1"/>
  <c r="N21" i="8" s="1"/>
  <c r="C32" i="8" l="1"/>
  <c r="C52" i="8" s="1"/>
  <c r="D52" i="8" s="1"/>
  <c r="D9" i="13" s="1"/>
  <c r="E53" i="10"/>
  <c r="F53" i="10"/>
  <c r="G53" i="10" s="1"/>
  <c r="D54" i="10" s="1"/>
  <c r="D17" i="9"/>
  <c r="G7" i="9"/>
  <c r="D24" i="8"/>
  <c r="R10" i="15" l="1"/>
  <c r="E9" i="13"/>
  <c r="R10" i="16"/>
  <c r="E54" i="10"/>
  <c r="F54" i="10"/>
  <c r="G54" i="10" s="1"/>
  <c r="G16" i="9"/>
  <c r="C32" i="13"/>
  <c r="D18" i="3"/>
  <c r="F18" i="3"/>
  <c r="G18" i="3"/>
  <c r="H18" i="3"/>
  <c r="C18" i="3"/>
  <c r="C20" i="3" s="1"/>
  <c r="E18" i="3"/>
  <c r="F9" i="13"/>
  <c r="S10" i="16"/>
  <c r="S10" i="15"/>
  <c r="H7" i="9"/>
  <c r="D7" i="9"/>
  <c r="E24" i="8"/>
  <c r="D32" i="8"/>
  <c r="D55" i="10" l="1"/>
  <c r="D19" i="3"/>
  <c r="T10" i="16"/>
  <c r="T10" i="15"/>
  <c r="G9" i="13"/>
  <c r="F24" i="8"/>
  <c r="E32" i="8"/>
  <c r="E55" i="10" l="1"/>
  <c r="G19" i="13" s="1"/>
  <c r="F55" i="10"/>
  <c r="D24" i="13"/>
  <c r="E19" i="3"/>
  <c r="D20" i="3"/>
  <c r="U10" i="16"/>
  <c r="H9" i="13"/>
  <c r="U10" i="15"/>
  <c r="G24" i="8"/>
  <c r="F32" i="8"/>
  <c r="G28" i="13" l="1"/>
  <c r="G55" i="10"/>
  <c r="U19" i="16"/>
  <c r="U19" i="15"/>
  <c r="F19" i="3"/>
  <c r="E20" i="3"/>
  <c r="R24" i="16"/>
  <c r="E24" i="13"/>
  <c r="R24" i="15"/>
  <c r="V10" i="15"/>
  <c r="V10" i="16"/>
  <c r="H24" i="8"/>
  <c r="G32" i="8"/>
  <c r="N10" i="3" l="1"/>
  <c r="N11" i="3" s="1"/>
  <c r="D56" i="10"/>
  <c r="U28" i="15"/>
  <c r="U32" i="15" s="1"/>
  <c r="U28" i="16"/>
  <c r="U32" i="16" s="1"/>
  <c r="G37" i="13"/>
  <c r="S24" i="16"/>
  <c r="F24" i="13"/>
  <c r="S24" i="15"/>
  <c r="G19" i="3"/>
  <c r="F20" i="3"/>
  <c r="I24" i="8"/>
  <c r="H32" i="8"/>
  <c r="E56" i="10" l="1"/>
  <c r="F56" i="10"/>
  <c r="G20" i="3"/>
  <c r="H19" i="3"/>
  <c r="H20" i="3" s="1"/>
  <c r="T24" i="16"/>
  <c r="G24" i="13"/>
  <c r="T24" i="15"/>
  <c r="J24" i="8"/>
  <c r="I32" i="8"/>
  <c r="G56" i="10" l="1"/>
  <c r="D57" i="10" s="1"/>
  <c r="U24" i="16"/>
  <c r="H24" i="13"/>
  <c r="U24" i="15"/>
  <c r="K24" i="8"/>
  <c r="J32" i="8"/>
  <c r="E57" i="10" l="1"/>
  <c r="F57" i="10"/>
  <c r="V24" i="15"/>
  <c r="V24" i="16"/>
  <c r="L24" i="8"/>
  <c r="K32" i="8"/>
  <c r="G57" i="10" l="1"/>
  <c r="D58" i="10" s="1"/>
  <c r="M24" i="8"/>
  <c r="L32" i="8"/>
  <c r="E58" i="10" l="1"/>
  <c r="F58" i="10"/>
  <c r="N24" i="8"/>
  <c r="N32" i="8" s="1"/>
  <c r="M32" i="8"/>
  <c r="G58" i="10" l="1"/>
  <c r="D59" i="10" s="1"/>
  <c r="E133" i="6"/>
  <c r="E132" i="6"/>
  <c r="E128" i="6"/>
  <c r="E127" i="6"/>
  <c r="E126" i="6"/>
  <c r="E125" i="6"/>
  <c r="G36" i="7"/>
  <c r="L37" i="7"/>
  <c r="C35" i="7"/>
  <c r="K35" i="7" s="1"/>
  <c r="C24" i="7"/>
  <c r="D23" i="7"/>
  <c r="E23" i="7" s="1"/>
  <c r="F23" i="7" s="1"/>
  <c r="G23" i="7" s="1"/>
  <c r="H23" i="7" s="1"/>
  <c r="I23" i="7" s="1"/>
  <c r="J23" i="7" s="1"/>
  <c r="K23" i="7" s="1"/>
  <c r="L23" i="7" s="1"/>
  <c r="M23" i="7" s="1"/>
  <c r="N23" i="7" s="1"/>
  <c r="D22" i="7"/>
  <c r="E22" i="7" s="1"/>
  <c r="F22" i="7" s="1"/>
  <c r="G22" i="7" s="1"/>
  <c r="H22" i="7" s="1"/>
  <c r="I22" i="7" s="1"/>
  <c r="J22" i="7" s="1"/>
  <c r="K22" i="7" s="1"/>
  <c r="L22" i="7" s="1"/>
  <c r="M22" i="7" s="1"/>
  <c r="N22" i="7" s="1"/>
  <c r="D21" i="7"/>
  <c r="E21" i="7" s="1"/>
  <c r="F21" i="7" s="1"/>
  <c r="G21" i="7" s="1"/>
  <c r="H21" i="7" s="1"/>
  <c r="I21" i="7" s="1"/>
  <c r="J21" i="7" s="1"/>
  <c r="K21" i="7" s="1"/>
  <c r="L21" i="7" s="1"/>
  <c r="M21" i="7" s="1"/>
  <c r="N21" i="7" s="1"/>
  <c r="C86" i="6"/>
  <c r="E59" i="10" l="1"/>
  <c r="F59" i="10"/>
  <c r="D32" i="7"/>
  <c r="F93" i="6"/>
  <c r="F117" i="6" s="1"/>
  <c r="G93" i="6"/>
  <c r="G117" i="6" s="1"/>
  <c r="L94" i="6"/>
  <c r="L118" i="6" s="1"/>
  <c r="H93" i="6"/>
  <c r="H117" i="6" s="1"/>
  <c r="F94" i="6"/>
  <c r="F118" i="6" s="1"/>
  <c r="M92" i="6"/>
  <c r="M116" i="6" s="1"/>
  <c r="G94" i="6"/>
  <c r="G118" i="6" s="1"/>
  <c r="C94" i="6"/>
  <c r="C118" i="6" s="1"/>
  <c r="N93" i="6"/>
  <c r="N117" i="6" s="1"/>
  <c r="E94" i="6"/>
  <c r="E118" i="6" s="1"/>
  <c r="L92" i="6"/>
  <c r="L116" i="6" s="1"/>
  <c r="N94" i="6"/>
  <c r="N118" i="6" s="1"/>
  <c r="C93" i="6"/>
  <c r="C117" i="6" s="1"/>
  <c r="E92" i="6"/>
  <c r="E116" i="6" s="1"/>
  <c r="J94" i="6"/>
  <c r="J118" i="6" s="1"/>
  <c r="I92" i="6"/>
  <c r="I116" i="6" s="1"/>
  <c r="K94" i="6"/>
  <c r="K118" i="6" s="1"/>
  <c r="J92" i="6"/>
  <c r="J116" i="6" s="1"/>
  <c r="D94" i="6"/>
  <c r="D118" i="6" s="1"/>
  <c r="K92" i="6"/>
  <c r="K116" i="6" s="1"/>
  <c r="M94" i="6"/>
  <c r="M118" i="6" s="1"/>
  <c r="C92" i="6"/>
  <c r="C116" i="6" s="1"/>
  <c r="D92" i="6"/>
  <c r="D116" i="6" s="1"/>
  <c r="I93" i="6"/>
  <c r="I117" i="6" s="1"/>
  <c r="J93" i="6"/>
  <c r="J117" i="6" s="1"/>
  <c r="E93" i="6"/>
  <c r="E117" i="6" s="1"/>
  <c r="K93" i="6"/>
  <c r="K117" i="6" s="1"/>
  <c r="H92" i="6"/>
  <c r="H116" i="6" s="1"/>
  <c r="N92" i="6"/>
  <c r="N116" i="6" s="1"/>
  <c r="H94" i="6"/>
  <c r="H118" i="6" s="1"/>
  <c r="I94" i="6"/>
  <c r="I118" i="6" s="1"/>
  <c r="F92" i="6"/>
  <c r="F116" i="6" s="1"/>
  <c r="D93" i="6"/>
  <c r="D117" i="6" s="1"/>
  <c r="L93" i="6"/>
  <c r="L117" i="6" s="1"/>
  <c r="G92" i="6"/>
  <c r="G116" i="6" s="1"/>
  <c r="M93" i="6"/>
  <c r="M117" i="6" s="1"/>
  <c r="D24" i="7"/>
  <c r="E24" i="7" s="1"/>
  <c r="F24" i="7" s="1"/>
  <c r="G24" i="7" s="1"/>
  <c r="H24" i="7" s="1"/>
  <c r="I24" i="7" s="1"/>
  <c r="J24" i="7" s="1"/>
  <c r="K24" i="7" s="1"/>
  <c r="L24" i="7" s="1"/>
  <c r="M24" i="7" s="1"/>
  <c r="N24" i="7" s="1"/>
  <c r="O32" i="7" s="1"/>
  <c r="M35" i="7"/>
  <c r="D35" i="7"/>
  <c r="N35" i="7"/>
  <c r="L35" i="7"/>
  <c r="G35" i="7"/>
  <c r="E35" i="7"/>
  <c r="J35" i="7"/>
  <c r="I35" i="7"/>
  <c r="H35" i="7"/>
  <c r="O35" i="7"/>
  <c r="F35" i="7"/>
  <c r="D37" i="7"/>
  <c r="K36" i="7"/>
  <c r="M36" i="7"/>
  <c r="O37" i="7"/>
  <c r="G37" i="7"/>
  <c r="J36" i="7"/>
  <c r="J37" i="7"/>
  <c r="L36" i="7"/>
  <c r="F37" i="7"/>
  <c r="K37" i="7"/>
  <c r="N36" i="7"/>
  <c r="F36" i="7"/>
  <c r="E36" i="7"/>
  <c r="D36" i="7"/>
  <c r="I37" i="7"/>
  <c r="H37" i="7"/>
  <c r="N37" i="7"/>
  <c r="I36" i="7"/>
  <c r="M37" i="7"/>
  <c r="E37" i="7"/>
  <c r="H36" i="7"/>
  <c r="O36" i="7"/>
  <c r="E11" i="6"/>
  <c r="F4" i="6"/>
  <c r="G59" i="10" l="1"/>
  <c r="H142" i="6"/>
  <c r="H154" i="6"/>
  <c r="D142" i="6"/>
  <c r="D154" i="6"/>
  <c r="N140" i="6"/>
  <c r="N152" i="6"/>
  <c r="J140" i="6"/>
  <c r="J152" i="6"/>
  <c r="F140" i="6"/>
  <c r="F152" i="6"/>
  <c r="O142" i="6"/>
  <c r="O154" i="6"/>
  <c r="I141" i="6"/>
  <c r="I153" i="6"/>
  <c r="G140" i="6"/>
  <c r="G152" i="6"/>
  <c r="E140" i="6"/>
  <c r="E152" i="6"/>
  <c r="D140" i="6"/>
  <c r="D152" i="6"/>
  <c r="N142" i="6"/>
  <c r="N154" i="6"/>
  <c r="H140" i="6"/>
  <c r="H152" i="6"/>
  <c r="M140" i="6"/>
  <c r="M152" i="6"/>
  <c r="M142" i="6"/>
  <c r="M154" i="6"/>
  <c r="K142" i="6"/>
  <c r="K154" i="6"/>
  <c r="O140" i="6"/>
  <c r="O152" i="6"/>
  <c r="D141" i="6"/>
  <c r="D153" i="6"/>
  <c r="N141" i="6"/>
  <c r="N153" i="6"/>
  <c r="L140" i="6"/>
  <c r="L152" i="6"/>
  <c r="M141" i="6"/>
  <c r="M153" i="6"/>
  <c r="K140" i="6"/>
  <c r="K152" i="6"/>
  <c r="F142" i="6"/>
  <c r="F154" i="6"/>
  <c r="H141" i="6"/>
  <c r="H153" i="6"/>
  <c r="J141" i="6"/>
  <c r="J153" i="6"/>
  <c r="J142" i="6"/>
  <c r="J154" i="6"/>
  <c r="I142" i="6"/>
  <c r="I154" i="6"/>
  <c r="G142" i="6"/>
  <c r="G154" i="6"/>
  <c r="I140" i="6"/>
  <c r="I152" i="6"/>
  <c r="L141" i="6"/>
  <c r="L153" i="6"/>
  <c r="E142" i="6"/>
  <c r="E154" i="6"/>
  <c r="F141" i="6"/>
  <c r="F153" i="6"/>
  <c r="E141" i="6"/>
  <c r="E153" i="6"/>
  <c r="K141" i="6"/>
  <c r="K153" i="6"/>
  <c r="L142" i="6"/>
  <c r="L154" i="6"/>
  <c r="O141" i="6"/>
  <c r="O153" i="6"/>
  <c r="G141" i="6"/>
  <c r="G153" i="6"/>
  <c r="E100" i="6"/>
  <c r="M100" i="6"/>
  <c r="G100" i="6"/>
  <c r="H100" i="6"/>
  <c r="C100" i="6"/>
  <c r="J100" i="6"/>
  <c r="K100" i="6"/>
  <c r="L100" i="6"/>
  <c r="F100" i="6"/>
  <c r="N100" i="6"/>
  <c r="D100" i="6"/>
  <c r="I100" i="6"/>
  <c r="J88" i="6"/>
  <c r="N88" i="6"/>
  <c r="C88" i="6"/>
  <c r="K88" i="6"/>
  <c r="E88" i="6"/>
  <c r="G88" i="6"/>
  <c r="H88" i="6"/>
  <c r="D88" i="6"/>
  <c r="L88" i="6"/>
  <c r="M88" i="6"/>
  <c r="F88" i="6"/>
  <c r="I88" i="6"/>
  <c r="D64" i="6"/>
  <c r="L64" i="6"/>
  <c r="E64" i="6"/>
  <c r="M64" i="6"/>
  <c r="J64" i="6"/>
  <c r="F64" i="6"/>
  <c r="N64" i="6"/>
  <c r="G64" i="6"/>
  <c r="C64" i="6"/>
  <c r="K64" i="6"/>
  <c r="H64" i="6"/>
  <c r="I64" i="6"/>
  <c r="H52" i="6"/>
  <c r="L52" i="6"/>
  <c r="E52" i="6"/>
  <c r="G52" i="6"/>
  <c r="I52" i="6"/>
  <c r="K52" i="6"/>
  <c r="M52" i="6"/>
  <c r="F52" i="6"/>
  <c r="C52" i="6"/>
  <c r="J52" i="6"/>
  <c r="D52" i="6"/>
  <c r="N52" i="6"/>
  <c r="D40" i="6"/>
  <c r="L40" i="6"/>
  <c r="C40" i="6"/>
  <c r="J40" i="6"/>
  <c r="E40" i="6"/>
  <c r="M40" i="6"/>
  <c r="G40" i="6"/>
  <c r="H40" i="6"/>
  <c r="K40" i="6"/>
  <c r="F40" i="6"/>
  <c r="N40" i="6"/>
  <c r="I40" i="6"/>
  <c r="F11" i="6"/>
  <c r="D23" i="6" s="1"/>
  <c r="D16" i="6"/>
  <c r="L16" i="6"/>
  <c r="E16" i="6"/>
  <c r="M16" i="6"/>
  <c r="F16" i="6"/>
  <c r="N16" i="6"/>
  <c r="H16" i="6"/>
  <c r="G16" i="6"/>
  <c r="I16" i="6"/>
  <c r="J16" i="6"/>
  <c r="K16" i="6"/>
  <c r="H23" i="6"/>
  <c r="C16" i="6"/>
  <c r="J32" i="7"/>
  <c r="E32" i="7"/>
  <c r="C57" i="7"/>
  <c r="F32" i="7"/>
  <c r="K32" i="7"/>
  <c r="M32" i="7"/>
  <c r="N32" i="7"/>
  <c r="H32" i="7"/>
  <c r="G32" i="7"/>
  <c r="I32" i="7"/>
  <c r="L32" i="7"/>
  <c r="G38" i="7"/>
  <c r="L38" i="7"/>
  <c r="I38" i="7"/>
  <c r="O38" i="7"/>
  <c r="N38" i="7"/>
  <c r="D38" i="7"/>
  <c r="B58" i="7" s="1"/>
  <c r="H38" i="7"/>
  <c r="E38" i="7"/>
  <c r="J38" i="7"/>
  <c r="F38" i="7"/>
  <c r="K38" i="7"/>
  <c r="M38" i="7"/>
  <c r="E12" i="6"/>
  <c r="E5" i="6"/>
  <c r="E6" i="6"/>
  <c r="E7" i="6"/>
  <c r="G23" i="6" l="1"/>
  <c r="D60" i="10"/>
  <c r="K112" i="6"/>
  <c r="H112" i="6"/>
  <c r="C112" i="6"/>
  <c r="J112" i="6"/>
  <c r="D112" i="6"/>
  <c r="N112" i="6"/>
  <c r="E112" i="6"/>
  <c r="L112" i="6"/>
  <c r="I112" i="6"/>
  <c r="G112" i="6"/>
  <c r="F112" i="6"/>
  <c r="M112" i="6"/>
  <c r="G107" i="6"/>
  <c r="I107" i="6"/>
  <c r="J107" i="6"/>
  <c r="K107" i="6"/>
  <c r="L107" i="6"/>
  <c r="E107" i="6"/>
  <c r="N107" i="6"/>
  <c r="H107" i="6"/>
  <c r="D107" i="6"/>
  <c r="C107" i="6"/>
  <c r="M107" i="6"/>
  <c r="F107" i="6"/>
  <c r="E95" i="6"/>
  <c r="M95" i="6"/>
  <c r="C95" i="6"/>
  <c r="G95" i="6"/>
  <c r="H95" i="6"/>
  <c r="J95" i="6"/>
  <c r="F95" i="6"/>
  <c r="N95" i="6"/>
  <c r="L95" i="6"/>
  <c r="I95" i="6"/>
  <c r="K95" i="6"/>
  <c r="D95" i="6"/>
  <c r="F78" i="6"/>
  <c r="N78" i="6"/>
  <c r="I78" i="6"/>
  <c r="K78" i="6"/>
  <c r="C78" i="6"/>
  <c r="L78" i="6"/>
  <c r="M78" i="6"/>
  <c r="G78" i="6"/>
  <c r="D78" i="6"/>
  <c r="E78" i="6"/>
  <c r="H78" i="6"/>
  <c r="J78" i="6"/>
  <c r="K79" i="6"/>
  <c r="D79" i="6"/>
  <c r="N79" i="6"/>
  <c r="H79" i="6"/>
  <c r="L79" i="6"/>
  <c r="G79" i="6"/>
  <c r="I79" i="6"/>
  <c r="C79" i="6"/>
  <c r="J79" i="6"/>
  <c r="E79" i="6"/>
  <c r="M79" i="6"/>
  <c r="F79" i="6"/>
  <c r="I77" i="6"/>
  <c r="D77" i="6"/>
  <c r="M77" i="6"/>
  <c r="N77" i="6"/>
  <c r="G77" i="6"/>
  <c r="J77" i="6"/>
  <c r="C77" i="6"/>
  <c r="H77" i="6"/>
  <c r="K77" i="6"/>
  <c r="L77" i="6"/>
  <c r="E77" i="6"/>
  <c r="F77" i="6"/>
  <c r="D84" i="6"/>
  <c r="L84" i="6"/>
  <c r="C84" i="6"/>
  <c r="G84" i="6"/>
  <c r="J84" i="6"/>
  <c r="E84" i="6"/>
  <c r="M84" i="6"/>
  <c r="F84" i="6"/>
  <c r="I84" i="6"/>
  <c r="K84" i="6"/>
  <c r="N84" i="6"/>
  <c r="H84" i="6"/>
  <c r="G71" i="6"/>
  <c r="C71" i="6"/>
  <c r="L71" i="6"/>
  <c r="E71" i="6"/>
  <c r="H71" i="6"/>
  <c r="K71" i="6"/>
  <c r="M71" i="6"/>
  <c r="F71" i="6"/>
  <c r="I71" i="6"/>
  <c r="J71" i="6"/>
  <c r="D71" i="6"/>
  <c r="N71" i="6"/>
  <c r="I23" i="6"/>
  <c r="K59" i="6"/>
  <c r="F59" i="6"/>
  <c r="D59" i="6"/>
  <c r="L59" i="6"/>
  <c r="N59" i="6"/>
  <c r="G59" i="6"/>
  <c r="E59" i="6"/>
  <c r="M59" i="6"/>
  <c r="H59" i="6"/>
  <c r="C59" i="6"/>
  <c r="I59" i="6"/>
  <c r="J59" i="6"/>
  <c r="J23" i="6"/>
  <c r="F23" i="6"/>
  <c r="N23" i="6"/>
  <c r="L23" i="6"/>
  <c r="M23" i="6"/>
  <c r="G47" i="6"/>
  <c r="L47" i="6"/>
  <c r="E47" i="6"/>
  <c r="M47" i="6"/>
  <c r="H47" i="6"/>
  <c r="C47" i="6"/>
  <c r="K47" i="6"/>
  <c r="F47" i="6"/>
  <c r="I47" i="6"/>
  <c r="J47" i="6"/>
  <c r="D47" i="6"/>
  <c r="N47" i="6"/>
  <c r="C23" i="6"/>
  <c r="E23" i="6"/>
  <c r="K23" i="6"/>
  <c r="F6" i="6"/>
  <c r="E30" i="6"/>
  <c r="M30" i="6"/>
  <c r="C30" i="6"/>
  <c r="K30" i="6"/>
  <c r="L30" i="6"/>
  <c r="F30" i="6"/>
  <c r="N30" i="6"/>
  <c r="I30" i="6"/>
  <c r="G30" i="6"/>
  <c r="H30" i="6"/>
  <c r="J30" i="6"/>
  <c r="D30" i="6"/>
  <c r="F12" i="6"/>
  <c r="K36" i="6"/>
  <c r="H36" i="6"/>
  <c r="D36" i="6"/>
  <c r="L36" i="6"/>
  <c r="F36" i="6"/>
  <c r="N36" i="6"/>
  <c r="G36" i="6"/>
  <c r="E36" i="6"/>
  <c r="M36" i="6"/>
  <c r="C36" i="6"/>
  <c r="I36" i="6"/>
  <c r="J36" i="6"/>
  <c r="J31" i="6"/>
  <c r="E31" i="6"/>
  <c r="K31" i="6"/>
  <c r="M31" i="6"/>
  <c r="F31" i="6"/>
  <c r="N31" i="6"/>
  <c r="G31" i="6"/>
  <c r="H31" i="6"/>
  <c r="I31" i="6"/>
  <c r="D31" i="6"/>
  <c r="L31" i="6"/>
  <c r="C31" i="6"/>
  <c r="F5" i="6"/>
  <c r="H29" i="6"/>
  <c r="D29" i="6"/>
  <c r="I29" i="6"/>
  <c r="L29" i="6"/>
  <c r="E29" i="6"/>
  <c r="N29" i="6"/>
  <c r="G29" i="6"/>
  <c r="J29" i="6"/>
  <c r="K29" i="6"/>
  <c r="C29" i="6"/>
  <c r="M29" i="6"/>
  <c r="F29" i="6"/>
  <c r="F7" i="6"/>
  <c r="C58" i="7"/>
  <c r="U9" i="1"/>
  <c r="U7" i="1"/>
  <c r="U8" i="1"/>
  <c r="U4" i="1"/>
  <c r="U5" i="1"/>
  <c r="U6" i="1"/>
  <c r="P6" i="1"/>
  <c r="P4" i="1"/>
  <c r="E60" i="10" l="1"/>
  <c r="F60" i="10"/>
  <c r="M136" i="6"/>
  <c r="M148" i="6"/>
  <c r="F136" i="6"/>
  <c r="F148" i="6"/>
  <c r="O136" i="6"/>
  <c r="O148" i="6"/>
  <c r="E136" i="6"/>
  <c r="E148" i="6"/>
  <c r="N136" i="6"/>
  <c r="N148" i="6"/>
  <c r="K136" i="6"/>
  <c r="K148" i="6"/>
  <c r="G136" i="6"/>
  <c r="G148" i="6"/>
  <c r="D136" i="6"/>
  <c r="D148" i="6"/>
  <c r="H136" i="6"/>
  <c r="H148" i="6"/>
  <c r="I136" i="6"/>
  <c r="I148" i="6"/>
  <c r="J136" i="6"/>
  <c r="J148" i="6"/>
  <c r="L136" i="6"/>
  <c r="L148" i="6"/>
  <c r="F119" i="6"/>
  <c r="D119" i="6"/>
  <c r="C119" i="6"/>
  <c r="E168" i="6" s="1"/>
  <c r="G168" i="6" s="1"/>
  <c r="G119" i="6"/>
  <c r="E119" i="6"/>
  <c r="F155" i="6" s="1"/>
  <c r="H119" i="6"/>
  <c r="N119" i="6"/>
  <c r="O155" i="6" s="1"/>
  <c r="J119" i="6"/>
  <c r="K155" i="6" s="1"/>
  <c r="M119" i="6"/>
  <c r="K119" i="6"/>
  <c r="L155" i="6" s="1"/>
  <c r="L119" i="6"/>
  <c r="M155" i="6" s="1"/>
  <c r="I119" i="6"/>
  <c r="J155" i="6" s="1"/>
  <c r="I102" i="6"/>
  <c r="K102" i="6"/>
  <c r="E102" i="6"/>
  <c r="D102" i="6"/>
  <c r="F102" i="6"/>
  <c r="J102" i="6"/>
  <c r="C102" i="6"/>
  <c r="L102" i="6"/>
  <c r="M102" i="6"/>
  <c r="N102" i="6"/>
  <c r="H102" i="6"/>
  <c r="G102" i="6"/>
  <c r="K101" i="6"/>
  <c r="C101" i="6"/>
  <c r="E101" i="6"/>
  <c r="M101" i="6"/>
  <c r="D101" i="6"/>
  <c r="G101" i="6"/>
  <c r="J101" i="6"/>
  <c r="L101" i="6"/>
  <c r="F101" i="6"/>
  <c r="N101" i="6"/>
  <c r="H101" i="6"/>
  <c r="I101" i="6"/>
  <c r="E108" i="6"/>
  <c r="M108" i="6"/>
  <c r="G108" i="6"/>
  <c r="D108" i="6"/>
  <c r="K108" i="6"/>
  <c r="F108" i="6"/>
  <c r="N108" i="6"/>
  <c r="H108" i="6"/>
  <c r="C108" i="6"/>
  <c r="I108" i="6"/>
  <c r="J108" i="6"/>
  <c r="L108" i="6"/>
  <c r="G103" i="6"/>
  <c r="I103" i="6"/>
  <c r="J103" i="6"/>
  <c r="L103" i="6"/>
  <c r="D103" i="6"/>
  <c r="M103" i="6"/>
  <c r="F103" i="6"/>
  <c r="N103" i="6"/>
  <c r="H103" i="6"/>
  <c r="C103" i="6"/>
  <c r="K103" i="6"/>
  <c r="E103" i="6"/>
  <c r="I91" i="6"/>
  <c r="L91" i="6"/>
  <c r="M91" i="6"/>
  <c r="C91" i="6"/>
  <c r="F91" i="6"/>
  <c r="G91" i="6"/>
  <c r="J91" i="6"/>
  <c r="D91" i="6"/>
  <c r="N91" i="6"/>
  <c r="K91" i="6"/>
  <c r="E91" i="6"/>
  <c r="H91" i="6"/>
  <c r="D90" i="6"/>
  <c r="L90" i="6"/>
  <c r="C90" i="6"/>
  <c r="H90" i="6"/>
  <c r="K90" i="6"/>
  <c r="E90" i="6"/>
  <c r="M90" i="6"/>
  <c r="J90" i="6"/>
  <c r="F90" i="6"/>
  <c r="N90" i="6"/>
  <c r="G90" i="6"/>
  <c r="I90" i="6"/>
  <c r="J96" i="6"/>
  <c r="L96" i="6"/>
  <c r="F96" i="6"/>
  <c r="H96" i="6"/>
  <c r="K96" i="6"/>
  <c r="C96" i="6"/>
  <c r="E96" i="6"/>
  <c r="G96" i="6"/>
  <c r="D96" i="6"/>
  <c r="M96" i="6"/>
  <c r="N96" i="6"/>
  <c r="I96" i="6"/>
  <c r="G89" i="6"/>
  <c r="J89" i="6"/>
  <c r="L89" i="6"/>
  <c r="M89" i="6"/>
  <c r="F89" i="6"/>
  <c r="H89" i="6"/>
  <c r="N89" i="6"/>
  <c r="I89" i="6"/>
  <c r="C89" i="6"/>
  <c r="K89" i="6"/>
  <c r="D89" i="6"/>
  <c r="E89" i="6"/>
  <c r="F66" i="6"/>
  <c r="N66" i="6"/>
  <c r="I66" i="6"/>
  <c r="J66" i="6"/>
  <c r="L66" i="6"/>
  <c r="E66" i="6"/>
  <c r="G66" i="6"/>
  <c r="C66" i="6"/>
  <c r="H66" i="6"/>
  <c r="K66" i="6"/>
  <c r="D66" i="6"/>
  <c r="M66" i="6"/>
  <c r="D72" i="6"/>
  <c r="L72" i="6"/>
  <c r="H72" i="6"/>
  <c r="K72" i="6"/>
  <c r="E72" i="6"/>
  <c r="M72" i="6"/>
  <c r="I72" i="6"/>
  <c r="C72" i="6"/>
  <c r="F72" i="6"/>
  <c r="N72" i="6"/>
  <c r="G72" i="6"/>
  <c r="J72" i="6"/>
  <c r="K67" i="6"/>
  <c r="H67" i="6"/>
  <c r="J67" i="6"/>
  <c r="D67" i="6"/>
  <c r="L67" i="6"/>
  <c r="E67" i="6"/>
  <c r="M67" i="6"/>
  <c r="C67" i="6"/>
  <c r="F67" i="6"/>
  <c r="N67" i="6"/>
  <c r="G67" i="6"/>
  <c r="I67" i="6"/>
  <c r="I65" i="6"/>
  <c r="C65" i="6"/>
  <c r="F65" i="6"/>
  <c r="G65" i="6"/>
  <c r="J65" i="6"/>
  <c r="M65" i="6"/>
  <c r="N65" i="6"/>
  <c r="K65" i="6"/>
  <c r="D65" i="6"/>
  <c r="L65" i="6"/>
  <c r="E65" i="6"/>
  <c r="H65" i="6"/>
  <c r="C18" i="6"/>
  <c r="H60" i="6"/>
  <c r="D60" i="6"/>
  <c r="M60" i="6"/>
  <c r="F60" i="6"/>
  <c r="I60" i="6"/>
  <c r="E60" i="6"/>
  <c r="N60" i="6"/>
  <c r="G60" i="6"/>
  <c r="J60" i="6"/>
  <c r="K60" i="6"/>
  <c r="L60" i="6"/>
  <c r="C60" i="6"/>
  <c r="E53" i="6"/>
  <c r="M53" i="6"/>
  <c r="H53" i="6"/>
  <c r="K53" i="6"/>
  <c r="F53" i="6"/>
  <c r="N53" i="6"/>
  <c r="I53" i="6"/>
  <c r="D53" i="6"/>
  <c r="G53" i="6"/>
  <c r="J53" i="6"/>
  <c r="L53" i="6"/>
  <c r="C53" i="6"/>
  <c r="J54" i="6"/>
  <c r="C54" i="6"/>
  <c r="M54" i="6"/>
  <c r="N54" i="6"/>
  <c r="G54" i="6"/>
  <c r="I54" i="6"/>
  <c r="K54" i="6"/>
  <c r="H54" i="6"/>
  <c r="D54" i="6"/>
  <c r="L54" i="6"/>
  <c r="E54" i="6"/>
  <c r="F54" i="6"/>
  <c r="G55" i="6"/>
  <c r="M55" i="6"/>
  <c r="H55" i="6"/>
  <c r="C55" i="6"/>
  <c r="J55" i="6"/>
  <c r="K55" i="6"/>
  <c r="D55" i="6"/>
  <c r="F55" i="6"/>
  <c r="I55" i="6"/>
  <c r="L55" i="6"/>
  <c r="E55" i="6"/>
  <c r="N55" i="6"/>
  <c r="J24" i="6"/>
  <c r="I17" i="6"/>
  <c r="F42" i="6"/>
  <c r="N42" i="6"/>
  <c r="K42" i="6"/>
  <c r="D42" i="6"/>
  <c r="G42" i="6"/>
  <c r="I42" i="6"/>
  <c r="J42" i="6"/>
  <c r="L42" i="6"/>
  <c r="E42" i="6"/>
  <c r="H42" i="6"/>
  <c r="C42" i="6"/>
  <c r="M42" i="6"/>
  <c r="G18" i="6"/>
  <c r="L18" i="6"/>
  <c r="J18" i="6"/>
  <c r="N18" i="6"/>
  <c r="H18" i="6"/>
  <c r="F18" i="6"/>
  <c r="M18" i="6"/>
  <c r="C17" i="6"/>
  <c r="I41" i="6"/>
  <c r="L41" i="6"/>
  <c r="M41" i="6"/>
  <c r="F41" i="6"/>
  <c r="J41" i="6"/>
  <c r="C41" i="6"/>
  <c r="G41" i="6"/>
  <c r="K41" i="6"/>
  <c r="D41" i="6"/>
  <c r="E41" i="6"/>
  <c r="N41" i="6"/>
  <c r="H41" i="6"/>
  <c r="E24" i="6"/>
  <c r="D48" i="6"/>
  <c r="L48" i="6"/>
  <c r="G48" i="6"/>
  <c r="H48" i="6"/>
  <c r="J48" i="6"/>
  <c r="E48" i="6"/>
  <c r="M48" i="6"/>
  <c r="K48" i="6"/>
  <c r="F48" i="6"/>
  <c r="N48" i="6"/>
  <c r="C48" i="6"/>
  <c r="I48" i="6"/>
  <c r="K43" i="6"/>
  <c r="N43" i="6"/>
  <c r="C43" i="6"/>
  <c r="I43" i="6"/>
  <c r="D43" i="6"/>
  <c r="L43" i="6"/>
  <c r="F43" i="6"/>
  <c r="E43" i="6"/>
  <c r="M43" i="6"/>
  <c r="G43" i="6"/>
  <c r="H43" i="6"/>
  <c r="J43" i="6"/>
  <c r="K18" i="6"/>
  <c r="E18" i="6"/>
  <c r="D18" i="6"/>
  <c r="I24" i="6"/>
  <c r="I18" i="6"/>
  <c r="K24" i="6"/>
  <c r="C24" i="6"/>
  <c r="D24" i="6"/>
  <c r="L24" i="6"/>
  <c r="H24" i="6"/>
  <c r="H17" i="6"/>
  <c r="N24" i="6"/>
  <c r="F17" i="6"/>
  <c r="F24" i="6"/>
  <c r="M17" i="6"/>
  <c r="E17" i="6"/>
  <c r="J17" i="6"/>
  <c r="G24" i="6"/>
  <c r="G17" i="6"/>
  <c r="N17" i="6"/>
  <c r="M24" i="6"/>
  <c r="D17" i="6"/>
  <c r="L17" i="6"/>
  <c r="K17" i="6"/>
  <c r="K19" i="6"/>
  <c r="F19" i="6"/>
  <c r="D19" i="6"/>
  <c r="L19" i="6"/>
  <c r="N19" i="6"/>
  <c r="G19" i="6"/>
  <c r="I19" i="6"/>
  <c r="E19" i="6"/>
  <c r="M19" i="6"/>
  <c r="C19" i="6"/>
  <c r="H19" i="6"/>
  <c r="J19" i="6"/>
  <c r="P7" i="1"/>
  <c r="C16" i="1" s="1"/>
  <c r="U10" i="1"/>
  <c r="C17" i="1" s="1"/>
  <c r="G60" i="10" l="1"/>
  <c r="I143" i="6"/>
  <c r="I155" i="6"/>
  <c r="H143" i="6"/>
  <c r="H155" i="6"/>
  <c r="D143" i="6"/>
  <c r="H168" i="6" s="1"/>
  <c r="D155" i="6"/>
  <c r="E143" i="6"/>
  <c r="E155" i="6"/>
  <c r="N143" i="6"/>
  <c r="N155" i="6"/>
  <c r="G143" i="6"/>
  <c r="G155" i="6"/>
  <c r="F143" i="6"/>
  <c r="J143" i="6"/>
  <c r="M143" i="6"/>
  <c r="K143" i="6"/>
  <c r="L143" i="6"/>
  <c r="O143" i="6"/>
  <c r="G115" i="6"/>
  <c r="D113" i="6"/>
  <c r="F120" i="6"/>
  <c r="J120" i="6"/>
  <c r="I114" i="6"/>
  <c r="J150" i="6" s="1"/>
  <c r="J114" i="6"/>
  <c r="K150" i="6" s="1"/>
  <c r="G114" i="6"/>
  <c r="C114" i="6"/>
  <c r="D150" i="6" s="1"/>
  <c r="K120" i="6"/>
  <c r="L156" i="6" s="1"/>
  <c r="L114" i="6"/>
  <c r="M150" i="6" s="1"/>
  <c r="N120" i="6"/>
  <c r="M120" i="6"/>
  <c r="N156" i="6" s="1"/>
  <c r="L115" i="6"/>
  <c r="M151" i="6" s="1"/>
  <c r="N113" i="6"/>
  <c r="O149" i="6" s="1"/>
  <c r="G113" i="6"/>
  <c r="H149" i="6" s="1"/>
  <c r="C115" i="6"/>
  <c r="G120" i="6"/>
  <c r="H156" i="6" s="1"/>
  <c r="M115" i="6"/>
  <c r="N151" i="6" s="1"/>
  <c r="K115" i="6"/>
  <c r="L151" i="6" s="1"/>
  <c r="J113" i="6"/>
  <c r="K149" i="6" s="1"/>
  <c r="L120" i="6"/>
  <c r="M156" i="6" s="1"/>
  <c r="K114" i="6"/>
  <c r="L150" i="6" s="1"/>
  <c r="F114" i="6"/>
  <c r="G150" i="6" s="1"/>
  <c r="D115" i="6"/>
  <c r="E151" i="6" s="1"/>
  <c r="D114" i="6"/>
  <c r="C113" i="6"/>
  <c r="D149" i="6" s="1"/>
  <c r="H120" i="6"/>
  <c r="I156" i="6" s="1"/>
  <c r="M114" i="6"/>
  <c r="N150" i="6" s="1"/>
  <c r="E115" i="6"/>
  <c r="F151" i="6" s="1"/>
  <c r="K113" i="6"/>
  <c r="L149" i="6" s="1"/>
  <c r="E113" i="6"/>
  <c r="F149" i="6" s="1"/>
  <c r="D120" i="6"/>
  <c r="E156" i="6" s="1"/>
  <c r="E120" i="6"/>
  <c r="F156" i="6" s="1"/>
  <c r="H114" i="6"/>
  <c r="I150" i="6" s="1"/>
  <c r="N115" i="6"/>
  <c r="O151" i="6" s="1"/>
  <c r="F113" i="6"/>
  <c r="G149" i="6" s="1"/>
  <c r="J115" i="6"/>
  <c r="K151" i="6" s="1"/>
  <c r="I120" i="6"/>
  <c r="J156" i="6" s="1"/>
  <c r="H115" i="6"/>
  <c r="I151" i="6" s="1"/>
  <c r="H113" i="6"/>
  <c r="I149" i="6" s="1"/>
  <c r="F115" i="6"/>
  <c r="G151" i="6" s="1"/>
  <c r="E114" i="6"/>
  <c r="F150" i="6" s="1"/>
  <c r="I115" i="6"/>
  <c r="J151" i="6" s="1"/>
  <c r="L113" i="6"/>
  <c r="M149" i="6" s="1"/>
  <c r="M113" i="6"/>
  <c r="N149" i="6" s="1"/>
  <c r="C120" i="6"/>
  <c r="D156" i="6" s="1"/>
  <c r="N114" i="6"/>
  <c r="O150" i="6" s="1"/>
  <c r="I113" i="6"/>
  <c r="C15" i="1"/>
  <c r="D12" i="3"/>
  <c r="H12" i="3" s="1"/>
  <c r="B6" i="5"/>
  <c r="B5" i="5"/>
  <c r="B17" i="5" s="1"/>
  <c r="D11" i="3"/>
  <c r="D61" i="10" l="1"/>
  <c r="K144" i="6"/>
  <c r="K156" i="6"/>
  <c r="G144" i="6"/>
  <c r="G156" i="6"/>
  <c r="E137" i="6"/>
  <c r="E149" i="6"/>
  <c r="E138" i="6"/>
  <c r="E150" i="6"/>
  <c r="H139" i="6"/>
  <c r="H151" i="6"/>
  <c r="J137" i="6"/>
  <c r="J149" i="6"/>
  <c r="J157" i="6" s="1"/>
  <c r="D139" i="6"/>
  <c r="D151" i="6"/>
  <c r="O144" i="6"/>
  <c r="O156" i="6"/>
  <c r="H138" i="6"/>
  <c r="H150" i="6"/>
  <c r="N139" i="6"/>
  <c r="M137" i="6"/>
  <c r="K137" i="6"/>
  <c r="N144" i="6"/>
  <c r="I144" i="6"/>
  <c r="F138" i="6"/>
  <c r="M138" i="6"/>
  <c r="G139" i="6"/>
  <c r="H144" i="6"/>
  <c r="I137" i="6"/>
  <c r="E144" i="6"/>
  <c r="E139" i="6"/>
  <c r="D138" i="6"/>
  <c r="G138" i="6"/>
  <c r="N138" i="6"/>
  <c r="J139" i="6"/>
  <c r="L139" i="6"/>
  <c r="I157" i="6"/>
  <c r="I138" i="6"/>
  <c r="F157" i="6"/>
  <c r="F144" i="6"/>
  <c r="L144" i="6"/>
  <c r="I139" i="6"/>
  <c r="H157" i="6"/>
  <c r="H137" i="6"/>
  <c r="J144" i="6"/>
  <c r="L137" i="6"/>
  <c r="L157" i="6"/>
  <c r="L138" i="6"/>
  <c r="O137" i="6"/>
  <c r="K138" i="6"/>
  <c r="G137" i="6"/>
  <c r="O139" i="6"/>
  <c r="D137" i="6"/>
  <c r="O138" i="6"/>
  <c r="F137" i="6"/>
  <c r="D144" i="6"/>
  <c r="N157" i="6"/>
  <c r="N137" i="6"/>
  <c r="K139" i="6"/>
  <c r="F139" i="6"/>
  <c r="M144" i="6"/>
  <c r="M157" i="6"/>
  <c r="M139" i="6"/>
  <c r="J138" i="6"/>
  <c r="J121" i="6"/>
  <c r="N121" i="6"/>
  <c r="G121" i="6"/>
  <c r="I121" i="6"/>
  <c r="M121" i="6"/>
  <c r="K121" i="6"/>
  <c r="E121" i="6"/>
  <c r="C121" i="6"/>
  <c r="F121" i="6"/>
  <c r="D121" i="6"/>
  <c r="C17" i="5"/>
  <c r="B4" i="5"/>
  <c r="B12" i="5" s="1"/>
  <c r="D10" i="3"/>
  <c r="H121" i="6"/>
  <c r="L121" i="6"/>
  <c r="C11" i="3"/>
  <c r="F12" i="3"/>
  <c r="C12" i="3"/>
  <c r="G12" i="3"/>
  <c r="E12" i="3"/>
  <c r="D5" i="5"/>
  <c r="E5" i="5" s="1"/>
  <c r="M17" i="5"/>
  <c r="N10" i="8" s="1"/>
  <c r="L17" i="5"/>
  <c r="M10" i="8" s="1"/>
  <c r="J17" i="5"/>
  <c r="K10" i="8" s="1"/>
  <c r="I17" i="5"/>
  <c r="J3" i="8" s="1"/>
  <c r="E17" i="5"/>
  <c r="F10" i="8" s="1"/>
  <c r="K17" i="5"/>
  <c r="L10" i="8" s="1"/>
  <c r="H17" i="5"/>
  <c r="I3" i="8" s="1"/>
  <c r="G17" i="5"/>
  <c r="H3" i="8" s="1"/>
  <c r="D17" i="5"/>
  <c r="E10" i="8" s="1"/>
  <c r="F17" i="5"/>
  <c r="G3" i="8" s="1"/>
  <c r="E11" i="3"/>
  <c r="H11" i="3"/>
  <c r="G11" i="3"/>
  <c r="F11" i="3"/>
  <c r="C3" i="8"/>
  <c r="C10" i="8"/>
  <c r="B49" i="5"/>
  <c r="D49" i="5" s="1"/>
  <c r="E49" i="5" s="1"/>
  <c r="D10" i="8"/>
  <c r="D3" i="8"/>
  <c r="C22" i="5"/>
  <c r="K22" i="5"/>
  <c r="D22" i="5"/>
  <c r="L22" i="5"/>
  <c r="H22" i="5"/>
  <c r="E22" i="5"/>
  <c r="M22" i="5"/>
  <c r="G22" i="5"/>
  <c r="D6" i="5"/>
  <c r="I22" i="5"/>
  <c r="J22" i="5"/>
  <c r="F22" i="5"/>
  <c r="B22" i="5"/>
  <c r="B50" i="5" s="1"/>
  <c r="D50" i="5" s="1"/>
  <c r="E50" i="5" s="1"/>
  <c r="E61" i="10" l="1"/>
  <c r="F61" i="10"/>
  <c r="G61" i="10" s="1"/>
  <c r="D62" i="10" s="1"/>
  <c r="E157" i="6"/>
  <c r="O157" i="6"/>
  <c r="K157" i="6"/>
  <c r="G157" i="6"/>
  <c r="D157" i="6"/>
  <c r="F145" i="6"/>
  <c r="E39" i="8" s="1"/>
  <c r="N145" i="6"/>
  <c r="M39" i="8" s="1"/>
  <c r="H145" i="6"/>
  <c r="G39" i="8" s="1"/>
  <c r="M145" i="6"/>
  <c r="L39" i="8" s="1"/>
  <c r="G145" i="6"/>
  <c r="F39" i="8" s="1"/>
  <c r="O145" i="6"/>
  <c r="N39" i="8" s="1"/>
  <c r="J145" i="6"/>
  <c r="I39" i="8" s="1"/>
  <c r="H170" i="6"/>
  <c r="D11" i="13" s="1"/>
  <c r="E11" i="13" s="1"/>
  <c r="K145" i="6"/>
  <c r="J39" i="8" s="1"/>
  <c r="L145" i="6"/>
  <c r="K39" i="8" s="1"/>
  <c r="E145" i="6"/>
  <c r="D39" i="8" s="1"/>
  <c r="I145" i="6"/>
  <c r="H39" i="8" s="1"/>
  <c r="D145" i="6"/>
  <c r="C39" i="8" s="1"/>
  <c r="C53" i="8" s="1"/>
  <c r="D53" i="8" s="1"/>
  <c r="E170" i="6"/>
  <c r="D4" i="5"/>
  <c r="E4" i="5" s="1"/>
  <c r="B13" i="5" s="1"/>
  <c r="B14" i="5" s="1"/>
  <c r="E12" i="5"/>
  <c r="F9" i="8" s="1"/>
  <c r="H12" i="5"/>
  <c r="I2" i="8" s="1"/>
  <c r="I12" i="5"/>
  <c r="J2" i="8" s="1"/>
  <c r="G12" i="5"/>
  <c r="H9" i="8" s="1"/>
  <c r="J12" i="5"/>
  <c r="K2" i="8" s="1"/>
  <c r="L12" i="5"/>
  <c r="M2" i="8" s="1"/>
  <c r="M12" i="5"/>
  <c r="N9" i="8" s="1"/>
  <c r="F12" i="5"/>
  <c r="G9" i="8" s="1"/>
  <c r="D12" i="5"/>
  <c r="E9" i="8" s="1"/>
  <c r="K12" i="5"/>
  <c r="L9" i="8" s="1"/>
  <c r="C12" i="5"/>
  <c r="D9" i="8" s="1"/>
  <c r="F3" i="8"/>
  <c r="C10" i="3"/>
  <c r="E10" i="3"/>
  <c r="H10" i="3"/>
  <c r="F10" i="3"/>
  <c r="G10" i="3"/>
  <c r="H10" i="8"/>
  <c r="M3" i="8"/>
  <c r="N3" i="8"/>
  <c r="E3" i="8"/>
  <c r="J10" i="8"/>
  <c r="G170" i="6"/>
  <c r="I10" i="8"/>
  <c r="L3" i="8"/>
  <c r="K3" i="8"/>
  <c r="G10" i="8"/>
  <c r="B48" i="5"/>
  <c r="D48" i="5" s="1"/>
  <c r="C9" i="8"/>
  <c r="C2" i="8"/>
  <c r="C18" i="5"/>
  <c r="J18" i="5"/>
  <c r="K18" i="5"/>
  <c r="F18" i="5"/>
  <c r="D18" i="5"/>
  <c r="B18" i="5"/>
  <c r="M18" i="5"/>
  <c r="G18" i="5"/>
  <c r="L18" i="5"/>
  <c r="E18" i="5"/>
  <c r="H18" i="5"/>
  <c r="I18" i="5"/>
  <c r="N11" i="8"/>
  <c r="N4" i="8"/>
  <c r="F11" i="8"/>
  <c r="F4" i="8"/>
  <c r="I4" i="8"/>
  <c r="I11" i="8"/>
  <c r="G11" i="8"/>
  <c r="G4" i="8"/>
  <c r="M4" i="8"/>
  <c r="M11" i="8"/>
  <c r="C11" i="8"/>
  <c r="C4" i="8"/>
  <c r="K4" i="8"/>
  <c r="K11" i="8"/>
  <c r="E11" i="8"/>
  <c r="E4" i="8"/>
  <c r="J11" i="8"/>
  <c r="J4" i="8"/>
  <c r="L11" i="8"/>
  <c r="L4" i="8"/>
  <c r="H4" i="8"/>
  <c r="H11" i="8"/>
  <c r="E6" i="5"/>
  <c r="D4" i="8"/>
  <c r="D11" i="8"/>
  <c r="H3" i="9" l="1"/>
  <c r="E62" i="10"/>
  <c r="F62" i="10"/>
  <c r="G62" i="10" s="1"/>
  <c r="D63" i="10" s="1"/>
  <c r="G2" i="8"/>
  <c r="D2" i="8"/>
  <c r="E2" i="8"/>
  <c r="L2" i="8"/>
  <c r="I9" i="8"/>
  <c r="I12" i="8" s="1"/>
  <c r="I16" i="8" s="1"/>
  <c r="F2" i="8"/>
  <c r="J9" i="8"/>
  <c r="J12" i="8" s="1"/>
  <c r="J16" i="8" s="1"/>
  <c r="N2" i="8"/>
  <c r="M9" i="8"/>
  <c r="M12" i="8" s="1"/>
  <c r="M16" i="8" s="1"/>
  <c r="K9" i="8"/>
  <c r="K12" i="8" s="1"/>
  <c r="K16" i="8" s="1"/>
  <c r="H2" i="8"/>
  <c r="C13" i="5"/>
  <c r="D10" i="7" s="1"/>
  <c r="K13" i="5"/>
  <c r="L3" i="7" s="1"/>
  <c r="D13" i="5"/>
  <c r="E3" i="7" s="1"/>
  <c r="E13" i="5"/>
  <c r="F10" i="7" s="1"/>
  <c r="G13" i="5"/>
  <c r="H3" i="7" s="1"/>
  <c r="M13" i="5"/>
  <c r="N10" i="7" s="1"/>
  <c r="F13" i="5"/>
  <c r="G10" i="7" s="1"/>
  <c r="H13" i="5"/>
  <c r="I10" i="7" s="1"/>
  <c r="L13" i="5"/>
  <c r="M10" i="7" s="1"/>
  <c r="I13" i="5"/>
  <c r="J10" i="7" s="1"/>
  <c r="J13" i="5"/>
  <c r="K3" i="7" s="1"/>
  <c r="D4" i="9"/>
  <c r="F11" i="13"/>
  <c r="H12" i="8"/>
  <c r="H16" i="8" s="1"/>
  <c r="L12" i="8"/>
  <c r="L16" i="8" s="1"/>
  <c r="N12" i="8"/>
  <c r="N16" i="8" s="1"/>
  <c r="E12" i="8"/>
  <c r="E16" i="8" s="1"/>
  <c r="C12" i="8"/>
  <c r="C16" i="8" s="1"/>
  <c r="F12" i="8"/>
  <c r="F16" i="8" s="1"/>
  <c r="D12" i="8"/>
  <c r="D16" i="8" s="1"/>
  <c r="G12" i="8"/>
  <c r="G16" i="8" s="1"/>
  <c r="C3" i="7"/>
  <c r="C10" i="7"/>
  <c r="E23" i="9"/>
  <c r="C4" i="12"/>
  <c r="C11" i="7"/>
  <c r="C4" i="7"/>
  <c r="B19" i="5"/>
  <c r="J4" i="7"/>
  <c r="J11" i="7"/>
  <c r="E4" i="7"/>
  <c r="E11" i="7"/>
  <c r="H4" i="7"/>
  <c r="H11" i="7"/>
  <c r="N11" i="7"/>
  <c r="N4" i="7"/>
  <c r="G4" i="7"/>
  <c r="G11" i="7"/>
  <c r="I11" i="7"/>
  <c r="I4" i="7"/>
  <c r="F4" i="7"/>
  <c r="F11" i="7"/>
  <c r="K11" i="7"/>
  <c r="K4" i="7"/>
  <c r="L4" i="7"/>
  <c r="L11" i="7"/>
  <c r="M11" i="7"/>
  <c r="M4" i="7"/>
  <c r="D11" i="7"/>
  <c r="D4" i="7"/>
  <c r="B23" i="5"/>
  <c r="F23" i="5"/>
  <c r="K23" i="5"/>
  <c r="L23" i="5"/>
  <c r="H23" i="5"/>
  <c r="G23" i="5"/>
  <c r="C23" i="5"/>
  <c r="M23" i="5"/>
  <c r="E23" i="5"/>
  <c r="D23" i="5"/>
  <c r="J23" i="5"/>
  <c r="I23" i="5"/>
  <c r="E63" i="10" l="1"/>
  <c r="F63" i="10"/>
  <c r="G63" i="10" s="1"/>
  <c r="D64" i="10" s="1"/>
  <c r="F3" i="7"/>
  <c r="L10" i="7"/>
  <c r="K10" i="7"/>
  <c r="D3" i="7"/>
  <c r="E10" i="7"/>
  <c r="N3" i="7"/>
  <c r="H10" i="7"/>
  <c r="G3" i="7"/>
  <c r="M3" i="7"/>
  <c r="I3" i="7"/>
  <c r="J3" i="7"/>
  <c r="G11" i="13"/>
  <c r="C50" i="8"/>
  <c r="D50" i="8" s="1"/>
  <c r="E48" i="5"/>
  <c r="C14" i="5"/>
  <c r="B15" i="5"/>
  <c r="D4" i="12"/>
  <c r="C19" i="5"/>
  <c r="B20" i="5"/>
  <c r="N5" i="7"/>
  <c r="N12" i="7"/>
  <c r="N13" i="7" s="1"/>
  <c r="N17" i="7" s="1"/>
  <c r="H5" i="7"/>
  <c r="H12" i="7"/>
  <c r="I5" i="7"/>
  <c r="I12" i="7"/>
  <c r="I13" i="7" s="1"/>
  <c r="I17" i="7" s="1"/>
  <c r="J12" i="7"/>
  <c r="J13" i="7" s="1"/>
  <c r="J17" i="7" s="1"/>
  <c r="J5" i="7"/>
  <c r="M12" i="7"/>
  <c r="M13" i="7" s="1"/>
  <c r="M17" i="7" s="1"/>
  <c r="M5" i="7"/>
  <c r="D5" i="7"/>
  <c r="D12" i="7"/>
  <c r="D13" i="7" s="1"/>
  <c r="D17" i="7" s="1"/>
  <c r="K12" i="7"/>
  <c r="K5" i="7"/>
  <c r="L12" i="7"/>
  <c r="L13" i="7" s="1"/>
  <c r="L17" i="7" s="1"/>
  <c r="L5" i="7"/>
  <c r="G12" i="7"/>
  <c r="G13" i="7" s="1"/>
  <c r="G17" i="7" s="1"/>
  <c r="G5" i="7"/>
  <c r="E12" i="7"/>
  <c r="E13" i="7" s="1"/>
  <c r="E17" i="7" s="1"/>
  <c r="E5" i="7"/>
  <c r="F12" i="7"/>
  <c r="F13" i="7" s="1"/>
  <c r="F17" i="7" s="1"/>
  <c r="F5" i="7"/>
  <c r="C5" i="7"/>
  <c r="C12" i="7"/>
  <c r="C13" i="7" s="1"/>
  <c r="C17" i="7" s="1"/>
  <c r="B24" i="5"/>
  <c r="E64" i="10" l="1"/>
  <c r="F64" i="10"/>
  <c r="G64" i="10" s="1"/>
  <c r="D65" i="10" s="1"/>
  <c r="K13" i="7"/>
  <c r="K17" i="7" s="1"/>
  <c r="H13" i="7"/>
  <c r="H17" i="7" s="1"/>
  <c r="B56" i="7"/>
  <c r="C56" i="7" s="1"/>
  <c r="H11" i="13"/>
  <c r="C15" i="5"/>
  <c r="D14" i="5"/>
  <c r="D19" i="5"/>
  <c r="C20" i="5"/>
  <c r="B25" i="5"/>
  <c r="C24" i="5"/>
  <c r="C8" i="12"/>
  <c r="E65" i="10" l="1"/>
  <c r="F65" i="10"/>
  <c r="G65" i="10" s="1"/>
  <c r="D66" i="10" s="1"/>
  <c r="F27" i="12"/>
  <c r="D15" i="5"/>
  <c r="E14" i="5"/>
  <c r="D20" i="5"/>
  <c r="E19" i="5"/>
  <c r="F27" i="9"/>
  <c r="F29" i="9" s="1"/>
  <c r="D24" i="5"/>
  <c r="C25" i="5"/>
  <c r="E27" i="12"/>
  <c r="E66" i="10" l="1"/>
  <c r="F66" i="10"/>
  <c r="G66" i="10" s="1"/>
  <c r="E15" i="5"/>
  <c r="F14" i="5"/>
  <c r="F19" i="5"/>
  <c r="E20" i="5"/>
  <c r="E24" i="5"/>
  <c r="D25" i="5"/>
  <c r="E8" i="12"/>
  <c r="E10" i="12" s="1"/>
  <c r="D67" i="10" l="1"/>
  <c r="G14" i="5"/>
  <c r="F15" i="5"/>
  <c r="G19" i="5"/>
  <c r="F20" i="5"/>
  <c r="F24" i="5"/>
  <c r="E25" i="5"/>
  <c r="F67" i="10" l="1"/>
  <c r="E67" i="10"/>
  <c r="D68" i="10"/>
  <c r="D69" i="10" s="1"/>
  <c r="C145" i="10" s="1"/>
  <c r="H14" i="5"/>
  <c r="G15" i="5"/>
  <c r="G20" i="5"/>
  <c r="H19" i="5"/>
  <c r="G24" i="5"/>
  <c r="F25" i="5"/>
  <c r="E68" i="10" l="1"/>
  <c r="D28" i="9" s="1"/>
  <c r="E28" i="9" s="1"/>
  <c r="H19" i="13"/>
  <c r="H28" i="13"/>
  <c r="G67" i="10"/>
  <c r="O10" i="3" s="1"/>
  <c r="O11" i="3" s="1"/>
  <c r="H15" i="5"/>
  <c r="I14" i="5"/>
  <c r="H20" i="5"/>
  <c r="I19" i="5"/>
  <c r="H24" i="5"/>
  <c r="G25" i="5"/>
  <c r="V28" i="15" l="1"/>
  <c r="V28" i="16"/>
  <c r="H37" i="13"/>
  <c r="V19" i="15"/>
  <c r="V19" i="16"/>
  <c r="C9" i="12"/>
  <c r="D9" i="12" s="1"/>
  <c r="I15" i="5"/>
  <c r="J14" i="5"/>
  <c r="J19" i="5"/>
  <c r="I20" i="5"/>
  <c r="H25" i="5"/>
  <c r="I24" i="5"/>
  <c r="V32" i="16" l="1"/>
  <c r="V32" i="15"/>
  <c r="J15" i="5"/>
  <c r="K14" i="5"/>
  <c r="K19" i="5"/>
  <c r="J20" i="5"/>
  <c r="J24" i="5"/>
  <c r="I25" i="5"/>
  <c r="K15" i="5" l="1"/>
  <c r="L14" i="5"/>
  <c r="K20" i="5"/>
  <c r="L19" i="5"/>
  <c r="J25" i="5"/>
  <c r="K24" i="5"/>
  <c r="M14" i="5" l="1"/>
  <c r="M15" i="5" s="1"/>
  <c r="L15" i="5"/>
  <c r="L20" i="5"/>
  <c r="M19" i="5"/>
  <c r="M20" i="5" s="1"/>
  <c r="K25" i="5"/>
  <c r="L24" i="5"/>
  <c r="M24" i="5" l="1"/>
  <c r="L25" i="5"/>
  <c r="M25" i="5" l="1"/>
  <c r="C18" i="1"/>
  <c r="C19" i="1" s="1"/>
  <c r="G14" i="9" l="1"/>
  <c r="B7" i="5"/>
  <c r="D13" i="3"/>
  <c r="D3" i="9" l="1"/>
  <c r="C30" i="13"/>
  <c r="C13" i="3"/>
  <c r="C15" i="3" s="1"/>
  <c r="B27" i="5"/>
  <c r="D7" i="5"/>
  <c r="E7" i="5" s="1"/>
  <c r="I28" i="5" s="1"/>
  <c r="G13" i="3"/>
  <c r="H13" i="3"/>
  <c r="F13" i="3"/>
  <c r="E13" i="3"/>
  <c r="L28" i="5" l="1"/>
  <c r="J28" i="5"/>
  <c r="K6" i="7" s="1"/>
  <c r="K7" i="7" s="1"/>
  <c r="K16" i="7" s="1"/>
  <c r="K18" i="7" s="1"/>
  <c r="L42" i="7" s="1"/>
  <c r="M28" i="5"/>
  <c r="M33" i="5" s="1"/>
  <c r="F28" i="5"/>
  <c r="F33" i="5" s="1"/>
  <c r="H28" i="5"/>
  <c r="H33" i="5" s="1"/>
  <c r="K28" i="5"/>
  <c r="K33" i="5" s="1"/>
  <c r="E28" i="5"/>
  <c r="E33" i="5" s="1"/>
  <c r="D28" i="5"/>
  <c r="E6" i="7" s="1"/>
  <c r="E7" i="7" s="1"/>
  <c r="E16" i="7" s="1"/>
  <c r="E18" i="7" s="1"/>
  <c r="F42" i="7" s="1"/>
  <c r="B28" i="5"/>
  <c r="B33" i="5" s="1"/>
  <c r="B38" i="5" s="1"/>
  <c r="D47" i="7" s="1"/>
  <c r="C28" i="5"/>
  <c r="C33" i="5" s="1"/>
  <c r="G28" i="5"/>
  <c r="H6" i="7" s="1"/>
  <c r="H7" i="7" s="1"/>
  <c r="H16" i="7" s="1"/>
  <c r="H18" i="7" s="1"/>
  <c r="I42" i="7" s="1"/>
  <c r="L27" i="5"/>
  <c r="M5" i="8" s="1"/>
  <c r="M6" i="8" s="1"/>
  <c r="M15" i="8" s="1"/>
  <c r="G27" i="5"/>
  <c r="H5" i="8" s="1"/>
  <c r="H6" i="8" s="1"/>
  <c r="H15" i="8" s="1"/>
  <c r="E27" i="5"/>
  <c r="F5" i="8" s="1"/>
  <c r="F6" i="8" s="1"/>
  <c r="F15" i="8" s="1"/>
  <c r="C27" i="5"/>
  <c r="D5" i="8" s="1"/>
  <c r="D6" i="8" s="1"/>
  <c r="D15" i="8" s="1"/>
  <c r="H27" i="5"/>
  <c r="I5" i="8" s="1"/>
  <c r="I6" i="8" s="1"/>
  <c r="I15" i="8" s="1"/>
  <c r="J27" i="5"/>
  <c r="K5" i="8" s="1"/>
  <c r="K6" i="8" s="1"/>
  <c r="K15" i="8" s="1"/>
  <c r="F27" i="5"/>
  <c r="G5" i="8" s="1"/>
  <c r="G6" i="8" s="1"/>
  <c r="G15" i="8" s="1"/>
  <c r="I27" i="5"/>
  <c r="J5" i="8" s="1"/>
  <c r="J6" i="8" s="1"/>
  <c r="J15" i="8" s="1"/>
  <c r="K27" i="5"/>
  <c r="L5" i="8" s="1"/>
  <c r="L6" i="8" s="1"/>
  <c r="L15" i="8" s="1"/>
  <c r="C5" i="8"/>
  <c r="C6" i="8" s="1"/>
  <c r="C15" i="8" s="1"/>
  <c r="C18" i="8" s="1"/>
  <c r="M27" i="5"/>
  <c r="N5" i="8" s="1"/>
  <c r="N6" i="8" s="1"/>
  <c r="N15" i="8" s="1"/>
  <c r="D27" i="5"/>
  <c r="E5" i="8" s="1"/>
  <c r="E6" i="8" s="1"/>
  <c r="E15" i="8" s="1"/>
  <c r="B51" i="5"/>
  <c r="D51" i="5" s="1"/>
  <c r="L33" i="5"/>
  <c r="M6" i="7"/>
  <c r="M7" i="7" s="1"/>
  <c r="M16" i="7" s="1"/>
  <c r="M18" i="7" s="1"/>
  <c r="N42" i="7" s="1"/>
  <c r="J6" i="7"/>
  <c r="J7" i="7" s="1"/>
  <c r="J16" i="7" s="1"/>
  <c r="J18" i="7" s="1"/>
  <c r="K42" i="7" s="1"/>
  <c r="I33" i="5"/>
  <c r="E18" i="8" l="1"/>
  <c r="E36" i="8" s="1"/>
  <c r="J18" i="8"/>
  <c r="J36" i="8" s="1"/>
  <c r="I18" i="8"/>
  <c r="I36" i="8" s="1"/>
  <c r="D18" i="8"/>
  <c r="D36" i="8" s="1"/>
  <c r="N18" i="8"/>
  <c r="N36" i="8" s="1"/>
  <c r="F18" i="8"/>
  <c r="F36" i="8" s="1"/>
  <c r="H18" i="8"/>
  <c r="H36" i="8" s="1"/>
  <c r="L18" i="8"/>
  <c r="L36" i="8" s="1"/>
  <c r="M18" i="8"/>
  <c r="M36" i="8" s="1"/>
  <c r="G18" i="8"/>
  <c r="G36" i="8" s="1"/>
  <c r="K18" i="8"/>
  <c r="K36" i="8" s="1"/>
  <c r="N6" i="7"/>
  <c r="N7" i="7" s="1"/>
  <c r="N16" i="7" s="1"/>
  <c r="N18" i="7" s="1"/>
  <c r="O42" i="7" s="1"/>
  <c r="O43" i="7" s="1"/>
  <c r="O44" i="7" s="1"/>
  <c r="D33" i="5"/>
  <c r="D43" i="5" s="1"/>
  <c r="E42" i="8" s="1"/>
  <c r="E45" i="8" s="1"/>
  <c r="B29" i="5"/>
  <c r="B34" i="5" s="1"/>
  <c r="C6" i="7"/>
  <c r="C7" i="7" s="1"/>
  <c r="G33" i="5"/>
  <c r="G38" i="5" s="1"/>
  <c r="I47" i="7" s="1"/>
  <c r="D6" i="7"/>
  <c r="D7" i="7" s="1"/>
  <c r="D16" i="7" s="1"/>
  <c r="D18" i="7" s="1"/>
  <c r="E42" i="7" s="1"/>
  <c r="E43" i="7" s="1"/>
  <c r="E44" i="7" s="1"/>
  <c r="J33" i="5"/>
  <c r="J38" i="5" s="1"/>
  <c r="L47" i="7" s="1"/>
  <c r="G6" i="7"/>
  <c r="G7" i="7" s="1"/>
  <c r="G16" i="7" s="1"/>
  <c r="G18" i="7" s="1"/>
  <c r="H42" i="7" s="1"/>
  <c r="H43" i="7" s="1"/>
  <c r="I6" i="7"/>
  <c r="I7" i="7" s="1"/>
  <c r="I16" i="7" s="1"/>
  <c r="I18" i="7" s="1"/>
  <c r="J42" i="7" s="1"/>
  <c r="J43" i="7" s="1"/>
  <c r="L6" i="7"/>
  <c r="L7" i="7" s="1"/>
  <c r="L16" i="7" s="1"/>
  <c r="L18" i="7" s="1"/>
  <c r="M42" i="7" s="1"/>
  <c r="M43" i="7" s="1"/>
  <c r="M44" i="7" s="1"/>
  <c r="F6" i="7"/>
  <c r="F7" i="7" s="1"/>
  <c r="F16" i="7" s="1"/>
  <c r="F18" i="7" s="1"/>
  <c r="G42" i="7" s="1"/>
  <c r="G43" i="7" s="1"/>
  <c r="G44" i="7" s="1"/>
  <c r="C49" i="8"/>
  <c r="D52" i="5"/>
  <c r="E51" i="5"/>
  <c r="E52" i="5" s="1"/>
  <c r="G4" i="9" s="1"/>
  <c r="D24" i="9" s="1"/>
  <c r="K38" i="5"/>
  <c r="M47" i="7" s="1"/>
  <c r="K43" i="5"/>
  <c r="L42" i="8" s="1"/>
  <c r="F43" i="7"/>
  <c r="F44" i="7" s="1"/>
  <c r="I38" i="5"/>
  <c r="K47" i="7" s="1"/>
  <c r="I43" i="5"/>
  <c r="J42" i="8" s="1"/>
  <c r="F43" i="5"/>
  <c r="G42" i="8" s="1"/>
  <c r="F38" i="5"/>
  <c r="H47" i="7" s="1"/>
  <c r="D38" i="5"/>
  <c r="F47" i="7" s="1"/>
  <c r="M38" i="5"/>
  <c r="O47" i="7" s="1"/>
  <c r="M43" i="5"/>
  <c r="N42" i="8" s="1"/>
  <c r="N45" i="8" s="1"/>
  <c r="K43" i="7"/>
  <c r="C38" i="5"/>
  <c r="E47" i="7" s="1"/>
  <c r="C43" i="5"/>
  <c r="D42" i="8" s="1"/>
  <c r="N43" i="7"/>
  <c r="N44" i="7" s="1"/>
  <c r="E43" i="5"/>
  <c r="F42" i="8" s="1"/>
  <c r="E38" i="5"/>
  <c r="G47" i="7" s="1"/>
  <c r="L43" i="7"/>
  <c r="I43" i="7"/>
  <c r="H38" i="5"/>
  <c r="J47" i="7" s="1"/>
  <c r="H43" i="5"/>
  <c r="I42" i="8" s="1"/>
  <c r="I45" i="8" s="1"/>
  <c r="B43" i="5"/>
  <c r="C42" i="8" s="1"/>
  <c r="C54" i="8" s="1"/>
  <c r="L38" i="5"/>
  <c r="N47" i="7" s="1"/>
  <c r="L43" i="5"/>
  <c r="M42" i="8" s="1"/>
  <c r="M45" i="8" s="1"/>
  <c r="G45" i="8" l="1"/>
  <c r="L45" i="8"/>
  <c r="F45" i="8"/>
  <c r="D45" i="8"/>
  <c r="J45" i="8"/>
  <c r="C36" i="8"/>
  <c r="G6" i="9" s="1"/>
  <c r="D26" i="9" s="1"/>
  <c r="E26" i="9" s="1"/>
  <c r="C16" i="7"/>
  <c r="C18" i="7" s="1"/>
  <c r="D42" i="7" s="1"/>
  <c r="D43" i="7" s="1"/>
  <c r="B30" i="5"/>
  <c r="B35" i="5" s="1"/>
  <c r="C29" i="5"/>
  <c r="D29" i="5" s="1"/>
  <c r="G43" i="5"/>
  <c r="H42" i="8" s="1"/>
  <c r="H45" i="8" s="1"/>
  <c r="J43" i="5"/>
  <c r="K42" i="8" s="1"/>
  <c r="K45" i="8" s="1"/>
  <c r="K50" i="7"/>
  <c r="H23" i="13"/>
  <c r="E23" i="13"/>
  <c r="D23" i="13"/>
  <c r="F23" i="13"/>
  <c r="G23" i="13"/>
  <c r="D14" i="3"/>
  <c r="B60" i="7"/>
  <c r="C60" i="7" s="1"/>
  <c r="D49" i="8"/>
  <c r="D10" i="13" s="1"/>
  <c r="O50" i="7"/>
  <c r="G50" i="7"/>
  <c r="H4" i="9"/>
  <c r="I50" i="7"/>
  <c r="F50" i="7"/>
  <c r="L50" i="7"/>
  <c r="E50" i="7"/>
  <c r="I44" i="7"/>
  <c r="K44" i="7"/>
  <c r="J50" i="7"/>
  <c r="N50" i="7"/>
  <c r="L44" i="7"/>
  <c r="H50" i="7"/>
  <c r="E24" i="9"/>
  <c r="C5" i="12"/>
  <c r="J44" i="7"/>
  <c r="H44" i="7"/>
  <c r="M50" i="7"/>
  <c r="B44" i="5"/>
  <c r="B39" i="5"/>
  <c r="C55" i="8"/>
  <c r="C45" i="8"/>
  <c r="B55" i="7" l="1"/>
  <c r="C55" i="7" s="1"/>
  <c r="C34" i="5"/>
  <c r="C39" i="5" s="1"/>
  <c r="C30" i="5"/>
  <c r="C35" i="5" s="1"/>
  <c r="C40" i="5" s="1"/>
  <c r="C45" i="5" s="1"/>
  <c r="T23" i="15"/>
  <c r="T23" i="16"/>
  <c r="R23" i="15"/>
  <c r="R23" i="16"/>
  <c r="R11" i="16"/>
  <c r="E10" i="13"/>
  <c r="R11" i="15"/>
  <c r="E14" i="3"/>
  <c r="D15" i="3"/>
  <c r="S23" i="15"/>
  <c r="S23" i="16"/>
  <c r="B59" i="7"/>
  <c r="C59" i="7" s="1"/>
  <c r="U23" i="15"/>
  <c r="U23" i="16"/>
  <c r="V23" i="15"/>
  <c r="V23" i="16"/>
  <c r="H6" i="9"/>
  <c r="D50" i="7"/>
  <c r="C7" i="12"/>
  <c r="B40" i="5"/>
  <c r="B45" i="5" s="1"/>
  <c r="D44" i="7"/>
  <c r="D34" i="5"/>
  <c r="E29" i="5"/>
  <c r="D30" i="5"/>
  <c r="D54" i="8"/>
  <c r="D6" i="9"/>
  <c r="D5" i="12"/>
  <c r="C44" i="5" l="1"/>
  <c r="C61" i="7"/>
  <c r="B61" i="7"/>
  <c r="D5" i="9" s="1"/>
  <c r="D8" i="9" s="1"/>
  <c r="D7" i="12"/>
  <c r="R6" i="15"/>
  <c r="R7" i="15" s="1"/>
  <c r="R6" i="16"/>
  <c r="R7" i="16" s="1"/>
  <c r="D6" i="13"/>
  <c r="S11" i="16"/>
  <c r="F10" i="13"/>
  <c r="S11" i="15"/>
  <c r="D8" i="13"/>
  <c r="F14" i="3"/>
  <c r="G14" i="3" s="1"/>
  <c r="E15" i="3"/>
  <c r="G5" i="9"/>
  <c r="G8" i="9" s="1"/>
  <c r="G9" i="9" s="1"/>
  <c r="D44" i="5"/>
  <c r="D39" i="5"/>
  <c r="D35" i="5"/>
  <c r="D40" i="5" s="1"/>
  <c r="D45" i="5" s="1"/>
  <c r="F29" i="5"/>
  <c r="E34" i="5"/>
  <c r="E30" i="5"/>
  <c r="F15" i="3" l="1"/>
  <c r="S6" i="15"/>
  <c r="S7" i="15" s="1"/>
  <c r="E6" i="13"/>
  <c r="F5" i="13"/>
  <c r="T11" i="16"/>
  <c r="T11" i="15"/>
  <c r="G10" i="13"/>
  <c r="R9" i="15"/>
  <c r="R12" i="15" s="1"/>
  <c r="R17" i="15" s="1"/>
  <c r="R9" i="16"/>
  <c r="R12" i="16" s="1"/>
  <c r="R17" i="16" s="1"/>
  <c r="E19" i="16" s="1"/>
  <c r="E8" i="13"/>
  <c r="D12" i="13"/>
  <c r="D17" i="13" s="1"/>
  <c r="D20" i="13" s="1"/>
  <c r="H5" i="9"/>
  <c r="H8" i="9" s="1"/>
  <c r="C31" i="13" s="1"/>
  <c r="C36" i="13" s="1"/>
  <c r="C38" i="13" s="1"/>
  <c r="D25" i="9"/>
  <c r="D29" i="9" s="1"/>
  <c r="H14" i="3"/>
  <c r="H15" i="3" s="1"/>
  <c r="G15" i="3"/>
  <c r="E35" i="5"/>
  <c r="E40" i="5" s="1"/>
  <c r="E45" i="5" s="1"/>
  <c r="G29" i="5"/>
  <c r="F34" i="5"/>
  <c r="F30" i="5"/>
  <c r="E44" i="5"/>
  <c r="E39" i="5"/>
  <c r="B51" i="13" l="1"/>
  <c r="E4" i="14"/>
  <c r="R20" i="16"/>
  <c r="R20" i="15"/>
  <c r="E22" i="15"/>
  <c r="S9" i="15"/>
  <c r="S12" i="15" s="1"/>
  <c r="S17" i="15" s="1"/>
  <c r="S9" i="16"/>
  <c r="S12" i="16" s="1"/>
  <c r="S17" i="16" s="1"/>
  <c r="F8" i="13"/>
  <c r="E12" i="13"/>
  <c r="E17" i="13" s="1"/>
  <c r="U11" i="16"/>
  <c r="H10" i="13"/>
  <c r="U11" i="15"/>
  <c r="T6" i="16"/>
  <c r="T7" i="16" s="1"/>
  <c r="T6" i="15"/>
  <c r="T7" i="15" s="1"/>
  <c r="G5" i="13"/>
  <c r="F6" i="13"/>
  <c r="M14" i="3"/>
  <c r="Q31" i="16"/>
  <c r="Q33" i="16" s="1"/>
  <c r="Q34" i="16" s="1"/>
  <c r="Q31" i="15"/>
  <c r="Q33" i="15" s="1"/>
  <c r="N14" i="3"/>
  <c r="K14" i="3"/>
  <c r="L14" i="3"/>
  <c r="O14" i="3"/>
  <c r="J14" i="3"/>
  <c r="J17" i="3" s="1"/>
  <c r="D38" i="3" s="1"/>
  <c r="D42" i="3" s="1"/>
  <c r="C4" i="3"/>
  <c r="D4" i="3" s="1"/>
  <c r="G15" i="9"/>
  <c r="N7" i="3"/>
  <c r="N12" i="3" s="1"/>
  <c r="L7" i="3"/>
  <c r="L12" i="3" s="1"/>
  <c r="C6" i="12"/>
  <c r="E25" i="9"/>
  <c r="E29" i="9" s="1"/>
  <c r="K7" i="3"/>
  <c r="K12" i="3" s="1"/>
  <c r="F39" i="5"/>
  <c r="F44" i="5"/>
  <c r="G34" i="5"/>
  <c r="H29" i="5"/>
  <c r="G30" i="5"/>
  <c r="F35" i="5"/>
  <c r="F40" i="5" s="1"/>
  <c r="F45" i="5" s="1"/>
  <c r="E4" i="3" l="1"/>
  <c r="F4" i="3" s="1"/>
  <c r="G4" i="3" s="1"/>
  <c r="H4" i="3" s="1"/>
  <c r="E31" i="3"/>
  <c r="E34" i="3" s="1"/>
  <c r="Q34" i="15"/>
  <c r="D6" i="12"/>
  <c r="D10" i="12" s="1"/>
  <c r="C51" i="13"/>
  <c r="F19" i="16"/>
  <c r="S20" i="16"/>
  <c r="E20" i="13"/>
  <c r="F4" i="14"/>
  <c r="H5" i="13"/>
  <c r="U6" i="15"/>
  <c r="U7" i="15" s="1"/>
  <c r="G6" i="13"/>
  <c r="U6" i="16"/>
  <c r="U7" i="16" s="1"/>
  <c r="V11" i="15"/>
  <c r="V11" i="16"/>
  <c r="F22" i="15"/>
  <c r="S20" i="15"/>
  <c r="E25" i="16"/>
  <c r="R21" i="16"/>
  <c r="R22" i="16" s="1"/>
  <c r="R25" i="16" s="1"/>
  <c r="T9" i="16"/>
  <c r="T12" i="16" s="1"/>
  <c r="T17" i="16" s="1"/>
  <c r="G8" i="13"/>
  <c r="T9" i="15"/>
  <c r="T12" i="15" s="1"/>
  <c r="T17" i="15" s="1"/>
  <c r="F12" i="13"/>
  <c r="F17" i="13" s="1"/>
  <c r="R21" i="15"/>
  <c r="R22" i="15" s="1"/>
  <c r="R25" i="15" s="1"/>
  <c r="E28" i="15"/>
  <c r="D21" i="13"/>
  <c r="D22" i="13" s="1"/>
  <c r="D25" i="13" s="1"/>
  <c r="E23" i="14"/>
  <c r="C10" i="12"/>
  <c r="F31" i="3"/>
  <c r="D7" i="3"/>
  <c r="D22" i="3" s="1"/>
  <c r="C7" i="3"/>
  <c r="C22" i="3" s="1"/>
  <c r="G17" i="9"/>
  <c r="O7" i="3"/>
  <c r="O12" i="3" s="1"/>
  <c r="H34" i="5"/>
  <c r="I29" i="5"/>
  <c r="H30" i="5"/>
  <c r="G44" i="5"/>
  <c r="G39" i="5"/>
  <c r="G35" i="5"/>
  <c r="G40" i="5" s="1"/>
  <c r="E155" i="10" l="1"/>
  <c r="E153" i="10"/>
  <c r="E154" i="10"/>
  <c r="F153" i="10" s="1"/>
  <c r="F20" i="13"/>
  <c r="G4" i="14"/>
  <c r="T20" i="16"/>
  <c r="G19" i="16"/>
  <c r="E21" i="13"/>
  <c r="E22" i="13" s="1"/>
  <c r="E25" i="13" s="1"/>
  <c r="F23" i="14"/>
  <c r="V6" i="16"/>
  <c r="V7" i="16" s="1"/>
  <c r="H6" i="13"/>
  <c r="V6" i="15"/>
  <c r="V7" i="15" s="1"/>
  <c r="S21" i="16"/>
  <c r="S22" i="16" s="1"/>
  <c r="S25" i="16" s="1"/>
  <c r="F25" i="16"/>
  <c r="T20" i="15"/>
  <c r="G22" i="15"/>
  <c r="U9" i="16"/>
  <c r="U12" i="16" s="1"/>
  <c r="U17" i="16" s="1"/>
  <c r="U9" i="15"/>
  <c r="U12" i="15" s="1"/>
  <c r="U17" i="15" s="1"/>
  <c r="H8" i="13"/>
  <c r="G12" i="13"/>
  <c r="G17" i="13" s="1"/>
  <c r="F28" i="15"/>
  <c r="S21" i="15"/>
  <c r="S22" i="15" s="1"/>
  <c r="S25" i="15" s="1"/>
  <c r="E26" i="13"/>
  <c r="S26" i="16"/>
  <c r="S26" i="15"/>
  <c r="E5" i="14"/>
  <c r="E63" i="14" s="1"/>
  <c r="E21" i="16"/>
  <c r="E32" i="16" s="1"/>
  <c r="E23" i="15"/>
  <c r="E24" i="15" s="1"/>
  <c r="E35" i="15" s="1"/>
  <c r="R26" i="16"/>
  <c r="R29" i="16" s="1"/>
  <c r="R31" i="16" s="1"/>
  <c r="R33" i="16" s="1"/>
  <c r="R26" i="15"/>
  <c r="R29" i="15" s="1"/>
  <c r="R31" i="15" s="1"/>
  <c r="R33" i="15" s="1"/>
  <c r="R34" i="15" s="1"/>
  <c r="D26" i="13"/>
  <c r="D29" i="13" s="1"/>
  <c r="M7" i="3"/>
  <c r="M12" i="3" s="1"/>
  <c r="G45" i="5"/>
  <c r="H35" i="5"/>
  <c r="I34" i="5"/>
  <c r="J29" i="5"/>
  <c r="I30" i="5"/>
  <c r="H44" i="5"/>
  <c r="H39" i="5"/>
  <c r="F152" i="10" l="1"/>
  <c r="F154" i="10" s="1"/>
  <c r="R34" i="16"/>
  <c r="D36" i="13"/>
  <c r="D38" i="13" s="1"/>
  <c r="E29" i="13"/>
  <c r="E36" i="13" s="1"/>
  <c r="E38" i="13" s="1"/>
  <c r="S29" i="16"/>
  <c r="S31" i="16" s="1"/>
  <c r="S33" i="16" s="1"/>
  <c r="S29" i="15"/>
  <c r="S31" i="15" s="1"/>
  <c r="S33" i="15" s="1"/>
  <c r="S34" i="15" s="1"/>
  <c r="G20" i="13"/>
  <c r="H4" i="14"/>
  <c r="U20" i="15"/>
  <c r="H22" i="15"/>
  <c r="U20" i="16"/>
  <c r="H19" i="16"/>
  <c r="V9" i="16"/>
  <c r="V12" i="16" s="1"/>
  <c r="V17" i="16" s="1"/>
  <c r="V9" i="15"/>
  <c r="V12" i="15" s="1"/>
  <c r="V17" i="15" s="1"/>
  <c r="H12" i="13"/>
  <c r="H17" i="13" s="1"/>
  <c r="G28" i="15"/>
  <c r="T21" i="15"/>
  <c r="T22" i="15" s="1"/>
  <c r="T25" i="15" s="1"/>
  <c r="G25" i="16"/>
  <c r="T21" i="16"/>
  <c r="T22" i="16" s="1"/>
  <c r="T25" i="16" s="1"/>
  <c r="F21" i="13"/>
  <c r="F22" i="13" s="1"/>
  <c r="F25" i="13" s="1"/>
  <c r="G23" i="14"/>
  <c r="E6" i="14"/>
  <c r="E77" i="14" s="1"/>
  <c r="J22" i="3"/>
  <c r="J24" i="3" s="1"/>
  <c r="D39" i="3"/>
  <c r="D43" i="3" s="1"/>
  <c r="K16" i="3"/>
  <c r="H40" i="5"/>
  <c r="H45" i="5" s="1"/>
  <c r="I44" i="5"/>
  <c r="I39" i="5"/>
  <c r="I35" i="5"/>
  <c r="J34" i="5"/>
  <c r="K29" i="5"/>
  <c r="J30" i="5"/>
  <c r="B53" i="13" l="1"/>
  <c r="D44" i="3"/>
  <c r="D40" i="13" s="1"/>
  <c r="S34" i="16"/>
  <c r="B52" i="13"/>
  <c r="C52" i="13" s="1"/>
  <c r="L16" i="3"/>
  <c r="E47" i="14"/>
  <c r="V20" i="16"/>
  <c r="I19" i="16"/>
  <c r="H20" i="13"/>
  <c r="I4" i="14"/>
  <c r="V20" i="15"/>
  <c r="I22" i="15"/>
  <c r="H25" i="16"/>
  <c r="U21" i="16"/>
  <c r="U22" i="16" s="1"/>
  <c r="U25" i="16" s="1"/>
  <c r="U21" i="15"/>
  <c r="U22" i="15" s="1"/>
  <c r="U25" i="15" s="1"/>
  <c r="H28" i="15"/>
  <c r="G21" i="13"/>
  <c r="G22" i="13" s="1"/>
  <c r="G25" i="13" s="1"/>
  <c r="H23" i="14"/>
  <c r="K17" i="3"/>
  <c r="J39" i="5"/>
  <c r="J44" i="5"/>
  <c r="J35" i="5"/>
  <c r="J40" i="5" s="1"/>
  <c r="I40" i="5"/>
  <c r="I45" i="5" s="1"/>
  <c r="L29" i="5"/>
  <c r="K34" i="5"/>
  <c r="K30" i="5"/>
  <c r="D41" i="13" l="1"/>
  <c r="E48" i="14"/>
  <c r="E78" i="14" s="1"/>
  <c r="C53" i="13"/>
  <c r="E33" i="16"/>
  <c r="R36" i="16" s="1"/>
  <c r="R37" i="16" s="1"/>
  <c r="H21" i="13"/>
  <c r="H22" i="13" s="1"/>
  <c r="H25" i="13" s="1"/>
  <c r="I23" i="14"/>
  <c r="I28" i="15"/>
  <c r="V21" i="15"/>
  <c r="V22" i="15" s="1"/>
  <c r="V25" i="15" s="1"/>
  <c r="I25" i="16"/>
  <c r="V21" i="16"/>
  <c r="V22" i="16" s="1"/>
  <c r="V25" i="16" s="1"/>
  <c r="E29" i="15"/>
  <c r="E30" i="15" s="1"/>
  <c r="E26" i="16"/>
  <c r="E27" i="16" s="1"/>
  <c r="E36" i="15"/>
  <c r="K22" i="3"/>
  <c r="K24" i="3" s="1"/>
  <c r="E24" i="14"/>
  <c r="E25" i="14" s="1"/>
  <c r="E39" i="3"/>
  <c r="E43" i="3" s="1"/>
  <c r="E38" i="3"/>
  <c r="E42" i="3" s="1"/>
  <c r="E44" i="3" s="1"/>
  <c r="K35" i="5"/>
  <c r="M29" i="5"/>
  <c r="L34" i="5"/>
  <c r="L30" i="5"/>
  <c r="J45" i="5"/>
  <c r="K44" i="5"/>
  <c r="K39" i="5"/>
  <c r="E34" i="16" l="1"/>
  <c r="R36" i="15"/>
  <c r="R37" i="15" s="1"/>
  <c r="E37" i="15"/>
  <c r="K40" i="5"/>
  <c r="K45" i="5" s="1"/>
  <c r="M34" i="5"/>
  <c r="M30" i="5"/>
  <c r="L35" i="5"/>
  <c r="L40" i="5" s="1"/>
  <c r="L39" i="5"/>
  <c r="L44" i="5"/>
  <c r="F33" i="16" l="1"/>
  <c r="S36" i="16" s="1"/>
  <c r="S37" i="16" s="1"/>
  <c r="E40" i="13"/>
  <c r="F36" i="15"/>
  <c r="F48" i="14"/>
  <c r="F78" i="14" s="1"/>
  <c r="L45" i="5"/>
  <c r="M39" i="5"/>
  <c r="M44" i="5"/>
  <c r="M35" i="5"/>
  <c r="E41" i="13" l="1"/>
  <c r="S36" i="15"/>
  <c r="S37" i="15" s="1"/>
  <c r="M40" i="5"/>
  <c r="M45" i="5" s="1"/>
  <c r="G7" i="3"/>
  <c r="G22" i="3" s="1"/>
  <c r="H7" i="3"/>
  <c r="F7" i="3"/>
  <c r="F22" i="3" s="1"/>
  <c r="I31" i="3"/>
  <c r="H31" i="3"/>
  <c r="H5" i="14" l="1"/>
  <c r="H63" i="14" s="1"/>
  <c r="H20" i="16"/>
  <c r="H21" i="16" s="1"/>
  <c r="H32" i="16" s="1"/>
  <c r="H23" i="15"/>
  <c r="H24" i="15" s="1"/>
  <c r="H35" i="15" s="1"/>
  <c r="U26" i="15"/>
  <c r="U29" i="15" s="1"/>
  <c r="U31" i="15" s="1"/>
  <c r="U33" i="15" s="1"/>
  <c r="U26" i="16"/>
  <c r="U29" i="16" s="1"/>
  <c r="U31" i="16" s="1"/>
  <c r="U33" i="16" s="1"/>
  <c r="V26" i="16"/>
  <c r="V29" i="16" s="1"/>
  <c r="V26" i="15"/>
  <c r="V29" i="15" s="1"/>
  <c r="G5" i="14"/>
  <c r="G63" i="14" s="1"/>
  <c r="G20" i="16"/>
  <c r="G21" i="16" s="1"/>
  <c r="G32" i="16" s="1"/>
  <c r="G23" i="15"/>
  <c r="G24" i="15" s="1"/>
  <c r="G35" i="15" s="1"/>
  <c r="H22" i="3"/>
  <c r="H34" i="3"/>
  <c r="G26" i="13"/>
  <c r="G29" i="13" s="1"/>
  <c r="I34" i="3"/>
  <c r="H26" i="13"/>
  <c r="H29" i="13" s="1"/>
  <c r="H36" i="13" s="1"/>
  <c r="H38" i="13" s="1"/>
  <c r="E7" i="3"/>
  <c r="E22" i="3" s="1"/>
  <c r="G31" i="3"/>
  <c r="F34" i="3"/>
  <c r="B56" i="13" l="1"/>
  <c r="H6" i="14"/>
  <c r="H77" i="14" s="1"/>
  <c r="G36" i="13"/>
  <c r="G38" i="13" s="1"/>
  <c r="B55" i="13" s="1"/>
  <c r="G6" i="14"/>
  <c r="G77" i="14" s="1"/>
  <c r="V30" i="16"/>
  <c r="V31" i="16" s="1"/>
  <c r="V33" i="16" s="1"/>
  <c r="I20" i="16"/>
  <c r="I21" i="16" s="1"/>
  <c r="I32" i="16" s="1"/>
  <c r="I23" i="15"/>
  <c r="I24" i="15" s="1"/>
  <c r="I35" i="15" s="1"/>
  <c r="V30" i="15"/>
  <c r="V31" i="15" s="1"/>
  <c r="V33" i="15" s="1"/>
  <c r="F5" i="14"/>
  <c r="F63" i="14" s="1"/>
  <c r="F20" i="16"/>
  <c r="F21" i="16" s="1"/>
  <c r="F32" i="16" s="1"/>
  <c r="F34" i="16" s="1"/>
  <c r="F23" i="15"/>
  <c r="F24" i="15" s="1"/>
  <c r="F35" i="15" s="1"/>
  <c r="F37" i="15" s="1"/>
  <c r="T26" i="16"/>
  <c r="T29" i="16" s="1"/>
  <c r="T31" i="16" s="1"/>
  <c r="T33" i="16" s="1"/>
  <c r="P39" i="16" s="1"/>
  <c r="T26" i="15"/>
  <c r="T29" i="15" s="1"/>
  <c r="T31" i="15" s="1"/>
  <c r="T33" i="15" s="1"/>
  <c r="I5" i="14"/>
  <c r="G34" i="3"/>
  <c r="F26" i="13"/>
  <c r="F29" i="13" s="1"/>
  <c r="H47" i="14" l="1"/>
  <c r="F6" i="14"/>
  <c r="F77" i="14" s="1"/>
  <c r="T34" i="15"/>
  <c r="U34" i="15" s="1"/>
  <c r="P38" i="15"/>
  <c r="P38" i="16"/>
  <c r="Q39" i="16"/>
  <c r="T34" i="16"/>
  <c r="U34" i="16" s="1"/>
  <c r="V34" i="16" s="1"/>
  <c r="G47" i="14"/>
  <c r="I63" i="14"/>
  <c r="I6" i="14"/>
  <c r="F36" i="13"/>
  <c r="F38" i="13" s="1"/>
  <c r="C40" i="13" s="1"/>
  <c r="M16" i="3"/>
  <c r="N16" i="3" s="1"/>
  <c r="O16" i="3" s="1"/>
  <c r="O17" i="3" s="1"/>
  <c r="F47" i="14" l="1"/>
  <c r="V34" i="15"/>
  <c r="P39" i="15"/>
  <c r="B54" i="13"/>
  <c r="C54" i="13" s="1"/>
  <c r="D58" i="13" s="1"/>
  <c r="I29" i="15"/>
  <c r="I30" i="15" s="1"/>
  <c r="I26" i="16"/>
  <c r="I27" i="16" s="1"/>
  <c r="I47" i="14"/>
  <c r="I77" i="14"/>
  <c r="O22" i="3"/>
  <c r="I24" i="14"/>
  <c r="I25" i="14" s="1"/>
  <c r="L17" i="3"/>
  <c r="C55" i="13" l="1"/>
  <c r="C59" i="13"/>
  <c r="C56" i="13"/>
  <c r="C77" i="13"/>
  <c r="F29" i="15"/>
  <c r="F30" i="15" s="1"/>
  <c r="F26" i="16"/>
  <c r="F27" i="16" s="1"/>
  <c r="L22" i="3"/>
  <c r="L24" i="3" s="1"/>
  <c r="F38" i="3"/>
  <c r="F42" i="3" s="1"/>
  <c r="F39" i="3"/>
  <c r="F43" i="3" s="1"/>
  <c r="F24" i="14"/>
  <c r="F25" i="14" s="1"/>
  <c r="M17" i="3"/>
  <c r="E58" i="13" l="1"/>
  <c r="D59" i="13"/>
  <c r="G29" i="15"/>
  <c r="G30" i="15" s="1"/>
  <c r="G26" i="16"/>
  <c r="G27" i="16" s="1"/>
  <c r="F44" i="3"/>
  <c r="M22" i="3"/>
  <c r="M24" i="3" s="1"/>
  <c r="G38" i="3"/>
  <c r="G42" i="3" s="1"/>
  <c r="G39" i="3"/>
  <c r="G43" i="3" s="1"/>
  <c r="G24" i="14"/>
  <c r="G25" i="14" s="1"/>
  <c r="O24" i="3"/>
  <c r="N17" i="3"/>
  <c r="F58" i="13" l="1"/>
  <c r="E59" i="13" s="1"/>
  <c r="G33" i="16"/>
  <c r="T36" i="16" s="1"/>
  <c r="T37" i="16" s="1"/>
  <c r="F40" i="13"/>
  <c r="H29" i="15"/>
  <c r="H30" i="15" s="1"/>
  <c r="H26" i="16"/>
  <c r="H27" i="16" s="1"/>
  <c r="G36" i="15"/>
  <c r="G48" i="14"/>
  <c r="G78" i="14" s="1"/>
  <c r="N22" i="3"/>
  <c r="N24" i="3" s="1"/>
  <c r="H39" i="3"/>
  <c r="H43" i="3" s="1"/>
  <c r="H38" i="3"/>
  <c r="H42" i="3" s="1"/>
  <c r="H24" i="14"/>
  <c r="H25" i="14" s="1"/>
  <c r="G44" i="3"/>
  <c r="F41" i="13" l="1"/>
  <c r="G34" i="16"/>
  <c r="H33" i="16"/>
  <c r="H34" i="16" s="1"/>
  <c r="G40" i="13"/>
  <c r="H48" i="14"/>
  <c r="H78" i="14" s="1"/>
  <c r="H36" i="15"/>
  <c r="T36" i="15"/>
  <c r="T37" i="15" s="1"/>
  <c r="G37" i="15"/>
  <c r="H44" i="3"/>
  <c r="G41" i="13" l="1"/>
  <c r="U36" i="16"/>
  <c r="U37" i="16" s="1"/>
  <c r="I33" i="16"/>
  <c r="I34" i="16" s="1"/>
  <c r="H40" i="13"/>
  <c r="I48" i="14"/>
  <c r="I78" i="14" s="1"/>
  <c r="I36" i="15"/>
  <c r="U36" i="15"/>
  <c r="U37" i="15" s="1"/>
  <c r="H37" i="15"/>
  <c r="H41" i="13" l="1"/>
  <c r="C41" i="13"/>
  <c r="V36" i="16"/>
  <c r="V37" i="16" s="1"/>
  <c r="P37" i="16" s="1"/>
  <c r="V36" i="15"/>
  <c r="V37" i="15" s="1"/>
  <c r="P37" i="15" s="1"/>
  <c r="I37" i="15"/>
  <c r="E49" i="14" l="1"/>
  <c r="E62" i="14" s="1"/>
  <c r="E64" i="14" s="1"/>
  <c r="F49" i="14" l="1"/>
  <c r="F62" i="14" s="1"/>
  <c r="F64" i="14" s="1"/>
  <c r="G49" i="14"/>
  <c r="G62" i="14" s="1"/>
  <c r="G64" i="14" s="1"/>
  <c r="H49" i="14" l="1"/>
  <c r="H62" i="14" s="1"/>
  <c r="H64" i="14" s="1"/>
  <c r="I49" i="14" l="1"/>
  <c r="I62" i="14" s="1"/>
  <c r="I64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invitado</author>
  </authors>
  <commentList>
    <comment ref="B40" authorId="0" shapeId="0" xr:uid="{54CD6587-A038-48D8-AA6A-6F7B6253C390}">
      <text>
        <t>Usuario desconocido:
TIR: Tasa Interna de Retorno</t>
      </text>
    </comment>
    <comment ref="B41" authorId="0" shapeId="0" xr:uid="{3A418A29-1908-4479-9535-3EDF1320B08D}">
      <text>
        <t>Usuario desconocido:
VPN: Valor Presente Neto</t>
      </text>
    </comment>
    <comment ref="A58" authorId="0" shapeId="0" xr:uid="{8F6203AB-460E-4A63-A2A5-227A87A8486E}">
      <text>
        <t>Usuario desconocido:
PRI: Periodo de Recuperación de la Inversión.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invitado</author>
  </authors>
  <commentList>
    <comment ref="C6" authorId="0" shapeId="0" xr:uid="{497720C1-5C81-4D5F-9754-9F42660741D0}">
      <text>
        <t>Usuario desconocido:
ROA:Retorno sobre los Activos</t>
      </text>
    </comment>
    <comment ref="C48" authorId="0" shapeId="0" xr:uid="{14C9E661-F6AD-4F78-99D0-A651F54B788F}">
      <text>
        <t>Usuario desconocido:
Coste medio Ponderado del Capital</t>
      </text>
    </comment>
    <comment ref="C49" authorId="0" shapeId="0" xr:uid="{0852D44F-AE90-4CD9-85B3-499DE3943677}">
      <text>
        <t xml:space="preserve">Usuario desconocido:
Valor Economico Agregado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invitado</author>
  </authors>
  <commentList>
    <comment ref="H2" authorId="0" shapeId="0" xr:uid="{FB919EEF-43B2-42B6-8920-4ACB023FA3C9}">
      <text>
        <t>Usuario desconocido:
Porcentaje de aumento de la producción para un escenario Optimista donde se mantiene un margen de costos igual al base.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invitado</author>
  </authors>
  <commentList>
    <comment ref="H2" authorId="0" shapeId="0" xr:uid="{82EF2B80-58CC-4AE5-BC92-2674066CB74C}">
      <text>
        <t>Usuario desconocido:
Porcentaje de disminución de la producción para un escenario Pesimista donde se mantiene un margen de costos igual al base.</t>
      </text>
    </comment>
  </commentList>
</comments>
</file>

<file path=xl/sharedStrings.xml><?xml version="1.0" encoding="utf-8"?>
<sst xmlns="http://schemas.openxmlformats.org/spreadsheetml/2006/main" count="1277" uniqueCount="372">
  <si>
    <t>COSTO DE TERRENO</t>
  </si>
  <si>
    <t>COSTO DE CONSTRUCCIÓN DE LA PLANTA</t>
  </si>
  <si>
    <t>MAQUINARIA Y EQUIPOS</t>
  </si>
  <si>
    <t>MUEBLES Y ENSERES</t>
  </si>
  <si>
    <t>EQUIPO DE OFICINA</t>
  </si>
  <si>
    <t xml:space="preserve">Descripción </t>
  </si>
  <si>
    <t>Valor total</t>
  </si>
  <si>
    <t xml:space="preserve">SERVICIOS </t>
  </si>
  <si>
    <t>COSTO POR METROS CUADRADOS</t>
  </si>
  <si>
    <t>METROS CUADRADOS</t>
  </si>
  <si>
    <t>COSTO TOTAL</t>
  </si>
  <si>
    <t xml:space="preserve">Concepto </t>
  </si>
  <si>
    <t>Cantidad</t>
  </si>
  <si>
    <t>Precio unitario</t>
  </si>
  <si>
    <t>Precio total</t>
  </si>
  <si>
    <t xml:space="preserve">Terreno de construcción </t>
  </si>
  <si>
    <t>Costos directo de materiales y mano de obra</t>
  </si>
  <si>
    <t>maquinaria pesada</t>
  </si>
  <si>
    <t>Escritorios</t>
  </si>
  <si>
    <t>Equipos de computo</t>
  </si>
  <si>
    <t>Total Costo</t>
  </si>
  <si>
    <t>Costos por diseños de ingenieros y arquitectos</t>
  </si>
  <si>
    <t xml:space="preserve">herramientas menores </t>
  </si>
  <si>
    <t>Escritorios dobles</t>
  </si>
  <si>
    <t>Monitores</t>
  </si>
  <si>
    <t>Costo de supervisión</t>
  </si>
  <si>
    <t>vehiculos</t>
  </si>
  <si>
    <t>Sillas giratorias</t>
  </si>
  <si>
    <t>Telefono Corporativo</t>
  </si>
  <si>
    <t>TOTAL</t>
  </si>
  <si>
    <t xml:space="preserve">Total </t>
  </si>
  <si>
    <t>Archivadores</t>
  </si>
  <si>
    <t>Impresora multifuncional</t>
  </si>
  <si>
    <t>Muebles sala de espera</t>
  </si>
  <si>
    <t>Cafetera</t>
  </si>
  <si>
    <t>Sillas</t>
  </si>
  <si>
    <t>TOTAL INVERSIÓN FIJA</t>
  </si>
  <si>
    <t>Costo del Terreno</t>
  </si>
  <si>
    <t>Construcción de la planta</t>
  </si>
  <si>
    <t>Maquinaria y equipo</t>
  </si>
  <si>
    <t>Muebles y enseres</t>
  </si>
  <si>
    <t>Equipo de oficinas</t>
  </si>
  <si>
    <t>Total inversión</t>
  </si>
  <si>
    <t>COSTO MP</t>
  </si>
  <si>
    <t>DETALLES</t>
  </si>
  <si>
    <t>UNIDADES</t>
  </si>
  <si>
    <t>UNIDADES MENSUALES</t>
  </si>
  <si>
    <t xml:space="preserve">PRECIO UNITARIO </t>
  </si>
  <si>
    <t>PRECIO TOTAL</t>
  </si>
  <si>
    <t>Madera certificada / m3</t>
  </si>
  <si>
    <t>Bambú / m3</t>
  </si>
  <si>
    <t>Adobe / m2</t>
  </si>
  <si>
    <t>Paja / kg</t>
  </si>
  <si>
    <t>Tejas de barro/ m2</t>
  </si>
  <si>
    <t>Lana de oveja / Kg</t>
  </si>
  <si>
    <t>Pinturas naturales / Lt</t>
  </si>
  <si>
    <t>Revestimientos de madera reciclada / m3</t>
  </si>
  <si>
    <t>Vidrio / m2</t>
  </si>
  <si>
    <t>Sistemas de captacion de aguas lluvias</t>
  </si>
  <si>
    <t>Paneles solares</t>
  </si>
  <si>
    <t>Piedra natural / m2</t>
  </si>
  <si>
    <t>Cocina y utensilios</t>
  </si>
  <si>
    <t>Baños y utensilios</t>
  </si>
  <si>
    <t>Total de insumos</t>
  </si>
  <si>
    <t>PRESUPUESTO DE MANO DE OBRA</t>
  </si>
  <si>
    <t>CARGOS</t>
  </si>
  <si>
    <t># PERSONAS</t>
  </si>
  <si>
    <t># SMLV</t>
  </si>
  <si>
    <t>SALARIO MES</t>
  </si>
  <si>
    <t>SALARIO TOTAL</t>
  </si>
  <si>
    <t>SMMLV 2024</t>
  </si>
  <si>
    <t>Gerente general</t>
  </si>
  <si>
    <t>Contador</t>
  </si>
  <si>
    <t>Grente de  Mercadeo y Ventas</t>
  </si>
  <si>
    <t>Asesor legal</t>
  </si>
  <si>
    <t>Recursos Humanos</t>
  </si>
  <si>
    <t>Diseñador</t>
  </si>
  <si>
    <t>Director de obra</t>
  </si>
  <si>
    <t>Contratista</t>
  </si>
  <si>
    <t>Jefe de calidad</t>
  </si>
  <si>
    <t>*PARAFISCALES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</si>
  <si>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</si>
  <si>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</si>
  <si>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</si>
  <si>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</si>
  <si>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</si>
  <si>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</si>
  <si>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</si>
  <si>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</si>
  <si>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</si>
  <si>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</si>
  <si>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</si>
  <si>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</si>
  <si>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t>*</t>
    </r>
    <r>
      <rPr>
        <b/>
        <sz val="11"/>
        <color rgb="FF7030A0"/>
        <rFont val="Times New Roman"/>
        <family val="1"/>
      </rPr>
      <t>AUXILIO DE TRANSPORTE</t>
    </r>
  </si>
  <si>
    <r>
      <t>*</t>
    </r>
    <r>
      <rPr>
        <b/>
        <sz val="11"/>
        <color rgb="FF7030A0"/>
        <rFont val="Times New Roman"/>
        <family val="1"/>
      </rPr>
      <t>VACACIONES</t>
    </r>
  </si>
  <si>
    <t>los dividimos en 12 debido a los meses del año</t>
  </si>
  <si>
    <r>
      <t>*</t>
    </r>
    <r>
      <rPr>
        <b/>
        <sz val="11"/>
        <color rgb="FF7030A0"/>
        <rFont val="Times New Roman"/>
        <family val="1"/>
      </rPr>
      <t>CESANTIAS E INTERESES DE CESANTIAS</t>
    </r>
  </si>
  <si>
    <r>
      <t>*</t>
    </r>
    <r>
      <rPr>
        <b/>
        <sz val="11"/>
        <color rgb="FF7030A0"/>
        <rFont val="Times New Roman"/>
        <family val="1"/>
      </rPr>
      <t>PRIMA DE SERVICIOS</t>
    </r>
  </si>
  <si>
    <t>2 veces al año</t>
  </si>
  <si>
    <t>*DOTACION</t>
  </si>
  <si>
    <r>
      <t>*</t>
    </r>
    <r>
      <rPr>
        <b/>
        <sz val="11"/>
        <color rgb="FF7030A0"/>
        <rFont val="Times New Roman"/>
        <family val="1"/>
      </rPr>
      <t>PENSION Y SALUD</t>
    </r>
  </si>
  <si>
    <r>
      <t>*</t>
    </r>
    <r>
      <rPr>
        <b/>
        <sz val="11"/>
        <color rgb="FF7030A0"/>
        <rFont val="Times New Roman"/>
        <family val="1"/>
      </rPr>
      <t>RIESGOS PROFESIONALES</t>
    </r>
  </si>
  <si>
    <t xml:space="preserve">Riesgo 1 </t>
  </si>
  <si>
    <t>Riesgo 2</t>
  </si>
  <si>
    <t xml:space="preserve">Riesgo 3 </t>
  </si>
  <si>
    <r>
      <t>*</t>
    </r>
    <r>
      <rPr>
        <b/>
        <sz val="11"/>
        <color rgb="FF7030A0"/>
        <rFont val="Times New Roman"/>
        <family val="1"/>
      </rPr>
      <t>PRESUPUESTO PAGADO</t>
    </r>
  </si>
  <si>
    <t>TOTAL MENSUAL</t>
  </si>
  <si>
    <t>MOD</t>
  </si>
  <si>
    <t>ADMON</t>
  </si>
  <si>
    <t xml:space="preserve">TOTAL </t>
  </si>
  <si>
    <t>PERSONAS</t>
  </si>
  <si>
    <t>Salario Mensual</t>
  </si>
  <si>
    <t>SALARIO MOD</t>
  </si>
  <si>
    <t>ACTIVO FIJOS</t>
  </si>
  <si>
    <t>VALOR ACTIVO FIJO A DEPRECIAR</t>
  </si>
  <si>
    <t>TIEMPO A DEPRECIAR EN AÑOS</t>
  </si>
  <si>
    <t>DEPRECIACIÓN ANUAL</t>
  </si>
  <si>
    <t>DEPRECIACIÓN MENSUAL</t>
  </si>
  <si>
    <t>Edificios</t>
  </si>
  <si>
    <t>Depreciación periodo</t>
  </si>
  <si>
    <t>Depreciación acumulada</t>
  </si>
  <si>
    <t>Valor en libros Edificios</t>
  </si>
  <si>
    <t>Valor en libros maquinaria</t>
  </si>
  <si>
    <t>Valor en libros muebles y enseres</t>
  </si>
  <si>
    <t>Equipo de computo</t>
  </si>
  <si>
    <t>Valor en libros equipo de oficina</t>
  </si>
  <si>
    <t>Total mensual depreciación</t>
  </si>
  <si>
    <t>Depreciación periodo Total</t>
  </si>
  <si>
    <t>Depreciación acumulada Total</t>
  </si>
  <si>
    <t>Valor en libros Totales</t>
  </si>
  <si>
    <t>Total mensual depreciación CIF</t>
  </si>
  <si>
    <t>Total mensual depreciación Gastos Administrativos</t>
  </si>
  <si>
    <t>DETALLE</t>
  </si>
  <si>
    <t>TIEMPO A DESPRECIAR (AÑOS)</t>
  </si>
  <si>
    <t xml:space="preserve">POLIZA DE SEGURO </t>
  </si>
  <si>
    <t>%</t>
  </si>
  <si>
    <t>MANTENIMIENTO</t>
  </si>
  <si>
    <t>CIF</t>
  </si>
  <si>
    <t>TOTAL CIF</t>
  </si>
  <si>
    <t>SERVICIOS</t>
  </si>
  <si>
    <t>Luz</t>
  </si>
  <si>
    <t>Agua</t>
  </si>
  <si>
    <t>Internet</t>
  </si>
  <si>
    <t>SERVICIOS PUBLICOS</t>
  </si>
  <si>
    <t>Prorrateo servicios publicos</t>
  </si>
  <si>
    <t>% PRORRATEO</t>
  </si>
  <si>
    <t>MATERIALES INDIRECTOS</t>
  </si>
  <si>
    <t>Valor unitario</t>
  </si>
  <si>
    <t>Detergente / Kilos</t>
  </si>
  <si>
    <t>Ambientadores / Litros</t>
  </si>
  <si>
    <t>Combustible / galones</t>
  </si>
  <si>
    <t>Total</t>
  </si>
  <si>
    <t>GASTOS VARIOS PLANTA</t>
  </si>
  <si>
    <t>TOTAL CIF SIN DEPRECIACIONES</t>
  </si>
  <si>
    <t>% G. VARIOS</t>
  </si>
  <si>
    <t>Detalle</t>
  </si>
  <si>
    <t>Valor Mensual</t>
  </si>
  <si>
    <t>Valor Anual</t>
  </si>
  <si>
    <t>Poliza de seguro</t>
  </si>
  <si>
    <t>Mantenimiento</t>
  </si>
  <si>
    <t>Servicios</t>
  </si>
  <si>
    <t>Materiales indirectos</t>
  </si>
  <si>
    <t xml:space="preserve">Gastos varios </t>
  </si>
  <si>
    <t xml:space="preserve">Depreciaciones </t>
  </si>
  <si>
    <t>GASTOS ADMINISTRATIVOS</t>
  </si>
  <si>
    <t>SOFTWARE</t>
  </si>
  <si>
    <t xml:space="preserve">TOTAL GASTOS ADMINISTRATIVOS </t>
  </si>
  <si>
    <t>GASTOS ADMINISTRATIVOS SERVICIOS, POLIZA Y MANTENIMIENTO</t>
  </si>
  <si>
    <t>GASTOS ADMINISTRATIVOS MANO DE OBRA</t>
  </si>
  <si>
    <t>GASTOS ADMINISTRATIVOS DEPRECIACIÓN</t>
  </si>
  <si>
    <t>Mensual</t>
  </si>
  <si>
    <t>Software</t>
  </si>
  <si>
    <t>Mano de obra</t>
  </si>
  <si>
    <t>INVERSIÓN TOTAL CAPITAL DE TRABAJO</t>
  </si>
  <si>
    <t xml:space="preserve">INVERSIÓN </t>
  </si>
  <si>
    <t xml:space="preserve">VALOR A NECESITAR </t>
  </si>
  <si>
    <t>MANO DE OBRA</t>
  </si>
  <si>
    <t>MANO DE OBRA DIRECTA</t>
  </si>
  <si>
    <t>DEPRECIACIONES</t>
  </si>
  <si>
    <t>OTROS CIF</t>
  </si>
  <si>
    <t xml:space="preserve">COSTO MP </t>
  </si>
  <si>
    <t xml:space="preserve"> TOTAL </t>
  </si>
  <si>
    <t>TOTAL CAPITAL DE TRABAJO</t>
  </si>
  <si>
    <t>constitución de la empresa, publicidad del lanzamiento del proyecto, permisos de construcción, entre otros.</t>
  </si>
  <si>
    <t>DIFERIDOS</t>
  </si>
  <si>
    <t xml:space="preserve">INVERSION TOTAL </t>
  </si>
  <si>
    <t>Constitución de la empresa</t>
  </si>
  <si>
    <t>INVERSIÓN TOTAL</t>
  </si>
  <si>
    <t>VALOR</t>
  </si>
  <si>
    <t>Publicidad de lanzamiento</t>
  </si>
  <si>
    <t>Permisos para operar</t>
  </si>
  <si>
    <t>INVERSIÓN CAPITAL DE TRABAJO</t>
  </si>
  <si>
    <t>Otros 10%</t>
  </si>
  <si>
    <t>INVERSIÓN TOTAL INICIAL</t>
  </si>
  <si>
    <t>COSTOS Y GASTOS FIJOS Y VARIABLES</t>
  </si>
  <si>
    <t>TOTAL ANUAL</t>
  </si>
  <si>
    <t>FIJOS</t>
  </si>
  <si>
    <t>VARIABLES</t>
  </si>
  <si>
    <t xml:space="preserve">GASTOS FINANCIEROS </t>
  </si>
  <si>
    <t>TOTAL COSTOS Y GASTOS</t>
  </si>
  <si>
    <t xml:space="preserve">DEUDA A LARGO PLAZO </t>
  </si>
  <si>
    <t>BANCOLOMBIA</t>
  </si>
  <si>
    <t xml:space="preserve">Número de cuotas </t>
  </si>
  <si>
    <t>TASA IMPOSITIVA</t>
  </si>
  <si>
    <t>PRESTAMO</t>
  </si>
  <si>
    <t>BANCO DE BOGOTÁ</t>
  </si>
  <si>
    <t>Tasa mes vencida</t>
  </si>
  <si>
    <t>Anualidad</t>
  </si>
  <si>
    <t>CAPM</t>
  </si>
  <si>
    <t>Seguro</t>
  </si>
  <si>
    <t>Valor cuota fija</t>
  </si>
  <si>
    <t>Nro</t>
  </si>
  <si>
    <t>Valor cuota</t>
  </si>
  <si>
    <t>Interés</t>
  </si>
  <si>
    <t>Seguro más interes</t>
  </si>
  <si>
    <t>Abono</t>
  </si>
  <si>
    <t>Saldo</t>
  </si>
  <si>
    <t>VALOR TOTAL A PAGAR</t>
  </si>
  <si>
    <t>BANCO DE OCCIDENTE</t>
  </si>
  <si>
    <t>BANCO CAJA SOCIAL</t>
  </si>
  <si>
    <t>CREDITO LIBRE INVERSIÓN</t>
  </si>
  <si>
    <t>BANCOS</t>
  </si>
  <si>
    <t>TOTAL A PAGAR</t>
  </si>
  <si>
    <t>Tasa libre de riesgo</t>
  </si>
  <si>
    <t>Tippo de financiación</t>
  </si>
  <si>
    <t xml:space="preserve">Valor </t>
  </si>
  <si>
    <t>% Participación</t>
  </si>
  <si>
    <t>Prima de riesgo mercado</t>
  </si>
  <si>
    <t xml:space="preserve">Deuda </t>
  </si>
  <si>
    <t>Beta del proyecto</t>
  </si>
  <si>
    <t>Patrimonio</t>
  </si>
  <si>
    <t>Total inversión inicial</t>
  </si>
  <si>
    <t>PRECIO DE VENTA</t>
  </si>
  <si>
    <t>DESCRIPCIÓN</t>
  </si>
  <si>
    <t>CANTIDAD</t>
  </si>
  <si>
    <t>COSTOS TOTALES UNITARIOS</t>
  </si>
  <si>
    <t>MARGEN DE UTILIDAD</t>
  </si>
  <si>
    <t>COMPARACION DE PRECIOS COMPETENCIA SOCORRO SANTANDER</t>
  </si>
  <si>
    <t>EMPRESA</t>
  </si>
  <si>
    <t>PRECIO X M2</t>
  </si>
  <si>
    <t>PRECIO CASA 72 M2</t>
  </si>
  <si>
    <t>ECOHOMES S.A.S</t>
  </si>
  <si>
    <t>COMINAR S.A.S</t>
  </si>
  <si>
    <t>CONSTRUCTORA JLR S.A.S</t>
  </si>
  <si>
    <t>FEMART CONSTRUCCIONES S.A.S</t>
  </si>
  <si>
    <t>CONSTRUCTORA MARMOL S.A.S</t>
  </si>
  <si>
    <t>CONSTRUCTORA SAENZ S.A.S</t>
  </si>
  <si>
    <t>DEMANDA</t>
  </si>
  <si>
    <t>VALOR ESTIMADO UNITARIO</t>
  </si>
  <si>
    <t>INFLACION</t>
  </si>
  <si>
    <t>CAPACIDAD / CASAS</t>
  </si>
  <si>
    <t>VALOR REAL UNITARIO</t>
  </si>
  <si>
    <t>VALOR MENSUAL</t>
  </si>
  <si>
    <t>VALOR ANUAL</t>
  </si>
  <si>
    <t>CONSTRUCCIÓN CASA 72 M2</t>
  </si>
  <si>
    <t>Precios por la construcción de viviendas</t>
  </si>
  <si>
    <t>AÑO 1</t>
  </si>
  <si>
    <t>AÑO 2</t>
  </si>
  <si>
    <t>AÑO 3</t>
  </si>
  <si>
    <t>AÑO 4</t>
  </si>
  <si>
    <t>AÑO 5</t>
  </si>
  <si>
    <t>Casa modelo x72m2</t>
  </si>
  <si>
    <t>otros ingresos</t>
  </si>
  <si>
    <t>Anual</t>
  </si>
  <si>
    <t>Asesorias, diseño / hora</t>
  </si>
  <si>
    <t>Alquiler maquinaria/hora</t>
  </si>
  <si>
    <t>Capacidad de construcción de casas por año</t>
  </si>
  <si>
    <t>Ingresos anuales por el servicio de alojamiento</t>
  </si>
  <si>
    <t>BALANCE GENERAL</t>
  </si>
  <si>
    <t>ACTIVOS</t>
  </si>
  <si>
    <t>PASIVOS</t>
  </si>
  <si>
    <t>Caja</t>
  </si>
  <si>
    <t>Proveedores</t>
  </si>
  <si>
    <t>Cuentas por cobrar</t>
  </si>
  <si>
    <t>Impuestos por pagar</t>
  </si>
  <si>
    <t>Inventarios</t>
  </si>
  <si>
    <t>Deudas a CP</t>
  </si>
  <si>
    <t>Total activo corriente</t>
  </si>
  <si>
    <t>Total pasivo corriente</t>
  </si>
  <si>
    <t>Terrenos</t>
  </si>
  <si>
    <t>Bonos</t>
  </si>
  <si>
    <t>Deudas LP</t>
  </si>
  <si>
    <t>Total Pasivo Largo plazo</t>
  </si>
  <si>
    <t> TOTAL PASIVOS</t>
  </si>
  <si>
    <t>PATRIMONIO</t>
  </si>
  <si>
    <t>Capital</t>
  </si>
  <si>
    <t>Total activos fijos</t>
  </si>
  <si>
    <t>Utilidades neta</t>
  </si>
  <si>
    <t>utilidad retenida</t>
  </si>
  <si>
    <t>TOTAL PATRIMONIO</t>
  </si>
  <si>
    <t>Diferidos</t>
  </si>
  <si>
    <t>Total diferidos</t>
  </si>
  <si>
    <t>TOTAL ACTIVOS</t>
  </si>
  <si>
    <t>TOTAL PAS+PAT</t>
  </si>
  <si>
    <t>INCREMENTO KTNO</t>
  </si>
  <si>
    <t>AÑO</t>
  </si>
  <si>
    <t>CAJA</t>
  </si>
  <si>
    <t>INVENTARIOS</t>
  </si>
  <si>
    <t>PROVEEDORES</t>
  </si>
  <si>
    <t>Δ KTNO</t>
  </si>
  <si>
    <t>DEUDA LP</t>
  </si>
  <si>
    <t>TASA DEUDA LP</t>
  </si>
  <si>
    <t>TASA DE PATRIMONIO</t>
  </si>
  <si>
    <t>WACC</t>
  </si>
  <si>
    <t>ESTADO DE RESULTADOS</t>
  </si>
  <si>
    <t>Año 0</t>
  </si>
  <si>
    <t>Año 1</t>
  </si>
  <si>
    <t>Año 2</t>
  </si>
  <si>
    <t>Año 3</t>
  </si>
  <si>
    <t>Año 4</t>
  </si>
  <si>
    <t>Año 5</t>
  </si>
  <si>
    <t>Año</t>
  </si>
  <si>
    <t xml:space="preserve">Costos de producción </t>
  </si>
  <si>
    <t>VENTAS</t>
  </si>
  <si>
    <t>COSTOS DE PRODUCCIÓN</t>
  </si>
  <si>
    <t>UTILIDAD BRUTA</t>
  </si>
  <si>
    <t>GASTOS DE ADMINISTRACIÓN</t>
  </si>
  <si>
    <t>DEPRECIACIÓN</t>
  </si>
  <si>
    <t>SERVICIOS PÚBLICOS</t>
  </si>
  <si>
    <t>OTROS GASTOS DE ADMINISTRACIÓN</t>
  </si>
  <si>
    <t>NOMINAL DEL PERSONAL DE ADMINISTRACIÓN</t>
  </si>
  <si>
    <t>TOTAL GASTOS DE ADMINISTRACIÓN</t>
  </si>
  <si>
    <t>GASTOS DE VENTAS</t>
  </si>
  <si>
    <t>PUBLICIDAD</t>
  </si>
  <si>
    <t>NOMINA DEL PERSONAL DE VENTAS</t>
  </si>
  <si>
    <t>TOTAL GASTOS DE VENTAS</t>
  </si>
  <si>
    <t>UTILIDAD OPERATIVA</t>
  </si>
  <si>
    <t>OTROS INGRESOS</t>
  </si>
  <si>
    <t>GASTOS FINANCIEROS</t>
  </si>
  <si>
    <t>UAI</t>
  </si>
  <si>
    <t>IMPUESTOS 35%</t>
  </si>
  <si>
    <t>UTILIDAD NETA</t>
  </si>
  <si>
    <t>FLUJO DE CAJA BRUTO</t>
  </si>
  <si>
    <t>Δ AF</t>
  </si>
  <si>
    <t>AMORTIZACION CREDITO</t>
  </si>
  <si>
    <t>FLUJO DE CAJA ACCIONISTA</t>
  </si>
  <si>
    <t>INVERSION ACTIVOS FIJOS</t>
  </si>
  <si>
    <t>INVERSION CAPITAL DE TRABAJO</t>
  </si>
  <si>
    <t>INVERSION DIFERIDOS</t>
  </si>
  <si>
    <t>PRESTAMOS</t>
  </si>
  <si>
    <t>APORTES SOCIOS</t>
  </si>
  <si>
    <t>VALOR RESIDUAL</t>
  </si>
  <si>
    <t>FLUJO DE CAJA INVERSIONISTA</t>
  </si>
  <si>
    <t>FLUJO DE CAJA DE LA DEUDA</t>
  </si>
  <si>
    <t>FLUJO DE CAJA LIBRE</t>
  </si>
  <si>
    <t>TIR</t>
  </si>
  <si>
    <t>VPN</t>
  </si>
  <si>
    <t>Flujo de caja anual</t>
  </si>
  <si>
    <t>Flujo de caja anual neto</t>
  </si>
  <si>
    <t>PRI</t>
  </si>
  <si>
    <t>3 años 4 meses y 15 dias</t>
  </si>
  <si>
    <t>ROA</t>
  </si>
  <si>
    <t>*UTILIDAD OPERATIVA</t>
  </si>
  <si>
    <t>*ACTIVOS TOTALES</t>
  </si>
  <si>
    <t>*Cifras en millones de pesos</t>
  </si>
  <si>
    <t>RENTABILIDAD DEL PATRIMONIO</t>
  </si>
  <si>
    <t>*UAI</t>
  </si>
  <si>
    <t>*PATRIMONIO</t>
  </si>
  <si>
    <t>EVA</t>
  </si>
  <si>
    <t>EVA EN PESOS</t>
  </si>
  <si>
    <t>*ACTIVOS</t>
  </si>
  <si>
    <t>OBJETIVO BÁSICO FINANCIERO</t>
  </si>
  <si>
    <t>Casas mes</t>
  </si>
  <si>
    <t>Aumento en producción</t>
  </si>
  <si>
    <t>UNIDADES A PRODUCIR</t>
  </si>
  <si>
    <t>PRESUPUESTO DE VENTAS</t>
  </si>
  <si>
    <t>PRODUCTO</t>
  </si>
  <si>
    <t>ACTIVOS TOTALES</t>
  </si>
  <si>
    <t>FCB</t>
  </si>
  <si>
    <t>FLUJO DE CAJA DEUDA</t>
  </si>
  <si>
    <t>Disminución en producción</t>
  </si>
  <si>
    <t>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</si>
</sst>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_(* #,##0.00_);_(* \(#,##0.00\);_(* &quot;-&quot;??_);_(@_)"/>
    <numFmt numFmtId="165" formatCode="_-&quot;$&quot;* #,##0.00_-;\-&quot;$&quot;* #,##0.00_-;_-&quot;$&quot;* &quot;-&quot;??_-;_-@_-"/>
    <numFmt numFmtId="166" formatCode="&quot;$&quot;\ #,##0;[Red]\-&quot;$&quot;\ #,##0"/>
    <numFmt numFmtId="167" formatCode="&quot;$&quot;\ #,##0.00;[Red]\-&quot;$&quot;\ #,##0.00"/>
    <numFmt numFmtId="168" formatCode="_-&quot;$&quot;\ * #,##0_-;\-&quot;$&quot;\ * #,##0_-;_-&quot;$&quot;\ * &quot;-&quot;_-;_-@_-"/>
    <numFmt numFmtId="169" formatCode="_-&quot;$&quot;\ * #,##0.00_-;\-&quot;$&quot;\ * #,##0.00_-;_-&quot;$&quot;\ * &quot;-&quot;??_-;_-@_-"/>
    <numFmt numFmtId="170" formatCode="_-&quot;$&quot;\ * #,##0_-;\-&quot;$&quot;\ * #,##0_-;_-&quot;$&quot;\ * &quot;-&quot;??_-;_-@_-"/>
    <numFmt numFmtId="171" formatCode="&quot;Año &quot;#,##0"/>
    <numFmt numFmtId="172" formatCode="_(* #,##0_);_(* \(#,##0\);_(* &quot;-&quot;??_);_(@_)"/>
    <numFmt numFmtId="173" formatCode="_-&quot;$&quot;* #,##0_-;\-&quot;$&quot;* #,##0_-;_-&quot;$&quot;* &quot;-&quot;??_-;_-@_-"/>
    <numFmt numFmtId="174" formatCode="0.0000%"/>
    <numFmt numFmtId="175" formatCode="0.0%"/>
    <numFmt numFmtId="176" formatCode="0.000%"/>
    <numFmt numFmtId="177" formatCode="_-&quot;$&quot;\ * #,##0.0_-;\-&quot;$&quot;\ * #,##0.0_-;_-&quot;$&quot;\ * &quot;-&quot;??_-;_-@_-"/>
    <numFmt numFmtId="178" formatCode="_-&quot;$&quot;* #,##0.00_-;\-&quot;$&quot;* #,##0.00_-;_-&quot;$&quot;* &quot;-&quot;_-;_-@_-"/>
    <numFmt numFmtId="179" formatCode="_-&quot;$&quot;\ * #,##0.0_-;\-&quot;$&quot;\ * #,##0.0_-;_-&quot;$&quot;\ * &quot;-&quot;?_-;_-@_-"/>
    <numFmt numFmtId="180" formatCode="_-* #,##0_-;\-* #,##0_-;_-* &quot;-&quot;??_-;_-@_-"/>
    <numFmt numFmtId="181" formatCode="_-&quot;$&quot;\ * #,##0.00000_-;\-&quot;$&quot;\ * #,##0.00000_-;_-&quot;$&quot;\ * &quot;-&quot;??_-;_-@_-"/>
    <numFmt numFmtId="182" formatCode="_-&quot;$&quot;\ * #,##0.0000000000_-;\-&quot;$&quot;\ * #,##0.0000000000_-;_-&quot;$&quot;\ * &quot;-&quot;??_-;_-@_-"/>
    <numFmt numFmtId="183" formatCode="0.000000%"/>
    <numFmt numFmtId="184" formatCode="0.0000000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9"/>
      <name val="Arial"/>
      <family val="2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7030A0"/>
      <name val="Times New Roman"/>
      <family val="1"/>
    </font>
    <font>
      <b/>
      <sz val="11"/>
      <color theme="1"/>
      <name val="Times New Roman"/>
      <family val="1"/>
    </font>
    <font>
      <sz val="11"/>
      <color rgb="FF7030A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rgb="FF0B5394"/>
      <name val="Times New Roman"/>
      <family val="1"/>
    </font>
    <font>
      <b/>
      <sz val="11"/>
      <color rgb="FF0000CC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169" fontId="4" fillId="0" borderId="0" xfId="1" applyFont="1"/>
    <xf numFmtId="0" fontId="4" fillId="0" borderId="1" xfId="0" applyFont="1" applyBorder="1"/>
    <xf numFmtId="170" fontId="4" fillId="0" borderId="1" xfId="0" applyNumberFormat="1" applyFont="1" applyBorder="1"/>
    <xf numFmtId="170" fontId="3" fillId="2" borderId="1" xfId="1" applyNumberFormat="1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173" fontId="8" fillId="0" borderId="0" xfId="1" applyNumberFormat="1" applyFont="1" applyFill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173" fontId="6" fillId="0" borderId="1" xfId="0" applyNumberFormat="1" applyFont="1" applyBorder="1"/>
    <xf numFmtId="173" fontId="10" fillId="0" borderId="1" xfId="0" applyNumberFormat="1" applyFont="1" applyBorder="1"/>
    <xf numFmtId="173" fontId="6" fillId="0" borderId="1" xfId="1" applyNumberFormat="1" applyFont="1" applyBorder="1"/>
    <xf numFmtId="0" fontId="11" fillId="0" borderId="0" xfId="0" applyFont="1"/>
    <xf numFmtId="9" fontId="7" fillId="0" borderId="1" xfId="2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0" xfId="0" applyFont="1"/>
    <xf numFmtId="173" fontId="6" fillId="0" borderId="0" xfId="1" applyNumberFormat="1" applyFont="1"/>
    <xf numFmtId="0" fontId="10" fillId="0" borderId="0" xfId="0" applyFont="1" applyAlignment="1">
      <alignment horizontal="left"/>
    </xf>
    <xf numFmtId="173" fontId="6" fillId="0" borderId="0" xfId="1" applyNumberFormat="1" applyFont="1" applyBorder="1"/>
    <xf numFmtId="0" fontId="6" fillId="0" borderId="1" xfId="0" applyFont="1" applyBorder="1"/>
    <xf numFmtId="173" fontId="6" fillId="0" borderId="1" xfId="1" applyNumberFormat="1" applyFont="1" applyBorder="1" applyAlignment="1">
      <alignment horizontal="center"/>
    </xf>
    <xf numFmtId="0" fontId="6" fillId="0" borderId="0" xfId="1" applyNumberFormat="1" applyFont="1" applyFill="1" applyBorder="1"/>
    <xf numFmtId="0" fontId="6" fillId="0" borderId="1" xfId="1" applyNumberFormat="1" applyFont="1" applyFill="1" applyBorder="1"/>
    <xf numFmtId="173" fontId="6" fillId="0" borderId="0" xfId="0" applyNumberFormat="1" applyFont="1"/>
    <xf numFmtId="9" fontId="6" fillId="0" borderId="0" xfId="0" applyNumberFormat="1" applyFont="1"/>
    <xf numFmtId="175" fontId="6" fillId="0" borderId="0" xfId="0" applyNumberFormat="1" applyFont="1"/>
    <xf numFmtId="2" fontId="6" fillId="0" borderId="0" xfId="2" applyNumberFormat="1" applyFont="1"/>
    <xf numFmtId="0" fontId="6" fillId="2" borderId="0" xfId="0" applyFont="1" applyFill="1"/>
    <xf numFmtId="174" fontId="6" fillId="4" borderId="0" xfId="2" applyNumberFormat="1" applyFont="1" applyFill="1"/>
    <xf numFmtId="0" fontId="6" fillId="5" borderId="0" xfId="0" applyFont="1" applyFill="1"/>
    <xf numFmtId="176" fontId="6" fillId="5" borderId="0" xfId="0" applyNumberFormat="1" applyFont="1" applyFill="1"/>
    <xf numFmtId="176" fontId="6" fillId="4" borderId="0" xfId="0" applyNumberFormat="1" applyFont="1" applyFill="1"/>
    <xf numFmtId="176" fontId="6" fillId="2" borderId="0" xfId="2" applyNumberFormat="1" applyFont="1" applyFill="1"/>
    <xf numFmtId="173" fontId="3" fillId="0" borderId="1" xfId="0" applyNumberFormat="1" applyFont="1" applyBorder="1"/>
    <xf numFmtId="170" fontId="3" fillId="6" borderId="1" xfId="0" applyNumberFormat="1" applyFont="1" applyFill="1" applyBorder="1"/>
    <xf numFmtId="0" fontId="12" fillId="0" borderId="8" xfId="0" applyFont="1" applyBorder="1" applyAlignment="1">
      <alignment horizontal="center"/>
    </xf>
    <xf numFmtId="0" fontId="6" fillId="0" borderId="8" xfId="0" applyFont="1" applyBorder="1"/>
    <xf numFmtId="172" fontId="6" fillId="0" borderId="8" xfId="0" applyNumberFormat="1" applyFont="1" applyBorder="1"/>
    <xf numFmtId="164" fontId="16" fillId="0" borderId="8" xfId="0" applyNumberFormat="1" applyFont="1" applyBorder="1"/>
    <xf numFmtId="0" fontId="12" fillId="0" borderId="8" xfId="0" applyFont="1" applyBorder="1"/>
    <xf numFmtId="164" fontId="12" fillId="0" borderId="8" xfId="0" applyNumberFormat="1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9" fontId="1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0" fontId="6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70" fontId="6" fillId="0" borderId="1" xfId="1" applyNumberFormat="1" applyFont="1" applyBorder="1" applyAlignment="1">
      <alignment horizontal="center" vertical="center"/>
    </xf>
    <xf numFmtId="172" fontId="12" fillId="0" borderId="8" xfId="0" applyNumberFormat="1" applyFont="1" applyBorder="1"/>
    <xf numFmtId="0" fontId="6" fillId="0" borderId="9" xfId="0" applyFont="1" applyBorder="1"/>
    <xf numFmtId="172" fontId="6" fillId="0" borderId="9" xfId="0" applyNumberFormat="1" applyFont="1" applyBorder="1"/>
    <xf numFmtId="0" fontId="12" fillId="0" borderId="1" xfId="0" applyFont="1" applyBorder="1"/>
    <xf numFmtId="172" fontId="12" fillId="0" borderId="1" xfId="0" applyNumberFormat="1" applyFont="1" applyBorder="1"/>
    <xf numFmtId="0" fontId="12" fillId="0" borderId="0" xfId="0" applyFont="1"/>
    <xf numFmtId="172" fontId="12" fillId="0" borderId="0" xfId="0" applyNumberFormat="1" applyFont="1"/>
    <xf numFmtId="172" fontId="6" fillId="0" borderId="1" xfId="0" applyNumberFormat="1" applyFont="1" applyBorder="1"/>
    <xf numFmtId="0" fontId="6" fillId="0" borderId="10" xfId="0" applyFont="1" applyBorder="1"/>
    <xf numFmtId="164" fontId="16" fillId="0" borderId="10" xfId="0" applyNumberFormat="1" applyFont="1" applyBorder="1"/>
    <xf numFmtId="164" fontId="12" fillId="0" borderId="11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12" fillId="0" borderId="2" xfId="0" applyFont="1" applyBorder="1"/>
    <xf numFmtId="43" fontId="6" fillId="0" borderId="1" xfId="0" applyNumberFormat="1" applyFont="1" applyBorder="1"/>
    <xf numFmtId="0" fontId="7" fillId="0" borderId="1" xfId="0" applyFont="1" applyBorder="1" applyAlignment="1">
      <alignment horizontal="center"/>
    </xf>
    <xf numFmtId="9" fontId="6" fillId="0" borderId="1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14" xfId="0" applyFont="1" applyBorder="1"/>
    <xf numFmtId="0" fontId="6" fillId="0" borderId="14" xfId="0" applyFont="1" applyBorder="1"/>
    <xf numFmtId="9" fontId="6" fillId="0" borderId="1" xfId="0" applyNumberFormat="1" applyFont="1" applyBorder="1" applyAlignment="1">
      <alignment horizontal="center"/>
    </xf>
    <xf numFmtId="165" fontId="12" fillId="0" borderId="1" xfId="0" applyNumberFormat="1" applyFont="1" applyBorder="1"/>
    <xf numFmtId="9" fontId="17" fillId="0" borderId="1" xfId="0" applyNumberFormat="1" applyFont="1" applyBorder="1" applyAlignment="1">
      <alignment horizontal="center"/>
    </xf>
    <xf numFmtId="165" fontId="6" fillId="0" borderId="0" xfId="0" applyNumberFormat="1" applyFont="1"/>
    <xf numFmtId="0" fontId="7" fillId="0" borderId="15" xfId="0" applyFont="1" applyBorder="1" applyAlignment="1">
      <alignment horizontal="center"/>
    </xf>
    <xf numFmtId="0" fontId="7" fillId="7" borderId="15" xfId="0" applyFont="1" applyFill="1" applyBorder="1" applyAlignment="1">
      <alignment horizontal="center"/>
    </xf>
    <xf numFmtId="173" fontId="12" fillId="7" borderId="1" xfId="0" applyNumberFormat="1" applyFont="1" applyFill="1" applyBorder="1"/>
    <xf numFmtId="0" fontId="12" fillId="0" borderId="15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173" fontId="12" fillId="0" borderId="1" xfId="0" applyNumberFormat="1" applyFont="1" applyBorder="1"/>
    <xf numFmtId="170" fontId="6" fillId="0" borderId="1" xfId="1" applyNumberFormat="1" applyFont="1" applyBorder="1" applyAlignment="1"/>
    <xf numFmtId="170" fontId="6" fillId="0" borderId="1" xfId="1" applyNumberFormat="1" applyFont="1" applyBorder="1" applyAlignment="1">
      <alignment horizontal="center"/>
    </xf>
    <xf numFmtId="177" fontId="6" fillId="0" borderId="1" xfId="1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173" fontId="4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9" fontId="12" fillId="0" borderId="0" xfId="0" applyNumberFormat="1" applyFont="1"/>
    <xf numFmtId="0" fontId="12" fillId="0" borderId="0" xfId="0" applyFont="1" applyAlignment="1">
      <alignment horizontal="center"/>
    </xf>
    <xf numFmtId="9" fontId="12" fillId="0" borderId="1" xfId="2" applyFont="1" applyBorder="1" applyAlignment="1">
      <alignment horizontal="center"/>
    </xf>
    <xf numFmtId="9" fontId="12" fillId="0" borderId="1" xfId="0" applyNumberFormat="1" applyFont="1" applyBorder="1"/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73" fontId="12" fillId="0" borderId="1" xfId="1" applyNumberFormat="1" applyFont="1" applyBorder="1"/>
    <xf numFmtId="0" fontId="18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0" fontId="14" fillId="0" borderId="1" xfId="0" applyNumberFormat="1" applyFont="1" applyBorder="1"/>
    <xf numFmtId="170" fontId="14" fillId="0" borderId="1" xfId="0" applyNumberFormat="1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169" fontId="0" fillId="0" borderId="0" xfId="1" applyFont="1"/>
    <xf numFmtId="0" fontId="6" fillId="0" borderId="1" xfId="0" applyFont="1" applyBorder="1" applyAlignment="1">
      <alignment vertical="center"/>
    </xf>
    <xf numFmtId="170" fontId="14" fillId="0" borderId="3" xfId="0" applyNumberFormat="1" applyFont="1" applyBorder="1"/>
    <xf numFmtId="177" fontId="3" fillId="0" borderId="1" xfId="0" applyNumberFormat="1" applyFont="1" applyBorder="1"/>
    <xf numFmtId="169" fontId="6" fillId="0" borderId="0" xfId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9" fontId="0" fillId="0" borderId="1" xfId="1" applyFont="1" applyBorder="1" applyAlignment="1">
      <alignment horizontal="center" vertical="center"/>
    </xf>
    <xf numFmtId="169" fontId="18" fillId="0" borderId="1" xfId="1" applyFont="1" applyBorder="1" applyAlignment="1">
      <alignment horizontal="center" vertical="center"/>
    </xf>
    <xf numFmtId="170" fontId="18" fillId="0" borderId="1" xfId="0" applyNumberFormat="1" applyFont="1" applyBorder="1" applyAlignment="1">
      <alignment horizontal="center" vertical="center"/>
    </xf>
    <xf numFmtId="170" fontId="18" fillId="0" borderId="1" xfId="1" applyNumberFormat="1" applyFont="1" applyBorder="1" applyAlignment="1">
      <alignment horizontal="center" vertical="center"/>
    </xf>
    <xf numFmtId="170" fontId="0" fillId="0" borderId="1" xfId="1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0" fontId="0" fillId="0" borderId="1" xfId="1" applyNumberFormat="1" applyFont="1" applyBorder="1" applyAlignment="1">
      <alignment horizontal="center"/>
    </xf>
    <xf numFmtId="170" fontId="18" fillId="0" borderId="1" xfId="1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1" xfId="0" applyBorder="1"/>
    <xf numFmtId="169" fontId="0" fillId="0" borderId="1" xfId="1" applyFont="1" applyBorder="1"/>
    <xf numFmtId="10" fontId="6" fillId="0" borderId="1" xfId="0" applyNumberFormat="1" applyFont="1" applyBorder="1"/>
    <xf numFmtId="169" fontId="6" fillId="8" borderId="1" xfId="0" applyNumberFormat="1" applyFont="1" applyFill="1" applyBorder="1"/>
    <xf numFmtId="0" fontId="8" fillId="0" borderId="1" xfId="0" applyFont="1" applyBorder="1" applyAlignment="1">
      <alignment horizontal="center"/>
    </xf>
    <xf numFmtId="168" fontId="19" fillId="0" borderId="1" xfId="3" applyFont="1" applyBorder="1"/>
    <xf numFmtId="178" fontId="19" fillId="0" borderId="1" xfId="3" applyNumberFormat="1" applyFont="1" applyBorder="1"/>
    <xf numFmtId="178" fontId="6" fillId="0" borderId="1" xfId="3" applyNumberFormat="1" applyFont="1" applyFill="1" applyBorder="1" applyAlignment="1">
      <alignment horizontal="center" vertical="center"/>
    </xf>
    <xf numFmtId="0" fontId="12" fillId="2" borderId="1" xfId="0" applyFont="1" applyFill="1" applyBorder="1"/>
    <xf numFmtId="168" fontId="12" fillId="2" borderId="1" xfId="0" applyNumberFormat="1" applyFont="1" applyFill="1" applyBorder="1"/>
    <xf numFmtId="0" fontId="12" fillId="9" borderId="1" xfId="0" applyFont="1" applyFill="1" applyBorder="1"/>
    <xf numFmtId="169" fontId="12" fillId="9" borderId="1" xfId="1" applyFont="1" applyFill="1" applyBorder="1"/>
    <xf numFmtId="10" fontId="6" fillId="9" borderId="1" xfId="0" applyNumberFormat="1" applyFont="1" applyFill="1" applyBorder="1"/>
    <xf numFmtId="0" fontId="6" fillId="0" borderId="1" xfId="0" applyFont="1" applyBorder="1" applyAlignment="1">
      <alignment horizontal="center" wrapText="1"/>
    </xf>
    <xf numFmtId="168" fontId="12" fillId="0" borderId="0" xfId="0" applyNumberFormat="1" applyFont="1"/>
    <xf numFmtId="168" fontId="14" fillId="0" borderId="1" xfId="0" applyNumberFormat="1" applyFont="1" applyBorder="1" applyAlignment="1">
      <alignment wrapText="1"/>
    </xf>
    <xf numFmtId="168" fontId="3" fillId="2" borderId="1" xfId="0" applyNumberFormat="1" applyFont="1" applyFill="1" applyBorder="1"/>
    <xf numFmtId="170" fontId="3" fillId="0" borderId="1" xfId="0" applyNumberFormat="1" applyFont="1" applyBorder="1"/>
    <xf numFmtId="170" fontId="3" fillId="0" borderId="1" xfId="0" applyNumberFormat="1" applyFont="1" applyBorder="1" applyAlignment="1">
      <alignment horizontal="center" vertical="center"/>
    </xf>
    <xf numFmtId="170" fontId="3" fillId="0" borderId="1" xfId="0" applyNumberFormat="1" applyFont="1" applyBorder="1" applyAlignment="1">
      <alignment vertical="center"/>
    </xf>
    <xf numFmtId="9" fontId="6" fillId="0" borderId="0" xfId="2" applyFont="1"/>
    <xf numFmtId="170" fontId="1" fillId="0" borderId="1" xfId="1" applyNumberFormat="1" applyFont="1" applyBorder="1" applyAlignment="1">
      <alignment horizontal="center" vertical="center"/>
    </xf>
    <xf numFmtId="170" fontId="1" fillId="0" borderId="1" xfId="1" applyNumberFormat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170" fontId="0" fillId="0" borderId="1" xfId="0" applyNumberFormat="1" applyBorder="1"/>
    <xf numFmtId="0" fontId="1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9" fontId="18" fillId="0" borderId="1" xfId="0" applyNumberFormat="1" applyFont="1" applyBorder="1"/>
    <xf numFmtId="0" fontId="20" fillId="0" borderId="1" xfId="0" applyFont="1" applyBorder="1" applyAlignment="1">
      <alignment horizontal="center" vertical="center" wrapText="1"/>
    </xf>
    <xf numFmtId="170" fontId="20" fillId="0" borderId="1" xfId="1" applyNumberFormat="1" applyFont="1" applyBorder="1" applyAlignment="1">
      <alignment horizontal="center" vertical="center"/>
    </xf>
    <xf numFmtId="169" fontId="18" fillId="0" borderId="15" xfId="1" applyFont="1" applyBorder="1"/>
    <xf numFmtId="0" fontId="0" fillId="0" borderId="1" xfId="0" applyBorder="1" applyAlignment="1">
      <alignment horizontal="center" wrapText="1"/>
    </xf>
    <xf numFmtId="3" fontId="2" fillId="0" borderId="0" xfId="0" applyNumberFormat="1" applyFont="1"/>
    <xf numFmtId="170" fontId="0" fillId="0" borderId="0" xfId="0" applyNumberFormat="1"/>
    <xf numFmtId="9" fontId="0" fillId="0" borderId="0" xfId="0" applyNumberFormat="1"/>
    <xf numFmtId="10" fontId="6" fillId="0" borderId="0" xfId="2" applyNumberFormat="1" applyFont="1" applyBorder="1" applyAlignment="1">
      <alignment horizontal="center"/>
    </xf>
    <xf numFmtId="10" fontId="12" fillId="0" borderId="0" xfId="0" applyNumberFormat="1" applyFont="1" applyAlignment="1">
      <alignment horizontal="center"/>
    </xf>
    <xf numFmtId="170" fontId="0" fillId="0" borderId="1" xfId="1" applyNumberFormat="1" applyFont="1" applyBorder="1"/>
    <xf numFmtId="0" fontId="18" fillId="0" borderId="1" xfId="0" applyFont="1" applyBorder="1"/>
    <xf numFmtId="0" fontId="22" fillId="0" borderId="1" xfId="0" applyFont="1" applyBorder="1" applyAlignment="1">
      <alignment horizontal="right" vertical="center"/>
    </xf>
    <xf numFmtId="170" fontId="4" fillId="0" borderId="0" xfId="1" applyNumberFormat="1" applyFont="1" applyBorder="1" applyAlignment="1">
      <alignment horizontal="center" vertical="center"/>
    </xf>
    <xf numFmtId="170" fontId="22" fillId="0" borderId="1" xfId="1" applyNumberFormat="1" applyFont="1" applyBorder="1" applyAlignment="1">
      <alignment horizontal="right" vertical="center"/>
    </xf>
    <xf numFmtId="170" fontId="21" fillId="0" borderId="1" xfId="1" applyNumberFormat="1" applyFont="1" applyBorder="1" applyAlignment="1">
      <alignment horizontal="right" vertical="center"/>
    </xf>
    <xf numFmtId="170" fontId="6" fillId="0" borderId="1" xfId="1" applyNumberFormat="1" applyFont="1" applyBorder="1" applyAlignment="1">
      <alignment vertical="center"/>
    </xf>
    <xf numFmtId="170" fontId="12" fillId="0" borderId="1" xfId="1" applyNumberFormat="1" applyFont="1" applyBorder="1" applyAlignment="1">
      <alignment vertical="center"/>
    </xf>
    <xf numFmtId="170" fontId="0" fillId="0" borderId="0" xfId="1" applyNumberFormat="1" applyFont="1"/>
    <xf numFmtId="170" fontId="21" fillId="0" borderId="1" xfId="1" applyNumberFormat="1" applyFont="1" applyBorder="1" applyAlignment="1">
      <alignment vertical="center"/>
    </xf>
    <xf numFmtId="170" fontId="21" fillId="0" borderId="1" xfId="1" applyNumberFormat="1" applyFont="1" applyBorder="1" applyAlignment="1">
      <alignment horizontal="center" vertical="center"/>
    </xf>
    <xf numFmtId="170" fontId="22" fillId="0" borderId="1" xfId="1" applyNumberFormat="1" applyFont="1" applyBorder="1" applyAlignment="1">
      <alignment vertical="center"/>
    </xf>
    <xf numFmtId="170" fontId="22" fillId="0" borderId="1" xfId="1" applyNumberFormat="1" applyFont="1" applyBorder="1" applyAlignment="1">
      <alignment horizontal="left" vertical="center"/>
    </xf>
    <xf numFmtId="170" fontId="6" fillId="0" borderId="0" xfId="1" applyNumberFormat="1" applyFont="1"/>
    <xf numFmtId="170" fontId="6" fillId="0" borderId="0" xfId="0" applyNumberFormat="1" applyFont="1"/>
    <xf numFmtId="170" fontId="20" fillId="0" borderId="0" xfId="1" applyNumberFormat="1" applyFont="1"/>
    <xf numFmtId="169" fontId="12" fillId="0" borderId="22" xfId="1" applyFont="1" applyFill="1" applyBorder="1"/>
    <xf numFmtId="178" fontId="6" fillId="0" borderId="22" xfId="3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wrapText="1"/>
    </xf>
    <xf numFmtId="0" fontId="6" fillId="0" borderId="21" xfId="0" applyFont="1" applyBorder="1"/>
    <xf numFmtId="169" fontId="6" fillId="0" borderId="22" xfId="0" applyNumberFormat="1" applyFont="1" applyBorder="1"/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168" fontId="19" fillId="0" borderId="1" xfId="3" applyFont="1" applyFill="1" applyBorder="1"/>
    <xf numFmtId="168" fontId="19" fillId="0" borderId="22" xfId="3" applyFont="1" applyFill="1" applyBorder="1"/>
    <xf numFmtId="178" fontId="19" fillId="0" borderId="1" xfId="3" applyNumberFormat="1" applyFont="1" applyFill="1" applyBorder="1"/>
    <xf numFmtId="0" fontId="9" fillId="0" borderId="21" xfId="0" applyFont="1" applyBorder="1"/>
    <xf numFmtId="168" fontId="14" fillId="0" borderId="0" xfId="0" applyNumberFormat="1" applyFont="1" applyAlignment="1">
      <alignment wrapText="1"/>
    </xf>
    <xf numFmtId="0" fontId="6" fillId="0" borderId="23" xfId="0" applyFont="1" applyBorder="1"/>
    <xf numFmtId="0" fontId="12" fillId="0" borderId="24" xfId="0" applyFont="1" applyBorder="1"/>
    <xf numFmtId="168" fontId="12" fillId="0" borderId="25" xfId="0" applyNumberFormat="1" applyFont="1" applyBorder="1"/>
    <xf numFmtId="168" fontId="3" fillId="0" borderId="25" xfId="0" applyNumberFormat="1" applyFont="1" applyBorder="1"/>
    <xf numFmtId="168" fontId="3" fillId="0" borderId="6" xfId="0" applyNumberFormat="1" applyFont="1" applyBorder="1"/>
    <xf numFmtId="0" fontId="6" fillId="0" borderId="6" xfId="0" applyFont="1" applyBorder="1"/>
    <xf numFmtId="0" fontId="6" fillId="0" borderId="26" xfId="0" applyFont="1" applyBorder="1"/>
    <xf numFmtId="168" fontId="6" fillId="0" borderId="1" xfId="0" applyNumberFormat="1" applyFont="1" applyBorder="1"/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5" fillId="0" borderId="21" xfId="0" applyFont="1" applyBorder="1"/>
    <xf numFmtId="170" fontId="25" fillId="0" borderId="1" xfId="1" applyNumberFormat="1" applyFont="1" applyBorder="1"/>
    <xf numFmtId="170" fontId="25" fillId="0" borderId="22" xfId="1" applyNumberFormat="1" applyFont="1" applyBorder="1"/>
    <xf numFmtId="170" fontId="4" fillId="0" borderId="1" xfId="1" applyNumberFormat="1" applyFont="1" applyBorder="1"/>
    <xf numFmtId="169" fontId="4" fillId="0" borderId="1" xfId="1" applyFont="1" applyBorder="1"/>
    <xf numFmtId="0" fontId="26" fillId="0" borderId="21" xfId="0" applyFont="1" applyBorder="1"/>
    <xf numFmtId="0" fontId="25" fillId="0" borderId="24" xfId="0" applyFont="1" applyBorder="1"/>
    <xf numFmtId="170" fontId="26" fillId="0" borderId="1" xfId="1" applyNumberFormat="1" applyFont="1" applyBorder="1"/>
    <xf numFmtId="170" fontId="26" fillId="0" borderId="22" xfId="1" applyNumberFormat="1" applyFont="1" applyBorder="1"/>
    <xf numFmtId="0" fontId="0" fillId="0" borderId="31" xfId="0" applyBorder="1"/>
    <xf numFmtId="0" fontId="0" fillId="0" borderId="32" xfId="0" applyBorder="1"/>
    <xf numFmtId="0" fontId="0" fillId="0" borderId="21" xfId="0" applyBorder="1"/>
    <xf numFmtId="169" fontId="0" fillId="0" borderId="1" xfId="0" applyNumberFormat="1" applyBorder="1"/>
    <xf numFmtId="0" fontId="4" fillId="0" borderId="21" xfId="0" applyFont="1" applyBorder="1"/>
    <xf numFmtId="169" fontId="4" fillId="0" borderId="1" xfId="0" applyNumberFormat="1" applyFont="1" applyBorder="1"/>
    <xf numFmtId="169" fontId="0" fillId="0" borderId="25" xfId="0" applyNumberFormat="1" applyBorder="1"/>
    <xf numFmtId="169" fontId="0" fillId="0" borderId="25" xfId="1" applyFont="1" applyBorder="1"/>
    <xf numFmtId="171" fontId="3" fillId="0" borderId="17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171" fontId="3" fillId="0" borderId="0" xfId="0" applyNumberFormat="1" applyFont="1" applyAlignment="1">
      <alignment horizontal="center"/>
    </xf>
    <xf numFmtId="169" fontId="0" fillId="0" borderId="0" xfId="0" applyNumberFormat="1"/>
    <xf numFmtId="169" fontId="4" fillId="0" borderId="0" xfId="0" applyNumberFormat="1" applyFont="1"/>
    <xf numFmtId="169" fontId="0" fillId="0" borderId="0" xfId="1" applyFont="1" applyBorder="1"/>
    <xf numFmtId="0" fontId="0" fillId="0" borderId="34" xfId="0" applyBorder="1"/>
    <xf numFmtId="0" fontId="0" fillId="0" borderId="4" xfId="0" applyBorder="1"/>
    <xf numFmtId="0" fontId="4" fillId="0" borderId="4" xfId="0" applyFont="1" applyBorder="1"/>
    <xf numFmtId="0" fontId="25" fillId="0" borderId="35" xfId="0" applyFont="1" applyBorder="1"/>
    <xf numFmtId="10" fontId="6" fillId="0" borderId="0" xfId="2" applyNumberFormat="1" applyFont="1"/>
    <xf numFmtId="0" fontId="0" fillId="0" borderId="0" xfId="0" applyAlignment="1">
      <alignment horizontal="center"/>
    </xf>
    <xf numFmtId="179" fontId="6" fillId="0" borderId="0" xfId="0" applyNumberFormat="1" applyFont="1"/>
    <xf numFmtId="169" fontId="0" fillId="0" borderId="15" xfId="1" applyFont="1" applyBorder="1"/>
    <xf numFmtId="9" fontId="0" fillId="0" borderId="42" xfId="2" applyFont="1" applyBorder="1"/>
    <xf numFmtId="9" fontId="0" fillId="0" borderId="43" xfId="2" applyFont="1" applyBorder="1"/>
    <xf numFmtId="9" fontId="0" fillId="0" borderId="0" xfId="2" applyFont="1" applyBorder="1"/>
    <xf numFmtId="170" fontId="0" fillId="0" borderId="15" xfId="1" applyNumberFormat="1" applyFont="1" applyBorder="1"/>
    <xf numFmtId="9" fontId="0" fillId="0" borderId="1" xfId="2" applyFont="1" applyBorder="1"/>
    <xf numFmtId="9" fontId="0" fillId="0" borderId="22" xfId="2" applyFont="1" applyBorder="1"/>
    <xf numFmtId="9" fontId="0" fillId="0" borderId="15" xfId="2" applyFont="1" applyBorder="1"/>
    <xf numFmtId="9" fontId="0" fillId="0" borderId="1" xfId="0" applyNumberFormat="1" applyBorder="1"/>
    <xf numFmtId="169" fontId="0" fillId="0" borderId="15" xfId="0" applyNumberFormat="1" applyBorder="1"/>
    <xf numFmtId="169" fontId="0" fillId="0" borderId="42" xfId="0" applyNumberFormat="1" applyBorder="1"/>
    <xf numFmtId="169" fontId="0" fillId="0" borderId="43" xfId="0" applyNumberFormat="1" applyBorder="1"/>
    <xf numFmtId="9" fontId="0" fillId="0" borderId="25" xfId="2" applyFont="1" applyBorder="1"/>
    <xf numFmtId="0" fontId="25" fillId="0" borderId="50" xfId="0" applyFont="1" applyBorder="1"/>
    <xf numFmtId="0" fontId="0" fillId="0" borderId="0" xfId="0" applyAlignment="1">
      <alignment vertical="center"/>
    </xf>
    <xf numFmtId="0" fontId="25" fillId="0" borderId="4" xfId="0" applyFont="1" applyBorder="1"/>
    <xf numFmtId="1" fontId="0" fillId="0" borderId="0" xfId="0" applyNumberFormat="1"/>
    <xf numFmtId="0" fontId="26" fillId="0" borderId="4" xfId="0" applyFont="1" applyBorder="1"/>
    <xf numFmtId="0" fontId="0" fillId="0" borderId="0" xfId="0" applyAlignment="1">
      <alignment horizontal="center" vertical="center"/>
    </xf>
    <xf numFmtId="170" fontId="0" fillId="0" borderId="0" xfId="1" applyNumberFormat="1" applyFont="1" applyBorder="1"/>
    <xf numFmtId="9" fontId="0" fillId="0" borderId="0" xfId="2" applyFont="1" applyFill="1" applyBorder="1"/>
    <xf numFmtId="170" fontId="0" fillId="0" borderId="0" xfId="1" applyNumberFormat="1" applyFont="1" applyFill="1" applyBorder="1"/>
    <xf numFmtId="0" fontId="25" fillId="0" borderId="0" xfId="0" applyFont="1"/>
    <xf numFmtId="180" fontId="0" fillId="0" borderId="0" xfId="4" applyNumberFormat="1" applyFont="1" applyFill="1" applyBorder="1"/>
    <xf numFmtId="9" fontId="0" fillId="0" borderId="0" xfId="2" applyFont="1"/>
    <xf numFmtId="166" fontId="30" fillId="0" borderId="0" xfId="0" applyNumberFormat="1" applyFont="1" applyAlignment="1">
      <alignment vertical="center" wrapText="1"/>
    </xf>
    <xf numFmtId="169" fontId="30" fillId="0" borderId="0" xfId="1" applyFont="1" applyFill="1" applyBorder="1" applyAlignment="1">
      <alignment vertical="center" wrapText="1"/>
    </xf>
    <xf numFmtId="170" fontId="25" fillId="0" borderId="1" xfId="1" applyNumberFormat="1" applyFont="1" applyFill="1" applyBorder="1"/>
    <xf numFmtId="170" fontId="26" fillId="0" borderId="1" xfId="1" applyNumberFormat="1" applyFont="1" applyFill="1" applyBorder="1"/>
    <xf numFmtId="170" fontId="4" fillId="0" borderId="0" xfId="1" applyNumberFormat="1" applyFont="1" applyBorder="1"/>
    <xf numFmtId="170" fontId="25" fillId="0" borderId="4" xfId="1" applyNumberFormat="1" applyFont="1" applyBorder="1"/>
    <xf numFmtId="170" fontId="26" fillId="0" borderId="4" xfId="1" applyNumberFormat="1" applyFont="1" applyBorder="1"/>
    <xf numFmtId="0" fontId="18" fillId="0" borderId="24" xfId="0" applyFont="1" applyBorder="1"/>
    <xf numFmtId="170" fontId="26" fillId="0" borderId="25" xfId="1" applyNumberFormat="1" applyFont="1" applyFill="1" applyBorder="1"/>
    <xf numFmtId="170" fontId="26" fillId="0" borderId="27" xfId="1" applyNumberFormat="1" applyFont="1" applyFill="1" applyBorder="1"/>
    <xf numFmtId="10" fontId="0" fillId="0" borderId="0" xfId="0" applyNumberFormat="1"/>
    <xf numFmtId="0" fontId="0" fillId="0" borderId="28" xfId="0" applyBorder="1"/>
    <xf numFmtId="170" fontId="3" fillId="0" borderId="1" xfId="0" applyNumberFormat="1" applyFont="1" applyBorder="1" applyAlignment="1">
      <alignment horizontal="left" vertical="center"/>
    </xf>
    <xf numFmtId="0" fontId="25" fillId="2" borderId="31" xfId="0" applyFont="1" applyFill="1" applyBorder="1"/>
    <xf numFmtId="0" fontId="25" fillId="2" borderId="24" xfId="0" applyFont="1" applyFill="1" applyBorder="1"/>
    <xf numFmtId="170" fontId="0" fillId="2" borderId="27" xfId="0" applyNumberFormat="1" applyFill="1" applyBorder="1"/>
    <xf numFmtId="170" fontId="25" fillId="0" borderId="0" xfId="1" applyNumberFormat="1" applyFont="1" applyFill="1" applyBorder="1"/>
    <xf numFmtId="181" fontId="0" fillId="0" borderId="0" xfId="0" applyNumberFormat="1"/>
    <xf numFmtId="182" fontId="0" fillId="0" borderId="0" xfId="0" applyNumberFormat="1"/>
    <xf numFmtId="170" fontId="6" fillId="0" borderId="1" xfId="1" applyNumberFormat="1" applyFont="1" applyBorder="1"/>
    <xf numFmtId="0" fontId="12" fillId="0" borderId="21" xfId="0" applyFont="1" applyBorder="1"/>
    <xf numFmtId="170" fontId="12" fillId="0" borderId="1" xfId="1" applyNumberFormat="1" applyFont="1" applyBorder="1"/>
    <xf numFmtId="170" fontId="12" fillId="0" borderId="22" xfId="1" applyNumberFormat="1" applyFont="1" applyBorder="1"/>
    <xf numFmtId="170" fontId="12" fillId="0" borderId="1" xfId="0" applyNumberFormat="1" applyFont="1" applyBorder="1"/>
    <xf numFmtId="170" fontId="12" fillId="0" borderId="22" xfId="0" applyNumberFormat="1" applyFont="1" applyBorder="1"/>
    <xf numFmtId="170" fontId="6" fillId="0" borderId="1" xfId="1" applyNumberFormat="1" applyFont="1" applyFill="1" applyBorder="1"/>
    <xf numFmtId="170" fontId="6" fillId="0" borderId="22" xfId="1" applyNumberFormat="1" applyFont="1" applyFill="1" applyBorder="1"/>
    <xf numFmtId="170" fontId="12" fillId="0" borderId="1" xfId="1" applyNumberFormat="1" applyFont="1" applyFill="1" applyBorder="1"/>
    <xf numFmtId="169" fontId="6" fillId="0" borderId="1" xfId="0" applyNumberFormat="1" applyFont="1" applyBorder="1"/>
    <xf numFmtId="170" fontId="6" fillId="0" borderId="22" xfId="1" applyNumberFormat="1" applyFont="1" applyBorder="1"/>
    <xf numFmtId="170" fontId="12" fillId="0" borderId="22" xfId="1" applyNumberFormat="1" applyFont="1" applyFill="1" applyBorder="1"/>
    <xf numFmtId="170" fontId="6" fillId="0" borderId="1" xfId="0" applyNumberFormat="1" applyFont="1" applyBorder="1"/>
    <xf numFmtId="170" fontId="12" fillId="0" borderId="25" xfId="0" applyNumberFormat="1" applyFont="1" applyBorder="1"/>
    <xf numFmtId="170" fontId="12" fillId="0" borderId="25" xfId="1" applyNumberFormat="1" applyFont="1" applyBorder="1"/>
    <xf numFmtId="170" fontId="12" fillId="0" borderId="27" xfId="1" applyNumberFormat="1" applyFont="1" applyBorder="1"/>
    <xf numFmtId="170" fontId="6" fillId="0" borderId="0" xfId="1" applyNumberFormat="1" applyFont="1" applyBorder="1"/>
    <xf numFmtId="170" fontId="10" fillId="0" borderId="0" xfId="1" applyNumberFormat="1" applyFont="1" applyFill="1" applyBorder="1"/>
    <xf numFmtId="171" fontId="10" fillId="0" borderId="0" xfId="0" applyNumberFormat="1" applyFont="1" applyAlignment="1" applyProtection="1">
      <alignment horizontal="center"/>
      <protection hidden="1"/>
    </xf>
    <xf numFmtId="170" fontId="10" fillId="0" borderId="0" xfId="1" applyNumberFormat="1" applyFont="1" applyFill="1" applyBorder="1" applyAlignment="1">
      <alignment vertical="center"/>
    </xf>
    <xf numFmtId="170" fontId="10" fillId="0" borderId="0" xfId="1" applyNumberFormat="1" applyFont="1" applyFill="1" applyBorder="1" applyAlignment="1">
      <alignment horizontal="right" vertical="center"/>
    </xf>
    <xf numFmtId="171" fontId="5" fillId="3" borderId="1" xfId="0" applyNumberFormat="1" applyFont="1" applyFill="1" applyBorder="1" applyAlignment="1" applyProtection="1">
      <alignment horizontal="center"/>
      <protection hidden="1"/>
    </xf>
    <xf numFmtId="3" fontId="6" fillId="0" borderId="1" xfId="0" applyNumberFormat="1" applyFont="1" applyBorder="1"/>
    <xf numFmtId="0" fontId="15" fillId="0" borderId="0" xfId="0" applyFont="1"/>
    <xf numFmtId="0" fontId="15" fillId="0" borderId="1" xfId="0" applyFont="1" applyBorder="1"/>
    <xf numFmtId="9" fontId="15" fillId="0" borderId="0" xfId="0" applyNumberFormat="1" applyFont="1"/>
    <xf numFmtId="10" fontId="15" fillId="0" borderId="1" xfId="2" applyNumberFormat="1" applyFont="1" applyFill="1" applyBorder="1"/>
    <xf numFmtId="10" fontId="15" fillId="0" borderId="1" xfId="0" applyNumberFormat="1" applyFont="1" applyBorder="1"/>
    <xf numFmtId="171" fontId="14" fillId="0" borderId="1" xfId="0" applyNumberFormat="1" applyFont="1" applyBorder="1" applyAlignment="1" applyProtection="1">
      <alignment horizontal="center"/>
      <protection hidden="1"/>
    </xf>
    <xf numFmtId="0" fontId="15" fillId="0" borderId="4" xfId="0" applyFont="1" applyBorder="1"/>
    <xf numFmtId="183" fontId="0" fillId="0" borderId="0" xfId="0" applyNumberFormat="1"/>
    <xf numFmtId="176" fontId="6" fillId="0" borderId="0" xfId="2" applyNumberFormat="1" applyFont="1"/>
    <xf numFmtId="167" fontId="0" fillId="0" borderId="0" xfId="0" applyNumberFormat="1"/>
    <xf numFmtId="176" fontId="15" fillId="0" borderId="1" xfId="2" applyNumberFormat="1" applyFont="1" applyFill="1" applyBorder="1"/>
    <xf numFmtId="10" fontId="0" fillId="0" borderId="0" xfId="2" applyNumberFormat="1" applyFont="1"/>
    <xf numFmtId="0" fontId="0" fillId="0" borderId="2" xfId="0" applyBorder="1"/>
    <xf numFmtId="10" fontId="0" fillId="2" borderId="36" xfId="0" applyNumberFormat="1" applyFill="1" applyBorder="1"/>
    <xf numFmtId="169" fontId="26" fillId="0" borderId="35" xfId="1" applyFont="1" applyBorder="1"/>
    <xf numFmtId="10" fontId="6" fillId="0" borderId="0" xfId="0" applyNumberFormat="1" applyFont="1"/>
    <xf numFmtId="0" fontId="6" fillId="0" borderId="28" xfId="0" applyFont="1" applyBorder="1"/>
    <xf numFmtId="0" fontId="6" fillId="0" borderId="50" xfId="0" applyFont="1" applyBorder="1"/>
    <xf numFmtId="0" fontId="6" fillId="0" borderId="0" xfId="0" applyFont="1" applyAlignment="1">
      <alignment vertical="center"/>
    </xf>
    <xf numFmtId="1" fontId="6" fillId="0" borderId="1" xfId="0" applyNumberFormat="1" applyFont="1" applyBorder="1"/>
    <xf numFmtId="169" fontId="6" fillId="0" borderId="52" xfId="0" applyNumberFormat="1" applyFont="1" applyBorder="1"/>
    <xf numFmtId="0" fontId="6" fillId="0" borderId="4" xfId="0" applyFont="1" applyBorder="1"/>
    <xf numFmtId="0" fontId="12" fillId="0" borderId="4" xfId="0" applyFont="1" applyBorder="1"/>
    <xf numFmtId="0" fontId="6" fillId="0" borderId="0" xfId="0" applyFont="1" applyAlignment="1">
      <alignment horizontal="center" vertical="center"/>
    </xf>
    <xf numFmtId="1" fontId="6" fillId="0" borderId="0" xfId="0" applyNumberFormat="1" applyFont="1"/>
    <xf numFmtId="169" fontId="6" fillId="0" borderId="0" xfId="0" applyNumberFormat="1" applyFont="1"/>
    <xf numFmtId="170" fontId="6" fillId="0" borderId="0" xfId="1" applyNumberFormat="1" applyFont="1" applyFill="1" applyBorder="1"/>
    <xf numFmtId="180" fontId="6" fillId="0" borderId="0" xfId="4" applyNumberFormat="1" applyFont="1" applyFill="1" applyBorder="1"/>
    <xf numFmtId="9" fontId="6" fillId="0" borderId="0" xfId="2" applyFont="1" applyFill="1" applyBorder="1"/>
    <xf numFmtId="166" fontId="22" fillId="0" borderId="0" xfId="0" applyNumberFormat="1" applyFont="1" applyAlignment="1">
      <alignment vertical="center" wrapText="1"/>
    </xf>
    <xf numFmtId="169" fontId="22" fillId="0" borderId="0" xfId="1" applyFont="1" applyFill="1" applyBorder="1" applyAlignment="1">
      <alignment vertical="center" wrapText="1"/>
    </xf>
    <xf numFmtId="169" fontId="6" fillId="0" borderId="1" xfId="1" applyFont="1" applyBorder="1"/>
    <xf numFmtId="169" fontId="6" fillId="0" borderId="15" xfId="1" applyFont="1" applyBorder="1"/>
    <xf numFmtId="9" fontId="6" fillId="0" borderId="42" xfId="2" applyFont="1" applyBorder="1"/>
    <xf numFmtId="9" fontId="6" fillId="0" borderId="43" xfId="2" applyFont="1" applyBorder="1"/>
    <xf numFmtId="170" fontId="6" fillId="0" borderId="15" xfId="1" applyNumberFormat="1" applyFont="1" applyBorder="1"/>
    <xf numFmtId="170" fontId="6" fillId="0" borderId="4" xfId="1" applyNumberFormat="1" applyFont="1" applyBorder="1"/>
    <xf numFmtId="170" fontId="12" fillId="0" borderId="4" xfId="1" applyNumberFormat="1" applyFont="1" applyBorder="1"/>
    <xf numFmtId="170" fontId="12" fillId="0" borderId="35" xfId="0" applyNumberFormat="1" applyFont="1" applyBorder="1"/>
    <xf numFmtId="170" fontId="12" fillId="0" borderId="25" xfId="1" applyNumberFormat="1" applyFont="1" applyFill="1" applyBorder="1"/>
    <xf numFmtId="9" fontId="6" fillId="0" borderId="1" xfId="2" applyFont="1" applyBorder="1"/>
    <xf numFmtId="9" fontId="6" fillId="0" borderId="15" xfId="2" applyFont="1" applyBorder="1"/>
    <xf numFmtId="0" fontId="0" fillId="12" borderId="0" xfId="0" applyFill="1"/>
    <xf numFmtId="1" fontId="0" fillId="12" borderId="0" xfId="1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/>
    </xf>
    <xf numFmtId="170" fontId="0" fillId="0" borderId="2" xfId="0" applyNumberFormat="1" applyBorder="1"/>
    <xf numFmtId="170" fontId="18" fillId="0" borderId="2" xfId="1" applyNumberFormat="1" applyFont="1" applyBorder="1" applyAlignment="1">
      <alignment horizontal="center" vertical="center"/>
    </xf>
    <xf numFmtId="169" fontId="0" fillId="0" borderId="0" xfId="1" applyFont="1" applyBorder="1" applyAlignment="1">
      <alignment horizontal="center" vertical="center"/>
    </xf>
    <xf numFmtId="170" fontId="0" fillId="0" borderId="1" xfId="0" applyNumberFormat="1" applyBorder="1" applyAlignment="1">
      <alignment horizontal="center"/>
    </xf>
    <xf numFmtId="0" fontId="0" fillId="0" borderId="1" xfId="1" applyNumberFormat="1" applyFont="1" applyBorder="1"/>
    <xf numFmtId="184" fontId="0" fillId="0" borderId="0" xfId="0" applyNumberFormat="1"/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68" fontId="4" fillId="0" borderId="1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0" fontId="4" fillId="0" borderId="0" xfId="0" applyNumberFormat="1" applyFont="1"/>
    <xf numFmtId="170" fontId="3" fillId="0" borderId="0" xfId="0" applyNumberFormat="1" applyFont="1"/>
    <xf numFmtId="170" fontId="3" fillId="12" borderId="0" xfId="1" applyNumberFormat="1" applyFont="1" applyFill="1" applyBorder="1" applyAlignment="1">
      <alignment horizontal="center" vertical="center"/>
    </xf>
    <xf numFmtId="0" fontId="0" fillId="0" borderId="3" xfId="0" applyBorder="1"/>
    <xf numFmtId="9" fontId="6" fillId="0" borderId="4" xfId="0" applyNumberFormat="1" applyFont="1" applyBorder="1"/>
    <xf numFmtId="0" fontId="4" fillId="0" borderId="0" xfId="0" applyFont="1" applyAlignment="1">
      <alignment horizontal="center" vertical="center"/>
    </xf>
    <xf numFmtId="168" fontId="4" fillId="0" borderId="0" xfId="3" applyFont="1" applyBorder="1" applyAlignment="1"/>
    <xf numFmtId="0" fontId="3" fillId="0" borderId="1" xfId="0" applyFont="1" applyBorder="1"/>
    <xf numFmtId="0" fontId="6" fillId="13" borderId="1" xfId="0" applyFont="1" applyFill="1" applyBorder="1"/>
    <xf numFmtId="9" fontId="6" fillId="13" borderId="1" xfId="0" applyNumberFormat="1" applyFont="1" applyFill="1" applyBorder="1"/>
    <xf numFmtId="0" fontId="12" fillId="13" borderId="1" xfId="0" applyFont="1" applyFill="1" applyBorder="1"/>
    <xf numFmtId="169" fontId="12" fillId="13" borderId="22" xfId="1" applyFont="1" applyFill="1" applyBorder="1"/>
    <xf numFmtId="10" fontId="6" fillId="13" borderId="1" xfId="0" applyNumberFormat="1" applyFont="1" applyFill="1" applyBorder="1"/>
    <xf numFmtId="10" fontId="6" fillId="13" borderId="1" xfId="2" applyNumberFormat="1" applyFont="1" applyFill="1" applyBorder="1"/>
    <xf numFmtId="178" fontId="6" fillId="13" borderId="22" xfId="3" applyNumberFormat="1" applyFont="1" applyFill="1" applyBorder="1" applyAlignment="1">
      <alignment horizontal="center" vertical="center"/>
    </xf>
    <xf numFmtId="0" fontId="6" fillId="13" borderId="21" xfId="0" applyFont="1" applyFill="1" applyBorder="1" applyAlignment="1">
      <alignment horizontal="center" wrapText="1"/>
    </xf>
    <xf numFmtId="0" fontId="6" fillId="13" borderId="21" xfId="0" applyFont="1" applyFill="1" applyBorder="1"/>
    <xf numFmtId="169" fontId="6" fillId="13" borderId="22" xfId="0" applyNumberFormat="1" applyFont="1" applyFill="1" applyBorder="1"/>
    <xf numFmtId="0" fontId="8" fillId="13" borderId="2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8" fillId="13" borderId="22" xfId="0" applyFont="1" applyFill="1" applyBorder="1" applyAlignment="1">
      <alignment horizontal="center"/>
    </xf>
    <xf numFmtId="168" fontId="19" fillId="13" borderId="1" xfId="3" applyFont="1" applyFill="1" applyBorder="1"/>
    <xf numFmtId="168" fontId="19" fillId="13" borderId="22" xfId="3" applyFont="1" applyFill="1" applyBorder="1"/>
    <xf numFmtId="178" fontId="19" fillId="13" borderId="1" xfId="3" applyNumberFormat="1" applyFont="1" applyFill="1" applyBorder="1"/>
    <xf numFmtId="0" fontId="9" fillId="13" borderId="21" xfId="0" applyFont="1" applyFill="1" applyBorder="1"/>
    <xf numFmtId="168" fontId="12" fillId="13" borderId="0" xfId="0" applyNumberFormat="1" applyFont="1" applyFill="1"/>
    <xf numFmtId="168" fontId="14" fillId="13" borderId="1" xfId="0" applyNumberFormat="1" applyFont="1" applyFill="1" applyBorder="1" applyAlignment="1">
      <alignment wrapText="1"/>
    </xf>
    <xf numFmtId="0" fontId="6" fillId="13" borderId="0" xfId="0" applyFont="1" applyFill="1"/>
    <xf numFmtId="0" fontId="6" fillId="13" borderId="23" xfId="0" applyFont="1" applyFill="1" applyBorder="1"/>
    <xf numFmtId="0" fontId="12" fillId="13" borderId="24" xfId="0" applyFont="1" applyFill="1" applyBorder="1"/>
    <xf numFmtId="168" fontId="12" fillId="13" borderId="25" xfId="0" applyNumberFormat="1" applyFont="1" applyFill="1" applyBorder="1"/>
    <xf numFmtId="168" fontId="3" fillId="13" borderId="25" xfId="0" applyNumberFormat="1" applyFont="1" applyFill="1" applyBorder="1"/>
    <xf numFmtId="168" fontId="3" fillId="13" borderId="6" xfId="0" applyNumberFormat="1" applyFont="1" applyFill="1" applyBorder="1"/>
    <xf numFmtId="0" fontId="6" fillId="13" borderId="6" xfId="0" applyFont="1" applyFill="1" applyBorder="1"/>
    <xf numFmtId="0" fontId="6" fillId="13" borderId="26" xfId="0" applyFont="1" applyFill="1" applyBorder="1"/>
    <xf numFmtId="168" fontId="0" fillId="0" borderId="1" xfId="3" applyFont="1" applyBorder="1"/>
    <xf numFmtId="168" fontId="4" fillId="0" borderId="1" xfId="3" applyFont="1" applyBorder="1" applyAlignment="1">
      <alignment horizontal="center"/>
    </xf>
    <xf numFmtId="170" fontId="25" fillId="0" borderId="0" xfId="1" applyNumberFormat="1" applyFont="1" applyBorder="1"/>
    <xf numFmtId="0" fontId="6" fillId="0" borderId="37" xfId="0" applyFont="1" applyBorder="1"/>
    <xf numFmtId="180" fontId="6" fillId="0" borderId="54" xfId="4" applyNumberFormat="1" applyFont="1" applyFill="1" applyBorder="1"/>
    <xf numFmtId="180" fontId="0" fillId="0" borderId="8" xfId="4" applyNumberFormat="1" applyFont="1" applyFill="1" applyBorder="1"/>
    <xf numFmtId="0" fontId="0" fillId="0" borderId="37" xfId="0" applyBorder="1"/>
    <xf numFmtId="0" fontId="0" fillId="0" borderId="15" xfId="0" applyBorder="1"/>
    <xf numFmtId="0" fontId="0" fillId="0" borderId="8" xfId="0" applyBorder="1"/>
    <xf numFmtId="1" fontId="0" fillId="0" borderId="8" xfId="0" applyNumberFormat="1" applyBorder="1"/>
    <xf numFmtId="169" fontId="0" fillId="0" borderId="8" xfId="0" applyNumberFormat="1" applyBorder="1"/>
    <xf numFmtId="0" fontId="12" fillId="0" borderId="15" xfId="0" applyFont="1" applyBorder="1" applyAlignment="1">
      <alignment horizontal="center"/>
    </xf>
    <xf numFmtId="170" fontId="26" fillId="0" borderId="0" xfId="1" applyNumberFormat="1" applyFont="1" applyBorder="1"/>
    <xf numFmtId="10" fontId="26" fillId="0" borderId="0" xfId="1" applyNumberFormat="1" applyFont="1" applyBorder="1"/>
    <xf numFmtId="168" fontId="6" fillId="13" borderId="1" xfId="0" applyNumberFormat="1" applyFont="1" applyFill="1" applyBorder="1"/>
    <xf numFmtId="170" fontId="0" fillId="0" borderId="8" xfId="1" applyNumberFormat="1" applyFont="1" applyBorder="1"/>
    <xf numFmtId="0" fontId="18" fillId="0" borderId="8" xfId="0" applyFont="1" applyBorder="1"/>
    <xf numFmtId="170" fontId="0" fillId="0" borderId="8" xfId="0" applyNumberFormat="1" applyBorder="1"/>
    <xf numFmtId="170" fontId="6" fillId="0" borderId="8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 wrapText="1"/>
    </xf>
    <xf numFmtId="0" fontId="12" fillId="13" borderId="21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0" fillId="1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25" fillId="0" borderId="28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9" fillId="11" borderId="31" xfId="0" applyFont="1" applyFill="1" applyBorder="1" applyAlignment="1">
      <alignment horizontal="center"/>
    </xf>
    <xf numFmtId="0" fontId="9" fillId="11" borderId="32" xfId="0" applyFont="1" applyFill="1" applyBorder="1" applyAlignment="1">
      <alignment horizontal="center"/>
    </xf>
    <xf numFmtId="0" fontId="9" fillId="11" borderId="36" xfId="0" applyFont="1" applyFill="1" applyBorder="1" applyAlignment="1">
      <alignment horizontal="center"/>
    </xf>
    <xf numFmtId="0" fontId="31" fillId="0" borderId="2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1" fillId="0" borderId="22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180" fontId="6" fillId="0" borderId="53" xfId="4" applyNumberFormat="1" applyFont="1" applyBorder="1" applyAlignment="1">
      <alignment horizontal="center"/>
    </xf>
    <xf numFmtId="180" fontId="6" fillId="0" borderId="55" xfId="4" applyNumberFormat="1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9" fillId="11" borderId="41" xfId="0" applyFont="1" applyFill="1" applyBorder="1" applyAlignment="1">
      <alignment horizontal="center"/>
    </xf>
    <xf numFmtId="0" fontId="9" fillId="11" borderId="46" xfId="0" applyFont="1" applyFill="1" applyBorder="1" applyAlignment="1">
      <alignment horizontal="center"/>
    </xf>
    <xf numFmtId="0" fontId="9" fillId="11" borderId="42" xfId="0" applyFont="1" applyFill="1" applyBorder="1" applyAlignment="1">
      <alignment horizontal="center"/>
    </xf>
    <xf numFmtId="0" fontId="9" fillId="11" borderId="43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1" fillId="0" borderId="44" xfId="0" applyFont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31" fillId="0" borderId="51" xfId="0" applyFont="1" applyBorder="1" applyAlignment="1">
      <alignment horizontal="left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80" fontId="0" fillId="0" borderId="53" xfId="4" applyNumberFormat="1" applyFont="1" applyBorder="1" applyAlignment="1">
      <alignment horizontal="center"/>
    </xf>
    <xf numFmtId="180" fontId="0" fillId="0" borderId="55" xfId="4" applyNumberFormat="1" applyFont="1" applyBorder="1" applyAlignment="1">
      <alignment horizontal="center"/>
    </xf>
    <xf numFmtId="0" fontId="27" fillId="11" borderId="41" xfId="0" applyFont="1" applyFill="1" applyBorder="1" applyAlignment="1">
      <alignment horizontal="center"/>
    </xf>
    <xf numFmtId="0" fontId="27" fillId="11" borderId="46" xfId="0" applyFont="1" applyFill="1" applyBorder="1" applyAlignment="1">
      <alignment horizontal="center"/>
    </xf>
    <xf numFmtId="0" fontId="27" fillId="11" borderId="42" xfId="0" applyFont="1" applyFill="1" applyBorder="1" applyAlignment="1">
      <alignment horizontal="center"/>
    </xf>
    <xf numFmtId="0" fontId="27" fillId="11" borderId="4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8" fillId="0" borderId="44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28" fillId="0" borderId="5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0" fillId="0" borderId="0" xfId="0" applyAlignment="1"/>
    <xf numFmtId="0" fontId="0" fillId="0" borderId="0" xfId="0" applyAlignment="1"/>
    <xf numFmtId="0" fontId="0" fillId="0" borderId="0" xfId="0" applyBorder="1" applyAlignment="1"/>
    <xf numFmtId="0" fontId="18" fillId="0" borderId="56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169" fontId="0" fillId="0" borderId="14" xfId="1" applyFont="1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170" fontId="18" fillId="0" borderId="8" xfId="1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/>
    </xf>
  </cellXfs>
  <cellStyles count="5">
    <cellStyle name="Millares" xfId="4" builtinId="3"/>
    <cellStyle name="Moneda" xfId="1" builtinId="4"/>
    <cellStyle name="Moneda [0]" xfId="3" builtinId="7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FINANCIEROS'!$C$4</c:f>
              <c:strCache>
                <c:ptCount val="1"/>
                <c:pt idx="0">
                  <c:v>*UTILIDAD OPERATIVA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'INDICADORES FINANCIEROS'!$D$3:$I$3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FINANCIEROS'!$D$4:$I$4</c:f>
              <c:numCache>
                <c:formatCode>_-"$"\ * #,##0.00_-;\-"$"\ * #,##0.00_-;_-"$"\ * "-"??_-;_-@_-</c:formatCode>
                <c:ptCount val="6"/>
                <c:pt idx="1">
                  <c:v>116.93683023999995</c:v>
                </c:pt>
                <c:pt idx="2">
                  <c:v>229.68108095199972</c:v>
                </c:pt>
                <c:pt idx="3">
                  <c:v>351.76428307959964</c:v>
                </c:pt>
                <c:pt idx="4">
                  <c:v>483.77831406297929</c:v>
                </c:pt>
                <c:pt idx="5">
                  <c:v>626.34854466790728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D-4028-A78A-703AF1F5958C}"/>
            </c:ext>
          </c:extLst>
        </c:ser>
        <c:ser>
          <c:idx val="1"/>
          <c:order val="1"/>
          <c:tx>
            <c:strRef>
              <c:f>'INDICADORES FINANCIEROS'!$C$5</c:f>
              <c:strCache>
                <c:ptCount val="1"/>
                <c:pt idx="0">
                  <c:v>*ACTIVOS TOTALES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'INDICADORES FINANCIEROS'!$D$3:$I$3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FINANCIEROS'!$D$5:$I$5</c:f>
              <c:numCache>
                <c:formatCode>_-"$"\ * #,##0.00_-;\-"$"\ * #,##0.00_-;_-"$"\ * "-"??_-;_-@_-</c:formatCode>
                <c:ptCount val="6"/>
                <c:pt idx="1">
                  <c:v>818.46648206200007</c:v>
                </c:pt>
                <c:pt idx="2">
                  <c:v>795.67881116510011</c:v>
                </c:pt>
                <c:pt idx="3">
                  <c:v>773.67616172335511</c:v>
                </c:pt>
                <c:pt idx="4">
                  <c:v>752.49778480952284</c:v>
                </c:pt>
                <c:pt idx="5">
                  <c:v>732.184894049999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D-4028-A78A-703AF1F59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49072496"/>
        <c:axId val="49054608"/>
      </c:barChart>
      <c:lineChart>
        <c:grouping val="standard"/>
        <c:varyColors val="0"/>
        <c:ser>
          <c:idx val="2"/>
          <c:order val="2"/>
          <c:tx>
            <c:strRef>
              <c:f>'INDICADORES FINANCIEROS'!$C$6</c:f>
              <c:strCache>
                <c:ptCount val="1"/>
                <c:pt idx="0">
                  <c:v>ROA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FINANCIEROS'!$D$3:$I$3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FINANCIEROS'!$D$6:$I$6</c:f>
              <c:numCache>
                <c:formatCode>0%</c:formatCode>
                <c:ptCount val="6"/>
                <c:pt idx="1">
                  <c:v>0.14287308375218449</c:v>
                </c:pt>
                <c:pt idx="2">
                  <c:v>0.28866054710654077</c:v>
                </c:pt>
                <c:pt idx="3">
                  <c:v>0.454666048254671</c:v>
                </c:pt>
                <c:pt idx="4">
                  <c:v>0.64289666206185103</c:v>
                </c:pt>
                <c:pt idx="5">
                  <c:v>0.85545133443457189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D-4028-A78A-703AF1F59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67504"/>
        <c:axId val="49072080"/>
      </c:lineChart>
      <c:catAx>
        <c:axId val="4907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54608"/>
        <c:crosses val="autoZero"/>
        <c:auto val="1"/>
        <c:lblAlgn val="ctr"/>
        <c:lblOffset val="100"/>
        <c:noMultiLvlLbl val="0"/>
      </c:catAx>
      <c:valAx>
        <c:axId val="4905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72496"/>
        <c:crosses val="autoZero"/>
        <c:crossBetween val="between"/>
      </c:valAx>
      <c:valAx>
        <c:axId val="490720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7504"/>
        <c:crosses val="max"/>
        <c:crossBetween val="between"/>
      </c:valAx>
      <c:catAx>
        <c:axId val="49067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9072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RENTABILIDAD DEL PATRIMONIO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FINANCIEROS'!$C$23</c:f>
              <c:strCache>
                <c:ptCount val="1"/>
                <c:pt idx="0">
                  <c:v>*UAI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'INDICADORES FINANCIEROS'!$D$22:$I$22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FINANCIEROS'!$D$23:$I$23</c:f>
              <c:numCache>
                <c:formatCode>_-"$"\ * #,##0_-;\-"$"\ * #,##0_-;_-"$"\ * "-"??_-;_-@_-</c:formatCode>
                <c:ptCount val="6"/>
                <c:pt idx="1">
                  <c:v>123.68726582522932</c:v>
                </c:pt>
                <c:pt idx="2">
                  <c:v>250.91025116520589</c:v>
                </c:pt>
                <c:pt idx="3">
                  <c:v>390.11709589507655</c:v>
                </c:pt>
                <c:pt idx="4">
                  <c:v>542.48489425497189</c:v>
                </c:pt>
                <c:pt idx="5">
                  <c:v>709.3603068119553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E-42A5-87B4-80A3FB5B3886}"/>
            </c:ext>
          </c:extLst>
        </c:ser>
        <c:ser>
          <c:idx val="1"/>
          <c:order val="1"/>
          <c:tx>
            <c:strRef>
              <c:f>'INDICADORES FINANCIEROS'!$C$24</c:f>
              <c:strCache>
                <c:ptCount val="1"/>
                <c:pt idx="0">
                  <c:v>*PATRIMONIO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'INDICADORES FINANCIEROS'!$D$22:$I$22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FINANCIEROS'!$D$24:$I$24</c:f>
              <c:numCache>
                <c:formatCode>_-"$"\ * #,##0_-;\-"$"\ * #,##0_-;_-"$"\ * "-"??_-;_-@_-</c:formatCode>
                <c:ptCount val="6"/>
                <c:pt idx="1">
                  <c:v>512.31121895723857</c:v>
                </c:pt>
                <c:pt idx="2">
                  <c:v>543.70701958355392</c:v>
                </c:pt>
                <c:pt idx="3">
                  <c:v>588.66448426729517</c:v>
                </c:pt>
                <c:pt idx="4">
                  <c:v>650.23563885546469</c:v>
                </c:pt>
                <c:pt idx="5">
                  <c:v>732.18489404999821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5E-42A5-87B4-80A3FB5B3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346688"/>
        <c:axId val="56345024"/>
      </c:barChart>
      <c:lineChart>
        <c:grouping val="standard"/>
        <c:varyColors val="0"/>
        <c:ser>
          <c:idx val="2"/>
          <c:order val="2"/>
          <c:tx>
            <c:strRef>
              <c:f>'INDICADORES FINANCIEROS'!$C$25</c:f>
              <c:strCache>
                <c:ptCount val="1"/>
                <c:pt idx="0">
                  <c:v>RENTABILIDAD DEL PATRIMONIO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FINANCIEROS'!$D$22:$I$22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FINANCIEROS'!$D$25:$I$25</c:f>
              <c:numCache>
                <c:formatCode>0%</c:formatCode>
                <c:ptCount val="6"/>
                <c:pt idx="1">
                  <c:v>0.24142993799156526</c:v>
                </c:pt>
                <c:pt idx="2">
                  <c:v>0.46148061755279102</c:v>
                </c:pt>
                <c:pt idx="3">
                  <c:v>0.66271553035962649</c:v>
                </c:pt>
                <c:pt idx="4">
                  <c:v>0.83428969720860868</c:v>
                </c:pt>
                <c:pt idx="5">
                  <c:v>0.9688267438682171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5E-42A5-87B4-80A3FB5B3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46272"/>
        <c:axId val="56345440"/>
      </c:lineChart>
      <c:catAx>
        <c:axId val="563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45024"/>
        <c:crosses val="autoZero"/>
        <c:auto val="1"/>
        <c:lblAlgn val="ctr"/>
        <c:lblOffset val="100"/>
        <c:noMultiLvlLbl val="0"/>
      </c:catAx>
      <c:valAx>
        <c:axId val="5634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46688"/>
        <c:crosses val="autoZero"/>
        <c:crossBetween val="between"/>
      </c:valAx>
      <c:valAx>
        <c:axId val="5634544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46272"/>
        <c:crosses val="max"/>
        <c:crossBetween val="between"/>
      </c:valAx>
      <c:catAx>
        <c:axId val="5634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345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'INDICADORES FINANCIEROS'!$C$47</c:f>
              <c:strCache>
                <c:ptCount val="1"/>
                <c:pt idx="0">
                  <c:v>ROA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FINANCIEROS'!$D$46:$I$46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FINANCIEROS'!$D$47:$I$47</c:f>
              <c:numCache>
                <c:formatCode>0%</c:formatCode>
                <c:ptCount val="6"/>
                <c:pt idx="1">
                  <c:v>0.14287308375218449</c:v>
                </c:pt>
                <c:pt idx="2">
                  <c:v>0.28866054710654077</c:v>
                </c:pt>
                <c:pt idx="3">
                  <c:v>0.454666048254671</c:v>
                </c:pt>
                <c:pt idx="4">
                  <c:v>0.64289666206185103</c:v>
                </c:pt>
                <c:pt idx="5">
                  <c:v>0.85545133443457189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5-41B9-A4B7-E51D7D46B9EF}"/>
            </c:ext>
          </c:extLst>
        </c:ser>
        <c:ser>
          <c:idx val="1"/>
          <c:order val="1"/>
          <c:tx>
            <c:strRef>
              <c:f>'INDICADORES FINANCIEROS'!$C$48</c:f>
              <c:strCache>
                <c:ptCount val="1"/>
                <c:pt idx="0">
                  <c:v>WACC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FINANCIEROS'!$D$46:$I$46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FINANCIEROS'!$D$48:$I$48</c:f>
              <c:numCache>
                <c:formatCode>0%</c:formatCode>
                <c:ptCount val="6"/>
                <c:pt idx="1">
                  <c:v>0.13120098300978905</c:v>
                </c:pt>
                <c:pt idx="2">
                  <c:v>0.12962903972731227</c:v>
                </c:pt>
                <c:pt idx="3">
                  <c:v>0.12746150830766309</c:v>
                </c:pt>
                <c:pt idx="4">
                  <c:v>0.12453257841262019</c:v>
                </c:pt>
                <c:pt idx="5">
                  <c:v>0.12063312088003569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95-41B9-A4B7-E51D7D46B9EF}"/>
            </c:ext>
          </c:extLst>
        </c:ser>
        <c:ser>
          <c:idx val="2"/>
          <c:order val="2"/>
          <c:tx>
            <c:strRef>
              <c:f>'INDICADORES FINANCIEROS'!$C$49</c:f>
              <c:strCache>
                <c:ptCount val="1"/>
                <c:pt idx="0">
                  <c:v>EVA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FINANCIEROS'!$D$46:$I$46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FINANCIEROS'!$D$49:$I$49</c:f>
              <c:numCache>
                <c:formatCode>0%</c:formatCode>
                <c:ptCount val="6"/>
                <c:pt idx="1">
                  <c:v>1.1672100742395441E-2</c:v>
                </c:pt>
                <c:pt idx="2">
                  <c:v>0.1590315073792285</c:v>
                </c:pt>
                <c:pt idx="3">
                  <c:v>0.32720453994700793</c:v>
                </c:pt>
                <c:pt idx="4">
                  <c:v>0.51836408364923081</c:v>
                </c:pt>
                <c:pt idx="5">
                  <c:v>0.73481821355453625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5-41B9-A4B7-E51D7D46B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1106320"/>
        <c:axId val="1961107152"/>
      </c:lineChart>
      <c:catAx>
        <c:axId val="196110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1107152"/>
        <c:crosses val="autoZero"/>
        <c:auto val="1"/>
        <c:lblAlgn val="ctr"/>
        <c:lblOffset val="100"/>
        <c:noMultiLvlLbl val="0"/>
      </c:catAx>
      <c:valAx>
        <c:axId val="196110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110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EVA EN PESOS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'INDICADORES FINANCIEROS'!$C$62</c:f>
              <c:strCache>
                <c:ptCount val="1"/>
                <c:pt idx="0">
                  <c:v>EVA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FINANCIEROS'!$D$61:$I$61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FINANCIEROS'!$D$62:$I$62</c:f>
              <c:numCache>
                <c:formatCode>0%</c:formatCode>
                <c:ptCount val="6"/>
                <c:pt idx="1">
                  <c:v>1.1672100742395441E-2</c:v>
                </c:pt>
                <c:pt idx="2">
                  <c:v>0.1590315073792285</c:v>
                </c:pt>
                <c:pt idx="3">
                  <c:v>0.32720453994700793</c:v>
                </c:pt>
                <c:pt idx="4">
                  <c:v>0.51836408364923081</c:v>
                </c:pt>
                <c:pt idx="5">
                  <c:v>0.73481821355453625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A-43DB-981F-5D632639B059}"/>
            </c:ext>
          </c:extLst>
        </c:ser>
        <c:ser>
          <c:idx val="1"/>
          <c:order val="1"/>
          <c:tx>
            <c:strRef>
              <c:f>'INDICADORES FINANCIEROS'!$C$63</c:f>
              <c:strCache>
                <c:ptCount val="1"/>
                <c:pt idx="0">
                  <c:v>*ACTIVOS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FINANCIEROS'!$D$61:$I$61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FINANCIEROS'!$D$63:$I$63</c:f>
              <c:numCache>
                <c:formatCode>_-"$"\ * #,##0.00_-;\-"$"\ * #,##0.00_-;_-"$"\ * "-"??_-;_-@_-</c:formatCode>
                <c:ptCount val="6"/>
                <c:pt idx="1">
                  <c:v>818.46648206200007</c:v>
                </c:pt>
                <c:pt idx="2">
                  <c:v>795.67881116510011</c:v>
                </c:pt>
                <c:pt idx="3">
                  <c:v>773.67616172335511</c:v>
                </c:pt>
                <c:pt idx="4">
                  <c:v>752.49778480952284</c:v>
                </c:pt>
                <c:pt idx="5">
                  <c:v>732.184894049999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A-43DB-981F-5D632639B059}"/>
            </c:ext>
          </c:extLst>
        </c:ser>
        <c:ser>
          <c:idx val="2"/>
          <c:order val="2"/>
          <c:tx>
            <c:strRef>
              <c:f>'INDICADORES FINANCIEROS'!$C$64</c:f>
              <c:strCache>
                <c:ptCount val="1"/>
                <c:pt idx="0">
                  <c:v>EVA EN PESOS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FINANCIEROS'!$D$61:$I$61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FINANCIEROS'!$D$64:$I$64</c:f>
              <c:numCache>
                <c:formatCode>_-"$"\ * #,##0.00_-;\-"$"\ * #,##0.00_-;_-"$"\ * "-"??_-;_-@_-</c:formatCode>
                <c:ptCount val="6"/>
                <c:pt idx="1">
                  <c:v>9.5532232329016562</c:v>
                </c:pt>
                <c:pt idx="2">
                  <c:v>126.53800072929837</c:v>
                </c:pt>
                <c:pt idx="3">
                  <c:v>253.15035256465731</c:v>
                </c:pt>
                <c:pt idx="4">
                  <c:v>390.06782467086441</c:v>
                </c:pt>
                <c:pt idx="5">
                  <c:v>538.02279583743768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3A-43DB-981F-5D632639B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004688"/>
        <c:axId val="56003856"/>
      </c:lineChart>
      <c:catAx>
        <c:axId val="5600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03856"/>
        <c:crosses val="autoZero"/>
        <c:auto val="1"/>
        <c:lblAlgn val="ctr"/>
        <c:lblOffset val="100"/>
        <c:noMultiLvlLbl val="0"/>
      </c:catAx>
      <c:valAx>
        <c:axId val="5600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0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OBF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'INDICADORES FINANCIEROS'!$C$77</c:f>
              <c:strCache>
                <c:ptCount val="1"/>
                <c:pt idx="0">
                  <c:v>ROA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FINANCIEROS'!$D$76:$I$76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FINANCIEROS'!$D$77:$I$77</c:f>
              <c:numCache>
                <c:formatCode>0%</c:formatCode>
                <c:ptCount val="6"/>
                <c:pt idx="1">
                  <c:v>0.14287308375218449</c:v>
                </c:pt>
                <c:pt idx="2">
                  <c:v>0.28866054710654077</c:v>
                </c:pt>
                <c:pt idx="3">
                  <c:v>0.454666048254671</c:v>
                </c:pt>
                <c:pt idx="4">
                  <c:v>0.64289666206185103</c:v>
                </c:pt>
                <c:pt idx="5">
                  <c:v>0.85545133443457189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0-485D-BF22-E010AC3259C8}"/>
            </c:ext>
          </c:extLst>
        </c:ser>
        <c:ser>
          <c:idx val="1"/>
          <c:order val="1"/>
          <c:tx>
            <c:strRef>
              <c:f>'INDICADORES FINANCIEROS'!$C$78</c:f>
              <c:strCache>
                <c:ptCount val="1"/>
                <c:pt idx="0">
                  <c:v>WACC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'INDICADORES FINANCIEROS'!$D$76:$I$76</c:f>
              <c:strCache>
                <c:ptCount val="6"/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</c:strCache>
            </c:strRef>
          </c:cat>
          <c:val>
            <c:numRef>
              <c:f>'INDICADORES FINANCIEROS'!$D$78:$I$78</c:f>
              <c:numCache>
                <c:formatCode>0%</c:formatCode>
                <c:ptCount val="6"/>
                <c:pt idx="1">
                  <c:v>0.13120098300978905</c:v>
                </c:pt>
                <c:pt idx="2">
                  <c:v>0.12962903972731227</c:v>
                </c:pt>
                <c:pt idx="3">
                  <c:v>0.12746150830766309</c:v>
                </c:pt>
                <c:pt idx="4">
                  <c:v>0.12453257841262019</c:v>
                </c:pt>
                <c:pt idx="5">
                  <c:v>0.12063312088003569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0-485D-BF22-E010AC32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50240"/>
        <c:axId val="48951488"/>
      </c:lineChart>
      <c:catAx>
        <c:axId val="4895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51488"/>
        <c:crosses val="autoZero"/>
        <c:auto val="1"/>
        <c:lblAlgn val="ctr"/>
        <c:lblOffset val="100"/>
        <c:noMultiLvlLbl val="0"/>
      </c:catAx>
      <c:valAx>
        <c:axId val="4895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5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723900</xdr:colOff>
      <xdr:row>0</xdr:row>
      <xdr:rowOff>180975</xdr:rowOff>
    </xdr:from>
    <xdr:to>
      <xdr:col>15</xdr:col>
      <xdr:colOff>609599</xdr:colOff>
      <xdr:row>14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E7C041-E80F-4E9D-95DB-7F3AB1820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757237</xdr:colOff>
      <xdr:row>19</xdr:row>
      <xdr:rowOff>119062</xdr:rowOff>
    </xdr:from>
    <xdr:to>
      <xdr:col>15</xdr:col>
      <xdr:colOff>757237</xdr:colOff>
      <xdr:row>33</xdr:row>
      <xdr:rowOff>157162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4F0878-3FB1-40F1-B32A-31C313008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728662</xdr:colOff>
      <xdr:row>44</xdr:row>
      <xdr:rowOff>4762</xdr:rowOff>
    </xdr:from>
    <xdr:to>
      <xdr:col>15</xdr:col>
      <xdr:colOff>728662</xdr:colOff>
      <xdr:row>58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43DA80-7964-488A-BB70-4121C3006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4762</xdr:colOff>
      <xdr:row>58</xdr:row>
      <xdr:rowOff>195262</xdr:rowOff>
    </xdr:from>
    <xdr:to>
      <xdr:col>16</xdr:col>
      <xdr:colOff>4762</xdr:colOff>
      <xdr:row>73</xdr:row>
      <xdr:rowOff>42862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32DEACA-93D4-4B28-9090-DE5BF613C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14287</xdr:colOff>
      <xdr:row>74</xdr:row>
      <xdr:rowOff>14287</xdr:rowOff>
    </xdr:from>
    <xdr:to>
      <xdr:col>16</xdr:col>
      <xdr:colOff>14287</xdr:colOff>
      <xdr:row>88</xdr:row>
      <xdr:rowOff>71437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5D8FB8A-FA8A-4616-91A2-74713D788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0A74-2A04-4288-83E7-FD53F4973815}">
  <dimension ref="B2:Z63"/>
  <sheetViews>
    <sheetView topLeftCell="E18" zoomScale="80" zoomScaleNormal="90" workbookViewId="0">
      <selection activeCell="E6" sqref="E6"/>
    </sheetView>
  </sheetViews>
  <sheetFormatPr defaultColWidth="11.42578125" defaultRowHeight="15.75"/>
  <cols>
    <col min="1" max="1" width="11.42578125" style="3"/>
    <col min="2" max="2" width="41.42578125" style="3" customWidth="1"/>
    <col min="3" max="3" width="19.28515625" style="3" customWidth="1"/>
    <col min="4" max="4" width="27.28515625" style="3" customWidth="1"/>
    <col min="5" max="5" width="54" style="3" customWidth="1"/>
    <col min="6" max="6" width="26.85546875" style="3" customWidth="1"/>
    <col min="7" max="8" width="9.42578125" style="3" customWidth="1"/>
    <col min="9" max="9" width="17.42578125" style="3" customWidth="1"/>
    <col min="10" max="10" width="14.85546875" style="3" customWidth="1"/>
    <col min="11" max="11" width="17.7109375" style="3" bestFit="1" customWidth="1"/>
    <col min="12" max="12" width="16.7109375" style="3" bestFit="1" customWidth="1"/>
    <col min="13" max="13" width="21" style="3" bestFit="1" customWidth="1"/>
    <col min="14" max="14" width="11.42578125" style="3" bestFit="1" customWidth="1"/>
    <col min="15" max="15" width="18" style="3" customWidth="1"/>
    <col min="16" max="16" width="19.5703125" style="3" customWidth="1"/>
    <col min="17" max="17" width="11.42578125" style="3"/>
    <col min="18" max="18" width="25.7109375" style="3" bestFit="1" customWidth="1"/>
    <col min="19" max="19" width="13.42578125" style="3" customWidth="1"/>
    <col min="20" max="20" width="16" style="3" bestFit="1" customWidth="1"/>
    <col min="21" max="21" width="15.85546875" style="3" bestFit="1" customWidth="1"/>
    <col min="22" max="22" width="11.42578125" style="3"/>
    <col min="23" max="23" width="29" style="3" customWidth="1"/>
    <col min="24" max="24" width="13.42578125" style="3" customWidth="1"/>
    <col min="25" max="25" width="16" style="3" bestFit="1" customWidth="1"/>
    <col min="26" max="26" width="14.7109375" style="3" bestFit="1" customWidth="1"/>
    <col min="27" max="16384" width="11.42578125" style="3"/>
  </cols>
  <sheetData>
    <row r="2" spans="2:26">
      <c r="B2" s="427" t="s">
        <v>0</v>
      </c>
      <c r="C2" s="427"/>
      <c r="D2" s="363"/>
      <c r="F2" s="427" t="s">
        <v>1</v>
      </c>
      <c r="G2" s="427"/>
      <c r="H2" s="427"/>
      <c r="I2" s="427"/>
      <c r="J2" s="427"/>
      <c r="K2" s="427"/>
      <c r="M2" s="427" t="s">
        <v>2</v>
      </c>
      <c r="N2" s="427"/>
      <c r="O2" s="427"/>
      <c r="P2" s="427"/>
      <c r="Q2" s="4"/>
      <c r="R2" s="427" t="s">
        <v>3</v>
      </c>
      <c r="S2" s="427"/>
      <c r="T2" s="427"/>
      <c r="U2" s="427"/>
      <c r="V2" s="4"/>
      <c r="W2" s="428" t="s">
        <v>4</v>
      </c>
      <c r="X2" s="428"/>
      <c r="Y2" s="428"/>
      <c r="Z2" s="428"/>
    </row>
    <row r="3" spans="2:26" ht="28.5" customHeight="1">
      <c r="B3" s="5" t="s">
        <v>5</v>
      </c>
      <c r="C3" s="5" t="s">
        <v>6</v>
      </c>
      <c r="D3" s="367"/>
      <c r="F3" s="426" t="s">
        <v>7</v>
      </c>
      <c r="G3" s="426"/>
      <c r="H3" s="426"/>
      <c r="I3" s="6" t="s">
        <v>8</v>
      </c>
      <c r="J3" s="6" t="s">
        <v>9</v>
      </c>
      <c r="K3" s="7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R3" s="5" t="s">
        <v>11</v>
      </c>
      <c r="S3" s="5" t="s">
        <v>12</v>
      </c>
      <c r="T3" s="5" t="s">
        <v>13</v>
      </c>
      <c r="U3" s="5" t="s">
        <v>14</v>
      </c>
      <c r="W3" s="5" t="s">
        <v>11</v>
      </c>
      <c r="X3" s="5" t="s">
        <v>12</v>
      </c>
      <c r="Y3" s="5" t="s">
        <v>13</v>
      </c>
      <c r="Z3" s="5" t="s">
        <v>14</v>
      </c>
    </row>
    <row r="4" spans="2:26" ht="19.5" customHeight="1">
      <c r="B4" s="7" t="s">
        <v>15</v>
      </c>
      <c r="C4" s="8">
        <v>90000000</v>
      </c>
      <c r="D4" s="177"/>
      <c r="F4" s="429" t="s">
        <v>16</v>
      </c>
      <c r="G4" s="429"/>
      <c r="H4" s="429"/>
      <c r="I4" s="8">
        <v>1200000</v>
      </c>
      <c r="J4" s="9">
        <v>72</v>
      </c>
      <c r="K4" s="8">
        <f>+I4*J4</f>
        <v>86400000</v>
      </c>
      <c r="M4" s="10" t="s">
        <v>17</v>
      </c>
      <c r="N4" s="7">
        <v>1</v>
      </c>
      <c r="O4" s="8">
        <v>220000000</v>
      </c>
      <c r="P4" s="8">
        <f>+N4*O4</f>
        <v>220000000</v>
      </c>
      <c r="R4" s="11" t="s">
        <v>18</v>
      </c>
      <c r="S4" s="7">
        <v>2</v>
      </c>
      <c r="T4" s="8">
        <v>310000</v>
      </c>
      <c r="U4" s="8">
        <f>+S4*T4</f>
        <v>620000</v>
      </c>
      <c r="W4" s="1" t="s">
        <v>19</v>
      </c>
      <c r="X4" s="7">
        <v>3</v>
      </c>
      <c r="Y4" s="8">
        <v>1800000</v>
      </c>
      <c r="Z4" s="8">
        <f>+X4*Y4</f>
        <v>5400000</v>
      </c>
    </row>
    <row r="5" spans="2:26" ht="19.5" customHeight="1">
      <c r="B5" s="5" t="s">
        <v>20</v>
      </c>
      <c r="C5" s="16">
        <f>+C4</f>
        <v>90000000</v>
      </c>
      <c r="D5" s="370"/>
      <c r="F5" s="429" t="s">
        <v>21</v>
      </c>
      <c r="G5" s="429"/>
      <c r="H5" s="429"/>
      <c r="I5" s="8">
        <v>70000</v>
      </c>
      <c r="J5" s="9">
        <v>72</v>
      </c>
      <c r="K5" s="8">
        <f t="shared" ref="K5:K6" si="0">+I5*J5</f>
        <v>5040000</v>
      </c>
      <c r="M5" s="10" t="s">
        <v>22</v>
      </c>
      <c r="N5" s="7"/>
      <c r="O5" s="8">
        <v>20000000</v>
      </c>
      <c r="P5" s="8">
        <v>20000000</v>
      </c>
      <c r="R5" s="11" t="s">
        <v>23</v>
      </c>
      <c r="S5" s="7">
        <v>2</v>
      </c>
      <c r="T5" s="8">
        <v>1500000</v>
      </c>
      <c r="U5" s="8">
        <f t="shared" ref="U5:U8" si="1">+S5*T5</f>
        <v>3000000</v>
      </c>
      <c r="W5" s="1" t="s">
        <v>24</v>
      </c>
      <c r="X5" s="7">
        <v>4</v>
      </c>
      <c r="Y5" s="8">
        <v>375000</v>
      </c>
      <c r="Z5" s="8">
        <f t="shared" ref="Z5:Z7" si="2">+X5*Y5</f>
        <v>1500000</v>
      </c>
    </row>
    <row r="6" spans="2:26" ht="19.5" customHeight="1">
      <c r="F6" s="429" t="s">
        <v>25</v>
      </c>
      <c r="G6" s="429"/>
      <c r="H6" s="429"/>
      <c r="I6" s="8">
        <v>150000</v>
      </c>
      <c r="J6" s="9">
        <v>72</v>
      </c>
      <c r="K6" s="8">
        <f t="shared" si="0"/>
        <v>10800000</v>
      </c>
      <c r="M6" s="1" t="s">
        <v>26</v>
      </c>
      <c r="N6" s="7">
        <v>1</v>
      </c>
      <c r="O6" s="8">
        <v>90000000</v>
      </c>
      <c r="P6" s="8">
        <f t="shared" ref="P6" si="3">+N6*O6</f>
        <v>90000000</v>
      </c>
      <c r="R6" s="11" t="s">
        <v>27</v>
      </c>
      <c r="S6" s="7">
        <v>8</v>
      </c>
      <c r="T6" s="8">
        <v>200000</v>
      </c>
      <c r="U6" s="8">
        <f t="shared" si="1"/>
        <v>1600000</v>
      </c>
      <c r="W6" s="1" t="s">
        <v>28</v>
      </c>
      <c r="X6" s="7">
        <v>1</v>
      </c>
      <c r="Y6" s="8">
        <v>108000</v>
      </c>
      <c r="Z6" s="8">
        <f t="shared" si="2"/>
        <v>108000</v>
      </c>
    </row>
    <row r="7" spans="2:26" ht="19.5" customHeight="1">
      <c r="F7" s="430" t="s">
        <v>29</v>
      </c>
      <c r="G7" s="430"/>
      <c r="H7" s="430"/>
      <c r="I7" s="430"/>
      <c r="J7" s="430"/>
      <c r="K7" s="154">
        <f>SUM(K4:K6)</f>
        <v>102240000</v>
      </c>
      <c r="L7" s="13"/>
      <c r="M7" s="425" t="s">
        <v>30</v>
      </c>
      <c r="N7" s="425"/>
      <c r="O7" s="425"/>
      <c r="P7" s="280">
        <f>SUM(P4:P6)</f>
        <v>330000000</v>
      </c>
      <c r="R7" s="2" t="s">
        <v>31</v>
      </c>
      <c r="S7" s="12">
        <v>3</v>
      </c>
      <c r="T7" s="8">
        <v>634000</v>
      </c>
      <c r="U7" s="8">
        <f t="shared" si="1"/>
        <v>1902000</v>
      </c>
      <c r="W7" s="1" t="s">
        <v>32</v>
      </c>
      <c r="X7" s="7">
        <v>1</v>
      </c>
      <c r="Y7" s="8">
        <v>787000</v>
      </c>
      <c r="Z7" s="8">
        <f t="shared" si="2"/>
        <v>787000</v>
      </c>
    </row>
    <row r="8" spans="2:26" ht="19.5" customHeight="1">
      <c r="J8" s="189"/>
      <c r="K8" s="13"/>
      <c r="R8" s="2" t="s">
        <v>33</v>
      </c>
      <c r="S8" s="12">
        <v>1</v>
      </c>
      <c r="T8" s="8">
        <v>1400000</v>
      </c>
      <c r="U8" s="8">
        <f t="shared" si="1"/>
        <v>1400000</v>
      </c>
      <c r="W8" s="1" t="s">
        <v>34</v>
      </c>
      <c r="X8" s="7">
        <v>1</v>
      </c>
      <c r="Y8" s="8">
        <v>250000</v>
      </c>
      <c r="Z8" s="8">
        <f>+X8*Y8</f>
        <v>250000</v>
      </c>
    </row>
    <row r="9" spans="2:26" ht="19.5" customHeight="1">
      <c r="R9" s="2" t="s">
        <v>35</v>
      </c>
      <c r="S9" s="12">
        <v>5</v>
      </c>
      <c r="T9" s="8">
        <v>145800</v>
      </c>
      <c r="U9" s="8">
        <f>+S9*T9</f>
        <v>729000</v>
      </c>
      <c r="W9" s="425" t="s">
        <v>30</v>
      </c>
      <c r="X9" s="425"/>
      <c r="Y9" s="425"/>
      <c r="Z9" s="48">
        <f>SUM(Z4:Z8)</f>
        <v>8045000</v>
      </c>
    </row>
    <row r="10" spans="2:26" ht="19.5" customHeight="1">
      <c r="R10" s="429" t="s">
        <v>29</v>
      </c>
      <c r="S10" s="432"/>
      <c r="T10" s="433"/>
      <c r="U10" s="152">
        <f>SUM(U4:U9)</f>
        <v>9251000</v>
      </c>
    </row>
    <row r="11" spans="2:26" ht="19.5" customHeight="1"/>
    <row r="12" spans="2:26" ht="19.5" customHeight="1">
      <c r="E12" s="367"/>
      <c r="F12" s="367"/>
    </row>
    <row r="13" spans="2:26" ht="19.5" customHeight="1">
      <c r="B13" s="431" t="s">
        <v>36</v>
      </c>
      <c r="C13" s="431"/>
      <c r="D13" s="363"/>
      <c r="E13" s="373"/>
      <c r="F13" s="177"/>
    </row>
    <row r="14" spans="2:26" ht="19.5" customHeight="1">
      <c r="B14" s="14" t="s">
        <v>37</v>
      </c>
      <c r="C14" s="15">
        <f>C5</f>
        <v>90000000</v>
      </c>
      <c r="D14" s="368"/>
      <c r="F14" s="177"/>
    </row>
    <row r="15" spans="2:26" ht="19.5" customHeight="1">
      <c r="B15" s="14" t="s">
        <v>38</v>
      </c>
      <c r="C15" s="15">
        <f>+K7</f>
        <v>102240000</v>
      </c>
      <c r="D15" s="368"/>
      <c r="F15" s="177"/>
    </row>
    <row r="16" spans="2:26" ht="19.5" customHeight="1">
      <c r="B16" s="14" t="s">
        <v>39</v>
      </c>
      <c r="C16" s="15">
        <f>+P7</f>
        <v>330000000</v>
      </c>
      <c r="D16" s="368"/>
      <c r="F16" s="177"/>
    </row>
    <row r="17" spans="2:23" ht="19.5" customHeight="1">
      <c r="B17" s="14" t="s">
        <v>40</v>
      </c>
      <c r="C17" s="15">
        <f>U10</f>
        <v>9251000</v>
      </c>
      <c r="D17" s="368"/>
      <c r="F17" s="177"/>
    </row>
    <row r="18" spans="2:23" ht="19.5" customHeight="1">
      <c r="B18" s="14" t="s">
        <v>41</v>
      </c>
      <c r="C18" s="15">
        <f>+Z9</f>
        <v>8045000</v>
      </c>
      <c r="D18" s="368"/>
    </row>
    <row r="19" spans="2:23" ht="19.5" customHeight="1">
      <c r="B19" s="375" t="s">
        <v>42</v>
      </c>
      <c r="C19" s="152">
        <f>SUM(C14:C18)</f>
        <v>539536000</v>
      </c>
      <c r="D19" s="369"/>
      <c r="W19" s="169"/>
    </row>
    <row r="20" spans="2:23" ht="19.5" customHeight="1"/>
    <row r="21" spans="2:23" ht="19.5" customHeight="1">
      <c r="B21" s="422" t="s">
        <v>43</v>
      </c>
      <c r="C21" s="423"/>
      <c r="D21" s="423"/>
      <c r="E21" s="423"/>
      <c r="F21" s="424"/>
    </row>
    <row r="22" spans="2:23" ht="18.75" customHeight="1">
      <c r="B22" s="5" t="s">
        <v>44</v>
      </c>
      <c r="C22" s="5" t="s">
        <v>45</v>
      </c>
      <c r="D22" s="5" t="s">
        <v>46</v>
      </c>
      <c r="E22" s="5" t="s">
        <v>47</v>
      </c>
      <c r="F22" s="5" t="s">
        <v>48</v>
      </c>
    </row>
    <row r="23" spans="2:23">
      <c r="B23" s="7" t="s">
        <v>49</v>
      </c>
      <c r="C23" s="7">
        <v>80</v>
      </c>
      <c r="D23" s="7">
        <f>+C23*1</f>
        <v>80</v>
      </c>
      <c r="E23" s="8">
        <v>50000</v>
      </c>
      <c r="F23" s="8">
        <f>+D23*E23</f>
        <v>4000000</v>
      </c>
    </row>
    <row r="24" spans="2:23">
      <c r="B24" s="7" t="s">
        <v>50</v>
      </c>
      <c r="C24" s="7">
        <v>72</v>
      </c>
      <c r="D24" s="7">
        <f t="shared" ref="D24:D36" si="4">+C24*1</f>
        <v>72</v>
      </c>
      <c r="E24" s="8">
        <v>60000</v>
      </c>
      <c r="F24" s="8">
        <f t="shared" ref="F24:F33" si="5">+D24*E24</f>
        <v>4320000</v>
      </c>
    </row>
    <row r="25" spans="2:23">
      <c r="B25" s="7" t="s">
        <v>51</v>
      </c>
      <c r="C25" s="7">
        <v>120</v>
      </c>
      <c r="D25" s="7">
        <f t="shared" si="4"/>
        <v>120</v>
      </c>
      <c r="E25" s="366">
        <v>30000</v>
      </c>
      <c r="F25" s="8">
        <f t="shared" si="5"/>
        <v>3600000</v>
      </c>
    </row>
    <row r="26" spans="2:23">
      <c r="B26" s="7" t="s">
        <v>52</v>
      </c>
      <c r="C26" s="365">
        <v>200</v>
      </c>
      <c r="D26" s="7">
        <f t="shared" si="4"/>
        <v>200</v>
      </c>
      <c r="E26" s="366">
        <v>10000</v>
      </c>
      <c r="F26" s="8">
        <f t="shared" si="5"/>
        <v>2000000</v>
      </c>
    </row>
    <row r="27" spans="2:23">
      <c r="B27" s="12" t="s">
        <v>53</v>
      </c>
      <c r="C27" s="12">
        <v>76</v>
      </c>
      <c r="D27" s="7">
        <f t="shared" si="4"/>
        <v>76</v>
      </c>
      <c r="E27" s="404">
        <v>45000</v>
      </c>
      <c r="F27" s="8">
        <f t="shared" si="5"/>
        <v>3420000</v>
      </c>
    </row>
    <row r="28" spans="2:23">
      <c r="B28" s="12" t="s">
        <v>54</v>
      </c>
      <c r="C28" s="12">
        <v>50</v>
      </c>
      <c r="D28" s="7">
        <f t="shared" si="4"/>
        <v>50</v>
      </c>
      <c r="E28" s="404">
        <v>100000</v>
      </c>
      <c r="F28" s="8">
        <f t="shared" si="5"/>
        <v>5000000</v>
      </c>
    </row>
    <row r="29" spans="2:23">
      <c r="B29" s="12" t="s">
        <v>55</v>
      </c>
      <c r="C29" s="12">
        <v>100</v>
      </c>
      <c r="D29" s="7">
        <f t="shared" si="4"/>
        <v>100</v>
      </c>
      <c r="E29" s="404">
        <v>30000</v>
      </c>
      <c r="F29" s="8">
        <f t="shared" si="5"/>
        <v>3000000</v>
      </c>
    </row>
    <row r="30" spans="2:23">
      <c r="B30" s="12" t="s">
        <v>56</v>
      </c>
      <c r="C30" s="12">
        <v>30</v>
      </c>
      <c r="D30" s="7">
        <f t="shared" si="4"/>
        <v>30</v>
      </c>
      <c r="E30" s="404">
        <v>50000</v>
      </c>
      <c r="F30" s="8">
        <f t="shared" si="5"/>
        <v>1500000</v>
      </c>
    </row>
    <row r="31" spans="2:23">
      <c r="B31" s="12" t="s">
        <v>57</v>
      </c>
      <c r="C31" s="12">
        <v>20</v>
      </c>
      <c r="D31" s="7">
        <f t="shared" si="4"/>
        <v>20</v>
      </c>
      <c r="E31" s="404">
        <v>60000</v>
      </c>
      <c r="F31" s="8">
        <f t="shared" si="5"/>
        <v>1200000</v>
      </c>
    </row>
    <row r="32" spans="2:23">
      <c r="B32" s="12" t="s">
        <v>58</v>
      </c>
      <c r="C32" s="12">
        <v>1</v>
      </c>
      <c r="D32" s="7">
        <f t="shared" si="4"/>
        <v>1</v>
      </c>
      <c r="E32" s="404">
        <v>4000000</v>
      </c>
      <c r="F32" s="8">
        <f t="shared" si="5"/>
        <v>4000000</v>
      </c>
    </row>
    <row r="33" spans="2:6" ht="18" customHeight="1">
      <c r="B33" s="12" t="s">
        <v>59</v>
      </c>
      <c r="C33" s="12">
        <v>1</v>
      </c>
      <c r="D33" s="7">
        <f t="shared" si="4"/>
        <v>1</v>
      </c>
      <c r="E33" s="404">
        <v>5000000</v>
      </c>
      <c r="F33" s="8">
        <f t="shared" si="5"/>
        <v>5000000</v>
      </c>
    </row>
    <row r="34" spans="2:6" ht="18" customHeight="1">
      <c r="B34" s="12" t="s">
        <v>60</v>
      </c>
      <c r="C34" s="12">
        <v>10</v>
      </c>
      <c r="D34" s="7">
        <f t="shared" si="4"/>
        <v>10</v>
      </c>
      <c r="E34" s="404">
        <v>30000</v>
      </c>
      <c r="F34" s="8">
        <f>+D34*E34</f>
        <v>300000</v>
      </c>
    </row>
    <row r="35" spans="2:6" ht="18" customHeight="1">
      <c r="B35" s="12" t="s">
        <v>61</v>
      </c>
      <c r="C35" s="12">
        <v>1</v>
      </c>
      <c r="D35" s="7">
        <f t="shared" si="4"/>
        <v>1</v>
      </c>
      <c r="E35" s="404">
        <v>3500000</v>
      </c>
      <c r="F35" s="8">
        <f>+D35*E35</f>
        <v>3500000</v>
      </c>
    </row>
    <row r="36" spans="2:6">
      <c r="B36" s="12" t="s">
        <v>62</v>
      </c>
      <c r="C36" s="12">
        <v>2</v>
      </c>
      <c r="D36" s="7">
        <f t="shared" si="4"/>
        <v>2</v>
      </c>
      <c r="E36" s="404">
        <v>1000000</v>
      </c>
      <c r="F36" s="404">
        <f>+D36*E36</f>
        <v>2000000</v>
      </c>
    </row>
    <row r="37" spans="2:6">
      <c r="B37" s="5" t="s">
        <v>63</v>
      </c>
      <c r="C37" s="5"/>
      <c r="D37" s="5"/>
      <c r="E37" s="5"/>
      <c r="F37" s="153">
        <f>SUM(F23:F36)</f>
        <v>42840000</v>
      </c>
    </row>
    <row r="58" spans="3:4">
      <c r="C58" s="367"/>
      <c r="D58" s="367"/>
    </row>
    <row r="59" spans="3:4">
      <c r="C59" s="373"/>
      <c r="D59" s="177"/>
    </row>
    <row r="60" spans="3:4">
      <c r="D60" s="374"/>
    </row>
    <row r="61" spans="3:4">
      <c r="D61" s="374"/>
    </row>
    <row r="62" spans="3:4">
      <c r="D62" s="374"/>
    </row>
    <row r="63" spans="3:4">
      <c r="D63" s="368"/>
    </row>
  </sheetData>
  <mergeCells count="15">
    <mergeCell ref="B21:F21"/>
    <mergeCell ref="W9:Y9"/>
    <mergeCell ref="F3:H3"/>
    <mergeCell ref="R2:U2"/>
    <mergeCell ref="M2:P2"/>
    <mergeCell ref="W2:Z2"/>
    <mergeCell ref="M7:O7"/>
    <mergeCell ref="F4:H4"/>
    <mergeCell ref="F7:J7"/>
    <mergeCell ref="F2:K2"/>
    <mergeCell ref="B2:C2"/>
    <mergeCell ref="B13:C13"/>
    <mergeCell ref="F5:H5"/>
    <mergeCell ref="F6:H6"/>
    <mergeCell ref="R10:T10"/>
  </mergeCells>
  <conditionalFormatting sqref="R4:R9">
    <cfRule type="duplicateValues" dxfId="0" priority="11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FD74-8E83-4A58-A374-FDA3298AF519}">
  <dimension ref="A1:P81"/>
  <sheetViews>
    <sheetView topLeftCell="A24" workbookViewId="0">
      <selection activeCell="B60" sqref="B60"/>
    </sheetView>
  </sheetViews>
  <sheetFormatPr defaultColWidth="11.42578125" defaultRowHeight="15"/>
  <cols>
    <col min="2" max="2" width="47.7109375" customWidth="1"/>
    <col min="3" max="3" width="22.140625" bestFit="1" customWidth="1"/>
    <col min="4" max="4" width="15.42578125" bestFit="1" customWidth="1"/>
    <col min="5" max="5" width="15.85546875" customWidth="1"/>
    <col min="6" max="7" width="15.42578125" bestFit="1" customWidth="1"/>
    <col min="8" max="8" width="19.28515625" bestFit="1" customWidth="1"/>
    <col min="9" max="9" width="14" bestFit="1" customWidth="1"/>
    <col min="12" max="12" width="22.28515625" customWidth="1"/>
    <col min="13" max="16" width="18.7109375" bestFit="1" customWidth="1"/>
  </cols>
  <sheetData>
    <row r="1" spans="1:16" ht="15.75" thickBot="1">
      <c r="A1" s="171">
        <v>0.35</v>
      </c>
    </row>
    <row r="2" spans="1:16">
      <c r="B2" s="490" t="s">
        <v>304</v>
      </c>
      <c r="C2" s="491"/>
      <c r="D2" s="491"/>
      <c r="E2" s="491"/>
      <c r="F2" s="491"/>
      <c r="G2" s="491"/>
      <c r="H2" s="492"/>
    </row>
    <row r="3" spans="1:16">
      <c r="B3" s="193"/>
      <c r="C3" s="28" t="s">
        <v>305</v>
      </c>
      <c r="D3" s="28" t="s">
        <v>306</v>
      </c>
      <c r="E3" s="28" t="s">
        <v>307</v>
      </c>
      <c r="F3" s="28" t="s">
        <v>308</v>
      </c>
      <c r="G3" s="28" t="s">
        <v>309</v>
      </c>
      <c r="H3" s="28" t="s">
        <v>310</v>
      </c>
      <c r="K3" s="419" t="s">
        <v>311</v>
      </c>
      <c r="L3" s="419" t="s">
        <v>312</v>
      </c>
    </row>
    <row r="4" spans="1:16">
      <c r="B4" s="193" t="s">
        <v>313</v>
      </c>
      <c r="C4" s="33"/>
      <c r="D4" s="287">
        <f>'ANÁLISIS DE PRECIOS'!J42</f>
        <v>1308960000</v>
      </c>
      <c r="E4" s="287">
        <f>'ANÁLISIS DE PRECIOS'!K42</f>
        <v>1479015719.9999998</v>
      </c>
      <c r="F4" s="287">
        <f>'ANÁLISIS DE PRECIOS'!L42</f>
        <v>1661275964.8799996</v>
      </c>
      <c r="G4" s="287">
        <f>'ANÁLISIS DE PRECIOS'!M42</f>
        <v>1856475890.7533994</v>
      </c>
      <c r="H4" s="287">
        <f>'ANÁLISIS DE PRECIOS'!N42</f>
        <v>2065391310.9928484</v>
      </c>
      <c r="K4" s="419" t="s">
        <v>306</v>
      </c>
      <c r="L4" s="420">
        <f>+D5</f>
        <v>883195222.96000004</v>
      </c>
    </row>
    <row r="5" spans="1:16">
      <c r="B5" s="193" t="s">
        <v>314</v>
      </c>
      <c r="C5" s="33"/>
      <c r="D5" s="287">
        <f>CIF!$C$61+('MANO DE OBRA'!$G$170*12)+('INVERSIÓN TOTAL'!F37*12)</f>
        <v>883195222.96000004</v>
      </c>
      <c r="E5" s="287">
        <f>D5*(1+5%)</f>
        <v>927354984.10800004</v>
      </c>
      <c r="F5" s="287">
        <f t="shared" ref="F5:H5" si="0">E5*(1+5%)</f>
        <v>973722733.31340003</v>
      </c>
      <c r="G5" s="287">
        <f t="shared" si="0"/>
        <v>1022408869.9790701</v>
      </c>
      <c r="H5" s="287">
        <f t="shared" si="0"/>
        <v>1073529313.4780236</v>
      </c>
      <c r="K5" s="419" t="s">
        <v>307</v>
      </c>
      <c r="L5" s="420">
        <f>+E5</f>
        <v>927354984.10800004</v>
      </c>
    </row>
    <row r="6" spans="1:16">
      <c r="B6" s="288" t="s">
        <v>315</v>
      </c>
      <c r="C6" s="65"/>
      <c r="D6" s="289">
        <f>+D4-D5</f>
        <v>425764777.03999996</v>
      </c>
      <c r="E6" s="289">
        <f t="shared" ref="E6:H6" si="1">+E4-E5</f>
        <v>551660735.89199972</v>
      </c>
      <c r="F6" s="289">
        <f t="shared" si="1"/>
        <v>687553231.56659961</v>
      </c>
      <c r="G6" s="289">
        <f t="shared" si="1"/>
        <v>834067020.7743293</v>
      </c>
      <c r="H6" s="290">
        <f t="shared" si="1"/>
        <v>991861997.51482475</v>
      </c>
      <c r="K6" s="419" t="s">
        <v>308</v>
      </c>
      <c r="L6" s="420">
        <f>+F5</f>
        <v>973722733.31340003</v>
      </c>
    </row>
    <row r="7" spans="1:16">
      <c r="B7" s="493" t="s">
        <v>316</v>
      </c>
      <c r="C7" s="494"/>
      <c r="D7" s="494"/>
      <c r="E7" s="494"/>
      <c r="F7" s="494"/>
      <c r="G7" s="494"/>
      <c r="H7" s="495"/>
      <c r="K7" s="419" t="s">
        <v>309</v>
      </c>
      <c r="L7" s="421">
        <f>+G5</f>
        <v>1022408869.9790701</v>
      </c>
      <c r="M7" s="104"/>
      <c r="N7" s="104"/>
      <c r="O7" s="104"/>
      <c r="P7" s="104"/>
    </row>
    <row r="8" spans="1:16">
      <c r="B8" s="193" t="s">
        <v>317</v>
      </c>
      <c r="C8" s="33"/>
      <c r="D8" s="287">
        <f>'GASTOS ADMINISTRATIVOS'!D54</f>
        <v>3024488</v>
      </c>
      <c r="E8" s="287">
        <f>D8</f>
        <v>3024488</v>
      </c>
      <c r="F8" s="287">
        <f t="shared" ref="F8:H8" si="2">E8</f>
        <v>3024488</v>
      </c>
      <c r="G8" s="287">
        <f t="shared" si="2"/>
        <v>3024488</v>
      </c>
      <c r="H8" s="287">
        <f t="shared" si="2"/>
        <v>3024488</v>
      </c>
      <c r="K8" s="419" t="s">
        <v>310</v>
      </c>
      <c r="L8" s="418">
        <f>+H5</f>
        <v>1073529313.4780236</v>
      </c>
      <c r="M8" s="262"/>
      <c r="N8" s="262"/>
      <c r="O8" s="262"/>
      <c r="P8" s="262"/>
    </row>
    <row r="9" spans="1:16">
      <c r="B9" s="193" t="s">
        <v>318</v>
      </c>
      <c r="C9" s="33"/>
      <c r="D9" s="287">
        <f>'GASTOS ADMINISTRATIVOS'!D52</f>
        <v>6300000</v>
      </c>
      <c r="E9" s="287">
        <f>D9*(1+5%)</f>
        <v>6615000</v>
      </c>
      <c r="F9" s="287">
        <f t="shared" ref="F9:H9" si="3">E9*(1+5%)</f>
        <v>6945750</v>
      </c>
      <c r="G9" s="287">
        <f t="shared" si="3"/>
        <v>7293037.5</v>
      </c>
      <c r="H9" s="287">
        <f t="shared" si="3"/>
        <v>7657689.375</v>
      </c>
      <c r="J9" s="568"/>
      <c r="K9" s="568"/>
      <c r="L9" s="262"/>
      <c r="M9" s="262"/>
      <c r="N9" s="262"/>
      <c r="O9" s="262"/>
      <c r="P9" s="262"/>
    </row>
    <row r="10" spans="1:16">
      <c r="B10" s="193" t="s">
        <v>319</v>
      </c>
      <c r="C10" s="33"/>
      <c r="D10" s="287">
        <f>'GASTOS ADMINISTRATIVOS'!D49+'GASTOS ADMINISTRATIVOS'!D50</f>
        <v>42769296</v>
      </c>
      <c r="E10" s="287">
        <f>D10</f>
        <v>42769296</v>
      </c>
      <c r="F10" s="287">
        <f>E10</f>
        <v>42769296</v>
      </c>
      <c r="G10" s="287">
        <f>F10</f>
        <v>42769296</v>
      </c>
      <c r="H10" s="287">
        <f>G10</f>
        <v>42769296</v>
      </c>
      <c r="J10" s="568"/>
      <c r="K10" s="568"/>
      <c r="L10" s="262"/>
      <c r="M10" s="262"/>
      <c r="N10" s="262"/>
      <c r="O10" s="262"/>
      <c r="P10" s="262"/>
    </row>
    <row r="11" spans="1:16">
      <c r="B11" s="193" t="s">
        <v>320</v>
      </c>
      <c r="C11" s="33"/>
      <c r="D11" s="287">
        <f>'MANO DE OBRA'!H170*12</f>
        <v>256734162.80000001</v>
      </c>
      <c r="E11" s="287">
        <f>D11*(1+5%)</f>
        <v>269570870.94</v>
      </c>
      <c r="F11" s="287">
        <f t="shared" ref="F11:H11" si="4">E11*(1+5%)</f>
        <v>283049414.48699999</v>
      </c>
      <c r="G11" s="287">
        <f t="shared" si="4"/>
        <v>297201885.21135002</v>
      </c>
      <c r="H11" s="287">
        <f t="shared" si="4"/>
        <v>312061979.47191751</v>
      </c>
      <c r="J11" s="568"/>
      <c r="K11" s="568"/>
      <c r="L11" s="262"/>
      <c r="M11" s="262"/>
      <c r="N11" s="262"/>
      <c r="O11" s="262"/>
      <c r="P11" s="262"/>
    </row>
    <row r="12" spans="1:16">
      <c r="B12" s="288" t="s">
        <v>321</v>
      </c>
      <c r="C12" s="65"/>
      <c r="D12" s="291">
        <f>SUM(D8:D11)</f>
        <v>308827946.80000001</v>
      </c>
      <c r="E12" s="291">
        <f>SUM(E8:E11)</f>
        <v>321979654.94</v>
      </c>
      <c r="F12" s="291">
        <f>SUM(F8:F11)</f>
        <v>335788948.48699999</v>
      </c>
      <c r="G12" s="291">
        <f>SUM(G8:G11)</f>
        <v>350288706.71135002</v>
      </c>
      <c r="H12" s="292">
        <f>SUM(H8:H11)</f>
        <v>365513452.84691751</v>
      </c>
    </row>
    <row r="13" spans="1:16">
      <c r="B13" s="496" t="s">
        <v>322</v>
      </c>
      <c r="C13" s="497"/>
      <c r="D13" s="497"/>
      <c r="E13" s="497"/>
      <c r="F13" s="497"/>
      <c r="G13" s="497"/>
      <c r="H13" s="498"/>
    </row>
    <row r="14" spans="1:16">
      <c r="B14" s="193" t="s">
        <v>323</v>
      </c>
      <c r="C14" s="33"/>
      <c r="D14" s="293"/>
      <c r="E14" s="293">
        <v>0</v>
      </c>
      <c r="F14" s="293">
        <v>0</v>
      </c>
      <c r="G14" s="293">
        <v>0</v>
      </c>
      <c r="H14" s="294">
        <v>0</v>
      </c>
    </row>
    <row r="15" spans="1:16">
      <c r="B15" s="193" t="s">
        <v>324</v>
      </c>
      <c r="C15" s="33"/>
      <c r="D15" s="293">
        <v>0</v>
      </c>
      <c r="E15" s="293">
        <v>0</v>
      </c>
      <c r="F15" s="293">
        <v>0</v>
      </c>
      <c r="G15" s="293">
        <v>0</v>
      </c>
      <c r="H15" s="294">
        <v>0</v>
      </c>
    </row>
    <row r="16" spans="1:16">
      <c r="B16" s="288" t="s">
        <v>325</v>
      </c>
      <c r="C16" s="65"/>
      <c r="D16" s="289">
        <f>+D14+D15</f>
        <v>0</v>
      </c>
      <c r="E16" s="289">
        <f t="shared" ref="E16:H16" si="5">+E14+E15</f>
        <v>0</v>
      </c>
      <c r="F16" s="289">
        <f t="shared" si="5"/>
        <v>0</v>
      </c>
      <c r="G16" s="289">
        <f t="shared" si="5"/>
        <v>0</v>
      </c>
      <c r="H16" s="290">
        <f t="shared" si="5"/>
        <v>0</v>
      </c>
    </row>
    <row r="17" spans="2:9">
      <c r="B17" s="288" t="s">
        <v>326</v>
      </c>
      <c r="C17" s="65"/>
      <c r="D17" s="289">
        <f>+D6-D12-D16</f>
        <v>116936830.23999995</v>
      </c>
      <c r="E17" s="289">
        <f>+E6-E12-E16</f>
        <v>229681080.95199972</v>
      </c>
      <c r="F17" s="289">
        <f>+F6-F12-F16</f>
        <v>351764283.07959962</v>
      </c>
      <c r="G17" s="289">
        <f>+G6-G12-G16</f>
        <v>483778314.06297928</v>
      </c>
      <c r="H17" s="290">
        <f>+H6-H12-H16</f>
        <v>626348544.66790724</v>
      </c>
    </row>
    <row r="18" spans="2:9">
      <c r="B18" s="193" t="s">
        <v>327</v>
      </c>
      <c r="C18" s="65"/>
      <c r="D18" s="287">
        <f>'ANÁLISIS DE PRECIOS'!E33</f>
        <v>82800000</v>
      </c>
      <c r="E18" s="287">
        <f>+D18*(1+5%)</f>
        <v>86940000</v>
      </c>
      <c r="F18" s="287">
        <f>+E18*(1+5%)</f>
        <v>91287000</v>
      </c>
      <c r="G18" s="287">
        <f>+F18*(1+5%)</f>
        <v>95851350</v>
      </c>
      <c r="H18" s="287">
        <f>+G18*(1+5%)</f>
        <v>100643917.5</v>
      </c>
    </row>
    <row r="19" spans="2:9">
      <c r="B19" s="193" t="s">
        <v>328</v>
      </c>
      <c r="C19" s="33"/>
      <c r="D19" s="287">
        <f>SUM(AMORTIZACIONES!E8:E19)</f>
        <v>76049564.414770633</v>
      </c>
      <c r="E19" s="287">
        <f>SUM(AMORTIZACIONES!E20:E31)</f>
        <v>65710829.786793843</v>
      </c>
      <c r="F19" s="287">
        <f>SUM(AMORTIZACIONES!E32:E43)</f>
        <v>52934187.184523053</v>
      </c>
      <c r="G19" s="287">
        <f>SUM(AMORTIZACIONES!E44:E55)</f>
        <v>37144769.808007322</v>
      </c>
      <c r="H19" s="287">
        <f>SUM(AMORTIZACIONES!E56:E67)</f>
        <v>17632155.355951853</v>
      </c>
    </row>
    <row r="20" spans="2:9">
      <c r="B20" s="288" t="s">
        <v>329</v>
      </c>
      <c r="C20" s="65"/>
      <c r="D20" s="289">
        <f>+D17+D18-D19</f>
        <v>123687265.82522932</v>
      </c>
      <c r="E20" s="289">
        <f>+E17+E18-E19</f>
        <v>250910251.1652059</v>
      </c>
      <c r="F20" s="289">
        <f>+F17+F18-F19</f>
        <v>390117095.89507657</v>
      </c>
      <c r="G20" s="289">
        <f>+G17+G18-G19</f>
        <v>542484894.25497186</v>
      </c>
      <c r="H20" s="289">
        <f>+H17+H18-H19</f>
        <v>709360306.81195533</v>
      </c>
    </row>
    <row r="21" spans="2:9">
      <c r="B21" s="193" t="s">
        <v>330</v>
      </c>
      <c r="C21" s="33"/>
      <c r="D21" s="293">
        <f>+IF(D20&gt;0,D20*$A$1,0)</f>
        <v>43290543.038830258</v>
      </c>
      <c r="E21" s="293">
        <f t="shared" ref="E21:H21" si="6">+IF(E20&gt;0,E20*$A$1,0)</f>
        <v>87818587.907822058</v>
      </c>
      <c r="F21" s="293">
        <f t="shared" si="6"/>
        <v>136540983.5632768</v>
      </c>
      <c r="G21" s="293">
        <f t="shared" si="6"/>
        <v>189869712.98924014</v>
      </c>
      <c r="H21" s="293">
        <f t="shared" si="6"/>
        <v>248276107.38418436</v>
      </c>
    </row>
    <row r="22" spans="2:9">
      <c r="B22" s="288" t="s">
        <v>331</v>
      </c>
      <c r="C22" s="65"/>
      <c r="D22" s="289">
        <f>+D20-D21</f>
        <v>80396722.786399066</v>
      </c>
      <c r="E22" s="289">
        <f t="shared" ref="E22:H22" si="7">+E20-E21</f>
        <v>163091663.25738382</v>
      </c>
      <c r="F22" s="289">
        <f t="shared" si="7"/>
        <v>253576112.33179978</v>
      </c>
      <c r="G22" s="289">
        <f t="shared" si="7"/>
        <v>352615181.26573169</v>
      </c>
      <c r="H22" s="290">
        <f t="shared" si="7"/>
        <v>461084199.42777097</v>
      </c>
    </row>
    <row r="23" spans="2:9">
      <c r="B23" s="193" t="s">
        <v>178</v>
      </c>
      <c r="C23" s="33"/>
      <c r="D23" s="293">
        <f>DEPRECIACIÓN!$D$52</f>
        <v>37806100</v>
      </c>
      <c r="E23" s="293">
        <f>DEPRECIACIÓN!$D$52</f>
        <v>37806100</v>
      </c>
      <c r="F23" s="293">
        <f>DEPRECIACIÓN!$D$52</f>
        <v>37806100</v>
      </c>
      <c r="G23" s="293">
        <f>DEPRECIACIÓN!$D$52</f>
        <v>37806100</v>
      </c>
      <c r="H23" s="293">
        <f>DEPRECIACIÓN!$D$52</f>
        <v>37806100</v>
      </c>
    </row>
    <row r="24" spans="2:9">
      <c r="B24" s="193" t="s">
        <v>184</v>
      </c>
      <c r="C24" s="33"/>
      <c r="D24" s="293">
        <f>'BALANCE GENERAL'!D19</f>
        <v>682000</v>
      </c>
      <c r="E24" s="293">
        <f>D24</f>
        <v>682000</v>
      </c>
      <c r="F24" s="293">
        <f t="shared" ref="F24:H24" si="8">E24</f>
        <v>682000</v>
      </c>
      <c r="G24" s="293">
        <f t="shared" si="8"/>
        <v>682000</v>
      </c>
      <c r="H24" s="293">
        <f t="shared" si="8"/>
        <v>682000</v>
      </c>
    </row>
    <row r="25" spans="2:9">
      <c r="B25" s="288" t="s">
        <v>332</v>
      </c>
      <c r="C25" s="65"/>
      <c r="D25" s="295">
        <f>+D22+D23+D24</f>
        <v>118884822.78639907</v>
      </c>
      <c r="E25" s="295">
        <f t="shared" ref="E25:H25" si="9">+E22+E23+E24</f>
        <v>201579763.25738382</v>
      </c>
      <c r="F25" s="295">
        <f t="shared" si="9"/>
        <v>292064212.33179975</v>
      </c>
      <c r="G25" s="295">
        <f t="shared" si="9"/>
        <v>391103281.26573169</v>
      </c>
      <c r="H25" s="295">
        <f t="shared" si="9"/>
        <v>499572299.42777097</v>
      </c>
    </row>
    <row r="26" spans="2:9">
      <c r="B26" s="193" t="s">
        <v>299</v>
      </c>
      <c r="C26" s="296"/>
      <c r="D26" s="293">
        <f>'BALANCE GENERAL'!E31</f>
        <v>14952789.622000039</v>
      </c>
      <c r="E26" s="293">
        <f>'BALANCE GENERAL'!F31</f>
        <v>15700429.103100002</v>
      </c>
      <c r="F26" s="293">
        <f>'BALANCE GENERAL'!G31</f>
        <v>16485450.558255017</v>
      </c>
      <c r="G26" s="293">
        <f>'BALANCE GENERAL'!H31</f>
        <v>17309723.086167753</v>
      </c>
      <c r="H26" s="293">
        <f>'BALANCE GENERAL'!I31</f>
        <v>18175209.240476131</v>
      </c>
    </row>
    <row r="27" spans="2:9">
      <c r="B27" s="193" t="s">
        <v>333</v>
      </c>
      <c r="C27" s="293"/>
      <c r="D27" s="33"/>
      <c r="E27" s="287">
        <v>0</v>
      </c>
      <c r="F27" s="287">
        <v>0</v>
      </c>
      <c r="G27" s="287">
        <v>0</v>
      </c>
      <c r="H27" s="297">
        <v>0</v>
      </c>
    </row>
    <row r="28" spans="2:9">
      <c r="B28" s="193" t="s">
        <v>334</v>
      </c>
      <c r="C28" s="293"/>
      <c r="D28" s="293">
        <f>SUM(AMORTIZACIONES!F8:F19)</f>
        <v>43844736.895238534</v>
      </c>
      <c r="E28" s="293">
        <f>SUM(AMORTIZACIONES!F20:F31)</f>
        <v>54183471.523215309</v>
      </c>
      <c r="F28" s="293">
        <f>SUM(AMORTIZACIONES!F32:F43)</f>
        <v>66960114.125486121</v>
      </c>
      <c r="G28" s="293">
        <f>SUM(AMORTIZACIONES!F44:F55)</f>
        <v>82749531.502001852</v>
      </c>
      <c r="H28" s="293">
        <f>SUM(AMORTIZACIONES!F56:F67)</f>
        <v>102262145.95405731</v>
      </c>
      <c r="I28" s="170"/>
    </row>
    <row r="29" spans="2:9">
      <c r="B29" s="288" t="s">
        <v>335</v>
      </c>
      <c r="C29" s="291"/>
      <c r="D29" s="295">
        <f>+D25-D26-D28</f>
        <v>60087296.269160494</v>
      </c>
      <c r="E29" s="295">
        <f>+E25-E26-E28</f>
        <v>131695862.63106851</v>
      </c>
      <c r="F29" s="295">
        <f t="shared" ref="F29:H29" si="10">+F25-F26-F28</f>
        <v>208618647.64805859</v>
      </c>
      <c r="G29" s="295">
        <f t="shared" si="10"/>
        <v>291044026.67756212</v>
      </c>
      <c r="H29" s="298">
        <f t="shared" si="10"/>
        <v>379134944.2332375</v>
      </c>
    </row>
    <row r="30" spans="2:9">
      <c r="B30" s="193" t="s">
        <v>336</v>
      </c>
      <c r="C30" s="299">
        <f>'INVERSIÓN TOTAL'!C19</f>
        <v>539536000</v>
      </c>
      <c r="D30" s="293"/>
      <c r="E30" s="293"/>
      <c r="F30" s="293"/>
      <c r="G30" s="293"/>
      <c r="H30" s="294"/>
    </row>
    <row r="31" spans="2:9">
      <c r="B31" s="193" t="s">
        <v>337</v>
      </c>
      <c r="C31" s="299">
        <f>'COSTO CAPITAL DE TRABAJO'!H8</f>
        <v>299055792.44</v>
      </c>
      <c r="D31" s="293"/>
      <c r="E31" s="293"/>
      <c r="F31" s="293"/>
      <c r="G31" s="293"/>
      <c r="H31" s="294"/>
    </row>
    <row r="32" spans="2:9">
      <c r="B32" s="193" t="s">
        <v>338</v>
      </c>
      <c r="C32" s="299">
        <f>'COSTO CAPITAL DE TRABAJO'!D17</f>
        <v>3410000</v>
      </c>
      <c r="D32" s="293"/>
      <c r="E32" s="293"/>
      <c r="F32" s="293"/>
      <c r="G32" s="293"/>
      <c r="H32" s="294"/>
    </row>
    <row r="33" spans="2:8">
      <c r="B33" s="193" t="s">
        <v>339</v>
      </c>
      <c r="C33" s="299">
        <f>AMORTIZACIONES!G2</f>
        <v>350000000</v>
      </c>
      <c r="D33" s="299"/>
      <c r="E33" s="287">
        <v>0</v>
      </c>
      <c r="F33" s="287">
        <v>0</v>
      </c>
      <c r="G33" s="287">
        <v>0</v>
      </c>
      <c r="H33" s="297">
        <v>0</v>
      </c>
    </row>
    <row r="34" spans="2:8" ht="15.75">
      <c r="B34" s="193" t="s">
        <v>340</v>
      </c>
      <c r="C34" s="216"/>
      <c r="D34" s="299"/>
      <c r="E34" s="287">
        <v>0</v>
      </c>
      <c r="F34" s="287">
        <v>0</v>
      </c>
      <c r="G34" s="287">
        <v>0</v>
      </c>
      <c r="H34" s="297">
        <v>0</v>
      </c>
    </row>
    <row r="35" spans="2:8" ht="15.75">
      <c r="B35" s="193" t="s">
        <v>341</v>
      </c>
      <c r="C35" s="217"/>
      <c r="D35" s="299"/>
      <c r="E35" s="287"/>
      <c r="F35" s="287"/>
      <c r="G35" s="287"/>
      <c r="H35" s="297">
        <f>'BALANCE GENERAL'!H22</f>
        <v>732184894.049999</v>
      </c>
    </row>
    <row r="36" spans="2:8" ht="15.75">
      <c r="B36" s="288" t="s">
        <v>342</v>
      </c>
      <c r="C36" s="152">
        <f>-C30-C31-C32+C33+C34</f>
        <v>-492001792.44000006</v>
      </c>
      <c r="D36" s="291">
        <f>+D29-D30-D31-D32+D33+D34+D35</f>
        <v>60087296.269160494</v>
      </c>
      <c r="E36" s="291">
        <f>+E29-E30-E31-E32+E33+E34+E35</f>
        <v>131695862.63106851</v>
      </c>
      <c r="F36" s="291">
        <f t="shared" ref="F36" si="11">+F29-F30-F31-F32+F33+F34+F35</f>
        <v>208618647.64805859</v>
      </c>
      <c r="G36" s="291">
        <f>+G29-G30-G31-G32+G33+G34+G35</f>
        <v>291044026.67756212</v>
      </c>
      <c r="H36" s="292">
        <f>+H29-H30-H31-H32+H33+H34+H35</f>
        <v>1111319838.2832365</v>
      </c>
    </row>
    <row r="37" spans="2:8">
      <c r="B37" s="193" t="s">
        <v>343</v>
      </c>
      <c r="C37" s="299">
        <f>+C33</f>
        <v>350000000</v>
      </c>
      <c r="D37" s="287">
        <f>+D28+D19*(1-35%)</f>
        <v>93276953.764839441</v>
      </c>
      <c r="E37" s="287">
        <f>+E28+E19*(1-35%)</f>
        <v>96895510.884631306</v>
      </c>
      <c r="F37" s="287">
        <f t="shared" ref="F37:H37" si="12">+F28+F19*(1-35%)</f>
        <v>101367335.7954261</v>
      </c>
      <c r="G37" s="287">
        <f t="shared" si="12"/>
        <v>106893631.87720661</v>
      </c>
      <c r="H37" s="287">
        <f t="shared" si="12"/>
        <v>113723046.93542601</v>
      </c>
    </row>
    <row r="38" spans="2:8" ht="15.75" thickBot="1">
      <c r="B38" s="203" t="s">
        <v>344</v>
      </c>
      <c r="C38" s="300">
        <f>+C36-C37</f>
        <v>-842001792.44000006</v>
      </c>
      <c r="D38" s="301">
        <f>+D36+D37</f>
        <v>153364250.03399992</v>
      </c>
      <c r="E38" s="301">
        <f>+E36+E37</f>
        <v>228591373.5156998</v>
      </c>
      <c r="F38" s="301">
        <f t="shared" ref="F38:G38" si="13">+F36+F37</f>
        <v>309985983.44348466</v>
      </c>
      <c r="G38" s="301">
        <f t="shared" si="13"/>
        <v>397937658.55476874</v>
      </c>
      <c r="H38" s="302">
        <f>+H36+H37</f>
        <v>1225042885.2186625</v>
      </c>
    </row>
    <row r="39" spans="2:8" ht="15.75" thickBot="1"/>
    <row r="40" spans="2:8">
      <c r="B40" s="281" t="s">
        <v>345</v>
      </c>
      <c r="C40" s="323">
        <f>IRR(C38:H38)</f>
        <v>0.30947355981627744</v>
      </c>
      <c r="D40" s="278">
        <f>'BALANCE GENERAL'!D44</f>
        <v>0.13120098300978905</v>
      </c>
      <c r="E40" s="278">
        <f>'BALANCE GENERAL'!E44</f>
        <v>0.12962903972731227</v>
      </c>
      <c r="F40" s="278">
        <f>'BALANCE GENERAL'!F44</f>
        <v>0.12746150830766309</v>
      </c>
      <c r="G40" s="278">
        <f>'BALANCE GENERAL'!G44</f>
        <v>0.12453257841262019</v>
      </c>
      <c r="H40" s="278">
        <f>'BALANCE GENERAL'!H44</f>
        <v>0.12063312088003569</v>
      </c>
    </row>
    <row r="41" spans="2:8" ht="15.75" thickBot="1">
      <c r="B41" s="282" t="s">
        <v>346</v>
      </c>
      <c r="C41" s="283">
        <f>+SUM(D41:H41)+C38</f>
        <v>607989687.31534863</v>
      </c>
      <c r="D41" s="182">
        <f>+D38/(1+D40)</f>
        <v>135576482.28517562</v>
      </c>
      <c r="E41" s="182">
        <f>+E38/(1+E40)/(1+D40)</f>
        <v>178889238.3123917</v>
      </c>
      <c r="F41" s="182">
        <f>+F38/(1+F40)/(1+E40)/(1+D40)</f>
        <v>215161573.03133875</v>
      </c>
      <c r="G41" s="182">
        <f>+G38/(1+G40)/(1+F40)/(1+E40)/(1+D40)</f>
        <v>245621088.87945068</v>
      </c>
      <c r="H41" s="182">
        <f>+H38/(1+H40)/(1+G40)/(1+F40)/(1+E40)/(1+D40)</f>
        <v>674743097.24699175</v>
      </c>
    </row>
    <row r="42" spans="2:8">
      <c r="B42" s="265"/>
      <c r="C42" s="170"/>
      <c r="D42" s="170"/>
      <c r="E42" s="170"/>
      <c r="F42" s="170"/>
      <c r="G42" s="170"/>
      <c r="H42" s="170"/>
    </row>
    <row r="44" spans="2:8">
      <c r="E44" s="321"/>
    </row>
    <row r="45" spans="2:8">
      <c r="D45" s="319"/>
    </row>
    <row r="46" spans="2:8">
      <c r="B46" s="170"/>
      <c r="D46" s="267"/>
    </row>
    <row r="47" spans="2:8">
      <c r="B47" s="317"/>
      <c r="G47" s="110"/>
      <c r="H47" s="110"/>
    </row>
    <row r="48" spans="2:8">
      <c r="G48" s="110"/>
      <c r="H48" s="278"/>
    </row>
    <row r="49" spans="1:8">
      <c r="C49" s="170"/>
      <c r="G49" s="110"/>
      <c r="H49" s="278"/>
    </row>
    <row r="50" spans="1:8">
      <c r="A50" s="135"/>
      <c r="B50" s="135" t="s">
        <v>347</v>
      </c>
      <c r="C50" s="135" t="s">
        <v>348</v>
      </c>
      <c r="G50" s="110"/>
      <c r="H50" s="278"/>
    </row>
    <row r="51" spans="1:8">
      <c r="A51" s="33">
        <v>0</v>
      </c>
      <c r="B51" s="299">
        <f>C38</f>
        <v>-842001792.44000006</v>
      </c>
      <c r="C51" s="299">
        <f>B51</f>
        <v>-842001792.44000006</v>
      </c>
      <c r="G51" s="110"/>
      <c r="H51" s="278"/>
    </row>
    <row r="52" spans="1:8">
      <c r="A52" s="33">
        <v>1</v>
      </c>
      <c r="B52" s="287">
        <f>D38</f>
        <v>153364250.03399992</v>
      </c>
      <c r="C52" s="299">
        <f>C51+B52</f>
        <v>-688637542.40600014</v>
      </c>
      <c r="G52" s="110"/>
      <c r="H52" s="278"/>
    </row>
    <row r="53" spans="1:8">
      <c r="A53" s="33">
        <v>2</v>
      </c>
      <c r="B53" s="287">
        <f>E38</f>
        <v>228591373.5156998</v>
      </c>
      <c r="C53" s="299">
        <f>C52+B53</f>
        <v>-460046168.89030033</v>
      </c>
      <c r="D53" s="405"/>
      <c r="E53" s="405"/>
      <c r="F53" s="405"/>
      <c r="G53" s="415"/>
      <c r="H53" s="416"/>
    </row>
    <row r="54" spans="1:8">
      <c r="A54" s="33">
        <v>3</v>
      </c>
      <c r="B54" s="287">
        <f>F38</f>
        <v>309985983.44348466</v>
      </c>
      <c r="C54" s="299">
        <f>C53+B54</f>
        <v>-150060185.44681567</v>
      </c>
    </row>
    <row r="55" spans="1:8">
      <c r="A55" s="33">
        <v>4</v>
      </c>
      <c r="B55" s="287">
        <f>G38</f>
        <v>397937658.55476874</v>
      </c>
      <c r="C55" s="299">
        <f t="shared" ref="C55" si="14">C54+B55</f>
        <v>247877473.10795307</v>
      </c>
    </row>
    <row r="56" spans="1:8">
      <c r="A56" s="33">
        <v>5</v>
      </c>
      <c r="B56" s="287">
        <f>H38</f>
        <v>1225042885.2186625</v>
      </c>
      <c r="C56" s="299">
        <f>C55+B56</f>
        <v>1472920358.3266156</v>
      </c>
    </row>
    <row r="58" spans="1:8">
      <c r="A58" t="s">
        <v>349</v>
      </c>
      <c r="B58" s="284" t="s">
        <v>350</v>
      </c>
      <c r="D58">
        <f>A54+ABS(C54)/B55</f>
        <v>3.3770947087335355</v>
      </c>
      <c r="E58" s="360">
        <f>(D58-C59)*(12/1)</f>
        <v>4.5251365048024255</v>
      </c>
      <c r="F58">
        <f>(E58-D59)*(30/1)</f>
        <v>15.754095144072764</v>
      </c>
    </row>
    <row r="59" spans="1:8">
      <c r="B59" s="170"/>
      <c r="C59">
        <f>INT(D58)</f>
        <v>3</v>
      </c>
      <c r="D59" s="259">
        <f>INT(E58)</f>
        <v>4</v>
      </c>
      <c r="E59">
        <f>INT(F58)</f>
        <v>15</v>
      </c>
    </row>
    <row r="60" spans="1:8">
      <c r="B60" s="170"/>
    </row>
    <row r="61" spans="1:8">
      <c r="B61" s="170"/>
    </row>
    <row r="63" spans="1:8">
      <c r="B63" s="285"/>
    </row>
    <row r="67" spans="2:8">
      <c r="B67" s="170"/>
      <c r="C67" s="170"/>
    </row>
    <row r="68" spans="2:8">
      <c r="B68" s="170"/>
      <c r="C68" s="170"/>
    </row>
    <row r="74" spans="2:8">
      <c r="B74" s="286"/>
    </row>
    <row r="77" spans="2:8">
      <c r="C77">
        <f>A55+ABS(C55)/B56</f>
        <v>4.2023418739856675</v>
      </c>
    </row>
    <row r="79" spans="2:8">
      <c r="F79">
        <f>384/38</f>
        <v>10.105263157894736</v>
      </c>
      <c r="G79">
        <f>+G81*0.8</f>
        <v>307.32799999999997</v>
      </c>
      <c r="H79">
        <f>+G79+H81</f>
        <v>384.15999999999997</v>
      </c>
    </row>
    <row r="80" spans="2:8">
      <c r="F80">
        <f>1.96^2*0.5*0.5</f>
        <v>0.96039999999999992</v>
      </c>
    </row>
    <row r="81" spans="6:8">
      <c r="F81">
        <f>0.05^2</f>
        <v>2.5000000000000005E-3</v>
      </c>
      <c r="G81">
        <f>+F80/F81</f>
        <v>384.15999999999991</v>
      </c>
      <c r="H81">
        <f>+G81*0.2</f>
        <v>76.831999999999994</v>
      </c>
    </row>
  </sheetData>
  <mergeCells count="6">
    <mergeCell ref="B2:H2"/>
    <mergeCell ref="B7:H7"/>
    <mergeCell ref="B13:H13"/>
    <mergeCell ref="J9:K9"/>
    <mergeCell ref="J10:K10"/>
    <mergeCell ref="J11:K11"/>
  </mergeCells>
  <phoneticPr fontId="29" type="noConversion"/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562D-4EB1-4774-A3E9-DD32DF097F1D}">
  <dimension ref="C1:I78"/>
  <sheetViews>
    <sheetView topLeftCell="A46" workbookViewId="0">
      <selection activeCell="D56" sqref="D56"/>
    </sheetView>
  </sheetViews>
  <sheetFormatPr defaultColWidth="11.42578125" defaultRowHeight="15"/>
  <cols>
    <col min="3" max="4" width="19" customWidth="1"/>
    <col min="5" max="9" width="19.28515625" bestFit="1" customWidth="1"/>
  </cols>
  <sheetData>
    <row r="1" spans="3:9" ht="15.75" thickBot="1"/>
    <row r="2" spans="3:9" ht="15.75" thickBot="1">
      <c r="C2" s="502" t="s">
        <v>351</v>
      </c>
      <c r="D2" s="503"/>
      <c r="E2" s="503"/>
      <c r="F2" s="503"/>
      <c r="G2" s="503"/>
      <c r="H2" s="503"/>
      <c r="I2" s="504"/>
    </row>
    <row r="3" spans="3:9">
      <c r="C3" s="505" t="s">
        <v>295</v>
      </c>
      <c r="D3" s="506"/>
      <c r="E3" s="223" t="s">
        <v>306</v>
      </c>
      <c r="F3" s="223" t="s">
        <v>307</v>
      </c>
      <c r="G3" s="223" t="s">
        <v>308</v>
      </c>
      <c r="H3" s="223" t="s">
        <v>309</v>
      </c>
      <c r="I3" s="223" t="s">
        <v>310</v>
      </c>
    </row>
    <row r="4" spans="3:9">
      <c r="C4" s="507" t="s">
        <v>352</v>
      </c>
      <c r="D4" s="508"/>
      <c r="E4" s="136">
        <f>'ESTADO DE RESULTADOS Y FLUJO DE'!D17/1000000</f>
        <v>116.93683023999995</v>
      </c>
      <c r="F4" s="136">
        <f>'ESTADO DE RESULTADOS Y FLUJO DE'!E17/1000000</f>
        <v>229.68108095199972</v>
      </c>
      <c r="G4" s="136">
        <f>'ESTADO DE RESULTADOS Y FLUJO DE'!F17/1000000</f>
        <v>351.76428307959964</v>
      </c>
      <c r="H4" s="136">
        <f>'ESTADO DE RESULTADOS Y FLUJO DE'!G17/1000000</f>
        <v>483.77831406297929</v>
      </c>
      <c r="I4" s="136">
        <f>'ESTADO DE RESULTADOS Y FLUJO DE'!H17/1000000</f>
        <v>626.34854466790728</v>
      </c>
    </row>
    <row r="5" spans="3:9" ht="15.75" thickBot="1">
      <c r="C5" s="509" t="s">
        <v>353</v>
      </c>
      <c r="D5" s="510"/>
      <c r="E5" s="243">
        <f>'BALANCE GENERAL'!D22/1000000</f>
        <v>818.46648206200007</v>
      </c>
      <c r="F5" s="243">
        <f>'BALANCE GENERAL'!E22/1000000</f>
        <v>795.67881116510011</v>
      </c>
      <c r="G5" s="243">
        <f>'BALANCE GENERAL'!F22/1000000</f>
        <v>773.67616172335511</v>
      </c>
      <c r="H5" s="243">
        <f>'BALANCE GENERAL'!G22/1000000</f>
        <v>752.49778480952284</v>
      </c>
      <c r="I5" s="243">
        <f>'BALANCE GENERAL'!H22/1000000</f>
        <v>732.184894049999</v>
      </c>
    </row>
    <row r="6" spans="3:9" ht="15.75" thickBot="1">
      <c r="C6" s="511" t="s">
        <v>351</v>
      </c>
      <c r="D6" s="512"/>
      <c r="E6" s="244">
        <f>+E4/E5</f>
        <v>0.14287308375218449</v>
      </c>
      <c r="F6" s="244">
        <f t="shared" ref="F6:I6" si="0">+F4/F5</f>
        <v>0.28866054710654077</v>
      </c>
      <c r="G6" s="244">
        <f t="shared" si="0"/>
        <v>0.454666048254671</v>
      </c>
      <c r="H6" s="244">
        <f t="shared" si="0"/>
        <v>0.64289666206185103</v>
      </c>
      <c r="I6" s="245">
        <f t="shared" si="0"/>
        <v>0.85545133443457189</v>
      </c>
    </row>
    <row r="7" spans="3:9" ht="15.75" thickBot="1">
      <c r="C7" s="499" t="s">
        <v>354</v>
      </c>
      <c r="D7" s="500"/>
      <c r="E7" s="500"/>
      <c r="F7" s="500"/>
      <c r="G7" s="500"/>
      <c r="H7" s="500"/>
      <c r="I7" s="501"/>
    </row>
    <row r="8" spans="3:9">
      <c r="C8" s="241"/>
      <c r="D8" s="241"/>
      <c r="E8" s="246"/>
      <c r="F8" s="246"/>
      <c r="G8" s="246"/>
      <c r="H8" s="246"/>
      <c r="I8" s="246"/>
    </row>
    <row r="9" spans="3:9">
      <c r="C9" s="241"/>
      <c r="D9" s="241"/>
      <c r="E9" s="246"/>
      <c r="F9" s="246"/>
      <c r="G9" s="246"/>
      <c r="H9" s="246"/>
      <c r="I9" s="246"/>
    </row>
    <row r="10" spans="3:9">
      <c r="C10" s="241"/>
      <c r="D10" s="241"/>
      <c r="E10" s="246"/>
      <c r="F10" s="246"/>
      <c r="G10" s="246"/>
      <c r="H10" s="246"/>
      <c r="I10" s="246"/>
    </row>
    <row r="11" spans="3:9">
      <c r="C11" s="241"/>
      <c r="D11" s="241"/>
      <c r="E11" s="246"/>
      <c r="F11" s="246"/>
      <c r="G11" s="246"/>
      <c r="H11" s="246"/>
      <c r="I11" s="246"/>
    </row>
    <row r="20" spans="3:9" ht="15.75" thickBot="1"/>
    <row r="21" spans="3:9" ht="15.75" thickBot="1">
      <c r="C21" s="502" t="s">
        <v>355</v>
      </c>
      <c r="D21" s="503"/>
      <c r="E21" s="503"/>
      <c r="F21" s="503"/>
      <c r="G21" s="503"/>
      <c r="H21" s="503"/>
      <c r="I21" s="504"/>
    </row>
    <row r="22" spans="3:9">
      <c r="C22" s="513" t="s">
        <v>295</v>
      </c>
      <c r="D22" s="514"/>
      <c r="E22" s="223" t="s">
        <v>306</v>
      </c>
      <c r="F22" s="223" t="s">
        <v>307</v>
      </c>
      <c r="G22" s="223" t="s">
        <v>308</v>
      </c>
      <c r="H22" s="223" t="s">
        <v>309</v>
      </c>
      <c r="I22" s="223" t="s">
        <v>310</v>
      </c>
    </row>
    <row r="23" spans="3:9">
      <c r="C23" s="515" t="s">
        <v>356</v>
      </c>
      <c r="D23" s="516"/>
      <c r="E23" s="174">
        <f>'ESTADO DE RESULTADOS Y FLUJO DE'!D20/1000000</f>
        <v>123.68726582522932</v>
      </c>
      <c r="F23" s="174">
        <f>'ESTADO DE RESULTADOS Y FLUJO DE'!E20/1000000</f>
        <v>250.91025116520589</v>
      </c>
      <c r="G23" s="174">
        <f>'ESTADO DE RESULTADOS Y FLUJO DE'!F20/1000000</f>
        <v>390.11709589507655</v>
      </c>
      <c r="H23" s="174">
        <f>'ESTADO DE RESULTADOS Y FLUJO DE'!G20/1000000</f>
        <v>542.48489425497189</v>
      </c>
      <c r="I23" s="174">
        <f>'ESTADO DE RESULTADOS Y FLUJO DE'!H20/1000000</f>
        <v>709.3603068119553</v>
      </c>
    </row>
    <row r="24" spans="3:9" ht="15.75" thickBot="1">
      <c r="C24" s="517" t="s">
        <v>357</v>
      </c>
      <c r="D24" s="518"/>
      <c r="E24" s="247">
        <f>'BALANCE GENERAL'!K17/1000000</f>
        <v>512.31121895723857</v>
      </c>
      <c r="F24" s="247">
        <f>'BALANCE GENERAL'!L17/1000000</f>
        <v>543.70701958355392</v>
      </c>
      <c r="G24" s="247">
        <f>'BALANCE GENERAL'!M17/1000000</f>
        <v>588.66448426729517</v>
      </c>
      <c r="H24" s="247">
        <f>'BALANCE GENERAL'!N17/1000000</f>
        <v>650.23563885546469</v>
      </c>
      <c r="I24" s="247">
        <f>'BALANCE GENERAL'!O17/1000000</f>
        <v>732.18489404999821</v>
      </c>
    </row>
    <row r="25" spans="3:9" ht="15.75" thickBot="1">
      <c r="C25" s="502" t="s">
        <v>355</v>
      </c>
      <c r="D25" s="519"/>
      <c r="E25" s="244">
        <f>+E23/E24</f>
        <v>0.24142993799156526</v>
      </c>
      <c r="F25" s="244">
        <f t="shared" ref="F25:I25" si="1">+F23/F24</f>
        <v>0.46148061755279102</v>
      </c>
      <c r="G25" s="244">
        <f t="shared" si="1"/>
        <v>0.66271553035962649</v>
      </c>
      <c r="H25" s="244">
        <f t="shared" si="1"/>
        <v>0.83428969720860868</v>
      </c>
      <c r="I25" s="245">
        <f t="shared" si="1"/>
        <v>0.9688267438682171</v>
      </c>
    </row>
    <row r="26" spans="3:9" ht="15.75" thickBot="1">
      <c r="C26" s="499" t="s">
        <v>354</v>
      </c>
      <c r="D26" s="500"/>
      <c r="E26" s="500"/>
      <c r="F26" s="500"/>
      <c r="G26" s="500"/>
      <c r="H26" s="500"/>
      <c r="I26" s="501"/>
    </row>
    <row r="27" spans="3:9">
      <c r="C27" s="241"/>
      <c r="D27" s="241"/>
      <c r="E27" s="246"/>
      <c r="F27" s="246"/>
      <c r="G27" s="246"/>
      <c r="H27" s="246"/>
      <c r="I27" s="246"/>
    </row>
    <row r="28" spans="3:9">
      <c r="C28" s="241"/>
      <c r="D28" s="241"/>
      <c r="E28" s="246"/>
      <c r="F28" s="246"/>
      <c r="G28" s="246"/>
      <c r="H28" s="246"/>
      <c r="I28" s="246"/>
    </row>
    <row r="29" spans="3:9">
      <c r="C29" s="241"/>
      <c r="D29" s="241"/>
      <c r="E29" s="246"/>
      <c r="F29" s="246"/>
      <c r="G29" s="246"/>
      <c r="H29" s="246"/>
      <c r="I29" s="246"/>
    </row>
    <row r="30" spans="3:9">
      <c r="C30" s="241"/>
      <c r="D30" s="241"/>
      <c r="E30" s="246"/>
      <c r="F30" s="246"/>
      <c r="G30" s="246"/>
      <c r="H30" s="246"/>
      <c r="I30" s="246"/>
    </row>
    <row r="36" spans="3:9">
      <c r="C36" s="241"/>
      <c r="D36" s="241"/>
      <c r="E36" s="246"/>
      <c r="F36" s="246"/>
      <c r="G36" s="246"/>
      <c r="H36" s="246"/>
      <c r="I36" s="246"/>
    </row>
    <row r="37" spans="3:9">
      <c r="C37" s="241"/>
      <c r="D37" s="241"/>
      <c r="E37" s="246"/>
      <c r="F37" s="246"/>
      <c r="G37" s="246"/>
      <c r="H37" s="246"/>
      <c r="I37" s="246"/>
    </row>
    <row r="38" spans="3:9">
      <c r="C38" s="241"/>
      <c r="D38" s="241"/>
      <c r="E38" s="246"/>
      <c r="F38" s="246"/>
      <c r="G38" s="246"/>
      <c r="H38" s="246"/>
      <c r="I38" s="246"/>
    </row>
    <row r="39" spans="3:9">
      <c r="C39" s="241"/>
      <c r="D39" s="241"/>
      <c r="E39" s="246"/>
      <c r="F39" s="246"/>
      <c r="G39" s="246"/>
      <c r="H39" s="246"/>
      <c r="I39" s="246"/>
    </row>
    <row r="44" spans="3:9" ht="15.75" thickBot="1"/>
    <row r="45" spans="3:9" ht="15.75" thickBot="1">
      <c r="C45" s="502" t="s">
        <v>358</v>
      </c>
      <c r="D45" s="503"/>
      <c r="E45" s="503"/>
      <c r="F45" s="503"/>
      <c r="G45" s="503"/>
      <c r="H45" s="503"/>
      <c r="I45" s="504"/>
    </row>
    <row r="46" spans="3:9">
      <c r="C46" s="520" t="s">
        <v>295</v>
      </c>
      <c r="D46" s="521"/>
      <c r="E46" s="223" t="s">
        <v>306</v>
      </c>
      <c r="F46" s="223" t="s">
        <v>307</v>
      </c>
      <c r="G46" s="223" t="s">
        <v>308</v>
      </c>
      <c r="H46" s="223" t="s">
        <v>309</v>
      </c>
      <c r="I46" s="223" t="s">
        <v>310</v>
      </c>
    </row>
    <row r="47" spans="3:9">
      <c r="C47" s="515" t="s">
        <v>351</v>
      </c>
      <c r="D47" s="516"/>
      <c r="E47" s="248">
        <f>+E6</f>
        <v>0.14287308375218449</v>
      </c>
      <c r="F47" s="248">
        <f>+F6</f>
        <v>0.28866054710654077</v>
      </c>
      <c r="G47" s="248">
        <f>+G6</f>
        <v>0.454666048254671</v>
      </c>
      <c r="H47" s="248">
        <f>+H6</f>
        <v>0.64289666206185103</v>
      </c>
      <c r="I47" s="249">
        <f>+I6</f>
        <v>0.85545133443457189</v>
      </c>
    </row>
    <row r="48" spans="3:9" ht="15.75" thickBot="1">
      <c r="C48" s="522" t="s">
        <v>303</v>
      </c>
      <c r="D48" s="523"/>
      <c r="E48" s="250">
        <f>'BALANCE GENERAL'!D44</f>
        <v>0.13120098300978905</v>
      </c>
      <c r="F48" s="250">
        <f>'BALANCE GENERAL'!E44</f>
        <v>0.12962903972731227</v>
      </c>
      <c r="G48" s="250">
        <f>'BALANCE GENERAL'!F44</f>
        <v>0.12746150830766309</v>
      </c>
      <c r="H48" s="250">
        <f>'BALANCE GENERAL'!G44</f>
        <v>0.12453257841262019</v>
      </c>
      <c r="I48" s="250">
        <f>'BALANCE GENERAL'!H44</f>
        <v>0.12063312088003569</v>
      </c>
    </row>
    <row r="49" spans="3:9" ht="15.75" thickBot="1">
      <c r="C49" s="502" t="s">
        <v>358</v>
      </c>
      <c r="D49" s="519"/>
      <c r="E49" s="244">
        <f>+E47-E48</f>
        <v>1.1672100742395441E-2</v>
      </c>
      <c r="F49" s="244">
        <f t="shared" ref="F49:I49" si="2">+F47-F48</f>
        <v>0.1590315073792285</v>
      </c>
      <c r="G49" s="244">
        <f t="shared" si="2"/>
        <v>0.32720453994700793</v>
      </c>
      <c r="H49" s="244">
        <f t="shared" si="2"/>
        <v>0.51836408364923081</v>
      </c>
      <c r="I49" s="245">
        <f t="shared" si="2"/>
        <v>0.73481821355453625</v>
      </c>
    </row>
    <row r="50" spans="3:9">
      <c r="C50" s="241"/>
      <c r="D50" s="241"/>
      <c r="E50" s="246"/>
      <c r="F50" s="246"/>
      <c r="G50" s="246"/>
      <c r="H50" s="246"/>
      <c r="I50" s="246"/>
    </row>
    <row r="51" spans="3:9">
      <c r="C51" s="241"/>
      <c r="D51" s="241"/>
      <c r="E51" s="246"/>
      <c r="F51" s="246"/>
      <c r="G51" s="246"/>
      <c r="H51" s="246"/>
      <c r="I51" s="246"/>
    </row>
    <row r="52" spans="3:9">
      <c r="C52" s="241"/>
      <c r="D52" s="241"/>
      <c r="E52" s="246"/>
      <c r="F52" s="246"/>
      <c r="G52" s="246"/>
      <c r="H52" s="246"/>
      <c r="I52" s="246"/>
    </row>
    <row r="53" spans="3:9">
      <c r="C53" s="241"/>
      <c r="D53" s="241"/>
      <c r="E53" s="246"/>
      <c r="F53" s="246"/>
      <c r="G53" s="246"/>
      <c r="H53" s="246"/>
      <c r="I53" s="246"/>
    </row>
    <row r="54" spans="3:9">
      <c r="C54" s="241"/>
      <c r="D54" s="241"/>
      <c r="E54" s="246"/>
      <c r="F54" s="246"/>
      <c r="G54" s="246"/>
      <c r="H54" s="246"/>
      <c r="I54" s="246"/>
    </row>
    <row r="59" spans="3:9" ht="15.75" thickBot="1"/>
    <row r="60" spans="3:9" ht="15.75" thickBot="1">
      <c r="C60" s="502" t="s">
        <v>359</v>
      </c>
      <c r="D60" s="503"/>
      <c r="E60" s="503"/>
      <c r="F60" s="503"/>
      <c r="G60" s="503"/>
      <c r="H60" s="503"/>
      <c r="I60" s="504"/>
    </row>
    <row r="61" spans="3:9">
      <c r="C61" s="524" t="s">
        <v>295</v>
      </c>
      <c r="D61" s="525"/>
      <c r="E61" s="223" t="s">
        <v>306</v>
      </c>
      <c r="F61" s="223" t="s">
        <v>307</v>
      </c>
      <c r="G61" s="223" t="s">
        <v>308</v>
      </c>
      <c r="H61" s="223" t="s">
        <v>309</v>
      </c>
      <c r="I61" s="223" t="s">
        <v>310</v>
      </c>
    </row>
    <row r="62" spans="3:9">
      <c r="C62" s="515" t="s">
        <v>358</v>
      </c>
      <c r="D62" s="516"/>
      <c r="E62" s="251">
        <f>+E49</f>
        <v>1.1672100742395441E-2</v>
      </c>
      <c r="F62" s="251">
        <f t="shared" ref="F62:I62" si="3">+F49</f>
        <v>0.1590315073792285</v>
      </c>
      <c r="G62" s="251">
        <f t="shared" si="3"/>
        <v>0.32720453994700793</v>
      </c>
      <c r="H62" s="251">
        <f t="shared" si="3"/>
        <v>0.51836408364923081</v>
      </c>
      <c r="I62" s="251">
        <f t="shared" si="3"/>
        <v>0.73481821355453625</v>
      </c>
    </row>
    <row r="63" spans="3:9" ht="15.75" thickBot="1">
      <c r="C63" s="522" t="s">
        <v>360</v>
      </c>
      <c r="D63" s="523"/>
      <c r="E63" s="252">
        <f>+E5</f>
        <v>818.46648206200007</v>
      </c>
      <c r="F63" s="252">
        <f>+F5</f>
        <v>795.67881116510011</v>
      </c>
      <c r="G63" s="252">
        <f>+G5</f>
        <v>773.67616172335511</v>
      </c>
      <c r="H63" s="252">
        <f>+H5</f>
        <v>752.49778480952284</v>
      </c>
      <c r="I63" s="252">
        <f>+I5</f>
        <v>732.184894049999</v>
      </c>
    </row>
    <row r="64" spans="3:9" ht="15.75" thickBot="1">
      <c r="C64" s="502" t="s">
        <v>359</v>
      </c>
      <c r="D64" s="519"/>
      <c r="E64" s="253">
        <f>+E62*E63</f>
        <v>9.5532232329016562</v>
      </c>
      <c r="F64" s="253">
        <f t="shared" ref="F64:I64" si="4">+F62*F63</f>
        <v>126.53800072929837</v>
      </c>
      <c r="G64" s="253">
        <f t="shared" si="4"/>
        <v>253.15035256465731</v>
      </c>
      <c r="H64" s="253">
        <f t="shared" si="4"/>
        <v>390.06782467086441</v>
      </c>
      <c r="I64" s="254">
        <f t="shared" si="4"/>
        <v>538.02279583743768</v>
      </c>
    </row>
    <row r="65" spans="3:9" ht="15.75" thickBot="1">
      <c r="C65" s="499" t="s">
        <v>354</v>
      </c>
      <c r="D65" s="500"/>
      <c r="E65" s="500"/>
      <c r="F65" s="500"/>
      <c r="G65" s="500"/>
      <c r="H65" s="500"/>
      <c r="I65" s="501"/>
    </row>
    <row r="66" spans="3:9">
      <c r="C66" s="241"/>
      <c r="D66" s="241"/>
      <c r="E66" s="233"/>
      <c r="F66" s="233"/>
      <c r="G66" s="233"/>
      <c r="H66" s="233"/>
      <c r="I66" s="233"/>
    </row>
    <row r="67" spans="3:9">
      <c r="C67" s="241"/>
      <c r="D67" s="241"/>
      <c r="E67" s="233"/>
      <c r="F67" s="233"/>
      <c r="G67" s="233"/>
      <c r="H67" s="233"/>
      <c r="I67" s="233"/>
    </row>
    <row r="68" spans="3:9">
      <c r="C68" s="241"/>
      <c r="D68" s="241"/>
      <c r="E68" s="233"/>
      <c r="F68" s="233"/>
      <c r="G68" s="233"/>
      <c r="H68" s="233"/>
      <c r="I68" s="233"/>
    </row>
    <row r="69" spans="3:9">
      <c r="C69" s="241"/>
      <c r="D69" s="241"/>
      <c r="E69" s="233"/>
      <c r="F69" s="233"/>
      <c r="G69" s="233"/>
      <c r="H69" s="233"/>
      <c r="I69" s="233"/>
    </row>
    <row r="74" spans="3:9" ht="15.75" thickBot="1"/>
    <row r="75" spans="3:9" ht="15.75" thickBot="1">
      <c r="C75" s="502" t="s">
        <v>361</v>
      </c>
      <c r="D75" s="503"/>
      <c r="E75" s="503"/>
      <c r="F75" s="503"/>
      <c r="G75" s="503"/>
      <c r="H75" s="503"/>
      <c r="I75" s="504"/>
    </row>
    <row r="76" spans="3:9">
      <c r="C76" s="520" t="s">
        <v>295</v>
      </c>
      <c r="D76" s="521"/>
      <c r="E76" s="223" t="s">
        <v>306</v>
      </c>
      <c r="F76" s="223" t="s">
        <v>307</v>
      </c>
      <c r="G76" s="223" t="s">
        <v>308</v>
      </c>
      <c r="H76" s="223" t="s">
        <v>309</v>
      </c>
      <c r="I76" s="223" t="s">
        <v>310</v>
      </c>
    </row>
    <row r="77" spans="3:9">
      <c r="C77" s="515" t="s">
        <v>351</v>
      </c>
      <c r="D77" s="516"/>
      <c r="E77" s="248">
        <f>+E6</f>
        <v>0.14287308375218449</v>
      </c>
      <c r="F77" s="248">
        <f>+F6</f>
        <v>0.28866054710654077</v>
      </c>
      <c r="G77" s="248">
        <f>+G6</f>
        <v>0.454666048254671</v>
      </c>
      <c r="H77" s="248">
        <f>+H6</f>
        <v>0.64289666206185103</v>
      </c>
      <c r="I77" s="248">
        <f>+I6</f>
        <v>0.85545133443457189</v>
      </c>
    </row>
    <row r="78" spans="3:9" ht="15.75" thickBot="1">
      <c r="C78" s="517" t="s">
        <v>303</v>
      </c>
      <c r="D78" s="518"/>
      <c r="E78" s="255">
        <f>E48</f>
        <v>0.13120098300978905</v>
      </c>
      <c r="F78" s="255">
        <f t="shared" ref="F78:I78" si="5">F48</f>
        <v>0.12962903972731227</v>
      </c>
      <c r="G78" s="255">
        <f t="shared" si="5"/>
        <v>0.12746150830766309</v>
      </c>
      <c r="H78" s="255">
        <f t="shared" si="5"/>
        <v>0.12453257841262019</v>
      </c>
      <c r="I78" s="255">
        <f t="shared" si="5"/>
        <v>0.12063312088003569</v>
      </c>
    </row>
  </sheetData>
  <mergeCells count="27">
    <mergeCell ref="C76:D76"/>
    <mergeCell ref="C77:D77"/>
    <mergeCell ref="C78:D78"/>
    <mergeCell ref="C61:D61"/>
    <mergeCell ref="C62:D62"/>
    <mergeCell ref="C63:D63"/>
    <mergeCell ref="C64:D64"/>
    <mergeCell ref="C65:I65"/>
    <mergeCell ref="C75:I75"/>
    <mergeCell ref="C60:I60"/>
    <mergeCell ref="C21:I21"/>
    <mergeCell ref="C22:D22"/>
    <mergeCell ref="C23:D23"/>
    <mergeCell ref="C24:D24"/>
    <mergeCell ref="C25:D25"/>
    <mergeCell ref="C26:I26"/>
    <mergeCell ref="C45:I45"/>
    <mergeCell ref="C46:D46"/>
    <mergeCell ref="C47:D47"/>
    <mergeCell ref="C48:D48"/>
    <mergeCell ref="C49:D49"/>
    <mergeCell ref="C7:I7"/>
    <mergeCell ref="C2:I2"/>
    <mergeCell ref="C3:D3"/>
    <mergeCell ref="C4:D4"/>
    <mergeCell ref="C5:D5"/>
    <mergeCell ref="C6:D6"/>
  </mergeCells>
  <phoneticPr fontId="29" type="noConversion"/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D86A-B3C5-48D7-8ECF-270716A80B23}">
  <dimension ref="B2:X44"/>
  <sheetViews>
    <sheetView workbookViewId="0">
      <selection activeCell="H10" sqref="H10"/>
    </sheetView>
  </sheetViews>
  <sheetFormatPr defaultColWidth="11.42578125" defaultRowHeight="15"/>
  <cols>
    <col min="1" max="2" width="11.42578125" style="18"/>
    <col min="3" max="3" width="36.42578125" style="18" bestFit="1" customWidth="1"/>
    <col min="4" max="4" width="19.42578125" style="18" bestFit="1" customWidth="1"/>
    <col min="5" max="9" width="21" style="18" bestFit="1" customWidth="1"/>
    <col min="10" max="13" width="16.85546875" style="18" bestFit="1" customWidth="1"/>
    <col min="14" max="14" width="16.7109375" style="18" bestFit="1" customWidth="1"/>
    <col min="15" max="15" width="11.42578125" style="18"/>
    <col min="16" max="16" width="49.42578125" style="18" bestFit="1" customWidth="1"/>
    <col min="17" max="19" width="21.7109375" style="18" bestFit="1" customWidth="1"/>
    <col min="20" max="20" width="19.42578125" style="18" bestFit="1" customWidth="1"/>
    <col min="21" max="22" width="21.7109375" style="18" bestFit="1" customWidth="1"/>
    <col min="23" max="23" width="15.7109375" style="18" bestFit="1" customWidth="1"/>
    <col min="24" max="16384" width="11.42578125" style="18"/>
  </cols>
  <sheetData>
    <row r="2" spans="2:23">
      <c r="C2" s="406" t="s">
        <v>362</v>
      </c>
      <c r="D2" s="407">
        <f>'ANÁLISIS DE PRECIOS'!C26</f>
        <v>1</v>
      </c>
      <c r="E2" s="337"/>
      <c r="F2" s="337"/>
      <c r="G2" s="337" t="s">
        <v>363</v>
      </c>
      <c r="H2" s="325">
        <v>0.15</v>
      </c>
      <c r="W2" s="38">
        <v>0.35</v>
      </c>
    </row>
    <row r="3" spans="2:23">
      <c r="C3" s="326"/>
      <c r="D3" s="529" t="s">
        <v>364</v>
      </c>
      <c r="E3" s="529"/>
      <c r="F3" s="529"/>
      <c r="G3" s="529"/>
      <c r="H3" s="530"/>
      <c r="I3" s="531" t="s">
        <v>365</v>
      </c>
      <c r="J3" s="532"/>
      <c r="K3" s="532"/>
      <c r="L3" s="532"/>
      <c r="M3" s="532"/>
      <c r="N3" s="533"/>
      <c r="P3" s="534" t="s">
        <v>304</v>
      </c>
      <c r="Q3" s="535"/>
      <c r="R3" s="536"/>
      <c r="S3" s="536"/>
      <c r="T3" s="536"/>
      <c r="U3" s="536"/>
      <c r="V3" s="537"/>
    </row>
    <row r="4" spans="2:23">
      <c r="C4" s="33" t="s">
        <v>366</v>
      </c>
      <c r="D4" s="28" t="s">
        <v>306</v>
      </c>
      <c r="E4" s="28" t="s">
        <v>307</v>
      </c>
      <c r="F4" s="28" t="s">
        <v>308</v>
      </c>
      <c r="G4" s="28" t="s">
        <v>309</v>
      </c>
      <c r="H4" s="28" t="s">
        <v>310</v>
      </c>
      <c r="I4" s="28" t="s">
        <v>306</v>
      </c>
      <c r="J4" s="28" t="s">
        <v>307</v>
      </c>
      <c r="K4" s="28" t="s">
        <v>308</v>
      </c>
      <c r="L4" s="28" t="s">
        <v>309</v>
      </c>
      <c r="M4" s="28" t="s">
        <v>310</v>
      </c>
      <c r="P4" s="327"/>
      <c r="Q4" s="28" t="s">
        <v>305</v>
      </c>
      <c r="R4" s="28" t="s">
        <v>306</v>
      </c>
      <c r="S4" s="28" t="s">
        <v>307</v>
      </c>
      <c r="T4" s="28" t="s">
        <v>308</v>
      </c>
      <c r="U4" s="28" t="s">
        <v>309</v>
      </c>
      <c r="V4" s="28" t="s">
        <v>310</v>
      </c>
    </row>
    <row r="5" spans="2:23" ht="15.75" thickBot="1">
      <c r="B5" s="328"/>
      <c r="C5" s="33" t="str">
        <f>'ANÁLISIS DE PRECIOS'!B26</f>
        <v>CONSTRUCCIÓN CASA 72 M2</v>
      </c>
      <c r="D5" s="329">
        <f>(D2*($H$2+1))*12</f>
        <v>13.799999999999999</v>
      </c>
      <c r="E5" s="329">
        <f>D5*(1+'ANÁLISIS DE PRECIOS'!$K$23)</f>
        <v>14.49</v>
      </c>
      <c r="F5" s="329">
        <f>E5*(1+'ANÁLISIS DE PRECIOS'!$K$23)</f>
        <v>15.214500000000001</v>
      </c>
      <c r="G5" s="329">
        <f>F5*(1+'ANÁLISIS DE PRECIOS'!$K$23)</f>
        <v>15.975225000000002</v>
      </c>
      <c r="H5" s="329">
        <f>G5*(1+'ANÁLISIS DE PRECIOS'!$K$23)</f>
        <v>16.773986250000004</v>
      </c>
      <c r="I5" s="330">
        <f>'ANÁLISIS DE PRECIOS'!J29</f>
        <v>109080000</v>
      </c>
      <c r="J5" s="330">
        <f>'ANÁLISIS DE PRECIOS'!K29</f>
        <v>113770439.99999999</v>
      </c>
      <c r="K5" s="330">
        <f>'ANÁLISIS DE PRECIOS'!L29</f>
        <v>118662568.91999997</v>
      </c>
      <c r="L5" s="330">
        <f>'ANÁLISIS DE PRECIOS'!M29</f>
        <v>123765059.38355996</v>
      </c>
      <c r="M5" s="330">
        <f>'ANÁLISIS DE PRECIOS'!N29</f>
        <v>129086956.93705302</v>
      </c>
      <c r="P5" s="193" t="s">
        <v>313</v>
      </c>
      <c r="Q5" s="331"/>
      <c r="R5" s="287">
        <f>+D7</f>
        <v>1505304000</v>
      </c>
      <c r="S5" s="287">
        <f>+E7</f>
        <v>1648533675.5999999</v>
      </c>
      <c r="T5" s="287">
        <f t="shared" ref="T5:V5" si="0">+F7</f>
        <v>1805391654.8333397</v>
      </c>
      <c r="U5" s="287">
        <f t="shared" si="0"/>
        <v>1977174670.7907319</v>
      </c>
      <c r="V5" s="287">
        <f t="shared" si="0"/>
        <v>2165302840.7164702</v>
      </c>
    </row>
    <row r="6" spans="2:23">
      <c r="B6" s="328"/>
      <c r="D6" s="334"/>
      <c r="E6" s="334"/>
      <c r="F6" s="334"/>
      <c r="G6" s="334"/>
      <c r="H6" s="334"/>
      <c r="I6" s="335"/>
      <c r="J6" s="188"/>
      <c r="K6" s="188"/>
      <c r="L6" s="188"/>
      <c r="M6" s="188"/>
      <c r="P6" s="193" t="s">
        <v>314</v>
      </c>
      <c r="Q6" s="331"/>
      <c r="R6" s="287">
        <f>'ESTADO DE RESULTADOS Y FLUJO DE'!D5</f>
        <v>883195222.96000004</v>
      </c>
      <c r="S6" s="287">
        <f>'ESTADO DE RESULTADOS Y FLUJO DE'!E5</f>
        <v>927354984.10800004</v>
      </c>
      <c r="T6" s="287">
        <f>'ESTADO DE RESULTADOS Y FLUJO DE'!F5</f>
        <v>973722733.31340003</v>
      </c>
      <c r="U6" s="287">
        <f>'ESTADO DE RESULTADOS Y FLUJO DE'!G5</f>
        <v>1022408869.9790701</v>
      </c>
      <c r="V6" s="287">
        <f>'ESTADO DE RESULTADOS Y FLUJO DE'!H5</f>
        <v>1073529313.4780236</v>
      </c>
    </row>
    <row r="7" spans="2:23">
      <c r="B7" s="328"/>
      <c r="D7" s="123">
        <f>D5*I5</f>
        <v>1505304000</v>
      </c>
      <c r="E7" s="123">
        <f>E5*J5</f>
        <v>1648533675.5999999</v>
      </c>
      <c r="F7" s="123">
        <f>F5*K5</f>
        <v>1805391654.8333397</v>
      </c>
      <c r="G7" s="123">
        <f>G5*L5</f>
        <v>1977174670.7907319</v>
      </c>
      <c r="H7" s="123">
        <f>H5*M5</f>
        <v>2165302840.7164702</v>
      </c>
      <c r="I7" s="335"/>
      <c r="J7" s="188"/>
      <c r="K7" s="188"/>
      <c r="L7" s="188"/>
      <c r="M7" s="188"/>
      <c r="P7" s="288" t="s">
        <v>315</v>
      </c>
      <c r="Q7" s="332"/>
      <c r="R7" s="287">
        <f>+R5-R6</f>
        <v>622108777.03999996</v>
      </c>
      <c r="S7" s="287">
        <f t="shared" ref="S7:V7" si="1">+S5-S6</f>
        <v>721178691.49199986</v>
      </c>
      <c r="T7" s="287">
        <f t="shared" si="1"/>
        <v>831668921.51993966</v>
      </c>
      <c r="U7" s="287">
        <f t="shared" si="1"/>
        <v>954765800.81166184</v>
      </c>
      <c r="V7" s="297">
        <f t="shared" si="1"/>
        <v>1091773527.2384467</v>
      </c>
    </row>
    <row r="8" spans="2:23">
      <c r="B8" s="538"/>
      <c r="D8" s="123"/>
      <c r="E8" s="123"/>
      <c r="F8" s="123"/>
      <c r="G8" s="123"/>
      <c r="H8" s="123"/>
      <c r="P8" s="539" t="s">
        <v>316</v>
      </c>
      <c r="Q8" s="540"/>
      <c r="R8" s="540"/>
      <c r="S8" s="540"/>
      <c r="T8" s="540"/>
      <c r="U8" s="540"/>
      <c r="V8" s="541"/>
    </row>
    <row r="9" spans="2:23">
      <c r="B9" s="538"/>
      <c r="D9" s="123"/>
      <c r="E9" s="123"/>
      <c r="F9" s="123"/>
      <c r="G9" s="123"/>
      <c r="H9" s="123"/>
      <c r="N9" s="188"/>
      <c r="P9" s="193" t="s">
        <v>317</v>
      </c>
      <c r="Q9" s="331"/>
      <c r="R9" s="287">
        <f>'ESTADO DE RESULTADOS Y FLUJO DE'!D8</f>
        <v>3024488</v>
      </c>
      <c r="S9" s="287">
        <f>'ESTADO DE RESULTADOS Y FLUJO DE'!E8</f>
        <v>3024488</v>
      </c>
      <c r="T9" s="287">
        <f>'ESTADO DE RESULTADOS Y FLUJO DE'!F8</f>
        <v>3024488</v>
      </c>
      <c r="U9" s="287">
        <f>'ESTADO DE RESULTADOS Y FLUJO DE'!G8</f>
        <v>3024488</v>
      </c>
      <c r="V9" s="287">
        <f>'ESTADO DE RESULTADOS Y FLUJO DE'!H8</f>
        <v>3024488</v>
      </c>
    </row>
    <row r="10" spans="2:23">
      <c r="B10" s="333"/>
      <c r="D10" s="123"/>
      <c r="E10" s="123"/>
      <c r="F10" s="123"/>
      <c r="G10" s="123"/>
      <c r="H10" s="123"/>
      <c r="N10" s="188"/>
      <c r="P10" s="193" t="s">
        <v>318</v>
      </c>
      <c r="Q10" s="331"/>
      <c r="R10" s="287">
        <f>'ESTADO DE RESULTADOS Y FLUJO DE'!D9</f>
        <v>6300000</v>
      </c>
      <c r="S10" s="287">
        <f>'ESTADO DE RESULTADOS Y FLUJO DE'!E9</f>
        <v>6615000</v>
      </c>
      <c r="T10" s="287">
        <f>'ESTADO DE RESULTADOS Y FLUJO DE'!F9</f>
        <v>6945750</v>
      </c>
      <c r="U10" s="287">
        <f>'ESTADO DE RESULTADOS Y FLUJO DE'!G9</f>
        <v>7293037.5</v>
      </c>
      <c r="V10" s="287">
        <f>'ESTADO DE RESULTADOS Y FLUJO DE'!H9</f>
        <v>7657689.375</v>
      </c>
    </row>
    <row r="11" spans="2:23">
      <c r="B11" s="333"/>
      <c r="D11" s="123"/>
      <c r="E11" s="123"/>
      <c r="F11" s="123"/>
      <c r="G11" s="123"/>
      <c r="H11" s="123"/>
      <c r="N11" s="303"/>
      <c r="P11" s="193" t="s">
        <v>320</v>
      </c>
      <c r="Q11" s="331"/>
      <c r="R11" s="287">
        <f>'ESTADO DE RESULTADOS Y FLUJO DE'!D10</f>
        <v>42769296</v>
      </c>
      <c r="S11" s="287">
        <f>'ESTADO DE RESULTADOS Y FLUJO DE'!E10</f>
        <v>42769296</v>
      </c>
      <c r="T11" s="287">
        <f>'ESTADO DE RESULTADOS Y FLUJO DE'!F10</f>
        <v>42769296</v>
      </c>
      <c r="U11" s="287">
        <f>'ESTADO DE RESULTADOS Y FLUJO DE'!G10</f>
        <v>42769296</v>
      </c>
      <c r="V11" s="287">
        <f>'ESTADO DE RESULTADOS Y FLUJO DE'!H10</f>
        <v>42769296</v>
      </c>
    </row>
    <row r="12" spans="2:23">
      <c r="B12" s="333"/>
      <c r="D12" s="334"/>
      <c r="E12" s="334"/>
      <c r="F12" s="334"/>
      <c r="G12" s="334"/>
      <c r="H12" s="334"/>
      <c r="I12" s="335"/>
      <c r="J12" s="188"/>
      <c r="K12" s="337"/>
      <c r="L12" s="338"/>
      <c r="M12" s="336"/>
      <c r="N12" s="303"/>
      <c r="P12" s="193" t="s">
        <v>321</v>
      </c>
      <c r="Q12" s="331"/>
      <c r="R12" s="287">
        <f>SUM(R9:R11)</f>
        <v>52093784</v>
      </c>
      <c r="S12" s="287">
        <f>SUM(S9:S11)</f>
        <v>52408784</v>
      </c>
      <c r="T12" s="287">
        <f>SUM(T9:T11)</f>
        <v>52739534</v>
      </c>
      <c r="U12" s="287">
        <f>SUM(U9:U11)</f>
        <v>53086821.5</v>
      </c>
      <c r="V12" s="287">
        <f>SUM(V9:V11)</f>
        <v>53451473.375</v>
      </c>
    </row>
    <row r="13" spans="2:23">
      <c r="B13" s="333"/>
      <c r="L13" s="155"/>
      <c r="N13" s="336"/>
      <c r="P13" s="497" t="s">
        <v>322</v>
      </c>
      <c r="Q13" s="497"/>
      <c r="R13" s="497"/>
      <c r="S13" s="497"/>
      <c r="T13" s="497"/>
      <c r="U13" s="497"/>
      <c r="V13" s="497"/>
    </row>
    <row r="14" spans="2:23">
      <c r="B14" s="333"/>
      <c r="C14" s="339"/>
      <c r="N14" s="336"/>
      <c r="P14" s="193" t="s">
        <v>323</v>
      </c>
      <c r="Q14" s="331"/>
      <c r="R14" s="287">
        <f>'ESTADO DE RESULTADOS Y FLUJO DE'!D14</f>
        <v>0</v>
      </c>
      <c r="S14" s="287">
        <f>'ESTADO DE RESULTADOS Y FLUJO DE'!E14</f>
        <v>0</v>
      </c>
      <c r="T14" s="287">
        <f>'ESTADO DE RESULTADOS Y FLUJO DE'!F14</f>
        <v>0</v>
      </c>
      <c r="U14" s="287">
        <f>'ESTADO DE RESULTADOS Y FLUJO DE'!G14</f>
        <v>0</v>
      </c>
      <c r="V14" s="287">
        <f>'ESTADO DE RESULTADOS Y FLUJO DE'!H14</f>
        <v>0</v>
      </c>
    </row>
    <row r="15" spans="2:23">
      <c r="B15" s="333"/>
      <c r="C15" s="339"/>
      <c r="N15" s="336"/>
      <c r="P15" s="193" t="s">
        <v>324</v>
      </c>
      <c r="Q15" s="331"/>
      <c r="R15" s="287">
        <f>'ESTADO DE RESULTADOS Y FLUJO DE'!D15</f>
        <v>0</v>
      </c>
      <c r="S15" s="287">
        <f>'ESTADO DE RESULTADOS Y FLUJO DE'!E15</f>
        <v>0</v>
      </c>
      <c r="T15" s="287">
        <f>'ESTADO DE RESULTADOS Y FLUJO DE'!F15</f>
        <v>0</v>
      </c>
      <c r="U15" s="287">
        <f>'ESTADO DE RESULTADOS Y FLUJO DE'!G15</f>
        <v>0</v>
      </c>
      <c r="V15" s="287">
        <f>'ESTADO DE RESULTADOS Y FLUJO DE'!H15</f>
        <v>0</v>
      </c>
    </row>
    <row r="16" spans="2:23" ht="15.75" thickBot="1">
      <c r="C16" s="340"/>
      <c r="D16" s="303"/>
      <c r="E16" s="303"/>
      <c r="F16" s="303"/>
      <c r="G16" s="303"/>
      <c r="H16" s="303"/>
      <c r="P16" s="193" t="s">
        <v>325</v>
      </c>
      <c r="Q16" s="331"/>
      <c r="R16" s="287">
        <f>+R14+R15</f>
        <v>0</v>
      </c>
      <c r="S16" s="287">
        <f t="shared" ref="S16:V16" si="2">+S14+S15</f>
        <v>0</v>
      </c>
      <c r="T16" s="287">
        <f t="shared" si="2"/>
        <v>0</v>
      </c>
      <c r="U16" s="287">
        <f t="shared" si="2"/>
        <v>0</v>
      </c>
      <c r="V16" s="287">
        <f t="shared" si="2"/>
        <v>0</v>
      </c>
    </row>
    <row r="17" spans="2:23" ht="15.75" thickBot="1">
      <c r="B17" s="339"/>
      <c r="C17" s="526" t="s">
        <v>351</v>
      </c>
      <c r="D17" s="527"/>
      <c r="E17" s="527"/>
      <c r="F17" s="527"/>
      <c r="G17" s="527"/>
      <c r="H17" s="527"/>
      <c r="I17" s="528"/>
      <c r="P17" s="288" t="s">
        <v>326</v>
      </c>
      <c r="Q17" s="332"/>
      <c r="R17" s="289">
        <f>+R7-R12-R16</f>
        <v>570014993.03999996</v>
      </c>
      <c r="S17" s="289">
        <f>+S7-S12-S16</f>
        <v>668769907.49199986</v>
      </c>
      <c r="T17" s="289">
        <f>+T7-T12-T16</f>
        <v>778929387.51993966</v>
      </c>
      <c r="U17" s="289">
        <f>+U7-U12-U16</f>
        <v>901678979.31166184</v>
      </c>
      <c r="V17" s="289">
        <f>+V7-V12-V16</f>
        <v>1038322053.8634467</v>
      </c>
    </row>
    <row r="18" spans="2:23">
      <c r="B18" s="339"/>
      <c r="C18" s="542" t="s">
        <v>295</v>
      </c>
      <c r="D18" s="543"/>
      <c r="E18" s="28" t="s">
        <v>306</v>
      </c>
      <c r="F18" s="28" t="s">
        <v>307</v>
      </c>
      <c r="G18" s="28" t="s">
        <v>308</v>
      </c>
      <c r="H18" s="28" t="s">
        <v>309</v>
      </c>
      <c r="I18" s="28" t="s">
        <v>310</v>
      </c>
      <c r="P18" s="193" t="s">
        <v>327</v>
      </c>
      <c r="Q18" s="331"/>
      <c r="R18" s="287">
        <f>'ESCENARIO PESIMISTA'!R18</f>
        <v>82800000</v>
      </c>
      <c r="S18" s="287">
        <f>'ESCENARIO PESIMISTA'!S18</f>
        <v>86940000</v>
      </c>
      <c r="T18" s="287">
        <f>'ESCENARIO PESIMISTA'!T18</f>
        <v>91287000</v>
      </c>
      <c r="U18" s="287">
        <f>'ESCENARIO PESIMISTA'!U18</f>
        <v>95851350</v>
      </c>
      <c r="V18" s="287">
        <f>'ESCENARIO PESIMISTA'!V18</f>
        <v>100643917.5</v>
      </c>
    </row>
    <row r="19" spans="2:23">
      <c r="B19" s="340"/>
      <c r="C19" s="544" t="s">
        <v>326</v>
      </c>
      <c r="D19" s="545"/>
      <c r="E19" s="341">
        <f>+R17</f>
        <v>570014993.03999996</v>
      </c>
      <c r="F19" s="341">
        <f t="shared" ref="F19:H19" si="3">+S17</f>
        <v>668769907.49199986</v>
      </c>
      <c r="G19" s="341">
        <f t="shared" si="3"/>
        <v>778929387.51993966</v>
      </c>
      <c r="H19" s="341">
        <f t="shared" si="3"/>
        <v>901678979.31166184</v>
      </c>
      <c r="I19" s="341">
        <f>+V17</f>
        <v>1038322053.8634467</v>
      </c>
      <c r="P19" s="193" t="s">
        <v>328</v>
      </c>
      <c r="Q19" s="331"/>
      <c r="R19" s="287">
        <f>'ESTADO DE RESULTADOS Y FLUJO DE'!D19</f>
        <v>76049564.414770633</v>
      </c>
      <c r="S19" s="287">
        <f>'ESTADO DE RESULTADOS Y FLUJO DE'!E19</f>
        <v>65710829.786793843</v>
      </c>
      <c r="T19" s="287">
        <f>'ESTADO DE RESULTADOS Y FLUJO DE'!F19</f>
        <v>52934187.184523053</v>
      </c>
      <c r="U19" s="287">
        <f>'ESTADO DE RESULTADOS Y FLUJO DE'!G19</f>
        <v>37144769.808007322</v>
      </c>
      <c r="V19" s="287">
        <f>'ESTADO DE RESULTADOS Y FLUJO DE'!H19</f>
        <v>17632155.355951853</v>
      </c>
    </row>
    <row r="20" spans="2:23" ht="15.75" thickBot="1">
      <c r="B20" s="340"/>
      <c r="C20" s="546" t="s">
        <v>367</v>
      </c>
      <c r="D20" s="547"/>
      <c r="E20" s="342">
        <f>'BALANCE GENERAL'!D22</f>
        <v>818466482.06200004</v>
      </c>
      <c r="F20" s="342">
        <f>'BALANCE GENERAL'!E22</f>
        <v>795678811.1651001</v>
      </c>
      <c r="G20" s="342">
        <f>'BALANCE GENERAL'!F22</f>
        <v>773676161.72335505</v>
      </c>
      <c r="H20" s="342">
        <f>'BALANCE GENERAL'!G22</f>
        <v>752497784.80952287</v>
      </c>
      <c r="I20" s="342">
        <f>'BALANCE GENERAL'!H22</f>
        <v>732184894.049999</v>
      </c>
      <c r="P20" s="288" t="s">
        <v>329</v>
      </c>
      <c r="Q20" s="332"/>
      <c r="R20" s="289">
        <f>+R17+R18-R19</f>
        <v>576765428.62522936</v>
      </c>
      <c r="S20" s="289">
        <f t="shared" ref="S20:V20" si="4">+S17+S18-S19</f>
        <v>689999077.70520604</v>
      </c>
      <c r="T20" s="289">
        <f t="shared" si="4"/>
        <v>817282200.33541656</v>
      </c>
      <c r="U20" s="289">
        <f t="shared" si="4"/>
        <v>960385559.50365448</v>
      </c>
      <c r="V20" s="289">
        <f t="shared" si="4"/>
        <v>1121333816.0074949</v>
      </c>
    </row>
    <row r="21" spans="2:23" ht="15.75" thickBot="1">
      <c r="B21" s="340"/>
      <c r="C21" s="531" t="s">
        <v>351</v>
      </c>
      <c r="D21" s="532"/>
      <c r="E21" s="343">
        <f>+E19/E20</f>
        <v>0.69644268339973447</v>
      </c>
      <c r="F21" s="343">
        <f t="shared" ref="F21:I21" si="5">+F19/F20</f>
        <v>0.84050234605685992</v>
      </c>
      <c r="G21" s="343">
        <f t="shared" si="5"/>
        <v>1.0067899543200129</v>
      </c>
      <c r="H21" s="343">
        <f t="shared" si="5"/>
        <v>1.1982480181518418</v>
      </c>
      <c r="I21" s="344">
        <f t="shared" si="5"/>
        <v>1.4181145531698751</v>
      </c>
      <c r="P21" s="193" t="s">
        <v>330</v>
      </c>
      <c r="Q21" s="331"/>
      <c r="R21" s="287">
        <f>R20*$W$2</f>
        <v>201867900.01883027</v>
      </c>
      <c r="S21" s="287">
        <f t="shared" ref="S21:V21" si="6">S20*$W$2</f>
        <v>241499677.19682211</v>
      </c>
      <c r="T21" s="287">
        <f t="shared" si="6"/>
        <v>286048770.11739576</v>
      </c>
      <c r="U21" s="287">
        <f t="shared" si="6"/>
        <v>336134945.82627904</v>
      </c>
      <c r="V21" s="287">
        <f t="shared" si="6"/>
        <v>392466835.60262322</v>
      </c>
    </row>
    <row r="22" spans="2:23" ht="15.75" thickBot="1">
      <c r="B22" s="340"/>
      <c r="C22" s="340"/>
      <c r="D22" s="303"/>
      <c r="E22" s="303"/>
      <c r="F22" s="303"/>
      <c r="G22" s="303"/>
      <c r="H22" s="303"/>
      <c r="P22" s="288" t="s">
        <v>331</v>
      </c>
      <c r="Q22" s="332"/>
      <c r="R22" s="289">
        <f>+R20-R21</f>
        <v>374897528.60639906</v>
      </c>
      <c r="S22" s="289">
        <f t="shared" ref="S22:V22" si="7">+S20-S21</f>
        <v>448499400.50838393</v>
      </c>
      <c r="T22" s="289">
        <f t="shared" si="7"/>
        <v>531233430.2180208</v>
      </c>
      <c r="U22" s="289">
        <f t="shared" si="7"/>
        <v>624250613.67737544</v>
      </c>
      <c r="V22" s="290">
        <f t="shared" si="7"/>
        <v>728866980.4048717</v>
      </c>
    </row>
    <row r="23" spans="2:23" ht="15.75" thickBot="1">
      <c r="B23" s="340"/>
      <c r="C23" s="526" t="s">
        <v>355</v>
      </c>
      <c r="D23" s="527"/>
      <c r="E23" s="527"/>
      <c r="F23" s="527"/>
      <c r="G23" s="527"/>
      <c r="H23" s="527"/>
      <c r="I23" s="528"/>
      <c r="P23" s="193" t="s">
        <v>178</v>
      </c>
      <c r="Q23" s="331"/>
      <c r="R23" s="293">
        <f>'ESTADO DE RESULTADOS Y FLUJO DE'!D23</f>
        <v>37806100</v>
      </c>
      <c r="S23" s="293">
        <f>'ESTADO DE RESULTADOS Y FLUJO DE'!E23</f>
        <v>37806100</v>
      </c>
      <c r="T23" s="293">
        <f>'ESTADO DE RESULTADOS Y FLUJO DE'!F23</f>
        <v>37806100</v>
      </c>
      <c r="U23" s="293">
        <f>'ESTADO DE RESULTADOS Y FLUJO DE'!G23</f>
        <v>37806100</v>
      </c>
      <c r="V23" s="293">
        <f>'ESTADO DE RESULTADOS Y FLUJO DE'!H23</f>
        <v>37806100</v>
      </c>
    </row>
    <row r="24" spans="2:23">
      <c r="B24" s="340"/>
      <c r="C24" s="473" t="s">
        <v>295</v>
      </c>
      <c r="D24" s="552"/>
      <c r="E24" s="28" t="s">
        <v>306</v>
      </c>
      <c r="F24" s="28" t="s">
        <v>307</v>
      </c>
      <c r="G24" s="28" t="s">
        <v>308</v>
      </c>
      <c r="H24" s="28" t="s">
        <v>309</v>
      </c>
      <c r="I24" s="28" t="s">
        <v>310</v>
      </c>
      <c r="P24" s="193" t="s">
        <v>184</v>
      </c>
      <c r="Q24" s="331"/>
      <c r="R24" s="293">
        <f>'ESTADO DE RESULTADOS Y FLUJO DE'!D24</f>
        <v>682000</v>
      </c>
      <c r="S24" s="293">
        <f>'ESTADO DE RESULTADOS Y FLUJO DE'!E24</f>
        <v>682000</v>
      </c>
      <c r="T24" s="293">
        <f>'ESTADO DE RESULTADOS Y FLUJO DE'!F24</f>
        <v>682000</v>
      </c>
      <c r="U24" s="293">
        <f>'ESTADO DE RESULTADOS Y FLUJO DE'!G24</f>
        <v>682000</v>
      </c>
      <c r="V24" s="293">
        <f>'ESTADO DE RESULTADOS Y FLUJO DE'!H24</f>
        <v>682000</v>
      </c>
    </row>
    <row r="25" spans="2:23">
      <c r="B25" s="340"/>
      <c r="C25" s="548" t="s">
        <v>329</v>
      </c>
      <c r="D25" s="449"/>
      <c r="E25" s="287">
        <f>+R20</f>
        <v>576765428.62522936</v>
      </c>
      <c r="F25" s="287">
        <f>+S20</f>
        <v>689999077.70520604</v>
      </c>
      <c r="G25" s="287">
        <f>+T20</f>
        <v>817282200.33541656</v>
      </c>
      <c r="H25" s="287">
        <f>+U20</f>
        <v>960385559.50365448</v>
      </c>
      <c r="I25" s="287">
        <f>+V20</f>
        <v>1121333816.0074949</v>
      </c>
      <c r="P25" s="288" t="s">
        <v>368</v>
      </c>
      <c r="Q25" s="332"/>
      <c r="R25" s="295">
        <f>+R22+R23+R24</f>
        <v>413385628.60639906</v>
      </c>
      <c r="S25" s="295">
        <f>+S22+S23+S24</f>
        <v>486987500.50838393</v>
      </c>
      <c r="T25" s="295">
        <f>+T22+T23+T24</f>
        <v>569721530.2180208</v>
      </c>
      <c r="U25" s="295">
        <f>+U22+U23+U24</f>
        <v>662738713.67737544</v>
      </c>
      <c r="V25" s="295">
        <f>+V22+V23+V24</f>
        <v>767355080.4048717</v>
      </c>
      <c r="W25" s="38"/>
    </row>
    <row r="26" spans="2:23" ht="15.75" thickBot="1">
      <c r="B26" s="340"/>
      <c r="C26" s="553" t="s">
        <v>284</v>
      </c>
      <c r="D26" s="554"/>
      <c r="E26" s="345">
        <f>'BALANCE GENERAL'!K17</f>
        <v>512311218.95723861</v>
      </c>
      <c r="F26" s="345">
        <f>'BALANCE GENERAL'!L17</f>
        <v>543707019.58355391</v>
      </c>
      <c r="G26" s="345">
        <f>'BALANCE GENERAL'!M17</f>
        <v>588664484.26729512</v>
      </c>
      <c r="H26" s="345">
        <f>'BALANCE GENERAL'!N17</f>
        <v>650235638.8554647</v>
      </c>
      <c r="I26" s="345">
        <f>'BALANCE GENERAL'!O17</f>
        <v>732184894.04999816</v>
      </c>
      <c r="P26" s="193" t="s">
        <v>299</v>
      </c>
      <c r="Q26" s="331"/>
      <c r="R26" s="293">
        <f>'BALANCE GENERAL'!E31</f>
        <v>14952789.622000039</v>
      </c>
      <c r="S26" s="293">
        <f>'BALANCE GENERAL'!F31</f>
        <v>15700429.103100002</v>
      </c>
      <c r="T26" s="293">
        <f>'BALANCE GENERAL'!G31</f>
        <v>16485450.558255017</v>
      </c>
      <c r="U26" s="293">
        <f>'BALANCE GENERAL'!H31</f>
        <v>17309723.086167753</v>
      </c>
      <c r="V26" s="293">
        <f>'BALANCE GENERAL'!I31</f>
        <v>18175209.240476131</v>
      </c>
    </row>
    <row r="27" spans="2:23" ht="15.75" thickBot="1">
      <c r="C27" s="526" t="s">
        <v>355</v>
      </c>
      <c r="D27" s="551"/>
      <c r="E27" s="343">
        <f>+E25/E26</f>
        <v>1.1258106543112236</v>
      </c>
      <c r="F27" s="343">
        <f t="shared" ref="F27:I27" si="8">+F25/F26</f>
        <v>1.2690641335359305</v>
      </c>
      <c r="G27" s="343">
        <f t="shared" si="8"/>
        <v>1.3883667558994657</v>
      </c>
      <c r="H27" s="343">
        <f t="shared" si="8"/>
        <v>1.4769808083637359</v>
      </c>
      <c r="I27" s="344">
        <f t="shared" si="8"/>
        <v>1.5314899626035214</v>
      </c>
      <c r="P27" s="193" t="s">
        <v>333</v>
      </c>
      <c r="Q27" s="331"/>
      <c r="R27" s="293"/>
      <c r="S27" s="287">
        <v>0</v>
      </c>
      <c r="T27" s="287">
        <v>0</v>
      </c>
      <c r="U27" s="287">
        <v>0</v>
      </c>
      <c r="V27" s="297">
        <v>0</v>
      </c>
    </row>
    <row r="28" spans="2:23">
      <c r="P28" s="193" t="s">
        <v>334</v>
      </c>
      <c r="R28" s="335">
        <f>'ESTADO DE RESULTADOS Y FLUJO DE'!D28</f>
        <v>43844736.895238534</v>
      </c>
      <c r="S28" s="335">
        <f>'ESTADO DE RESULTADOS Y FLUJO DE'!E28</f>
        <v>54183471.523215309</v>
      </c>
      <c r="T28" s="335">
        <f>'ESTADO DE RESULTADOS Y FLUJO DE'!F28</f>
        <v>66960114.125486121</v>
      </c>
      <c r="U28" s="335">
        <f>'ESTADO DE RESULTADOS Y FLUJO DE'!G28</f>
        <v>82749531.502001852</v>
      </c>
      <c r="V28" s="335">
        <f>'ESTADO DE RESULTADOS Y FLUJO DE'!H28</f>
        <v>102262145.95405731</v>
      </c>
    </row>
    <row r="29" spans="2:23" ht="15.75" thickBot="1">
      <c r="P29" s="288" t="s">
        <v>335</v>
      </c>
      <c r="Q29" s="332"/>
      <c r="R29" s="295">
        <f>+R25-R27-R26-R28</f>
        <v>354588102.0891605</v>
      </c>
      <c r="S29" s="295">
        <f t="shared" ref="S29:V29" si="9">+S25-S27-S26-S28</f>
        <v>417103599.88206863</v>
      </c>
      <c r="T29" s="295">
        <f t="shared" si="9"/>
        <v>486275965.53427958</v>
      </c>
      <c r="U29" s="295">
        <f t="shared" si="9"/>
        <v>562679459.08920586</v>
      </c>
      <c r="V29" s="295">
        <f t="shared" si="9"/>
        <v>646917725.21033823</v>
      </c>
    </row>
    <row r="30" spans="2:23" ht="16.5" thickBot="1">
      <c r="C30" s="526" t="s">
        <v>358</v>
      </c>
      <c r="D30" s="527"/>
      <c r="E30" s="527"/>
      <c r="F30" s="527"/>
      <c r="G30" s="527"/>
      <c r="H30" s="527"/>
      <c r="I30" s="528"/>
      <c r="P30" s="193" t="s">
        <v>341</v>
      </c>
      <c r="R30" s="272"/>
      <c r="S30" s="287">
        <v>0</v>
      </c>
      <c r="T30" s="287">
        <v>0</v>
      </c>
      <c r="U30" s="287">
        <v>0</v>
      </c>
      <c r="V30" s="297">
        <f>'BALANCE GENERAL'!H22</f>
        <v>732184894.049999</v>
      </c>
    </row>
    <row r="31" spans="2:23">
      <c r="C31" s="555" t="s">
        <v>295</v>
      </c>
      <c r="D31" s="556"/>
      <c r="E31" s="28" t="s">
        <v>306</v>
      </c>
      <c r="F31" s="28" t="s">
        <v>307</v>
      </c>
      <c r="G31" s="28" t="s">
        <v>308</v>
      </c>
      <c r="H31" s="28" t="s">
        <v>309</v>
      </c>
      <c r="I31" s="28" t="s">
        <v>310</v>
      </c>
      <c r="P31" s="193" t="s">
        <v>342</v>
      </c>
      <c r="Q31" s="346">
        <f>'ESTADO DE RESULTADOS Y FLUJO DE'!C36</f>
        <v>-492001792.44000006</v>
      </c>
      <c r="R31" s="346">
        <f>R29+R30</f>
        <v>354588102.0891605</v>
      </c>
      <c r="S31" s="346">
        <f t="shared" ref="S31:V31" si="10">S29+S30</f>
        <v>417103599.88206863</v>
      </c>
      <c r="T31" s="346">
        <f t="shared" si="10"/>
        <v>486275965.53427958</v>
      </c>
      <c r="U31" s="346">
        <f t="shared" si="10"/>
        <v>562679459.08920586</v>
      </c>
      <c r="V31" s="346">
        <f t="shared" si="10"/>
        <v>1379102619.2603374</v>
      </c>
    </row>
    <row r="32" spans="2:23">
      <c r="C32" s="548" t="s">
        <v>351</v>
      </c>
      <c r="D32" s="449"/>
      <c r="E32" s="350">
        <f>+E21</f>
        <v>0.69644268339973447</v>
      </c>
      <c r="F32" s="350">
        <f>+F21</f>
        <v>0.84050234605685992</v>
      </c>
      <c r="G32" s="350">
        <f>+G21</f>
        <v>1.0067899543200129</v>
      </c>
      <c r="H32" s="350">
        <f>+H21</f>
        <v>1.1982480181518418</v>
      </c>
      <c r="I32" s="350">
        <f>+I21</f>
        <v>1.4181145531698751</v>
      </c>
      <c r="P32" s="193" t="s">
        <v>369</v>
      </c>
      <c r="Q32" s="346">
        <f>'ESTADO DE RESULTADOS Y FLUJO DE'!C37</f>
        <v>350000000</v>
      </c>
      <c r="R32" s="346">
        <f>+R28+R19*(1-35%)</f>
        <v>93276953.764839441</v>
      </c>
      <c r="S32" s="346">
        <f t="shared" ref="S32:V32" si="11">+S28+S19*(1-35%)</f>
        <v>96895510.884631306</v>
      </c>
      <c r="T32" s="346">
        <f t="shared" si="11"/>
        <v>101367335.7954261</v>
      </c>
      <c r="U32" s="346">
        <f t="shared" si="11"/>
        <v>106893631.87720661</v>
      </c>
      <c r="V32" s="346">
        <f t="shared" si="11"/>
        <v>113723046.93542601</v>
      </c>
    </row>
    <row r="33" spans="3:24" ht="15.75" thickBot="1">
      <c r="C33" s="549" t="s">
        <v>303</v>
      </c>
      <c r="D33" s="550"/>
      <c r="E33" s="351">
        <f>'BALANCE GENERAL'!D44</f>
        <v>0.13120098300978905</v>
      </c>
      <c r="F33" s="351">
        <f>'BALANCE GENERAL'!E44</f>
        <v>0.12962903972731227</v>
      </c>
      <c r="G33" s="351">
        <f>'BALANCE GENERAL'!F44</f>
        <v>0.12746150830766309</v>
      </c>
      <c r="H33" s="351">
        <f>'BALANCE GENERAL'!G44</f>
        <v>0.12453257841262019</v>
      </c>
      <c r="I33" s="351">
        <f>'BALANCE GENERAL'!H44</f>
        <v>0.12063312088003569</v>
      </c>
      <c r="P33" s="288" t="s">
        <v>344</v>
      </c>
      <c r="Q33" s="347">
        <f>+Q31-Q32</f>
        <v>-842001792.44000006</v>
      </c>
      <c r="R33" s="289">
        <f>+R31+R32</f>
        <v>447865055.85399997</v>
      </c>
      <c r="S33" s="289">
        <f t="shared" ref="S33:V33" si="12">+S31+S32</f>
        <v>513999110.76669991</v>
      </c>
      <c r="T33" s="289">
        <f t="shared" si="12"/>
        <v>587643301.32970572</v>
      </c>
      <c r="U33" s="289">
        <f t="shared" si="12"/>
        <v>669573090.96641243</v>
      </c>
      <c r="V33" s="289">
        <f t="shared" si="12"/>
        <v>1492825666.1957633</v>
      </c>
      <c r="W33" s="188"/>
      <c r="X33" s="38"/>
    </row>
    <row r="34" spans="3:24" ht="15.75" thickBot="1">
      <c r="C34" s="526" t="s">
        <v>358</v>
      </c>
      <c r="D34" s="551"/>
      <c r="E34" s="343">
        <f>+E32-E33</f>
        <v>0.56524170038994548</v>
      </c>
      <c r="F34" s="343">
        <f t="shared" ref="F34:I34" si="13">+F32-F33</f>
        <v>0.71087330632954759</v>
      </c>
      <c r="G34" s="343">
        <f t="shared" si="13"/>
        <v>0.87932844601234983</v>
      </c>
      <c r="H34" s="343">
        <f t="shared" si="13"/>
        <v>1.0737154397392217</v>
      </c>
      <c r="I34" s="344">
        <f t="shared" si="13"/>
        <v>1.2974814322898394</v>
      </c>
      <c r="P34" s="203"/>
      <c r="Q34" s="348">
        <f>Q33</f>
        <v>-842001792.44000006</v>
      </c>
      <c r="R34" s="349">
        <f>Q34+R33</f>
        <v>-394136736.58600008</v>
      </c>
      <c r="S34" s="349">
        <f t="shared" ref="S34:V34" si="14">R34+S33</f>
        <v>119862374.18069983</v>
      </c>
      <c r="T34" s="349">
        <f t="shared" si="14"/>
        <v>707505675.51040554</v>
      </c>
      <c r="U34" s="349">
        <f t="shared" si="14"/>
        <v>1377078766.4768181</v>
      </c>
      <c r="V34" s="349">
        <f t="shared" si="14"/>
        <v>2869904432.6725817</v>
      </c>
    </row>
    <row r="36" spans="3:24">
      <c r="O36" s="18" t="s">
        <v>303</v>
      </c>
      <c r="R36" s="325">
        <f>E33</f>
        <v>0.13120098300978905</v>
      </c>
      <c r="S36" s="325">
        <f t="shared" ref="S36:V36" si="15">F33</f>
        <v>0.12962903972731227</v>
      </c>
      <c r="T36" s="325">
        <f t="shared" si="15"/>
        <v>0.12746150830766309</v>
      </c>
      <c r="U36" s="325">
        <f t="shared" si="15"/>
        <v>0.12453257841262019</v>
      </c>
      <c r="V36" s="325">
        <f t="shared" si="15"/>
        <v>0.12063312088003569</v>
      </c>
    </row>
    <row r="37" spans="3:24">
      <c r="O37" s="18" t="s">
        <v>346</v>
      </c>
      <c r="P37" s="188">
        <f>+SUM(R37:V37)+Q33</f>
        <v>1599562905.4928613</v>
      </c>
      <c r="Q37" s="188"/>
      <c r="R37" s="123">
        <f>+R33/(1+R36)</f>
        <v>395919966.99151051</v>
      </c>
      <c r="S37" s="123">
        <f>+S33/(1+S36)/(1+R36)</f>
        <v>402241379.47176951</v>
      </c>
      <c r="T37" s="123">
        <f>+T33/(1+T36)/(1+S36)/(1+R36)</f>
        <v>407883787.81158715</v>
      </c>
      <c r="U37" s="123">
        <f>+U33/(1+U36)/(1+T36)/(1+S36)/(1+R36)</f>
        <v>413284011.08063173</v>
      </c>
      <c r="V37" s="123">
        <f>+V33/(1+V36)/(1+U36)/(1+T36)/(1+S36)/(1+R36)</f>
        <v>822235552.57736254</v>
      </c>
    </row>
    <row r="38" spans="3:24">
      <c r="O38" s="18" t="s">
        <v>345</v>
      </c>
      <c r="P38" s="38">
        <f>+IRR(Q33:V33)</f>
        <v>0.6196525171356686</v>
      </c>
      <c r="Q38" s="38"/>
      <c r="W38" s="188"/>
    </row>
    <row r="39" spans="3:24">
      <c r="O39" s="18" t="s">
        <v>349</v>
      </c>
      <c r="P39" s="18">
        <f>2+ABS(S34)/T33</f>
        <v>2.2039713103331189</v>
      </c>
      <c r="Q39" s="18">
        <f>INT(P39)</f>
        <v>2</v>
      </c>
    </row>
    <row r="44" spans="3:24">
      <c r="Q44" s="155"/>
    </row>
  </sheetData>
  <mergeCells count="21">
    <mergeCell ref="C32:D32"/>
    <mergeCell ref="C33:D33"/>
    <mergeCell ref="C34:D34"/>
    <mergeCell ref="C24:D24"/>
    <mergeCell ref="C25:D25"/>
    <mergeCell ref="C26:D26"/>
    <mergeCell ref="C27:D27"/>
    <mergeCell ref="C30:I30"/>
    <mergeCell ref="C31:D31"/>
    <mergeCell ref="C23:I23"/>
    <mergeCell ref="D3:H3"/>
    <mergeCell ref="I3:N3"/>
    <mergeCell ref="P3:V3"/>
    <mergeCell ref="B8:B9"/>
    <mergeCell ref="P8:V8"/>
    <mergeCell ref="P13:V13"/>
    <mergeCell ref="C17:I17"/>
    <mergeCell ref="C18:D18"/>
    <mergeCell ref="C19:D19"/>
    <mergeCell ref="C20:D20"/>
    <mergeCell ref="C21:D21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B5B8-C6C4-4F1D-9FB6-375ACFF979F1}">
  <dimension ref="B2:X39"/>
  <sheetViews>
    <sheetView tabSelected="1" topLeftCell="E1" zoomScale="80" zoomScaleNormal="80" workbookViewId="0">
      <selection activeCell="I3" sqref="I3:M3"/>
    </sheetView>
  </sheetViews>
  <sheetFormatPr defaultColWidth="11.42578125" defaultRowHeight="15"/>
  <cols>
    <col min="3" max="3" width="36.42578125" bestFit="1" customWidth="1"/>
    <col min="4" max="8" width="19.28515625" bestFit="1" customWidth="1"/>
    <col min="9" max="9" width="19.42578125" bestFit="1" customWidth="1"/>
    <col min="10" max="14" width="16.7109375" bestFit="1" customWidth="1"/>
    <col min="16" max="16" width="49.28515625" bestFit="1" customWidth="1"/>
    <col min="17" max="17" width="20.28515625" bestFit="1" customWidth="1"/>
    <col min="18" max="18" width="19.28515625" bestFit="1" customWidth="1"/>
    <col min="19" max="19" width="21.42578125" bestFit="1" customWidth="1"/>
    <col min="20" max="22" width="19.28515625" bestFit="1" customWidth="1"/>
    <col min="23" max="23" width="15.42578125" bestFit="1" customWidth="1"/>
  </cols>
  <sheetData>
    <row r="2" spans="2:23">
      <c r="C2" s="409" t="s">
        <v>362</v>
      </c>
      <c r="D2" s="408">
        <f>'ANÁLISIS DE PRECIOS'!C26</f>
        <v>1</v>
      </c>
      <c r="E2" s="266"/>
      <c r="F2" s="266"/>
      <c r="G2" s="266" t="s">
        <v>370</v>
      </c>
      <c r="H2" s="278">
        <v>0.25</v>
      </c>
      <c r="W2" s="171">
        <v>0.35</v>
      </c>
    </row>
    <row r="3" spans="2:23">
      <c r="C3" s="279"/>
      <c r="D3" s="557" t="s">
        <v>364</v>
      </c>
      <c r="E3" s="557"/>
      <c r="F3" s="557"/>
      <c r="G3" s="557"/>
      <c r="H3" s="558"/>
      <c r="I3" s="576" t="s">
        <v>365</v>
      </c>
      <c r="J3" s="572"/>
      <c r="K3" s="572"/>
      <c r="L3" s="572"/>
      <c r="M3" s="573"/>
      <c r="N3" s="570"/>
      <c r="P3" s="559" t="s">
        <v>304</v>
      </c>
      <c r="Q3" s="560"/>
      <c r="R3" s="561"/>
      <c r="S3" s="561"/>
      <c r="T3" s="561"/>
      <c r="U3" s="561"/>
      <c r="V3" s="562"/>
    </row>
    <row r="4" spans="2:23">
      <c r="C4" s="410" t="s">
        <v>366</v>
      </c>
      <c r="D4" s="414" t="s">
        <v>306</v>
      </c>
      <c r="E4" s="414" t="s">
        <v>307</v>
      </c>
      <c r="F4" s="414" t="s">
        <v>308</v>
      </c>
      <c r="G4" s="414" t="s">
        <v>309</v>
      </c>
      <c r="H4" s="414" t="s">
        <v>310</v>
      </c>
      <c r="I4" s="582" t="s">
        <v>306</v>
      </c>
      <c r="J4" s="582" t="s">
        <v>307</v>
      </c>
      <c r="K4" s="582" t="s">
        <v>308</v>
      </c>
      <c r="L4" s="582" t="s">
        <v>309</v>
      </c>
      <c r="M4" s="582" t="s">
        <v>310</v>
      </c>
      <c r="P4" s="256"/>
      <c r="Q4" s="28" t="s">
        <v>305</v>
      </c>
      <c r="R4" s="28" t="s">
        <v>306</v>
      </c>
      <c r="S4" s="28" t="s">
        <v>307</v>
      </c>
      <c r="T4" s="28" t="s">
        <v>308</v>
      </c>
      <c r="U4" s="28" t="s">
        <v>309</v>
      </c>
      <c r="V4" s="28" t="s">
        <v>310</v>
      </c>
    </row>
    <row r="5" spans="2:23">
      <c r="B5" s="257"/>
      <c r="C5" s="411" t="str">
        <f>'ANÁLISIS DE PRECIOS'!B26</f>
        <v>CONSTRUCCIÓN CASA 72 M2</v>
      </c>
      <c r="D5" s="412">
        <f>(D2*(1-$H$2))*12</f>
        <v>9</v>
      </c>
      <c r="E5" s="412">
        <f>D5*(1+'ANÁLISIS DE PRECIOS'!$K$23)</f>
        <v>9.4500000000000011</v>
      </c>
      <c r="F5" s="412">
        <f>E5*(1+'ANÁLISIS DE PRECIOS'!$K$23)</f>
        <v>9.9225000000000012</v>
      </c>
      <c r="G5" s="412">
        <f>F5*(1+'ANÁLISIS DE PRECIOS'!$K$23)</f>
        <v>10.418625000000002</v>
      </c>
      <c r="H5" s="412">
        <f>G5*(1+'ANÁLISIS DE PRECIOS'!$K$23)</f>
        <v>10.939556250000003</v>
      </c>
      <c r="I5" s="413">
        <f>'ANÁLISIS DE PRECIOS'!J29</f>
        <v>109080000</v>
      </c>
      <c r="J5" s="413">
        <f>'ANÁLISIS DE PRECIOS'!K29</f>
        <v>113770439.99999999</v>
      </c>
      <c r="K5" s="413">
        <f>'ANÁLISIS DE PRECIOS'!L29</f>
        <v>118662568.91999997</v>
      </c>
      <c r="L5" s="413">
        <f>'ANÁLISIS DE PRECIOS'!M29</f>
        <v>123765059.38355996</v>
      </c>
      <c r="M5" s="413">
        <f>'ANÁLISIS DE PRECIOS'!N29</f>
        <v>129086956.93705302</v>
      </c>
      <c r="P5" s="213" t="s">
        <v>313</v>
      </c>
      <c r="Q5" s="258"/>
      <c r="R5" s="214">
        <f>+D10</f>
        <v>981720000</v>
      </c>
      <c r="S5" s="214">
        <f t="shared" ref="S5:V5" si="0">+E10</f>
        <v>1075130658</v>
      </c>
      <c r="T5" s="214">
        <f t="shared" si="0"/>
        <v>1177429340.1086998</v>
      </c>
      <c r="U5" s="214">
        <f t="shared" si="0"/>
        <v>1289461741.8200426</v>
      </c>
      <c r="V5" s="214">
        <f t="shared" si="0"/>
        <v>1412154026.5542195</v>
      </c>
    </row>
    <row r="6" spans="2:23">
      <c r="B6" s="257"/>
      <c r="D6" s="259"/>
      <c r="E6" s="259"/>
      <c r="F6" s="259"/>
      <c r="G6" s="259"/>
      <c r="H6" s="259"/>
      <c r="I6" s="233"/>
      <c r="J6" s="233"/>
      <c r="K6" s="233"/>
      <c r="L6" s="233"/>
      <c r="M6" s="233"/>
      <c r="P6" s="213" t="s">
        <v>314</v>
      </c>
      <c r="Q6" s="258"/>
      <c r="R6" s="214">
        <f>'ESTADO DE RESULTADOS Y FLUJO DE'!D5</f>
        <v>883195222.96000004</v>
      </c>
      <c r="S6" s="214">
        <f>'ESTADO DE RESULTADOS Y FLUJO DE'!E5</f>
        <v>927354984.10800004</v>
      </c>
      <c r="T6" s="214">
        <f>'ESTADO DE RESULTADOS Y FLUJO DE'!F5</f>
        <v>973722733.31340003</v>
      </c>
      <c r="U6" s="214">
        <f>'ESTADO DE RESULTADOS Y FLUJO DE'!G5</f>
        <v>1022408869.9790701</v>
      </c>
      <c r="V6" s="214">
        <f>'ESTADO DE RESULTADOS Y FLUJO DE'!H5</f>
        <v>1073529313.4780236</v>
      </c>
    </row>
    <row r="7" spans="2:23">
      <c r="B7" s="257"/>
      <c r="D7" s="259"/>
      <c r="E7" s="259"/>
      <c r="F7" s="259"/>
      <c r="G7" s="259"/>
      <c r="H7" s="259"/>
      <c r="I7" s="233"/>
      <c r="J7" s="233"/>
      <c r="K7" s="233"/>
      <c r="L7" s="233"/>
      <c r="M7" s="233"/>
      <c r="P7" s="218" t="s">
        <v>315</v>
      </c>
      <c r="Q7" s="260"/>
      <c r="R7" s="214">
        <f>+R5-R6</f>
        <v>98524777.039999962</v>
      </c>
      <c r="S7" s="214">
        <f t="shared" ref="S7:V7" si="1">+S5-S6</f>
        <v>147775673.89199996</v>
      </c>
      <c r="T7" s="214">
        <f t="shared" si="1"/>
        <v>203706606.79529977</v>
      </c>
      <c r="U7" s="214">
        <f t="shared" si="1"/>
        <v>267052871.84097254</v>
      </c>
      <c r="V7" s="215">
        <f t="shared" si="1"/>
        <v>338624713.07619584</v>
      </c>
    </row>
    <row r="8" spans="2:23">
      <c r="B8" s="563"/>
      <c r="D8" s="259"/>
      <c r="E8" s="259"/>
      <c r="F8" s="259"/>
      <c r="G8" s="259"/>
      <c r="H8" s="259"/>
      <c r="I8" s="233"/>
      <c r="J8" s="233"/>
      <c r="K8" s="233"/>
      <c r="L8" s="233"/>
      <c r="M8" s="233"/>
      <c r="P8" s="564" t="s">
        <v>316</v>
      </c>
      <c r="Q8" s="565"/>
      <c r="R8" s="565"/>
      <c r="S8" s="565"/>
      <c r="T8" s="565"/>
      <c r="U8" s="565"/>
      <c r="V8" s="566"/>
    </row>
    <row r="9" spans="2:23">
      <c r="B9" s="563"/>
      <c r="D9" s="259"/>
      <c r="E9" s="259"/>
      <c r="F9" s="259"/>
      <c r="G9" s="259"/>
      <c r="H9" s="259"/>
      <c r="I9" s="233"/>
      <c r="J9" s="170"/>
      <c r="K9" s="170"/>
      <c r="L9" s="170"/>
      <c r="M9" s="170"/>
      <c r="N9" s="170"/>
      <c r="P9" s="213" t="s">
        <v>317</v>
      </c>
      <c r="Q9" s="258"/>
      <c r="R9" s="214">
        <f>'ESTADO DE RESULTADOS Y FLUJO DE'!D8</f>
        <v>3024488</v>
      </c>
      <c r="S9" s="214">
        <f>'ESTADO DE RESULTADOS Y FLUJO DE'!E8</f>
        <v>3024488</v>
      </c>
      <c r="T9" s="214">
        <f>'ESTADO DE RESULTADOS Y FLUJO DE'!F8</f>
        <v>3024488</v>
      </c>
      <c r="U9" s="214">
        <f>'ESTADO DE RESULTADOS Y FLUJO DE'!G8</f>
        <v>3024488</v>
      </c>
      <c r="V9" s="214">
        <f>'ESTADO DE RESULTADOS Y FLUJO DE'!H8</f>
        <v>3024488</v>
      </c>
    </row>
    <row r="10" spans="2:23">
      <c r="B10" s="261"/>
      <c r="D10" s="119">
        <f>D5*I5</f>
        <v>981720000</v>
      </c>
      <c r="E10" s="119">
        <f t="shared" ref="E10:H13" si="2">E5*J5</f>
        <v>1075130658</v>
      </c>
      <c r="F10" s="119">
        <f t="shared" si="2"/>
        <v>1177429340.1086998</v>
      </c>
      <c r="G10" s="119">
        <f t="shared" si="2"/>
        <v>1289461741.8200426</v>
      </c>
      <c r="H10" s="119">
        <f t="shared" si="2"/>
        <v>1412154026.5542195</v>
      </c>
      <c r="I10" s="233"/>
      <c r="J10" s="170"/>
      <c r="K10" s="170"/>
      <c r="L10" s="170"/>
      <c r="M10" s="170"/>
      <c r="N10" s="170"/>
      <c r="P10" s="213" t="s">
        <v>318</v>
      </c>
      <c r="Q10" s="258"/>
      <c r="R10" s="214">
        <f>'ESTADO DE RESULTADOS Y FLUJO DE'!D9</f>
        <v>6300000</v>
      </c>
      <c r="S10" s="214">
        <f>'ESTADO DE RESULTADOS Y FLUJO DE'!E9</f>
        <v>6615000</v>
      </c>
      <c r="T10" s="214">
        <f>'ESTADO DE RESULTADOS Y FLUJO DE'!F9</f>
        <v>6945750</v>
      </c>
      <c r="U10" s="214">
        <f>'ESTADO DE RESULTADOS Y FLUJO DE'!G9</f>
        <v>7293037.5</v>
      </c>
      <c r="V10" s="214">
        <f>'ESTADO DE RESULTADOS Y FLUJO DE'!H9</f>
        <v>7657689.375</v>
      </c>
    </row>
    <row r="11" spans="2:23">
      <c r="B11" s="261"/>
      <c r="D11" s="119"/>
      <c r="E11" s="119"/>
      <c r="F11" s="119"/>
      <c r="G11" s="119"/>
      <c r="H11" s="119"/>
      <c r="N11" s="262"/>
      <c r="P11" s="213" t="s">
        <v>320</v>
      </c>
      <c r="Q11" s="258"/>
      <c r="R11" s="214">
        <f>'ESTADO DE RESULTADOS Y FLUJO DE'!D10</f>
        <v>42769296</v>
      </c>
      <c r="S11" s="214">
        <f>'ESTADO DE RESULTADOS Y FLUJO DE'!E10</f>
        <v>42769296</v>
      </c>
      <c r="T11" s="214">
        <f>'ESTADO DE RESULTADOS Y FLUJO DE'!F10</f>
        <v>42769296</v>
      </c>
      <c r="U11" s="214">
        <f>'ESTADO DE RESULTADOS Y FLUJO DE'!G10</f>
        <v>42769296</v>
      </c>
      <c r="V11" s="214">
        <f>'ESTADO DE RESULTADOS Y FLUJO DE'!H10</f>
        <v>42769296</v>
      </c>
    </row>
    <row r="12" spans="2:23">
      <c r="B12" s="261"/>
      <c r="D12" s="119"/>
      <c r="E12" s="119"/>
      <c r="F12" s="119"/>
      <c r="G12" s="119"/>
      <c r="H12" s="119"/>
      <c r="N12" s="262"/>
      <c r="P12" s="213" t="s">
        <v>321</v>
      </c>
      <c r="Q12" s="258"/>
      <c r="R12" s="214">
        <f>SUM(R9:R11)</f>
        <v>52093784</v>
      </c>
      <c r="S12" s="214">
        <f>SUM(S9:S11)</f>
        <v>52408784</v>
      </c>
      <c r="T12" s="214">
        <f>SUM(T9:T11)</f>
        <v>52739534</v>
      </c>
      <c r="U12" s="214">
        <f>SUM(U9:U11)</f>
        <v>53086821.5</v>
      </c>
      <c r="V12" s="214">
        <f>SUM(V9:V11)</f>
        <v>53451473.375</v>
      </c>
    </row>
    <row r="13" spans="2:23">
      <c r="B13" s="261"/>
      <c r="D13" s="119"/>
      <c r="E13" s="119"/>
      <c r="F13" s="119"/>
      <c r="G13" s="119"/>
      <c r="H13" s="119"/>
      <c r="N13" s="264"/>
      <c r="P13" s="567" t="s">
        <v>322</v>
      </c>
      <c r="Q13" s="567"/>
      <c r="R13" s="567"/>
      <c r="S13" s="567"/>
      <c r="T13" s="567"/>
      <c r="U13" s="567"/>
      <c r="V13" s="567"/>
      <c r="W13" s="265"/>
    </row>
    <row r="14" spans="2:23">
      <c r="B14" s="261"/>
      <c r="D14" s="119"/>
      <c r="E14" s="119"/>
      <c r="F14" s="119"/>
      <c r="G14" s="119"/>
      <c r="H14" s="119"/>
      <c r="N14" s="264"/>
      <c r="P14" s="213" t="s">
        <v>323</v>
      </c>
      <c r="Q14" s="258"/>
      <c r="R14" s="214">
        <f>'ESTADO DE RESULTADOS Y FLUJO DE'!D14</f>
        <v>0</v>
      </c>
      <c r="S14" s="214">
        <f>'ESTADO DE RESULTADOS Y FLUJO DE'!E14</f>
        <v>0</v>
      </c>
      <c r="T14" s="214">
        <f>'ESTADO DE RESULTADOS Y FLUJO DE'!F14</f>
        <v>0</v>
      </c>
      <c r="U14" s="214">
        <f>'ESTADO DE RESULTADOS Y FLUJO DE'!G14</f>
        <v>0</v>
      </c>
      <c r="V14" s="214">
        <f>'ESTADO DE RESULTADOS Y FLUJO DE'!H14</f>
        <v>0</v>
      </c>
    </row>
    <row r="15" spans="2:23">
      <c r="B15" s="261"/>
      <c r="D15" s="259"/>
      <c r="E15" s="259"/>
      <c r="F15" s="259"/>
      <c r="G15" s="259"/>
      <c r="H15" s="259"/>
      <c r="I15" s="233"/>
      <c r="J15" s="170"/>
      <c r="K15" s="266"/>
      <c r="L15" s="263"/>
      <c r="M15" s="264"/>
      <c r="N15" s="264"/>
      <c r="P15" s="213" t="s">
        <v>324</v>
      </c>
      <c r="Q15" s="258"/>
      <c r="R15" s="214">
        <f>'ESTADO DE RESULTADOS Y FLUJO DE'!D15</f>
        <v>0</v>
      </c>
      <c r="S15" s="214">
        <f>'ESTADO DE RESULTADOS Y FLUJO DE'!E15</f>
        <v>0</v>
      </c>
      <c r="T15" s="214">
        <f>'ESTADO DE RESULTADOS Y FLUJO DE'!F15</f>
        <v>0</v>
      </c>
      <c r="U15" s="214">
        <f>'ESTADO DE RESULTADOS Y FLUJO DE'!G15</f>
        <v>0</v>
      </c>
      <c r="V15" s="214">
        <f>'ESTADO DE RESULTADOS Y FLUJO DE'!H15</f>
        <v>0</v>
      </c>
    </row>
    <row r="16" spans="2:23">
      <c r="L16" s="267"/>
      <c r="P16" s="213" t="s">
        <v>325</v>
      </c>
      <c r="Q16" s="258"/>
      <c r="R16" s="214">
        <f>+R14+R15</f>
        <v>0</v>
      </c>
      <c r="S16" s="214">
        <f t="shared" ref="S16:V16" si="3">+S14+S15</f>
        <v>0</v>
      </c>
      <c r="T16" s="214">
        <f t="shared" si="3"/>
        <v>0</v>
      </c>
      <c r="U16" s="214">
        <f t="shared" si="3"/>
        <v>0</v>
      </c>
      <c r="V16" s="214">
        <f t="shared" si="3"/>
        <v>0</v>
      </c>
    </row>
    <row r="17" spans="2:23">
      <c r="B17" s="268"/>
      <c r="C17" s="268"/>
      <c r="P17" s="218" t="s">
        <v>326</v>
      </c>
      <c r="Q17" s="260"/>
      <c r="R17" s="220">
        <f>+R7-R12-R16</f>
        <v>46430993.039999962</v>
      </c>
      <c r="S17" s="220">
        <f>+S7-S12-S16</f>
        <v>95366889.89199996</v>
      </c>
      <c r="T17" s="220">
        <f>+T7-T12-T16</f>
        <v>150967072.79529977</v>
      </c>
      <c r="U17" s="220">
        <f>+U7-U12-U16</f>
        <v>213966050.34097254</v>
      </c>
      <c r="V17" s="220">
        <f>+V7-V12-V16</f>
        <v>285173239.70119584</v>
      </c>
    </row>
    <row r="18" spans="2:23">
      <c r="B18" s="268"/>
      <c r="C18" s="268"/>
      <c r="P18" s="213" t="s">
        <v>327</v>
      </c>
      <c r="Q18" s="258"/>
      <c r="R18" s="214">
        <f>'ESTADO DE RESULTADOS Y FLUJO DE'!D18</f>
        <v>82800000</v>
      </c>
      <c r="S18" s="214">
        <f>'ESTADO DE RESULTADOS Y FLUJO DE'!E18</f>
        <v>86940000</v>
      </c>
      <c r="T18" s="214">
        <f>'ESTADO DE RESULTADOS Y FLUJO DE'!F18</f>
        <v>91287000</v>
      </c>
      <c r="U18" s="214">
        <f>'ESTADO DE RESULTADOS Y FLUJO DE'!G18</f>
        <v>95851350</v>
      </c>
      <c r="V18" s="214">
        <f>'ESTADO DE RESULTADOS Y FLUJO DE'!H18</f>
        <v>100643917.5</v>
      </c>
    </row>
    <row r="19" spans="2:23" ht="15.75" thickBot="1">
      <c r="B19" s="269"/>
      <c r="C19" s="269"/>
      <c r="D19" s="262"/>
      <c r="E19" s="262"/>
      <c r="F19" s="262"/>
      <c r="G19" s="262"/>
      <c r="H19" s="262"/>
      <c r="P19" s="213" t="s">
        <v>328</v>
      </c>
      <c r="Q19" s="258"/>
      <c r="R19" s="214">
        <f>'ESTADO DE RESULTADOS Y FLUJO DE'!D19</f>
        <v>76049564.414770633</v>
      </c>
      <c r="S19" s="214">
        <f>'ESTADO DE RESULTADOS Y FLUJO DE'!E19</f>
        <v>65710829.786793843</v>
      </c>
      <c r="T19" s="214">
        <f>'ESTADO DE RESULTADOS Y FLUJO DE'!F19</f>
        <v>52934187.184523053</v>
      </c>
      <c r="U19" s="214">
        <f>'ESTADO DE RESULTADOS Y FLUJO DE'!G19</f>
        <v>37144769.808007322</v>
      </c>
      <c r="V19" s="214">
        <f>'ESTADO DE RESULTADOS Y FLUJO DE'!H19</f>
        <v>17632155.355951853</v>
      </c>
    </row>
    <row r="20" spans="2:23" ht="15.75" thickBot="1">
      <c r="B20" s="269"/>
      <c r="C20" s="502" t="s">
        <v>351</v>
      </c>
      <c r="D20" s="503"/>
      <c r="E20" s="503"/>
      <c r="F20" s="503"/>
      <c r="G20" s="503"/>
      <c r="H20" s="503"/>
      <c r="I20" s="504"/>
      <c r="P20" s="218" t="s">
        <v>329</v>
      </c>
      <c r="Q20" s="260"/>
      <c r="R20" s="220">
        <f>+R17+R18-R19</f>
        <v>53181428.625229329</v>
      </c>
      <c r="S20" s="220">
        <f t="shared" ref="S20:V20" si="4">+S17+S18-S19</f>
        <v>116596060.10520612</v>
      </c>
      <c r="T20" s="220">
        <f t="shared" si="4"/>
        <v>189319885.61077672</v>
      </c>
      <c r="U20" s="220">
        <f t="shared" si="4"/>
        <v>272672630.53296524</v>
      </c>
      <c r="V20" s="220">
        <f t="shared" si="4"/>
        <v>368185001.84524399</v>
      </c>
    </row>
    <row r="21" spans="2:23">
      <c r="B21" s="269"/>
      <c r="C21" s="505" t="s">
        <v>295</v>
      </c>
      <c r="D21" s="506"/>
      <c r="E21" s="28" t="s">
        <v>306</v>
      </c>
      <c r="F21" s="28" t="s">
        <v>307</v>
      </c>
      <c r="G21" s="28" t="s">
        <v>308</v>
      </c>
      <c r="H21" s="28" t="s">
        <v>309</v>
      </c>
      <c r="I21" s="28" t="s">
        <v>310</v>
      </c>
      <c r="P21" s="213" t="s">
        <v>330</v>
      </c>
      <c r="Q21" s="258"/>
      <c r="R21" s="214">
        <f>R20*$W$2</f>
        <v>18613500.018830262</v>
      </c>
      <c r="S21" s="214">
        <f t="shared" ref="S21:V21" si="5">S20*$W$2</f>
        <v>40808621.03682214</v>
      </c>
      <c r="T21" s="214">
        <f t="shared" si="5"/>
        <v>66261959.96377185</v>
      </c>
      <c r="U21" s="214">
        <f t="shared" si="5"/>
        <v>95435420.686537832</v>
      </c>
      <c r="V21" s="214">
        <f t="shared" si="5"/>
        <v>128864750.64583538</v>
      </c>
    </row>
    <row r="22" spans="2:23">
      <c r="B22" s="269"/>
      <c r="C22" s="507" t="s">
        <v>326</v>
      </c>
      <c r="D22" s="508"/>
      <c r="E22" s="136">
        <f>+R17</f>
        <v>46430993.039999962</v>
      </c>
      <c r="F22" s="136">
        <f t="shared" ref="F22:H22" si="6">+S17</f>
        <v>95366889.89199996</v>
      </c>
      <c r="G22" s="136">
        <f t="shared" si="6"/>
        <v>150967072.79529977</v>
      </c>
      <c r="H22" s="136">
        <f t="shared" si="6"/>
        <v>213966050.34097254</v>
      </c>
      <c r="I22" s="136">
        <f>+V17</f>
        <v>285173239.70119584</v>
      </c>
      <c r="P22" s="218" t="s">
        <v>331</v>
      </c>
      <c r="Q22" s="260"/>
      <c r="R22" s="220">
        <f>+R20-R21</f>
        <v>34567928.606399067</v>
      </c>
      <c r="S22" s="220">
        <f t="shared" ref="S22:V22" si="7">+S20-S21</f>
        <v>75787439.068383977</v>
      </c>
      <c r="T22" s="220">
        <f t="shared" si="7"/>
        <v>123057925.64700487</v>
      </c>
      <c r="U22" s="220">
        <f t="shared" si="7"/>
        <v>177237209.84642741</v>
      </c>
      <c r="V22" s="221">
        <f t="shared" si="7"/>
        <v>239320251.19940859</v>
      </c>
    </row>
    <row r="23" spans="2:23" ht="15.75" thickBot="1">
      <c r="B23" s="269"/>
      <c r="C23" s="509" t="s">
        <v>367</v>
      </c>
      <c r="D23" s="510"/>
      <c r="E23" s="243">
        <f>'BALANCE GENERAL'!D22</f>
        <v>818466482.06200004</v>
      </c>
      <c r="F23" s="243">
        <f>'BALANCE GENERAL'!E22</f>
        <v>795678811.1651001</v>
      </c>
      <c r="G23" s="243">
        <f>'BALANCE GENERAL'!F22</f>
        <v>773676161.72335505</v>
      </c>
      <c r="H23" s="243">
        <f>'BALANCE GENERAL'!G22</f>
        <v>752497784.80952287</v>
      </c>
      <c r="I23" s="243">
        <f>'BALANCE GENERAL'!H22</f>
        <v>732184894.049999</v>
      </c>
      <c r="P23" s="213" t="s">
        <v>178</v>
      </c>
      <c r="Q23" s="258"/>
      <c r="R23" s="270">
        <f>'ESTADO DE RESULTADOS Y FLUJO DE'!D23</f>
        <v>37806100</v>
      </c>
      <c r="S23" s="270">
        <f>'ESTADO DE RESULTADOS Y FLUJO DE'!E23</f>
        <v>37806100</v>
      </c>
      <c r="T23" s="270">
        <f>'ESTADO DE RESULTADOS Y FLUJO DE'!F23</f>
        <v>37806100</v>
      </c>
      <c r="U23" s="270">
        <f>'ESTADO DE RESULTADOS Y FLUJO DE'!G23</f>
        <v>37806100</v>
      </c>
      <c r="V23" s="270">
        <f>'ESTADO DE RESULTADOS Y FLUJO DE'!H23</f>
        <v>37806100</v>
      </c>
    </row>
    <row r="24" spans="2:23" ht="15.75" thickBot="1">
      <c r="B24" s="269"/>
      <c r="C24" s="511" t="s">
        <v>351</v>
      </c>
      <c r="D24" s="512"/>
      <c r="E24" s="244">
        <f>+E22/E23</f>
        <v>5.6729254108273605E-2</v>
      </c>
      <c r="F24" s="244">
        <f t="shared" ref="F24:I24" si="8">+F22/F23</f>
        <v>0.11985601294617322</v>
      </c>
      <c r="G24" s="244">
        <f t="shared" si="8"/>
        <v>0.19512953902964036</v>
      </c>
      <c r="H24" s="244">
        <f t="shared" si="8"/>
        <v>0.28434110327000234</v>
      </c>
      <c r="I24" s="245">
        <f t="shared" si="8"/>
        <v>0.38948255012991584</v>
      </c>
      <c r="P24" s="213" t="s">
        <v>184</v>
      </c>
      <c r="Q24" s="258"/>
      <c r="R24" s="270">
        <f>'ESTADO DE RESULTADOS Y FLUJO DE'!D24</f>
        <v>682000</v>
      </c>
      <c r="S24" s="270">
        <f>'ESTADO DE RESULTADOS Y FLUJO DE'!E24</f>
        <v>682000</v>
      </c>
      <c r="T24" s="270">
        <f>'ESTADO DE RESULTADOS Y FLUJO DE'!F24</f>
        <v>682000</v>
      </c>
      <c r="U24" s="270">
        <f>'ESTADO DE RESULTADOS Y FLUJO DE'!G24</f>
        <v>682000</v>
      </c>
      <c r="V24" s="270">
        <f>'ESTADO DE RESULTADOS Y FLUJO DE'!H24</f>
        <v>682000</v>
      </c>
    </row>
    <row r="25" spans="2:23" ht="15.75" thickBot="1">
      <c r="B25" s="269"/>
      <c r="C25" s="269"/>
      <c r="D25" s="262"/>
      <c r="E25" s="262"/>
      <c r="F25" s="262"/>
      <c r="G25" s="262"/>
      <c r="H25" s="262"/>
      <c r="P25" s="218" t="s">
        <v>368</v>
      </c>
      <c r="Q25" s="260"/>
      <c r="R25" s="271">
        <f>+R22+R23+R24</f>
        <v>73056028.606399059</v>
      </c>
      <c r="S25" s="271">
        <f>+S22+S23+S24</f>
        <v>114275539.06838398</v>
      </c>
      <c r="T25" s="271">
        <f>+T22+T23+T24</f>
        <v>161546025.64700487</v>
      </c>
      <c r="U25" s="271">
        <f>+U22+U23+U24</f>
        <v>215725309.84642741</v>
      </c>
      <c r="V25" s="271">
        <f>+V22+V23+V24</f>
        <v>277808351.19940859</v>
      </c>
      <c r="W25" s="171"/>
    </row>
    <row r="26" spans="2:23" ht="15.75" thickBot="1">
      <c r="B26" s="269"/>
      <c r="C26" s="502" t="s">
        <v>355</v>
      </c>
      <c r="D26" s="503"/>
      <c r="E26" s="503"/>
      <c r="F26" s="503"/>
      <c r="G26" s="503"/>
      <c r="H26" s="503"/>
      <c r="I26" s="504"/>
      <c r="P26" s="213" t="s">
        <v>299</v>
      </c>
      <c r="Q26" s="258"/>
      <c r="R26" s="270">
        <f>'BALANCE GENERAL'!E31</f>
        <v>14952789.622000039</v>
      </c>
      <c r="S26" s="270">
        <f>'BALANCE GENERAL'!F31</f>
        <v>15700429.103100002</v>
      </c>
      <c r="T26" s="270">
        <f>'BALANCE GENERAL'!G31</f>
        <v>16485450.558255017</v>
      </c>
      <c r="U26" s="270">
        <f>'BALANCE GENERAL'!H31</f>
        <v>17309723.086167753</v>
      </c>
      <c r="V26" s="270">
        <f>'BALANCE GENERAL'!I31</f>
        <v>18175209.240476131</v>
      </c>
    </row>
    <row r="27" spans="2:23">
      <c r="C27" s="513" t="s">
        <v>295</v>
      </c>
      <c r="D27" s="514"/>
      <c r="E27" s="28" t="s">
        <v>306</v>
      </c>
      <c r="F27" s="28" t="s">
        <v>307</v>
      </c>
      <c r="G27" s="28" t="s">
        <v>308</v>
      </c>
      <c r="H27" s="28" t="s">
        <v>309</v>
      </c>
      <c r="I27" s="28" t="s">
        <v>310</v>
      </c>
      <c r="P27" s="213" t="s">
        <v>333</v>
      </c>
      <c r="Q27" s="258"/>
      <c r="R27" s="270"/>
      <c r="S27" s="214">
        <v>0</v>
      </c>
      <c r="T27" s="214">
        <v>0</v>
      </c>
      <c r="U27" s="214">
        <v>0</v>
      </c>
      <c r="V27" s="215">
        <v>0</v>
      </c>
    </row>
    <row r="28" spans="2:23">
      <c r="C28" s="515" t="s">
        <v>329</v>
      </c>
      <c r="D28" s="516"/>
      <c r="E28" s="174">
        <f>+R20</f>
        <v>53181428.625229329</v>
      </c>
      <c r="F28" s="174">
        <f>+S20</f>
        <v>116596060.10520612</v>
      </c>
      <c r="G28" s="174">
        <f>+T20</f>
        <v>189319885.61077672</v>
      </c>
      <c r="H28" s="174">
        <f>+U20</f>
        <v>272672630.53296524</v>
      </c>
      <c r="I28" s="174">
        <f>+V20</f>
        <v>368185001.84524399</v>
      </c>
      <c r="P28" s="213" t="s">
        <v>334</v>
      </c>
      <c r="Q28" s="265"/>
      <c r="R28" s="233">
        <f>'ESTADO DE RESULTADOS Y FLUJO DE'!D28</f>
        <v>43844736.895238534</v>
      </c>
      <c r="S28" s="233">
        <f>'ESTADO DE RESULTADOS Y FLUJO DE'!E28</f>
        <v>54183471.523215309</v>
      </c>
      <c r="T28" s="233">
        <f>'ESTADO DE RESULTADOS Y FLUJO DE'!F28</f>
        <v>66960114.125486121</v>
      </c>
      <c r="U28" s="233">
        <f>'ESTADO DE RESULTADOS Y FLUJO DE'!G28</f>
        <v>82749531.502001852</v>
      </c>
      <c r="V28" s="233">
        <f>'ESTADO DE RESULTADOS Y FLUJO DE'!H28</f>
        <v>102262145.95405731</v>
      </c>
    </row>
    <row r="29" spans="2:23" ht="15.75" thickBot="1">
      <c r="C29" s="517" t="s">
        <v>284</v>
      </c>
      <c r="D29" s="518"/>
      <c r="E29" s="247">
        <f>'BALANCE GENERAL'!K17</f>
        <v>512311218.95723861</v>
      </c>
      <c r="F29" s="247">
        <f>'BALANCE GENERAL'!L17</f>
        <v>543707019.58355391</v>
      </c>
      <c r="G29" s="247">
        <f>'BALANCE GENERAL'!M17</f>
        <v>588664484.26729512</v>
      </c>
      <c r="H29" s="247">
        <f>'BALANCE GENERAL'!N17</f>
        <v>650235638.8554647</v>
      </c>
      <c r="I29" s="247">
        <f>'BALANCE GENERAL'!O17</f>
        <v>732184894.04999816</v>
      </c>
      <c r="P29" s="218" t="s">
        <v>335</v>
      </c>
      <c r="Q29" s="260"/>
      <c r="R29" s="271">
        <f>+R25-R27-R26-R28</f>
        <v>14258502.089160487</v>
      </c>
      <c r="S29" s="271">
        <f t="shared" ref="S29:V29" si="9">+S25-S27-S26-S28</f>
        <v>44391638.442068666</v>
      </c>
      <c r="T29" s="271">
        <f t="shared" si="9"/>
        <v>78100460.963263735</v>
      </c>
      <c r="U29" s="271">
        <f t="shared" si="9"/>
        <v>115666055.25825781</v>
      </c>
      <c r="V29" s="271">
        <f t="shared" si="9"/>
        <v>157370996.00487515</v>
      </c>
    </row>
    <row r="30" spans="2:23" ht="16.5" thickBot="1">
      <c r="C30" s="502" t="s">
        <v>355</v>
      </c>
      <c r="D30" s="519"/>
      <c r="E30" s="244">
        <f>+E28/E29</f>
        <v>0.10380687882157867</v>
      </c>
      <c r="F30" s="244">
        <f t="shared" ref="F30:I30" si="10">+F28/F29</f>
        <v>0.21444648662897808</v>
      </c>
      <c r="G30" s="244">
        <f t="shared" si="10"/>
        <v>0.32160915202217666</v>
      </c>
      <c r="H30" s="244">
        <f t="shared" si="10"/>
        <v>0.41934433340645499</v>
      </c>
      <c r="I30" s="245">
        <f t="shared" si="10"/>
        <v>0.50285795956356072</v>
      </c>
      <c r="P30" s="213" t="s">
        <v>341</v>
      </c>
      <c r="Q30" s="265"/>
      <c r="R30" s="272"/>
      <c r="S30" s="214">
        <v>0</v>
      </c>
      <c r="T30" s="214">
        <v>0</v>
      </c>
      <c r="U30" s="214">
        <v>0</v>
      </c>
      <c r="V30" s="215">
        <f>'BALANCE GENERAL'!H22</f>
        <v>732184894.049999</v>
      </c>
    </row>
    <row r="31" spans="2:23">
      <c r="P31" s="213" t="s">
        <v>342</v>
      </c>
      <c r="Q31" s="273">
        <f>'ESTADO DE RESULTADOS Y FLUJO DE'!C36</f>
        <v>-492001792.44000006</v>
      </c>
      <c r="R31" s="273">
        <f>R29+R30</f>
        <v>14258502.089160487</v>
      </c>
      <c r="S31" s="273">
        <f t="shared" ref="S31:V31" si="11">S29+S30</f>
        <v>44391638.442068666</v>
      </c>
      <c r="T31" s="273">
        <f t="shared" si="11"/>
        <v>78100460.963263735</v>
      </c>
      <c r="U31" s="273">
        <f t="shared" si="11"/>
        <v>115666055.25825781</v>
      </c>
      <c r="V31" s="273">
        <f t="shared" si="11"/>
        <v>889555890.05487418</v>
      </c>
    </row>
    <row r="32" spans="2:23" ht="15.75" thickBot="1">
      <c r="P32" s="213" t="s">
        <v>369</v>
      </c>
      <c r="Q32" s="273">
        <f>'ESTADO DE RESULTADOS Y FLUJO DE'!C37</f>
        <v>350000000</v>
      </c>
      <c r="R32" s="273">
        <f>+R28+R19*(1-35%)</f>
        <v>93276953.764839441</v>
      </c>
      <c r="S32" s="273">
        <f t="shared" ref="S32:V32" si="12">+S28+S19*(1-35%)</f>
        <v>96895510.884631306</v>
      </c>
      <c r="T32" s="273">
        <f t="shared" si="12"/>
        <v>101367335.7954261</v>
      </c>
      <c r="U32" s="273">
        <f t="shared" si="12"/>
        <v>106893631.87720661</v>
      </c>
      <c r="V32" s="273">
        <f t="shared" si="12"/>
        <v>113723046.93542601</v>
      </c>
    </row>
    <row r="33" spans="3:24" ht="15.75" thickBot="1">
      <c r="C33" s="502" t="s">
        <v>358</v>
      </c>
      <c r="D33" s="503"/>
      <c r="E33" s="503"/>
      <c r="F33" s="503"/>
      <c r="G33" s="503"/>
      <c r="H33" s="503"/>
      <c r="I33" s="504"/>
      <c r="P33" s="218" t="s">
        <v>344</v>
      </c>
      <c r="Q33" s="274">
        <f>+Q31-Q32</f>
        <v>-842001792.44000006</v>
      </c>
      <c r="R33" s="220">
        <f>+R31+R32</f>
        <v>107535455.85399993</v>
      </c>
      <c r="S33" s="220">
        <f t="shared" ref="S33:V33" si="13">+S31+S32</f>
        <v>141287149.32669997</v>
      </c>
      <c r="T33" s="220">
        <f t="shared" si="13"/>
        <v>179467796.75868982</v>
      </c>
      <c r="U33" s="220">
        <f t="shared" si="13"/>
        <v>222559687.13546443</v>
      </c>
      <c r="V33" s="220">
        <f t="shared" si="13"/>
        <v>1003278936.9903002</v>
      </c>
      <c r="W33" s="170"/>
      <c r="X33" s="171"/>
    </row>
    <row r="34" spans="3:24" ht="15.75" thickBot="1">
      <c r="C34" s="520" t="s">
        <v>295</v>
      </c>
      <c r="D34" s="521"/>
      <c r="E34" s="28" t="s">
        <v>306</v>
      </c>
      <c r="F34" s="28" t="s">
        <v>307</v>
      </c>
      <c r="G34" s="28" t="s">
        <v>308</v>
      </c>
      <c r="H34" s="28" t="s">
        <v>309</v>
      </c>
      <c r="I34" s="28" t="s">
        <v>310</v>
      </c>
      <c r="P34" s="275"/>
      <c r="Q34" s="324">
        <f>Q33</f>
        <v>-842001792.44000006</v>
      </c>
      <c r="R34" s="276">
        <f>Q34+R33</f>
        <v>-734466336.58600008</v>
      </c>
      <c r="S34" s="276">
        <f t="shared" ref="S34:V34" si="14">R34+S33</f>
        <v>-593179187.25930011</v>
      </c>
      <c r="T34" s="276">
        <f t="shared" si="14"/>
        <v>-413711390.50061029</v>
      </c>
      <c r="U34" s="276">
        <f t="shared" si="14"/>
        <v>-191151703.36514586</v>
      </c>
      <c r="V34" s="277">
        <f t="shared" si="14"/>
        <v>812127233.62515426</v>
      </c>
    </row>
    <row r="35" spans="3:24">
      <c r="C35" s="515" t="s">
        <v>351</v>
      </c>
      <c r="D35" s="516"/>
      <c r="E35" s="248">
        <f>+E24</f>
        <v>5.6729254108273605E-2</v>
      </c>
      <c r="F35" s="248">
        <f>+F24</f>
        <v>0.11985601294617322</v>
      </c>
      <c r="G35" s="248">
        <f>+G24</f>
        <v>0.19512953902964036</v>
      </c>
      <c r="H35" s="248">
        <f>+H24</f>
        <v>0.28434110327000234</v>
      </c>
      <c r="I35" s="248">
        <f>+I24</f>
        <v>0.38948255012991584</v>
      </c>
    </row>
    <row r="36" spans="3:24" ht="15.75" thickBot="1">
      <c r="C36" s="522" t="s">
        <v>303</v>
      </c>
      <c r="D36" s="523"/>
      <c r="E36" s="250">
        <f>'BALANCE GENERAL'!D44</f>
        <v>0.13120098300978905</v>
      </c>
      <c r="F36" s="250">
        <f>'BALANCE GENERAL'!E44</f>
        <v>0.12962903972731227</v>
      </c>
      <c r="G36" s="250">
        <f>'BALANCE GENERAL'!F44</f>
        <v>0.12746150830766309</v>
      </c>
      <c r="H36" s="250">
        <f>'BALANCE GENERAL'!G44</f>
        <v>0.12453257841262019</v>
      </c>
      <c r="I36" s="250">
        <f>'BALANCE GENERAL'!H44</f>
        <v>0.12063312088003569</v>
      </c>
      <c r="O36" t="s">
        <v>303</v>
      </c>
      <c r="R36" s="278">
        <f>E36</f>
        <v>0.13120098300978905</v>
      </c>
      <c r="S36" s="278">
        <f t="shared" ref="S36:V36" si="15">F36</f>
        <v>0.12962903972731227</v>
      </c>
      <c r="T36" s="278">
        <f t="shared" si="15"/>
        <v>0.12746150830766309</v>
      </c>
      <c r="U36" s="278">
        <f t="shared" si="15"/>
        <v>0.12453257841262019</v>
      </c>
      <c r="V36" s="278">
        <f t="shared" si="15"/>
        <v>0.12063312088003569</v>
      </c>
    </row>
    <row r="37" spans="3:24" ht="15.75" thickBot="1">
      <c r="C37" s="502" t="s">
        <v>358</v>
      </c>
      <c r="D37" s="519"/>
      <c r="E37" s="244">
        <f>+E35-E36</f>
        <v>-7.4471728901515447E-2</v>
      </c>
      <c r="F37" s="244">
        <f t="shared" ref="F37:I37" si="16">+F35-F36</f>
        <v>-9.7730267811390464E-3</v>
      </c>
      <c r="G37" s="244">
        <f t="shared" si="16"/>
        <v>6.7668030721977274E-2</v>
      </c>
      <c r="H37" s="244">
        <f t="shared" si="16"/>
        <v>0.15980852485738214</v>
      </c>
      <c r="I37" s="245">
        <f t="shared" si="16"/>
        <v>0.26884942924988015</v>
      </c>
      <c r="O37" t="s">
        <v>346</v>
      </c>
      <c r="P37" s="170">
        <f>+SUM(R37:V37)+Q33</f>
        <v>178166520.72390151</v>
      </c>
      <c r="Q37" s="170"/>
      <c r="R37" s="119">
        <f>+R33/(1+R36)</f>
        <v>95063085.578196794</v>
      </c>
      <c r="S37" s="119">
        <f>+S33/(1+S36)/(1+R36)</f>
        <v>110567385.53892376</v>
      </c>
      <c r="T37" s="119">
        <f>+T33/(1+T36)/(1+S36)/(1+R36)</f>
        <v>124568772.53002746</v>
      </c>
      <c r="U37" s="119">
        <f>+U33/(1+U36)/(1+T36)/(1+S36)/(1+R36)</f>
        <v>137371649.85444313</v>
      </c>
      <c r="V37" s="119">
        <f>+V33/(1+V36)/(1+U36)/(1+T36)/(1+S36)/(1+R36)</f>
        <v>552597419.66231036</v>
      </c>
    </row>
    <row r="38" spans="3:24">
      <c r="O38" t="s">
        <v>345</v>
      </c>
      <c r="P38" s="171">
        <f>+IRR(Q33:V33)</f>
        <v>0.18479761058254107</v>
      </c>
      <c r="Q38" s="171"/>
      <c r="W38" s="170"/>
    </row>
    <row r="39" spans="3:24">
      <c r="O39" t="s">
        <v>371</v>
      </c>
      <c r="P39">
        <f>4+ABS(U34)/V33</f>
        <v>4.1905269774112623</v>
      </c>
    </row>
  </sheetData>
  <mergeCells count="21">
    <mergeCell ref="C34:D34"/>
    <mergeCell ref="C35:D35"/>
    <mergeCell ref="C36:D36"/>
    <mergeCell ref="C37:D37"/>
    <mergeCell ref="C26:I26"/>
    <mergeCell ref="C27:D27"/>
    <mergeCell ref="C28:D28"/>
    <mergeCell ref="C29:D29"/>
    <mergeCell ref="C30:D30"/>
    <mergeCell ref="C33:I33"/>
    <mergeCell ref="C24:D24"/>
    <mergeCell ref="D3:H3"/>
    <mergeCell ref="P3:V3"/>
    <mergeCell ref="B8:B9"/>
    <mergeCell ref="P8:V8"/>
    <mergeCell ref="P13:V13"/>
    <mergeCell ref="C20:I20"/>
    <mergeCell ref="C21:D21"/>
    <mergeCell ref="C22:D22"/>
    <mergeCell ref="C23:D23"/>
    <mergeCell ref="I3:M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6D5A-2348-4D43-AA6C-A983B8F1D4BB}">
  <dimension ref="A1:O179"/>
  <sheetViews>
    <sheetView zoomScale="86" workbookViewId="0">
      <selection activeCell="A160" sqref="A160"/>
    </sheetView>
  </sheetViews>
  <sheetFormatPr defaultColWidth="11.42578125" defaultRowHeight="15"/>
  <cols>
    <col min="1" max="1" width="12.7109375" style="18" customWidth="1"/>
    <col min="2" max="2" width="17.42578125" style="18" customWidth="1"/>
    <col min="3" max="3" width="14.7109375" style="18" customWidth="1"/>
    <col min="4" max="15" width="20.42578125" style="18" customWidth="1"/>
    <col min="16" max="16384" width="11.42578125" style="18"/>
  </cols>
  <sheetData>
    <row r="1" spans="1:14">
      <c r="A1" s="17" t="s">
        <v>64</v>
      </c>
    </row>
    <row r="2" spans="1:14" ht="18.75">
      <c r="D2" s="19"/>
    </row>
    <row r="3" spans="1:14">
      <c r="A3" s="438" t="s">
        <v>65</v>
      </c>
      <c r="B3" s="438"/>
      <c r="C3" s="20" t="s">
        <v>66</v>
      </c>
      <c r="D3" s="20" t="s">
        <v>67</v>
      </c>
      <c r="E3" s="20" t="s">
        <v>68</v>
      </c>
      <c r="F3" s="21" t="s">
        <v>69</v>
      </c>
      <c r="H3" s="20" t="s">
        <v>70</v>
      </c>
    </row>
    <row r="4" spans="1:14">
      <c r="A4" s="434" t="s">
        <v>71</v>
      </c>
      <c r="B4" s="435"/>
      <c r="C4" s="22">
        <v>1</v>
      </c>
      <c r="D4" s="22">
        <v>3</v>
      </c>
      <c r="E4" s="23">
        <f>+$H$4*D4</f>
        <v>3900000</v>
      </c>
      <c r="F4" s="24">
        <f t="shared" ref="F4:F12" si="0">+E4*C4</f>
        <v>3900000</v>
      </c>
      <c r="H4" s="25">
        <v>1300000</v>
      </c>
    </row>
    <row r="5" spans="1:14">
      <c r="A5" s="434" t="s">
        <v>72</v>
      </c>
      <c r="B5" s="435"/>
      <c r="C5" s="22">
        <v>1</v>
      </c>
      <c r="D5" s="22">
        <v>1.5</v>
      </c>
      <c r="E5" s="23">
        <f t="shared" ref="E5:E12" si="1">+$H$4*D5</f>
        <v>1950000</v>
      </c>
      <c r="F5" s="24">
        <f t="shared" si="0"/>
        <v>1950000</v>
      </c>
    </row>
    <row r="6" spans="1:14">
      <c r="A6" s="434" t="s">
        <v>73</v>
      </c>
      <c r="B6" s="435"/>
      <c r="C6" s="22">
        <v>1</v>
      </c>
      <c r="D6" s="22">
        <v>2</v>
      </c>
      <c r="E6" s="23">
        <f t="shared" si="1"/>
        <v>2600000</v>
      </c>
      <c r="F6" s="24">
        <f t="shared" si="0"/>
        <v>2600000</v>
      </c>
    </row>
    <row r="7" spans="1:14">
      <c r="A7" s="434" t="s">
        <v>74</v>
      </c>
      <c r="B7" s="435"/>
      <c r="C7" s="22">
        <v>1</v>
      </c>
      <c r="D7" s="22">
        <v>2</v>
      </c>
      <c r="E7" s="23">
        <f t="shared" si="1"/>
        <v>2600000</v>
      </c>
      <c r="F7" s="24">
        <f t="shared" si="0"/>
        <v>2600000</v>
      </c>
    </row>
    <row r="8" spans="1:14">
      <c r="A8" s="361" t="s">
        <v>75</v>
      </c>
      <c r="B8" s="362"/>
      <c r="C8" s="22">
        <v>1</v>
      </c>
      <c r="D8" s="22">
        <v>1.5</v>
      </c>
      <c r="E8" s="23">
        <f t="shared" si="1"/>
        <v>1950000</v>
      </c>
      <c r="F8" s="24">
        <f t="shared" si="0"/>
        <v>1950000</v>
      </c>
    </row>
    <row r="9" spans="1:14">
      <c r="A9" s="361" t="s">
        <v>76</v>
      </c>
      <c r="B9" s="362"/>
      <c r="C9" s="22">
        <v>1</v>
      </c>
      <c r="D9" s="22">
        <v>2</v>
      </c>
      <c r="E9" s="23">
        <f t="shared" si="1"/>
        <v>2600000</v>
      </c>
      <c r="F9" s="24">
        <f t="shared" si="0"/>
        <v>2600000</v>
      </c>
    </row>
    <row r="10" spans="1:14">
      <c r="A10" s="361" t="s">
        <v>77</v>
      </c>
      <c r="B10" s="362"/>
      <c r="C10" s="22">
        <v>1</v>
      </c>
      <c r="D10" s="22">
        <v>2.5</v>
      </c>
      <c r="E10" s="23">
        <f t="shared" si="1"/>
        <v>3250000</v>
      </c>
      <c r="F10" s="24">
        <f t="shared" si="0"/>
        <v>3250000</v>
      </c>
    </row>
    <row r="11" spans="1:14">
      <c r="A11" s="434" t="s">
        <v>78</v>
      </c>
      <c r="B11" s="435"/>
      <c r="C11" s="22">
        <v>4</v>
      </c>
      <c r="D11" s="22">
        <v>1.3</v>
      </c>
      <c r="E11" s="23">
        <f>+$H$4*D11</f>
        <v>1690000</v>
      </c>
      <c r="F11" s="24">
        <f t="shared" si="0"/>
        <v>6760000</v>
      </c>
    </row>
    <row r="12" spans="1:14">
      <c r="A12" s="434" t="s">
        <v>79</v>
      </c>
      <c r="B12" s="435"/>
      <c r="C12" s="22">
        <v>1</v>
      </c>
      <c r="D12" s="22">
        <v>2</v>
      </c>
      <c r="E12" s="23">
        <f t="shared" si="1"/>
        <v>2600000</v>
      </c>
      <c r="F12" s="24">
        <f t="shared" si="0"/>
        <v>2600000</v>
      </c>
    </row>
    <row r="14" spans="1:14">
      <c r="A14" s="26" t="s">
        <v>80</v>
      </c>
      <c r="C14" s="27">
        <v>0.09</v>
      </c>
    </row>
    <row r="15" spans="1:14">
      <c r="A15" s="438" t="s">
        <v>65</v>
      </c>
      <c r="B15" s="438"/>
      <c r="C15" s="28" t="s">
        <v>81</v>
      </c>
      <c r="D15" s="28" t="s">
        <v>82</v>
      </c>
      <c r="E15" s="28" t="s">
        <v>83</v>
      </c>
      <c r="F15" s="28" t="s">
        <v>84</v>
      </c>
      <c r="G15" s="28" t="s">
        <v>85</v>
      </c>
      <c r="H15" s="28" t="s">
        <v>86</v>
      </c>
      <c r="I15" s="28" t="s">
        <v>87</v>
      </c>
      <c r="J15" s="28" t="s">
        <v>88</v>
      </c>
      <c r="K15" s="28" t="s">
        <v>89</v>
      </c>
      <c r="L15" s="28" t="s">
        <v>90</v>
      </c>
      <c r="M15" s="28" t="s">
        <v>91</v>
      </c>
      <c r="N15" s="28" t="s">
        <v>92</v>
      </c>
    </row>
    <row r="16" spans="1:14">
      <c r="A16" s="434" t="s">
        <v>71</v>
      </c>
      <c r="B16" s="435"/>
      <c r="C16" s="23">
        <f>+$F4*$C$14</f>
        <v>351000</v>
      </c>
      <c r="D16" s="23">
        <f t="shared" ref="D16:N16" si="2">+$F4*$C$14</f>
        <v>351000</v>
      </c>
      <c r="E16" s="23">
        <f t="shared" si="2"/>
        <v>351000</v>
      </c>
      <c r="F16" s="23">
        <f t="shared" si="2"/>
        <v>351000</v>
      </c>
      <c r="G16" s="23">
        <f t="shared" si="2"/>
        <v>351000</v>
      </c>
      <c r="H16" s="23">
        <f t="shared" si="2"/>
        <v>351000</v>
      </c>
      <c r="I16" s="23">
        <f t="shared" si="2"/>
        <v>351000</v>
      </c>
      <c r="J16" s="23">
        <f t="shared" si="2"/>
        <v>351000</v>
      </c>
      <c r="K16" s="23">
        <f t="shared" si="2"/>
        <v>351000</v>
      </c>
      <c r="L16" s="23">
        <f t="shared" si="2"/>
        <v>351000</v>
      </c>
      <c r="M16" s="23">
        <f t="shared" si="2"/>
        <v>351000</v>
      </c>
      <c r="N16" s="23">
        <f t="shared" si="2"/>
        <v>351000</v>
      </c>
    </row>
    <row r="17" spans="1:14">
      <c r="A17" s="434" t="s">
        <v>72</v>
      </c>
      <c r="B17" s="435"/>
      <c r="C17" s="23">
        <f t="shared" ref="C17:N24" si="3">+$F5*$C$14</f>
        <v>175500</v>
      </c>
      <c r="D17" s="23">
        <f t="shared" si="3"/>
        <v>175500</v>
      </c>
      <c r="E17" s="23">
        <f t="shared" si="3"/>
        <v>175500</v>
      </c>
      <c r="F17" s="23">
        <f t="shared" si="3"/>
        <v>175500</v>
      </c>
      <c r="G17" s="23">
        <f t="shared" si="3"/>
        <v>175500</v>
      </c>
      <c r="H17" s="23">
        <f t="shared" si="3"/>
        <v>175500</v>
      </c>
      <c r="I17" s="23">
        <f t="shared" si="3"/>
        <v>175500</v>
      </c>
      <c r="J17" s="23">
        <f t="shared" si="3"/>
        <v>175500</v>
      </c>
      <c r="K17" s="23">
        <f t="shared" si="3"/>
        <v>175500</v>
      </c>
      <c r="L17" s="23">
        <f t="shared" si="3"/>
        <v>175500</v>
      </c>
      <c r="M17" s="23">
        <f t="shared" si="3"/>
        <v>175500</v>
      </c>
      <c r="N17" s="23">
        <f t="shared" si="3"/>
        <v>175500</v>
      </c>
    </row>
    <row r="18" spans="1:14">
      <c r="A18" s="434" t="s">
        <v>73</v>
      </c>
      <c r="B18" s="435"/>
      <c r="C18" s="23">
        <f t="shared" si="3"/>
        <v>234000</v>
      </c>
      <c r="D18" s="23">
        <f t="shared" si="3"/>
        <v>234000</v>
      </c>
      <c r="E18" s="23">
        <f t="shared" si="3"/>
        <v>234000</v>
      </c>
      <c r="F18" s="23">
        <f t="shared" si="3"/>
        <v>234000</v>
      </c>
      <c r="G18" s="23">
        <f t="shared" si="3"/>
        <v>234000</v>
      </c>
      <c r="H18" s="23">
        <f t="shared" si="3"/>
        <v>234000</v>
      </c>
      <c r="I18" s="23">
        <f t="shared" si="3"/>
        <v>234000</v>
      </c>
      <c r="J18" s="23">
        <f t="shared" si="3"/>
        <v>234000</v>
      </c>
      <c r="K18" s="23">
        <f t="shared" si="3"/>
        <v>234000</v>
      </c>
      <c r="L18" s="23">
        <f t="shared" si="3"/>
        <v>234000</v>
      </c>
      <c r="M18" s="23">
        <f t="shared" si="3"/>
        <v>234000</v>
      </c>
      <c r="N18" s="23">
        <f t="shared" si="3"/>
        <v>234000</v>
      </c>
    </row>
    <row r="19" spans="1:14">
      <c r="A19" s="434" t="s">
        <v>74</v>
      </c>
      <c r="B19" s="435"/>
      <c r="C19" s="23">
        <f t="shared" si="3"/>
        <v>234000</v>
      </c>
      <c r="D19" s="23">
        <f t="shared" si="3"/>
        <v>234000</v>
      </c>
      <c r="E19" s="23">
        <f t="shared" si="3"/>
        <v>234000</v>
      </c>
      <c r="F19" s="23">
        <f t="shared" si="3"/>
        <v>234000</v>
      </c>
      <c r="G19" s="23">
        <f t="shared" si="3"/>
        <v>234000</v>
      </c>
      <c r="H19" s="23">
        <f t="shared" si="3"/>
        <v>234000</v>
      </c>
      <c r="I19" s="23">
        <f t="shared" si="3"/>
        <v>234000</v>
      </c>
      <c r="J19" s="23">
        <f t="shared" si="3"/>
        <v>234000</v>
      </c>
      <c r="K19" s="23">
        <f t="shared" si="3"/>
        <v>234000</v>
      </c>
      <c r="L19" s="23">
        <f t="shared" si="3"/>
        <v>234000</v>
      </c>
      <c r="M19" s="23">
        <f t="shared" si="3"/>
        <v>234000</v>
      </c>
      <c r="N19" s="23">
        <f t="shared" si="3"/>
        <v>234000</v>
      </c>
    </row>
    <row r="20" spans="1:14">
      <c r="A20" s="361" t="s">
        <v>75</v>
      </c>
      <c r="B20" s="362"/>
      <c r="C20" s="23">
        <f t="shared" si="3"/>
        <v>175500</v>
      </c>
      <c r="D20" s="23">
        <f t="shared" si="3"/>
        <v>175500</v>
      </c>
      <c r="E20" s="23">
        <f t="shared" si="3"/>
        <v>175500</v>
      </c>
      <c r="F20" s="23">
        <f t="shared" si="3"/>
        <v>175500</v>
      </c>
      <c r="G20" s="23">
        <f t="shared" si="3"/>
        <v>175500</v>
      </c>
      <c r="H20" s="23">
        <f t="shared" si="3"/>
        <v>175500</v>
      </c>
      <c r="I20" s="23">
        <f t="shared" si="3"/>
        <v>175500</v>
      </c>
      <c r="J20" s="23">
        <f t="shared" si="3"/>
        <v>175500</v>
      </c>
      <c r="K20" s="23">
        <f t="shared" si="3"/>
        <v>175500</v>
      </c>
      <c r="L20" s="23">
        <f t="shared" si="3"/>
        <v>175500</v>
      </c>
      <c r="M20" s="23">
        <f t="shared" si="3"/>
        <v>175500</v>
      </c>
      <c r="N20" s="23">
        <f t="shared" si="3"/>
        <v>175500</v>
      </c>
    </row>
    <row r="21" spans="1:14">
      <c r="A21" s="361" t="s">
        <v>76</v>
      </c>
      <c r="B21" s="362"/>
      <c r="C21" s="23">
        <f>+$F9*$C$14</f>
        <v>234000</v>
      </c>
      <c r="D21" s="23">
        <f t="shared" ref="D21:N21" si="4">+$F9*$C$14</f>
        <v>234000</v>
      </c>
      <c r="E21" s="23">
        <f t="shared" si="4"/>
        <v>234000</v>
      </c>
      <c r="F21" s="23">
        <f t="shared" si="4"/>
        <v>234000</v>
      </c>
      <c r="G21" s="23">
        <f t="shared" si="4"/>
        <v>234000</v>
      </c>
      <c r="H21" s="23">
        <f t="shared" si="4"/>
        <v>234000</v>
      </c>
      <c r="I21" s="23">
        <f t="shared" si="4"/>
        <v>234000</v>
      </c>
      <c r="J21" s="23">
        <f t="shared" si="4"/>
        <v>234000</v>
      </c>
      <c r="K21" s="23">
        <f t="shared" si="4"/>
        <v>234000</v>
      </c>
      <c r="L21" s="23">
        <f t="shared" si="4"/>
        <v>234000</v>
      </c>
      <c r="M21" s="23">
        <f t="shared" si="4"/>
        <v>234000</v>
      </c>
      <c r="N21" s="23">
        <f t="shared" si="4"/>
        <v>234000</v>
      </c>
    </row>
    <row r="22" spans="1:14">
      <c r="A22" s="361" t="s">
        <v>77</v>
      </c>
      <c r="B22" s="362"/>
      <c r="C22" s="23">
        <f t="shared" si="3"/>
        <v>292500</v>
      </c>
      <c r="D22" s="23">
        <f t="shared" si="3"/>
        <v>292500</v>
      </c>
      <c r="E22" s="23">
        <f t="shared" si="3"/>
        <v>292500</v>
      </c>
      <c r="F22" s="23">
        <f t="shared" si="3"/>
        <v>292500</v>
      </c>
      <c r="G22" s="23">
        <f t="shared" si="3"/>
        <v>292500</v>
      </c>
      <c r="H22" s="23">
        <f t="shared" si="3"/>
        <v>292500</v>
      </c>
      <c r="I22" s="23">
        <f t="shared" si="3"/>
        <v>292500</v>
      </c>
      <c r="J22" s="23">
        <f t="shared" si="3"/>
        <v>292500</v>
      </c>
      <c r="K22" s="23">
        <f t="shared" si="3"/>
        <v>292500</v>
      </c>
      <c r="L22" s="23">
        <f t="shared" si="3"/>
        <v>292500</v>
      </c>
      <c r="M22" s="23">
        <f t="shared" si="3"/>
        <v>292500</v>
      </c>
      <c r="N22" s="23">
        <f t="shared" si="3"/>
        <v>292500</v>
      </c>
    </row>
    <row r="23" spans="1:14">
      <c r="A23" s="434" t="s">
        <v>78</v>
      </c>
      <c r="B23" s="435"/>
      <c r="C23" s="23">
        <f t="shared" si="3"/>
        <v>608400</v>
      </c>
      <c r="D23" s="23">
        <f t="shared" si="3"/>
        <v>608400</v>
      </c>
      <c r="E23" s="23">
        <f t="shared" si="3"/>
        <v>608400</v>
      </c>
      <c r="F23" s="23">
        <f t="shared" si="3"/>
        <v>608400</v>
      </c>
      <c r="G23" s="23">
        <f t="shared" si="3"/>
        <v>608400</v>
      </c>
      <c r="H23" s="23">
        <f t="shared" si="3"/>
        <v>608400</v>
      </c>
      <c r="I23" s="23">
        <f t="shared" si="3"/>
        <v>608400</v>
      </c>
      <c r="J23" s="23">
        <f t="shared" si="3"/>
        <v>608400</v>
      </c>
      <c r="K23" s="23">
        <f t="shared" si="3"/>
        <v>608400</v>
      </c>
      <c r="L23" s="23">
        <f t="shared" si="3"/>
        <v>608400</v>
      </c>
      <c r="M23" s="23">
        <f t="shared" si="3"/>
        <v>608400</v>
      </c>
      <c r="N23" s="23">
        <f t="shared" si="3"/>
        <v>608400</v>
      </c>
    </row>
    <row r="24" spans="1:14">
      <c r="A24" s="434" t="s">
        <v>79</v>
      </c>
      <c r="B24" s="435"/>
      <c r="C24" s="23">
        <f t="shared" si="3"/>
        <v>234000</v>
      </c>
      <c r="D24" s="23">
        <f t="shared" si="3"/>
        <v>234000</v>
      </c>
      <c r="E24" s="23">
        <f t="shared" si="3"/>
        <v>234000</v>
      </c>
      <c r="F24" s="23">
        <f t="shared" si="3"/>
        <v>234000</v>
      </c>
      <c r="G24" s="23">
        <f t="shared" si="3"/>
        <v>234000</v>
      </c>
      <c r="H24" s="23">
        <f t="shared" si="3"/>
        <v>234000</v>
      </c>
      <c r="I24" s="23">
        <f t="shared" si="3"/>
        <v>234000</v>
      </c>
      <c r="J24" s="23">
        <f t="shared" si="3"/>
        <v>234000</v>
      </c>
      <c r="K24" s="23">
        <f t="shared" si="3"/>
        <v>234000</v>
      </c>
      <c r="L24" s="23">
        <f t="shared" si="3"/>
        <v>234000</v>
      </c>
      <c r="M24" s="23">
        <f t="shared" si="3"/>
        <v>234000</v>
      </c>
      <c r="N24" s="23">
        <f t="shared" si="3"/>
        <v>234000</v>
      </c>
    </row>
    <row r="26" spans="1:14">
      <c r="A26" s="29" t="s">
        <v>93</v>
      </c>
      <c r="C26" s="30">
        <v>162000</v>
      </c>
      <c r="D26" s="18">
        <v>2</v>
      </c>
    </row>
    <row r="27" spans="1:14">
      <c r="A27" s="438" t="s">
        <v>65</v>
      </c>
      <c r="B27" s="438"/>
      <c r="C27" s="28" t="s">
        <v>81</v>
      </c>
      <c r="D27" s="28" t="s">
        <v>82</v>
      </c>
      <c r="E27" s="28" t="s">
        <v>83</v>
      </c>
      <c r="F27" s="28" t="s">
        <v>84</v>
      </c>
      <c r="G27" s="28" t="s">
        <v>85</v>
      </c>
      <c r="H27" s="28" t="s">
        <v>86</v>
      </c>
      <c r="I27" s="28" t="s">
        <v>87</v>
      </c>
      <c r="J27" s="28" t="s">
        <v>88</v>
      </c>
      <c r="K27" s="28" t="s">
        <v>89</v>
      </c>
      <c r="L27" s="28" t="s">
        <v>90</v>
      </c>
      <c r="M27" s="28" t="s">
        <v>91</v>
      </c>
      <c r="N27" s="28" t="s">
        <v>92</v>
      </c>
    </row>
    <row r="28" spans="1:14">
      <c r="A28" s="434" t="s">
        <v>71</v>
      </c>
      <c r="B28" s="435"/>
      <c r="C28" s="25">
        <f>+IF($E4&lt;=2*$H$4,$C$26,0)</f>
        <v>0</v>
      </c>
      <c r="D28" s="25">
        <f t="shared" ref="D28:N28" si="5">+IF($E4&lt;=2*$H$4,$C$26,0)</f>
        <v>0</v>
      </c>
      <c r="E28" s="25">
        <f t="shared" si="5"/>
        <v>0</v>
      </c>
      <c r="F28" s="25">
        <f t="shared" si="5"/>
        <v>0</v>
      </c>
      <c r="G28" s="25">
        <f t="shared" si="5"/>
        <v>0</v>
      </c>
      <c r="H28" s="25">
        <f t="shared" si="5"/>
        <v>0</v>
      </c>
      <c r="I28" s="25">
        <f t="shared" si="5"/>
        <v>0</v>
      </c>
      <c r="J28" s="25">
        <f t="shared" si="5"/>
        <v>0</v>
      </c>
      <c r="K28" s="25">
        <f t="shared" si="5"/>
        <v>0</v>
      </c>
      <c r="L28" s="25">
        <f t="shared" si="5"/>
        <v>0</v>
      </c>
      <c r="M28" s="25">
        <f t="shared" si="5"/>
        <v>0</v>
      </c>
      <c r="N28" s="25">
        <f t="shared" si="5"/>
        <v>0</v>
      </c>
    </row>
    <row r="29" spans="1:14">
      <c r="A29" s="434" t="s">
        <v>72</v>
      </c>
      <c r="B29" s="435"/>
      <c r="C29" s="25">
        <f t="shared" ref="C29:N36" si="6">+IF($E5&lt;=2*$H$4,$C$26,0)</f>
        <v>162000</v>
      </c>
      <c r="D29" s="25">
        <f t="shared" si="6"/>
        <v>162000</v>
      </c>
      <c r="E29" s="25">
        <f t="shared" si="6"/>
        <v>162000</v>
      </c>
      <c r="F29" s="25">
        <f t="shared" si="6"/>
        <v>162000</v>
      </c>
      <c r="G29" s="25">
        <f t="shared" si="6"/>
        <v>162000</v>
      </c>
      <c r="H29" s="25">
        <f t="shared" si="6"/>
        <v>162000</v>
      </c>
      <c r="I29" s="25">
        <f t="shared" si="6"/>
        <v>162000</v>
      </c>
      <c r="J29" s="25">
        <f t="shared" si="6"/>
        <v>162000</v>
      </c>
      <c r="K29" s="25">
        <f t="shared" si="6"/>
        <v>162000</v>
      </c>
      <c r="L29" s="25">
        <f t="shared" si="6"/>
        <v>162000</v>
      </c>
      <c r="M29" s="25">
        <f t="shared" si="6"/>
        <v>162000</v>
      </c>
      <c r="N29" s="25">
        <f t="shared" si="6"/>
        <v>162000</v>
      </c>
    </row>
    <row r="30" spans="1:14">
      <c r="A30" s="434" t="s">
        <v>73</v>
      </c>
      <c r="B30" s="435"/>
      <c r="C30" s="25">
        <f t="shared" si="6"/>
        <v>162000</v>
      </c>
      <c r="D30" s="25">
        <f t="shared" si="6"/>
        <v>162000</v>
      </c>
      <c r="E30" s="25">
        <f t="shared" si="6"/>
        <v>162000</v>
      </c>
      <c r="F30" s="25">
        <f t="shared" si="6"/>
        <v>162000</v>
      </c>
      <c r="G30" s="25">
        <f t="shared" si="6"/>
        <v>162000</v>
      </c>
      <c r="H30" s="25">
        <f t="shared" si="6"/>
        <v>162000</v>
      </c>
      <c r="I30" s="25">
        <f t="shared" si="6"/>
        <v>162000</v>
      </c>
      <c r="J30" s="25">
        <f t="shared" si="6"/>
        <v>162000</v>
      </c>
      <c r="K30" s="25">
        <f t="shared" si="6"/>
        <v>162000</v>
      </c>
      <c r="L30" s="25">
        <f t="shared" si="6"/>
        <v>162000</v>
      </c>
      <c r="M30" s="25">
        <f t="shared" si="6"/>
        <v>162000</v>
      </c>
      <c r="N30" s="25">
        <f t="shared" si="6"/>
        <v>162000</v>
      </c>
    </row>
    <row r="31" spans="1:14">
      <c r="A31" s="434" t="s">
        <v>74</v>
      </c>
      <c r="B31" s="435"/>
      <c r="C31" s="25">
        <f t="shared" si="6"/>
        <v>162000</v>
      </c>
      <c r="D31" s="25">
        <f t="shared" si="6"/>
        <v>162000</v>
      </c>
      <c r="E31" s="25">
        <f t="shared" si="6"/>
        <v>162000</v>
      </c>
      <c r="F31" s="25">
        <f t="shared" si="6"/>
        <v>162000</v>
      </c>
      <c r="G31" s="25">
        <f t="shared" si="6"/>
        <v>162000</v>
      </c>
      <c r="H31" s="25">
        <f t="shared" si="6"/>
        <v>162000</v>
      </c>
      <c r="I31" s="25">
        <f t="shared" si="6"/>
        <v>162000</v>
      </c>
      <c r="J31" s="25">
        <f t="shared" si="6"/>
        <v>162000</v>
      </c>
      <c r="K31" s="25">
        <f t="shared" si="6"/>
        <v>162000</v>
      </c>
      <c r="L31" s="25">
        <f t="shared" si="6"/>
        <v>162000</v>
      </c>
      <c r="M31" s="25">
        <f t="shared" si="6"/>
        <v>162000</v>
      </c>
      <c r="N31" s="25">
        <f t="shared" si="6"/>
        <v>162000</v>
      </c>
    </row>
    <row r="32" spans="1:14">
      <c r="A32" s="361" t="s">
        <v>75</v>
      </c>
      <c r="B32" s="362"/>
      <c r="C32" s="25">
        <f t="shared" si="6"/>
        <v>162000</v>
      </c>
      <c r="D32" s="25">
        <f t="shared" si="6"/>
        <v>162000</v>
      </c>
      <c r="E32" s="25">
        <f t="shared" si="6"/>
        <v>162000</v>
      </c>
      <c r="F32" s="25">
        <f t="shared" si="6"/>
        <v>162000</v>
      </c>
      <c r="G32" s="25">
        <f t="shared" si="6"/>
        <v>162000</v>
      </c>
      <c r="H32" s="25">
        <f t="shared" si="6"/>
        <v>162000</v>
      </c>
      <c r="I32" s="25">
        <f t="shared" si="6"/>
        <v>162000</v>
      </c>
      <c r="J32" s="25">
        <f t="shared" si="6"/>
        <v>162000</v>
      </c>
      <c r="K32" s="25">
        <f t="shared" si="6"/>
        <v>162000</v>
      </c>
      <c r="L32" s="25">
        <f t="shared" si="6"/>
        <v>162000</v>
      </c>
      <c r="M32" s="25">
        <f t="shared" si="6"/>
        <v>162000</v>
      </c>
      <c r="N32" s="25">
        <f t="shared" si="6"/>
        <v>162000</v>
      </c>
    </row>
    <row r="33" spans="1:15">
      <c r="A33" s="361" t="s">
        <v>76</v>
      </c>
      <c r="B33" s="362"/>
      <c r="C33" s="25">
        <f t="shared" si="6"/>
        <v>162000</v>
      </c>
      <c r="D33" s="25">
        <f t="shared" si="6"/>
        <v>162000</v>
      </c>
      <c r="E33" s="25">
        <f t="shared" si="6"/>
        <v>162000</v>
      </c>
      <c r="F33" s="25">
        <f t="shared" si="6"/>
        <v>162000</v>
      </c>
      <c r="G33" s="25">
        <f t="shared" si="6"/>
        <v>162000</v>
      </c>
      <c r="H33" s="25">
        <f t="shared" si="6"/>
        <v>162000</v>
      </c>
      <c r="I33" s="25">
        <f t="shared" si="6"/>
        <v>162000</v>
      </c>
      <c r="J33" s="25">
        <f t="shared" si="6"/>
        <v>162000</v>
      </c>
      <c r="K33" s="25">
        <f t="shared" si="6"/>
        <v>162000</v>
      </c>
      <c r="L33" s="25">
        <f t="shared" si="6"/>
        <v>162000</v>
      </c>
      <c r="M33" s="25">
        <f t="shared" si="6"/>
        <v>162000</v>
      </c>
      <c r="N33" s="25">
        <f t="shared" si="6"/>
        <v>162000</v>
      </c>
    </row>
    <row r="34" spans="1:15">
      <c r="A34" s="361" t="s">
        <v>77</v>
      </c>
      <c r="B34" s="362"/>
      <c r="C34" s="25">
        <f t="shared" si="6"/>
        <v>0</v>
      </c>
      <c r="D34" s="25">
        <f t="shared" si="6"/>
        <v>0</v>
      </c>
      <c r="E34" s="25">
        <f t="shared" si="6"/>
        <v>0</v>
      </c>
      <c r="F34" s="25">
        <f t="shared" si="6"/>
        <v>0</v>
      </c>
      <c r="G34" s="25">
        <f t="shared" si="6"/>
        <v>0</v>
      </c>
      <c r="H34" s="25">
        <f t="shared" si="6"/>
        <v>0</v>
      </c>
      <c r="I34" s="25">
        <f t="shared" si="6"/>
        <v>0</v>
      </c>
      <c r="J34" s="25">
        <f t="shared" si="6"/>
        <v>0</v>
      </c>
      <c r="K34" s="25">
        <f t="shared" si="6"/>
        <v>0</v>
      </c>
      <c r="L34" s="25">
        <f t="shared" si="6"/>
        <v>0</v>
      </c>
      <c r="M34" s="25">
        <f t="shared" si="6"/>
        <v>0</v>
      </c>
      <c r="N34" s="25">
        <f t="shared" si="6"/>
        <v>0</v>
      </c>
    </row>
    <row r="35" spans="1:15">
      <c r="A35" s="434" t="s">
        <v>78</v>
      </c>
      <c r="B35" s="435"/>
      <c r="C35" s="25">
        <f>+(IF($E11&lt;=2*$H$4,$C$26,0))*$C$11</f>
        <v>648000</v>
      </c>
      <c r="D35" s="25">
        <f t="shared" ref="D35:N35" si="7">+(IF($E11&lt;=2*$H$4,$C$26,0))*$C$11</f>
        <v>648000</v>
      </c>
      <c r="E35" s="25">
        <f t="shared" si="7"/>
        <v>648000</v>
      </c>
      <c r="F35" s="25">
        <f t="shared" si="7"/>
        <v>648000</v>
      </c>
      <c r="G35" s="25">
        <f t="shared" si="7"/>
        <v>648000</v>
      </c>
      <c r="H35" s="25">
        <f t="shared" si="7"/>
        <v>648000</v>
      </c>
      <c r="I35" s="25">
        <f t="shared" si="7"/>
        <v>648000</v>
      </c>
      <c r="J35" s="25">
        <f t="shared" si="7"/>
        <v>648000</v>
      </c>
      <c r="K35" s="25">
        <f t="shared" si="7"/>
        <v>648000</v>
      </c>
      <c r="L35" s="25">
        <f t="shared" si="7"/>
        <v>648000</v>
      </c>
      <c r="M35" s="25">
        <f t="shared" si="7"/>
        <v>648000</v>
      </c>
      <c r="N35" s="25">
        <f t="shared" si="7"/>
        <v>648000</v>
      </c>
    </row>
    <row r="36" spans="1:15">
      <c r="A36" s="434" t="s">
        <v>79</v>
      </c>
      <c r="B36" s="435"/>
      <c r="C36" s="25">
        <f t="shared" si="6"/>
        <v>162000</v>
      </c>
      <c r="D36" s="25">
        <f t="shared" si="6"/>
        <v>162000</v>
      </c>
      <c r="E36" s="25">
        <f t="shared" si="6"/>
        <v>162000</v>
      </c>
      <c r="F36" s="25">
        <f t="shared" si="6"/>
        <v>162000</v>
      </c>
      <c r="G36" s="25">
        <f t="shared" si="6"/>
        <v>162000</v>
      </c>
      <c r="H36" s="25">
        <f t="shared" si="6"/>
        <v>162000</v>
      </c>
      <c r="I36" s="25">
        <f t="shared" si="6"/>
        <v>162000</v>
      </c>
      <c r="J36" s="25">
        <f t="shared" si="6"/>
        <v>162000</v>
      </c>
      <c r="K36" s="25">
        <f t="shared" si="6"/>
        <v>162000</v>
      </c>
      <c r="L36" s="25">
        <f t="shared" si="6"/>
        <v>162000</v>
      </c>
      <c r="M36" s="25">
        <f t="shared" si="6"/>
        <v>162000</v>
      </c>
      <c r="N36" s="25">
        <f t="shared" si="6"/>
        <v>162000</v>
      </c>
    </row>
    <row r="37" spans="1:15">
      <c r="A37" s="31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>
      <c r="A38" s="29" t="s">
        <v>94</v>
      </c>
      <c r="C38" s="38">
        <v>0.5</v>
      </c>
      <c r="E38" s="18" t="s">
        <v>95</v>
      </c>
      <c r="N38" s="33"/>
    </row>
    <row r="39" spans="1:15">
      <c r="A39" s="438" t="s">
        <v>65</v>
      </c>
      <c r="B39" s="438"/>
      <c r="C39" s="28" t="s">
        <v>81</v>
      </c>
      <c r="D39" s="28" t="s">
        <v>82</v>
      </c>
      <c r="E39" s="28" t="s">
        <v>83</v>
      </c>
      <c r="F39" s="28" t="s">
        <v>84</v>
      </c>
      <c r="G39" s="28" t="s">
        <v>85</v>
      </c>
      <c r="H39" s="28" t="s">
        <v>86</v>
      </c>
      <c r="I39" s="28" t="s">
        <v>87</v>
      </c>
      <c r="J39" s="28" t="s">
        <v>88</v>
      </c>
      <c r="K39" s="28" t="s">
        <v>89</v>
      </c>
      <c r="L39" s="28" t="s">
        <v>90</v>
      </c>
      <c r="M39" s="28" t="s">
        <v>91</v>
      </c>
      <c r="N39" s="28" t="s">
        <v>92</v>
      </c>
    </row>
    <row r="40" spans="1:15">
      <c r="A40" s="434" t="s">
        <v>71</v>
      </c>
      <c r="B40" s="435"/>
      <c r="C40" s="34">
        <f>+$F4*$C$38/12</f>
        <v>162500</v>
      </c>
      <c r="D40" s="34">
        <f t="shared" ref="D40:N40" si="8">+$F4*$C$38/12</f>
        <v>162500</v>
      </c>
      <c r="E40" s="34">
        <f t="shared" si="8"/>
        <v>162500</v>
      </c>
      <c r="F40" s="34">
        <f t="shared" si="8"/>
        <v>162500</v>
      </c>
      <c r="G40" s="34">
        <f t="shared" si="8"/>
        <v>162500</v>
      </c>
      <c r="H40" s="34">
        <f t="shared" si="8"/>
        <v>162500</v>
      </c>
      <c r="I40" s="34">
        <f t="shared" si="8"/>
        <v>162500</v>
      </c>
      <c r="J40" s="34">
        <f t="shared" si="8"/>
        <v>162500</v>
      </c>
      <c r="K40" s="34">
        <f t="shared" si="8"/>
        <v>162500</v>
      </c>
      <c r="L40" s="34">
        <f t="shared" si="8"/>
        <v>162500</v>
      </c>
      <c r="M40" s="34">
        <f t="shared" si="8"/>
        <v>162500</v>
      </c>
      <c r="N40" s="34">
        <f t="shared" si="8"/>
        <v>162500</v>
      </c>
    </row>
    <row r="41" spans="1:15">
      <c r="A41" s="434" t="s">
        <v>72</v>
      </c>
      <c r="B41" s="435"/>
      <c r="C41" s="34">
        <f t="shared" ref="C41:N48" si="9">+$F5*$C$38/12</f>
        <v>81250</v>
      </c>
      <c r="D41" s="34">
        <f t="shared" si="9"/>
        <v>81250</v>
      </c>
      <c r="E41" s="34">
        <f t="shared" si="9"/>
        <v>81250</v>
      </c>
      <c r="F41" s="34">
        <f t="shared" si="9"/>
        <v>81250</v>
      </c>
      <c r="G41" s="34">
        <f t="shared" si="9"/>
        <v>81250</v>
      </c>
      <c r="H41" s="34">
        <f t="shared" si="9"/>
        <v>81250</v>
      </c>
      <c r="I41" s="34">
        <f t="shared" si="9"/>
        <v>81250</v>
      </c>
      <c r="J41" s="34">
        <f t="shared" si="9"/>
        <v>81250</v>
      </c>
      <c r="K41" s="34">
        <f t="shared" si="9"/>
        <v>81250</v>
      </c>
      <c r="L41" s="34">
        <f t="shared" si="9"/>
        <v>81250</v>
      </c>
      <c r="M41" s="34">
        <f t="shared" si="9"/>
        <v>81250</v>
      </c>
      <c r="N41" s="34">
        <f t="shared" si="9"/>
        <v>81250</v>
      </c>
    </row>
    <row r="42" spans="1:15">
      <c r="A42" s="434" t="s">
        <v>73</v>
      </c>
      <c r="B42" s="435"/>
      <c r="C42" s="34">
        <f t="shared" si="9"/>
        <v>108333.33333333333</v>
      </c>
      <c r="D42" s="34">
        <f t="shared" si="9"/>
        <v>108333.33333333333</v>
      </c>
      <c r="E42" s="34">
        <f t="shared" si="9"/>
        <v>108333.33333333333</v>
      </c>
      <c r="F42" s="34">
        <f t="shared" si="9"/>
        <v>108333.33333333333</v>
      </c>
      <c r="G42" s="34">
        <f t="shared" si="9"/>
        <v>108333.33333333333</v>
      </c>
      <c r="H42" s="34">
        <f t="shared" si="9"/>
        <v>108333.33333333333</v>
      </c>
      <c r="I42" s="34">
        <f t="shared" si="9"/>
        <v>108333.33333333333</v>
      </c>
      <c r="J42" s="34">
        <f t="shared" si="9"/>
        <v>108333.33333333333</v>
      </c>
      <c r="K42" s="34">
        <f t="shared" si="9"/>
        <v>108333.33333333333</v>
      </c>
      <c r="L42" s="34">
        <f t="shared" si="9"/>
        <v>108333.33333333333</v>
      </c>
      <c r="M42" s="34">
        <f t="shared" si="9"/>
        <v>108333.33333333333</v>
      </c>
      <c r="N42" s="34">
        <f t="shared" si="9"/>
        <v>108333.33333333333</v>
      </c>
    </row>
    <row r="43" spans="1:15">
      <c r="A43" s="434" t="s">
        <v>74</v>
      </c>
      <c r="B43" s="435"/>
      <c r="C43" s="34">
        <f t="shared" si="9"/>
        <v>108333.33333333333</v>
      </c>
      <c r="D43" s="34">
        <f t="shared" si="9"/>
        <v>108333.33333333333</v>
      </c>
      <c r="E43" s="34">
        <f t="shared" si="9"/>
        <v>108333.33333333333</v>
      </c>
      <c r="F43" s="34">
        <f t="shared" si="9"/>
        <v>108333.33333333333</v>
      </c>
      <c r="G43" s="34">
        <f t="shared" si="9"/>
        <v>108333.33333333333</v>
      </c>
      <c r="H43" s="34">
        <f t="shared" si="9"/>
        <v>108333.33333333333</v>
      </c>
      <c r="I43" s="34">
        <f t="shared" si="9"/>
        <v>108333.33333333333</v>
      </c>
      <c r="J43" s="34">
        <f t="shared" si="9"/>
        <v>108333.33333333333</v>
      </c>
      <c r="K43" s="34">
        <f t="shared" si="9"/>
        <v>108333.33333333333</v>
      </c>
      <c r="L43" s="34">
        <f t="shared" si="9"/>
        <v>108333.33333333333</v>
      </c>
      <c r="M43" s="34">
        <f t="shared" si="9"/>
        <v>108333.33333333333</v>
      </c>
      <c r="N43" s="34">
        <f t="shared" si="9"/>
        <v>108333.33333333333</v>
      </c>
    </row>
    <row r="44" spans="1:15">
      <c r="A44" s="361" t="s">
        <v>75</v>
      </c>
      <c r="B44" s="362"/>
      <c r="C44" s="34">
        <f t="shared" si="9"/>
        <v>81250</v>
      </c>
      <c r="D44" s="34">
        <f t="shared" si="9"/>
        <v>81250</v>
      </c>
      <c r="E44" s="34">
        <f t="shared" si="9"/>
        <v>81250</v>
      </c>
      <c r="F44" s="34">
        <f t="shared" si="9"/>
        <v>81250</v>
      </c>
      <c r="G44" s="34">
        <f t="shared" si="9"/>
        <v>81250</v>
      </c>
      <c r="H44" s="34">
        <f t="shared" si="9"/>
        <v>81250</v>
      </c>
      <c r="I44" s="34">
        <f t="shared" si="9"/>
        <v>81250</v>
      </c>
      <c r="J44" s="34">
        <f t="shared" si="9"/>
        <v>81250</v>
      </c>
      <c r="K44" s="34">
        <f t="shared" si="9"/>
        <v>81250</v>
      </c>
      <c r="L44" s="34">
        <f t="shared" si="9"/>
        <v>81250</v>
      </c>
      <c r="M44" s="34">
        <f t="shared" si="9"/>
        <v>81250</v>
      </c>
      <c r="N44" s="34">
        <f t="shared" si="9"/>
        <v>81250</v>
      </c>
    </row>
    <row r="45" spans="1:15">
      <c r="A45" s="361" t="s">
        <v>76</v>
      </c>
      <c r="B45" s="362"/>
      <c r="C45" s="34">
        <f t="shared" si="9"/>
        <v>108333.33333333333</v>
      </c>
      <c r="D45" s="34">
        <f t="shared" si="9"/>
        <v>108333.33333333333</v>
      </c>
      <c r="E45" s="34">
        <f t="shared" si="9"/>
        <v>108333.33333333333</v>
      </c>
      <c r="F45" s="34">
        <f t="shared" si="9"/>
        <v>108333.33333333333</v>
      </c>
      <c r="G45" s="34">
        <f t="shared" si="9"/>
        <v>108333.33333333333</v>
      </c>
      <c r="H45" s="34">
        <f t="shared" si="9"/>
        <v>108333.33333333333</v>
      </c>
      <c r="I45" s="34">
        <f t="shared" si="9"/>
        <v>108333.33333333333</v>
      </c>
      <c r="J45" s="34">
        <f t="shared" si="9"/>
        <v>108333.33333333333</v>
      </c>
      <c r="K45" s="34">
        <f t="shared" si="9"/>
        <v>108333.33333333333</v>
      </c>
      <c r="L45" s="34">
        <f t="shared" si="9"/>
        <v>108333.33333333333</v>
      </c>
      <c r="M45" s="34">
        <f t="shared" si="9"/>
        <v>108333.33333333333</v>
      </c>
      <c r="N45" s="34">
        <f t="shared" si="9"/>
        <v>108333.33333333333</v>
      </c>
    </row>
    <row r="46" spans="1:15">
      <c r="A46" s="361" t="s">
        <v>77</v>
      </c>
      <c r="B46" s="362"/>
      <c r="C46" s="34">
        <f t="shared" si="9"/>
        <v>135416.66666666666</v>
      </c>
      <c r="D46" s="34">
        <f t="shared" si="9"/>
        <v>135416.66666666666</v>
      </c>
      <c r="E46" s="34">
        <f t="shared" si="9"/>
        <v>135416.66666666666</v>
      </c>
      <c r="F46" s="34">
        <f t="shared" si="9"/>
        <v>135416.66666666666</v>
      </c>
      <c r="G46" s="34">
        <f t="shared" si="9"/>
        <v>135416.66666666666</v>
      </c>
      <c r="H46" s="34">
        <f t="shared" si="9"/>
        <v>135416.66666666666</v>
      </c>
      <c r="I46" s="34">
        <f t="shared" si="9"/>
        <v>135416.66666666666</v>
      </c>
      <c r="J46" s="34">
        <f t="shared" si="9"/>
        <v>135416.66666666666</v>
      </c>
      <c r="K46" s="34">
        <f t="shared" si="9"/>
        <v>135416.66666666666</v>
      </c>
      <c r="L46" s="34">
        <f t="shared" si="9"/>
        <v>135416.66666666666</v>
      </c>
      <c r="M46" s="34">
        <f t="shared" si="9"/>
        <v>135416.66666666666</v>
      </c>
      <c r="N46" s="34">
        <f t="shared" si="9"/>
        <v>135416.66666666666</v>
      </c>
    </row>
    <row r="47" spans="1:15">
      <c r="A47" s="434" t="s">
        <v>78</v>
      </c>
      <c r="B47" s="435"/>
      <c r="C47" s="34">
        <f t="shared" si="9"/>
        <v>281666.66666666669</v>
      </c>
      <c r="D47" s="34">
        <f t="shared" si="9"/>
        <v>281666.66666666669</v>
      </c>
      <c r="E47" s="34">
        <f t="shared" si="9"/>
        <v>281666.66666666669</v>
      </c>
      <c r="F47" s="34">
        <f t="shared" si="9"/>
        <v>281666.66666666669</v>
      </c>
      <c r="G47" s="34">
        <f t="shared" si="9"/>
        <v>281666.66666666669</v>
      </c>
      <c r="H47" s="34">
        <f t="shared" si="9"/>
        <v>281666.66666666669</v>
      </c>
      <c r="I47" s="34">
        <f t="shared" si="9"/>
        <v>281666.66666666669</v>
      </c>
      <c r="J47" s="34">
        <f t="shared" si="9"/>
        <v>281666.66666666669</v>
      </c>
      <c r="K47" s="34">
        <f t="shared" si="9"/>
        <v>281666.66666666669</v>
      </c>
      <c r="L47" s="34">
        <f t="shared" si="9"/>
        <v>281666.66666666669</v>
      </c>
      <c r="M47" s="34">
        <f t="shared" si="9"/>
        <v>281666.66666666669</v>
      </c>
      <c r="N47" s="34">
        <f t="shared" si="9"/>
        <v>281666.66666666669</v>
      </c>
    </row>
    <row r="48" spans="1:15">
      <c r="A48" s="434" t="s">
        <v>79</v>
      </c>
      <c r="B48" s="435"/>
      <c r="C48" s="34">
        <f t="shared" si="9"/>
        <v>108333.33333333333</v>
      </c>
      <c r="D48" s="34">
        <f t="shared" si="9"/>
        <v>108333.33333333333</v>
      </c>
      <c r="E48" s="34">
        <f t="shared" si="9"/>
        <v>108333.33333333333</v>
      </c>
      <c r="F48" s="34">
        <f t="shared" si="9"/>
        <v>108333.33333333333</v>
      </c>
      <c r="G48" s="34">
        <f t="shared" si="9"/>
        <v>108333.33333333333</v>
      </c>
      <c r="H48" s="34">
        <f t="shared" si="9"/>
        <v>108333.33333333333</v>
      </c>
      <c r="I48" s="34">
        <f t="shared" si="9"/>
        <v>108333.33333333333</v>
      </c>
      <c r="J48" s="34">
        <f t="shared" si="9"/>
        <v>108333.33333333333</v>
      </c>
      <c r="K48" s="34">
        <f t="shared" si="9"/>
        <v>108333.33333333333</v>
      </c>
      <c r="L48" s="34">
        <f t="shared" si="9"/>
        <v>108333.33333333333</v>
      </c>
      <c r="M48" s="34">
        <f t="shared" si="9"/>
        <v>108333.33333333333</v>
      </c>
      <c r="N48" s="34">
        <f t="shared" si="9"/>
        <v>108333.33333333333</v>
      </c>
      <c r="O48" s="37"/>
    </row>
    <row r="50" spans="1:15">
      <c r="A50" s="29" t="s">
        <v>96</v>
      </c>
      <c r="D50" s="40">
        <v>1.1200000000000001</v>
      </c>
      <c r="E50" s="18" t="s">
        <v>95</v>
      </c>
      <c r="N50" s="33"/>
    </row>
    <row r="51" spans="1:15">
      <c r="A51" s="438" t="s">
        <v>65</v>
      </c>
      <c r="B51" s="438"/>
      <c r="C51" s="28" t="s">
        <v>81</v>
      </c>
      <c r="D51" s="28" t="s">
        <v>82</v>
      </c>
      <c r="E51" s="28" t="s">
        <v>83</v>
      </c>
      <c r="F51" s="28" t="s">
        <v>84</v>
      </c>
      <c r="G51" s="28" t="s">
        <v>85</v>
      </c>
      <c r="H51" s="28" t="s">
        <v>86</v>
      </c>
      <c r="I51" s="28" t="s">
        <v>87</v>
      </c>
      <c r="J51" s="28" t="s">
        <v>88</v>
      </c>
      <c r="K51" s="28" t="s">
        <v>89</v>
      </c>
      <c r="L51" s="28" t="s">
        <v>90</v>
      </c>
      <c r="M51" s="28" t="s">
        <v>91</v>
      </c>
      <c r="N51" s="28" t="s">
        <v>92</v>
      </c>
    </row>
    <row r="52" spans="1:15">
      <c r="A52" s="434" t="s">
        <v>71</v>
      </c>
      <c r="B52" s="435"/>
      <c r="C52" s="34">
        <f>+($F4+$C28)*1.12/12</f>
        <v>364000</v>
      </c>
      <c r="D52" s="34">
        <f t="shared" ref="D52:N52" si="10">+($F4+$C28)*1.12/12</f>
        <v>364000</v>
      </c>
      <c r="E52" s="34">
        <f t="shared" si="10"/>
        <v>364000</v>
      </c>
      <c r="F52" s="34">
        <f t="shared" si="10"/>
        <v>364000</v>
      </c>
      <c r="G52" s="34">
        <f t="shared" si="10"/>
        <v>364000</v>
      </c>
      <c r="H52" s="34">
        <f t="shared" si="10"/>
        <v>364000</v>
      </c>
      <c r="I52" s="34">
        <f t="shared" si="10"/>
        <v>364000</v>
      </c>
      <c r="J52" s="34">
        <f t="shared" si="10"/>
        <v>364000</v>
      </c>
      <c r="K52" s="34">
        <f t="shared" si="10"/>
        <v>364000</v>
      </c>
      <c r="L52" s="34">
        <f t="shared" si="10"/>
        <v>364000</v>
      </c>
      <c r="M52" s="34">
        <f t="shared" si="10"/>
        <v>364000</v>
      </c>
      <c r="N52" s="34">
        <f t="shared" si="10"/>
        <v>364000</v>
      </c>
    </row>
    <row r="53" spans="1:15">
      <c r="A53" s="434" t="s">
        <v>72</v>
      </c>
      <c r="B53" s="435"/>
      <c r="C53" s="34">
        <f t="shared" ref="C53:N60" si="11">+($F5+$C29)*1.12/12</f>
        <v>197120</v>
      </c>
      <c r="D53" s="34">
        <f t="shared" si="11"/>
        <v>197120</v>
      </c>
      <c r="E53" s="34">
        <f t="shared" si="11"/>
        <v>197120</v>
      </c>
      <c r="F53" s="34">
        <f t="shared" si="11"/>
        <v>197120</v>
      </c>
      <c r="G53" s="34">
        <f t="shared" si="11"/>
        <v>197120</v>
      </c>
      <c r="H53" s="34">
        <f t="shared" si="11"/>
        <v>197120</v>
      </c>
      <c r="I53" s="34">
        <f t="shared" si="11"/>
        <v>197120</v>
      </c>
      <c r="J53" s="34">
        <f t="shared" si="11"/>
        <v>197120</v>
      </c>
      <c r="K53" s="34">
        <f t="shared" si="11"/>
        <v>197120</v>
      </c>
      <c r="L53" s="34">
        <f t="shared" si="11"/>
        <v>197120</v>
      </c>
      <c r="M53" s="34">
        <f t="shared" si="11"/>
        <v>197120</v>
      </c>
      <c r="N53" s="34">
        <f t="shared" si="11"/>
        <v>197120</v>
      </c>
    </row>
    <row r="54" spans="1:15">
      <c r="A54" s="434" t="s">
        <v>73</v>
      </c>
      <c r="B54" s="435"/>
      <c r="C54" s="34">
        <f t="shared" si="11"/>
        <v>257786.66666666672</v>
      </c>
      <c r="D54" s="34">
        <f t="shared" si="11"/>
        <v>257786.66666666672</v>
      </c>
      <c r="E54" s="34">
        <f t="shared" si="11"/>
        <v>257786.66666666672</v>
      </c>
      <c r="F54" s="34">
        <f t="shared" si="11"/>
        <v>257786.66666666672</v>
      </c>
      <c r="G54" s="34">
        <f t="shared" si="11"/>
        <v>257786.66666666672</v>
      </c>
      <c r="H54" s="34">
        <f t="shared" si="11"/>
        <v>257786.66666666672</v>
      </c>
      <c r="I54" s="34">
        <f t="shared" si="11"/>
        <v>257786.66666666672</v>
      </c>
      <c r="J54" s="34">
        <f t="shared" si="11"/>
        <v>257786.66666666672</v>
      </c>
      <c r="K54" s="34">
        <f t="shared" si="11"/>
        <v>257786.66666666672</v>
      </c>
      <c r="L54" s="34">
        <f t="shared" si="11"/>
        <v>257786.66666666672</v>
      </c>
      <c r="M54" s="34">
        <f t="shared" si="11"/>
        <v>257786.66666666672</v>
      </c>
      <c r="N54" s="34">
        <f t="shared" si="11"/>
        <v>257786.66666666672</v>
      </c>
    </row>
    <row r="55" spans="1:15">
      <c r="A55" s="434" t="s">
        <v>74</v>
      </c>
      <c r="B55" s="435"/>
      <c r="C55" s="34">
        <f t="shared" si="11"/>
        <v>257786.66666666672</v>
      </c>
      <c r="D55" s="34">
        <f t="shared" si="11"/>
        <v>257786.66666666672</v>
      </c>
      <c r="E55" s="34">
        <f t="shared" si="11"/>
        <v>257786.66666666672</v>
      </c>
      <c r="F55" s="34">
        <f t="shared" si="11"/>
        <v>257786.66666666672</v>
      </c>
      <c r="G55" s="34">
        <f t="shared" si="11"/>
        <v>257786.66666666672</v>
      </c>
      <c r="H55" s="34">
        <f t="shared" si="11"/>
        <v>257786.66666666672</v>
      </c>
      <c r="I55" s="34">
        <f t="shared" si="11"/>
        <v>257786.66666666672</v>
      </c>
      <c r="J55" s="34">
        <f t="shared" si="11"/>
        <v>257786.66666666672</v>
      </c>
      <c r="K55" s="34">
        <f t="shared" si="11"/>
        <v>257786.66666666672</v>
      </c>
      <c r="L55" s="34">
        <f t="shared" si="11"/>
        <v>257786.66666666672</v>
      </c>
      <c r="M55" s="34">
        <f t="shared" si="11"/>
        <v>257786.66666666672</v>
      </c>
      <c r="N55" s="34">
        <f t="shared" si="11"/>
        <v>257786.66666666672</v>
      </c>
    </row>
    <row r="56" spans="1:15">
      <c r="A56" s="361" t="s">
        <v>75</v>
      </c>
      <c r="B56" s="362"/>
      <c r="C56" s="34">
        <f t="shared" si="11"/>
        <v>197120</v>
      </c>
      <c r="D56" s="34">
        <f t="shared" si="11"/>
        <v>197120</v>
      </c>
      <c r="E56" s="34">
        <f t="shared" si="11"/>
        <v>197120</v>
      </c>
      <c r="F56" s="34">
        <f t="shared" si="11"/>
        <v>197120</v>
      </c>
      <c r="G56" s="34">
        <f t="shared" si="11"/>
        <v>197120</v>
      </c>
      <c r="H56" s="34">
        <f t="shared" si="11"/>
        <v>197120</v>
      </c>
      <c r="I56" s="34">
        <f t="shared" si="11"/>
        <v>197120</v>
      </c>
      <c r="J56" s="34">
        <f t="shared" si="11"/>
        <v>197120</v>
      </c>
      <c r="K56" s="34">
        <f t="shared" si="11"/>
        <v>197120</v>
      </c>
      <c r="L56" s="34">
        <f t="shared" si="11"/>
        <v>197120</v>
      </c>
      <c r="M56" s="34">
        <f t="shared" si="11"/>
        <v>197120</v>
      </c>
      <c r="N56" s="34">
        <f t="shared" si="11"/>
        <v>197120</v>
      </c>
    </row>
    <row r="57" spans="1:15">
      <c r="A57" s="361" t="s">
        <v>76</v>
      </c>
      <c r="B57" s="362"/>
      <c r="C57" s="34">
        <f t="shared" si="11"/>
        <v>257786.66666666672</v>
      </c>
      <c r="D57" s="34">
        <f t="shared" si="11"/>
        <v>257786.66666666672</v>
      </c>
      <c r="E57" s="34">
        <f t="shared" si="11"/>
        <v>257786.66666666672</v>
      </c>
      <c r="F57" s="34">
        <f t="shared" si="11"/>
        <v>257786.66666666672</v>
      </c>
      <c r="G57" s="34">
        <f t="shared" si="11"/>
        <v>257786.66666666672</v>
      </c>
      <c r="H57" s="34">
        <f t="shared" si="11"/>
        <v>257786.66666666672</v>
      </c>
      <c r="I57" s="34">
        <f t="shared" si="11"/>
        <v>257786.66666666672</v>
      </c>
      <c r="J57" s="34">
        <f t="shared" si="11"/>
        <v>257786.66666666672</v>
      </c>
      <c r="K57" s="34">
        <f t="shared" si="11"/>
        <v>257786.66666666672</v>
      </c>
      <c r="L57" s="34">
        <f t="shared" si="11"/>
        <v>257786.66666666672</v>
      </c>
      <c r="M57" s="34">
        <f t="shared" si="11"/>
        <v>257786.66666666672</v>
      </c>
      <c r="N57" s="34">
        <f t="shared" si="11"/>
        <v>257786.66666666672</v>
      </c>
    </row>
    <row r="58" spans="1:15">
      <c r="A58" s="361" t="s">
        <v>77</v>
      </c>
      <c r="B58" s="362"/>
      <c r="C58" s="34">
        <f t="shared" si="11"/>
        <v>303333.33333333337</v>
      </c>
      <c r="D58" s="34">
        <f t="shared" si="11"/>
        <v>303333.33333333337</v>
      </c>
      <c r="E58" s="34">
        <f t="shared" si="11"/>
        <v>303333.33333333337</v>
      </c>
      <c r="F58" s="34">
        <f t="shared" si="11"/>
        <v>303333.33333333337</v>
      </c>
      <c r="G58" s="34">
        <f t="shared" si="11"/>
        <v>303333.33333333337</v>
      </c>
      <c r="H58" s="34">
        <f t="shared" si="11"/>
        <v>303333.33333333337</v>
      </c>
      <c r="I58" s="34">
        <f t="shared" si="11"/>
        <v>303333.33333333337</v>
      </c>
      <c r="J58" s="34">
        <f t="shared" si="11"/>
        <v>303333.33333333337</v>
      </c>
      <c r="K58" s="34">
        <f t="shared" si="11"/>
        <v>303333.33333333337</v>
      </c>
      <c r="L58" s="34">
        <f t="shared" si="11"/>
        <v>303333.33333333337</v>
      </c>
      <c r="M58" s="34">
        <f t="shared" si="11"/>
        <v>303333.33333333337</v>
      </c>
      <c r="N58" s="34">
        <f t="shared" si="11"/>
        <v>303333.33333333337</v>
      </c>
    </row>
    <row r="59" spans="1:15">
      <c r="A59" s="434" t="s">
        <v>78</v>
      </c>
      <c r="B59" s="435"/>
      <c r="C59" s="34">
        <f t="shared" si="11"/>
        <v>691413.33333333337</v>
      </c>
      <c r="D59" s="34">
        <f t="shared" si="11"/>
        <v>691413.33333333337</v>
      </c>
      <c r="E59" s="34">
        <f t="shared" si="11"/>
        <v>691413.33333333337</v>
      </c>
      <c r="F59" s="34">
        <f t="shared" si="11"/>
        <v>691413.33333333337</v>
      </c>
      <c r="G59" s="34">
        <f t="shared" si="11"/>
        <v>691413.33333333337</v>
      </c>
      <c r="H59" s="34">
        <f t="shared" si="11"/>
        <v>691413.33333333337</v>
      </c>
      <c r="I59" s="34">
        <f t="shared" si="11"/>
        <v>691413.33333333337</v>
      </c>
      <c r="J59" s="34">
        <f t="shared" si="11"/>
        <v>691413.33333333337</v>
      </c>
      <c r="K59" s="34">
        <f t="shared" si="11"/>
        <v>691413.33333333337</v>
      </c>
      <c r="L59" s="34">
        <f t="shared" si="11"/>
        <v>691413.33333333337</v>
      </c>
      <c r="M59" s="34">
        <f t="shared" si="11"/>
        <v>691413.33333333337</v>
      </c>
      <c r="N59" s="34">
        <f t="shared" si="11"/>
        <v>691413.33333333337</v>
      </c>
    </row>
    <row r="60" spans="1:15">
      <c r="A60" s="434" t="s">
        <v>79</v>
      </c>
      <c r="B60" s="435"/>
      <c r="C60" s="34">
        <f t="shared" si="11"/>
        <v>257786.66666666672</v>
      </c>
      <c r="D60" s="34">
        <f t="shared" si="11"/>
        <v>257786.66666666672</v>
      </c>
      <c r="E60" s="34">
        <f t="shared" si="11"/>
        <v>257786.66666666672</v>
      </c>
      <c r="F60" s="34">
        <f t="shared" si="11"/>
        <v>257786.66666666672</v>
      </c>
      <c r="G60" s="34">
        <f t="shared" si="11"/>
        <v>257786.66666666672</v>
      </c>
      <c r="H60" s="34">
        <f t="shared" si="11"/>
        <v>257786.66666666672</v>
      </c>
      <c r="I60" s="34">
        <f t="shared" si="11"/>
        <v>257786.66666666672</v>
      </c>
      <c r="J60" s="34">
        <f t="shared" si="11"/>
        <v>257786.66666666672</v>
      </c>
      <c r="K60" s="34">
        <f t="shared" si="11"/>
        <v>257786.66666666672</v>
      </c>
      <c r="L60" s="34">
        <f t="shared" si="11"/>
        <v>257786.66666666672</v>
      </c>
      <c r="M60" s="34">
        <f t="shared" si="11"/>
        <v>257786.66666666672</v>
      </c>
      <c r="N60" s="34">
        <f t="shared" si="11"/>
        <v>257786.66666666672</v>
      </c>
      <c r="O60" s="37"/>
    </row>
    <row r="62" spans="1:15">
      <c r="A62" s="29" t="s">
        <v>97</v>
      </c>
      <c r="C62" s="38" t="s">
        <v>98</v>
      </c>
      <c r="N62" s="33"/>
    </row>
    <row r="63" spans="1:15">
      <c r="A63" s="438" t="s">
        <v>65</v>
      </c>
      <c r="B63" s="438"/>
      <c r="C63" s="28" t="s">
        <v>81</v>
      </c>
      <c r="D63" s="28" t="s">
        <v>82</v>
      </c>
      <c r="E63" s="28" t="s">
        <v>83</v>
      </c>
      <c r="F63" s="28" t="s">
        <v>84</v>
      </c>
      <c r="G63" s="28" t="s">
        <v>85</v>
      </c>
      <c r="H63" s="28" t="s">
        <v>86</v>
      </c>
      <c r="I63" s="28" t="s">
        <v>87</v>
      </c>
      <c r="J63" s="28" t="s">
        <v>88</v>
      </c>
      <c r="K63" s="28" t="s">
        <v>89</v>
      </c>
      <c r="L63" s="28" t="s">
        <v>90</v>
      </c>
      <c r="M63" s="28" t="s">
        <v>91</v>
      </c>
      <c r="N63" s="28" t="s">
        <v>92</v>
      </c>
    </row>
    <row r="64" spans="1:15">
      <c r="A64" s="434" t="s">
        <v>71</v>
      </c>
      <c r="B64" s="435"/>
      <c r="C64" s="25">
        <f>+($F4+$C28)/12</f>
        <v>325000</v>
      </c>
      <c r="D64" s="25">
        <f t="shared" ref="D64:N64" si="12">+($F4+$C28)/12</f>
        <v>325000</v>
      </c>
      <c r="E64" s="25">
        <f t="shared" si="12"/>
        <v>325000</v>
      </c>
      <c r="F64" s="25">
        <f t="shared" si="12"/>
        <v>325000</v>
      </c>
      <c r="G64" s="25">
        <f t="shared" si="12"/>
        <v>325000</v>
      </c>
      <c r="H64" s="25">
        <f t="shared" si="12"/>
        <v>325000</v>
      </c>
      <c r="I64" s="25">
        <f t="shared" si="12"/>
        <v>325000</v>
      </c>
      <c r="J64" s="25">
        <f t="shared" si="12"/>
        <v>325000</v>
      </c>
      <c r="K64" s="25">
        <f t="shared" si="12"/>
        <v>325000</v>
      </c>
      <c r="L64" s="25">
        <f t="shared" si="12"/>
        <v>325000</v>
      </c>
      <c r="M64" s="25">
        <f t="shared" si="12"/>
        <v>325000</v>
      </c>
      <c r="N64" s="25">
        <f t="shared" si="12"/>
        <v>325000</v>
      </c>
    </row>
    <row r="65" spans="1:14">
      <c r="A65" s="434" t="s">
        <v>72</v>
      </c>
      <c r="B65" s="435"/>
      <c r="C65" s="25">
        <f t="shared" ref="C65:N72" si="13">+($F5+$C29)/12</f>
        <v>176000</v>
      </c>
      <c r="D65" s="25">
        <f t="shared" si="13"/>
        <v>176000</v>
      </c>
      <c r="E65" s="25">
        <f t="shared" si="13"/>
        <v>176000</v>
      </c>
      <c r="F65" s="25">
        <f t="shared" si="13"/>
        <v>176000</v>
      </c>
      <c r="G65" s="25">
        <f t="shared" si="13"/>
        <v>176000</v>
      </c>
      <c r="H65" s="25">
        <f t="shared" si="13"/>
        <v>176000</v>
      </c>
      <c r="I65" s="25">
        <f t="shared" si="13"/>
        <v>176000</v>
      </c>
      <c r="J65" s="25">
        <f t="shared" si="13"/>
        <v>176000</v>
      </c>
      <c r="K65" s="25">
        <f t="shared" si="13"/>
        <v>176000</v>
      </c>
      <c r="L65" s="25">
        <f t="shared" si="13"/>
        <v>176000</v>
      </c>
      <c r="M65" s="25">
        <f t="shared" si="13"/>
        <v>176000</v>
      </c>
      <c r="N65" s="25">
        <f t="shared" si="13"/>
        <v>176000</v>
      </c>
    </row>
    <row r="66" spans="1:14">
      <c r="A66" s="434" t="s">
        <v>73</v>
      </c>
      <c r="B66" s="435"/>
      <c r="C66" s="25">
        <f t="shared" si="13"/>
        <v>230166.66666666666</v>
      </c>
      <c r="D66" s="25">
        <f t="shared" si="13"/>
        <v>230166.66666666666</v>
      </c>
      <c r="E66" s="25">
        <f t="shared" si="13"/>
        <v>230166.66666666666</v>
      </c>
      <c r="F66" s="25">
        <f t="shared" si="13"/>
        <v>230166.66666666666</v>
      </c>
      <c r="G66" s="25">
        <f t="shared" si="13"/>
        <v>230166.66666666666</v>
      </c>
      <c r="H66" s="25">
        <f t="shared" si="13"/>
        <v>230166.66666666666</v>
      </c>
      <c r="I66" s="25">
        <f t="shared" si="13"/>
        <v>230166.66666666666</v>
      </c>
      <c r="J66" s="25">
        <f t="shared" si="13"/>
        <v>230166.66666666666</v>
      </c>
      <c r="K66" s="25">
        <f t="shared" si="13"/>
        <v>230166.66666666666</v>
      </c>
      <c r="L66" s="25">
        <f t="shared" si="13"/>
        <v>230166.66666666666</v>
      </c>
      <c r="M66" s="25">
        <f t="shared" si="13"/>
        <v>230166.66666666666</v>
      </c>
      <c r="N66" s="25">
        <f t="shared" si="13"/>
        <v>230166.66666666666</v>
      </c>
    </row>
    <row r="67" spans="1:14">
      <c r="A67" s="434" t="s">
        <v>74</v>
      </c>
      <c r="B67" s="435"/>
      <c r="C67" s="25">
        <f t="shared" si="13"/>
        <v>230166.66666666666</v>
      </c>
      <c r="D67" s="25">
        <f t="shared" si="13"/>
        <v>230166.66666666666</v>
      </c>
      <c r="E67" s="25">
        <f t="shared" si="13"/>
        <v>230166.66666666666</v>
      </c>
      <c r="F67" s="25">
        <f t="shared" si="13"/>
        <v>230166.66666666666</v>
      </c>
      <c r="G67" s="25">
        <f t="shared" si="13"/>
        <v>230166.66666666666</v>
      </c>
      <c r="H67" s="25">
        <f t="shared" si="13"/>
        <v>230166.66666666666</v>
      </c>
      <c r="I67" s="25">
        <f t="shared" si="13"/>
        <v>230166.66666666666</v>
      </c>
      <c r="J67" s="25">
        <f t="shared" si="13"/>
        <v>230166.66666666666</v>
      </c>
      <c r="K67" s="25">
        <f t="shared" si="13"/>
        <v>230166.66666666666</v>
      </c>
      <c r="L67" s="25">
        <f t="shared" si="13"/>
        <v>230166.66666666666</v>
      </c>
      <c r="M67" s="25">
        <f t="shared" si="13"/>
        <v>230166.66666666666</v>
      </c>
      <c r="N67" s="25">
        <f t="shared" si="13"/>
        <v>230166.66666666666</v>
      </c>
    </row>
    <row r="68" spans="1:14">
      <c r="A68" s="361" t="s">
        <v>75</v>
      </c>
      <c r="B68" s="362"/>
      <c r="C68" s="25">
        <f t="shared" si="13"/>
        <v>176000</v>
      </c>
      <c r="D68" s="25">
        <f t="shared" si="13"/>
        <v>176000</v>
      </c>
      <c r="E68" s="25">
        <f t="shared" si="13"/>
        <v>176000</v>
      </c>
      <c r="F68" s="25">
        <f t="shared" si="13"/>
        <v>176000</v>
      </c>
      <c r="G68" s="25">
        <f t="shared" si="13"/>
        <v>176000</v>
      </c>
      <c r="H68" s="25">
        <f t="shared" si="13"/>
        <v>176000</v>
      </c>
      <c r="I68" s="25">
        <f t="shared" si="13"/>
        <v>176000</v>
      </c>
      <c r="J68" s="25">
        <f t="shared" si="13"/>
        <v>176000</v>
      </c>
      <c r="K68" s="25">
        <f t="shared" si="13"/>
        <v>176000</v>
      </c>
      <c r="L68" s="25">
        <f t="shared" si="13"/>
        <v>176000</v>
      </c>
      <c r="M68" s="25">
        <f t="shared" si="13"/>
        <v>176000</v>
      </c>
      <c r="N68" s="25">
        <f t="shared" si="13"/>
        <v>176000</v>
      </c>
    </row>
    <row r="69" spans="1:14">
      <c r="A69" s="361" t="s">
        <v>76</v>
      </c>
      <c r="B69" s="362"/>
      <c r="C69" s="25">
        <f t="shared" si="13"/>
        <v>230166.66666666666</v>
      </c>
      <c r="D69" s="25">
        <f t="shared" si="13"/>
        <v>230166.66666666666</v>
      </c>
      <c r="E69" s="25">
        <f t="shared" si="13"/>
        <v>230166.66666666666</v>
      </c>
      <c r="F69" s="25">
        <f t="shared" si="13"/>
        <v>230166.66666666666</v>
      </c>
      <c r="G69" s="25">
        <f t="shared" si="13"/>
        <v>230166.66666666666</v>
      </c>
      <c r="H69" s="25">
        <f t="shared" si="13"/>
        <v>230166.66666666666</v>
      </c>
      <c r="I69" s="25">
        <f t="shared" si="13"/>
        <v>230166.66666666666</v>
      </c>
      <c r="J69" s="25">
        <f t="shared" si="13"/>
        <v>230166.66666666666</v>
      </c>
      <c r="K69" s="25">
        <f t="shared" si="13"/>
        <v>230166.66666666666</v>
      </c>
      <c r="L69" s="25">
        <f t="shared" si="13"/>
        <v>230166.66666666666</v>
      </c>
      <c r="M69" s="25">
        <f t="shared" si="13"/>
        <v>230166.66666666666</v>
      </c>
      <c r="N69" s="25">
        <f t="shared" si="13"/>
        <v>230166.66666666666</v>
      </c>
    </row>
    <row r="70" spans="1:14">
      <c r="A70" s="361" t="s">
        <v>77</v>
      </c>
      <c r="B70" s="362"/>
      <c r="C70" s="25">
        <f t="shared" si="13"/>
        <v>270833.33333333331</v>
      </c>
      <c r="D70" s="25">
        <f t="shared" si="13"/>
        <v>270833.33333333331</v>
      </c>
      <c r="E70" s="25">
        <f t="shared" si="13"/>
        <v>270833.33333333331</v>
      </c>
      <c r="F70" s="25">
        <f t="shared" si="13"/>
        <v>270833.33333333331</v>
      </c>
      <c r="G70" s="25">
        <f t="shared" si="13"/>
        <v>270833.33333333331</v>
      </c>
      <c r="H70" s="25">
        <f t="shared" si="13"/>
        <v>270833.33333333331</v>
      </c>
      <c r="I70" s="25">
        <f t="shared" si="13"/>
        <v>270833.33333333331</v>
      </c>
      <c r="J70" s="25">
        <f t="shared" si="13"/>
        <v>270833.33333333331</v>
      </c>
      <c r="K70" s="25">
        <f t="shared" si="13"/>
        <v>270833.33333333331</v>
      </c>
      <c r="L70" s="25">
        <f t="shared" si="13"/>
        <v>270833.33333333331</v>
      </c>
      <c r="M70" s="25">
        <f t="shared" si="13"/>
        <v>270833.33333333331</v>
      </c>
      <c r="N70" s="25">
        <f t="shared" si="13"/>
        <v>270833.33333333331</v>
      </c>
    </row>
    <row r="71" spans="1:14">
      <c r="A71" s="434" t="s">
        <v>78</v>
      </c>
      <c r="B71" s="435"/>
      <c r="C71" s="25">
        <f>+($F11+$C35)/12</f>
        <v>617333.33333333337</v>
      </c>
      <c r="D71" s="25">
        <f t="shared" ref="D71:N71" si="14">+($F11+$C35)/12</f>
        <v>617333.33333333337</v>
      </c>
      <c r="E71" s="25">
        <f t="shared" si="14"/>
        <v>617333.33333333337</v>
      </c>
      <c r="F71" s="25">
        <f t="shared" si="14"/>
        <v>617333.33333333337</v>
      </c>
      <c r="G71" s="25">
        <f t="shared" si="14"/>
        <v>617333.33333333337</v>
      </c>
      <c r="H71" s="25">
        <f t="shared" si="14"/>
        <v>617333.33333333337</v>
      </c>
      <c r="I71" s="25">
        <f t="shared" si="14"/>
        <v>617333.33333333337</v>
      </c>
      <c r="J71" s="25">
        <f t="shared" si="14"/>
        <v>617333.33333333337</v>
      </c>
      <c r="K71" s="25">
        <f t="shared" si="14"/>
        <v>617333.33333333337</v>
      </c>
      <c r="L71" s="25">
        <f t="shared" si="14"/>
        <v>617333.33333333337</v>
      </c>
      <c r="M71" s="25">
        <f t="shared" si="14"/>
        <v>617333.33333333337</v>
      </c>
      <c r="N71" s="25">
        <f t="shared" si="14"/>
        <v>617333.33333333337</v>
      </c>
    </row>
    <row r="72" spans="1:14">
      <c r="A72" s="434" t="s">
        <v>79</v>
      </c>
      <c r="B72" s="435"/>
      <c r="C72" s="25">
        <f t="shared" si="13"/>
        <v>230166.66666666666</v>
      </c>
      <c r="D72" s="25">
        <f t="shared" si="13"/>
        <v>230166.66666666666</v>
      </c>
      <c r="E72" s="25">
        <f t="shared" si="13"/>
        <v>230166.66666666666</v>
      </c>
      <c r="F72" s="25">
        <f t="shared" si="13"/>
        <v>230166.66666666666</v>
      </c>
      <c r="G72" s="25">
        <f t="shared" si="13"/>
        <v>230166.66666666666</v>
      </c>
      <c r="H72" s="25">
        <f t="shared" si="13"/>
        <v>230166.66666666666</v>
      </c>
      <c r="I72" s="25">
        <f t="shared" si="13"/>
        <v>230166.66666666666</v>
      </c>
      <c r="J72" s="25">
        <f t="shared" si="13"/>
        <v>230166.66666666666</v>
      </c>
      <c r="K72" s="25">
        <f t="shared" si="13"/>
        <v>230166.66666666666</v>
      </c>
      <c r="L72" s="25">
        <f t="shared" si="13"/>
        <v>230166.66666666666</v>
      </c>
      <c r="M72" s="25">
        <f t="shared" si="13"/>
        <v>230166.66666666666</v>
      </c>
      <c r="N72" s="25">
        <f t="shared" si="13"/>
        <v>230166.66666666666</v>
      </c>
    </row>
    <row r="73" spans="1:14">
      <c r="A73" s="31"/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>
      <c r="A74" s="26" t="s">
        <v>99</v>
      </c>
      <c r="C74" s="30">
        <v>65000</v>
      </c>
    </row>
    <row r="75" spans="1:14">
      <c r="A75" s="438" t="s">
        <v>65</v>
      </c>
      <c r="B75" s="438"/>
      <c r="C75" s="28" t="s">
        <v>81</v>
      </c>
      <c r="D75" s="28" t="s">
        <v>82</v>
      </c>
      <c r="E75" s="28" t="s">
        <v>83</v>
      </c>
      <c r="F75" s="28" t="s">
        <v>84</v>
      </c>
      <c r="G75" s="28" t="s">
        <v>85</v>
      </c>
      <c r="H75" s="28" t="s">
        <v>86</v>
      </c>
      <c r="I75" s="28" t="s">
        <v>87</v>
      </c>
      <c r="J75" s="28" t="s">
        <v>88</v>
      </c>
      <c r="K75" s="28" t="s">
        <v>89</v>
      </c>
      <c r="L75" s="28" t="s">
        <v>90</v>
      </c>
      <c r="M75" s="28" t="s">
        <v>91</v>
      </c>
      <c r="N75" s="28" t="s">
        <v>92</v>
      </c>
    </row>
    <row r="76" spans="1:14">
      <c r="A76" s="434" t="s">
        <v>71</v>
      </c>
      <c r="B76" s="435"/>
      <c r="C76" s="25">
        <f>+IF($E4&lt;=$H$4*2,$C$74,0)</f>
        <v>0</v>
      </c>
      <c r="D76" s="25">
        <f t="shared" ref="D76:N76" si="15">+IF($E4&lt;=$H$4*2,$C$74,0)</f>
        <v>0</v>
      </c>
      <c r="E76" s="25">
        <f t="shared" si="15"/>
        <v>0</v>
      </c>
      <c r="F76" s="25">
        <f t="shared" si="15"/>
        <v>0</v>
      </c>
      <c r="G76" s="25">
        <f t="shared" si="15"/>
        <v>0</v>
      </c>
      <c r="H76" s="25">
        <f t="shared" si="15"/>
        <v>0</v>
      </c>
      <c r="I76" s="25">
        <f t="shared" si="15"/>
        <v>0</v>
      </c>
      <c r="J76" s="25">
        <f t="shared" si="15"/>
        <v>0</v>
      </c>
      <c r="K76" s="25">
        <f t="shared" si="15"/>
        <v>0</v>
      </c>
      <c r="L76" s="25">
        <f t="shared" si="15"/>
        <v>0</v>
      </c>
      <c r="M76" s="25">
        <f t="shared" si="15"/>
        <v>0</v>
      </c>
      <c r="N76" s="25">
        <f t="shared" si="15"/>
        <v>0</v>
      </c>
    </row>
    <row r="77" spans="1:14">
      <c r="A77" s="434" t="s">
        <v>72</v>
      </c>
      <c r="B77" s="435"/>
      <c r="C77" s="25">
        <f t="shared" ref="C77:N84" si="16">+IF($E5&lt;=$H$4*2,$C$74,0)</f>
        <v>65000</v>
      </c>
      <c r="D77" s="25">
        <f t="shared" si="16"/>
        <v>65000</v>
      </c>
      <c r="E77" s="25">
        <f t="shared" si="16"/>
        <v>65000</v>
      </c>
      <c r="F77" s="25">
        <f t="shared" si="16"/>
        <v>65000</v>
      </c>
      <c r="G77" s="25">
        <f t="shared" si="16"/>
        <v>65000</v>
      </c>
      <c r="H77" s="25">
        <f t="shared" si="16"/>
        <v>65000</v>
      </c>
      <c r="I77" s="25">
        <f t="shared" si="16"/>
        <v>65000</v>
      </c>
      <c r="J77" s="25">
        <f t="shared" si="16"/>
        <v>65000</v>
      </c>
      <c r="K77" s="25">
        <f t="shared" si="16"/>
        <v>65000</v>
      </c>
      <c r="L77" s="25">
        <f t="shared" si="16"/>
        <v>65000</v>
      </c>
      <c r="M77" s="25">
        <f t="shared" si="16"/>
        <v>65000</v>
      </c>
      <c r="N77" s="25">
        <f t="shared" si="16"/>
        <v>65000</v>
      </c>
    </row>
    <row r="78" spans="1:14">
      <c r="A78" s="434" t="s">
        <v>73</v>
      </c>
      <c r="B78" s="435"/>
      <c r="C78" s="25">
        <f t="shared" si="16"/>
        <v>65000</v>
      </c>
      <c r="D78" s="25">
        <f t="shared" si="16"/>
        <v>65000</v>
      </c>
      <c r="E78" s="25">
        <f t="shared" si="16"/>
        <v>65000</v>
      </c>
      <c r="F78" s="25">
        <f t="shared" si="16"/>
        <v>65000</v>
      </c>
      <c r="G78" s="25">
        <f t="shared" si="16"/>
        <v>65000</v>
      </c>
      <c r="H78" s="25">
        <f t="shared" si="16"/>
        <v>65000</v>
      </c>
      <c r="I78" s="25">
        <f t="shared" si="16"/>
        <v>65000</v>
      </c>
      <c r="J78" s="25">
        <f t="shared" si="16"/>
        <v>65000</v>
      </c>
      <c r="K78" s="25">
        <f t="shared" si="16"/>
        <v>65000</v>
      </c>
      <c r="L78" s="25">
        <f t="shared" si="16"/>
        <v>65000</v>
      </c>
      <c r="M78" s="25">
        <f t="shared" si="16"/>
        <v>65000</v>
      </c>
      <c r="N78" s="25">
        <f t="shared" si="16"/>
        <v>65000</v>
      </c>
    </row>
    <row r="79" spans="1:14">
      <c r="A79" s="434" t="s">
        <v>74</v>
      </c>
      <c r="B79" s="435"/>
      <c r="C79" s="25">
        <f t="shared" si="16"/>
        <v>65000</v>
      </c>
      <c r="D79" s="25">
        <f t="shared" si="16"/>
        <v>65000</v>
      </c>
      <c r="E79" s="25">
        <f t="shared" si="16"/>
        <v>65000</v>
      </c>
      <c r="F79" s="25">
        <f t="shared" si="16"/>
        <v>65000</v>
      </c>
      <c r="G79" s="25">
        <f t="shared" si="16"/>
        <v>65000</v>
      </c>
      <c r="H79" s="25">
        <f t="shared" si="16"/>
        <v>65000</v>
      </c>
      <c r="I79" s="25">
        <f t="shared" si="16"/>
        <v>65000</v>
      </c>
      <c r="J79" s="25">
        <f t="shared" si="16"/>
        <v>65000</v>
      </c>
      <c r="K79" s="25">
        <f t="shared" si="16"/>
        <v>65000</v>
      </c>
      <c r="L79" s="25">
        <f t="shared" si="16"/>
        <v>65000</v>
      </c>
      <c r="M79" s="25">
        <f t="shared" si="16"/>
        <v>65000</v>
      </c>
      <c r="N79" s="25">
        <f t="shared" si="16"/>
        <v>65000</v>
      </c>
    </row>
    <row r="80" spans="1:14">
      <c r="A80" s="361" t="s">
        <v>75</v>
      </c>
      <c r="B80" s="362"/>
      <c r="C80" s="25">
        <f t="shared" si="16"/>
        <v>65000</v>
      </c>
      <c r="D80" s="25">
        <f t="shared" si="16"/>
        <v>65000</v>
      </c>
      <c r="E80" s="25">
        <f t="shared" si="16"/>
        <v>65000</v>
      </c>
      <c r="F80" s="25">
        <f t="shared" si="16"/>
        <v>65000</v>
      </c>
      <c r="G80" s="25">
        <f t="shared" si="16"/>
        <v>65000</v>
      </c>
      <c r="H80" s="25">
        <f t="shared" si="16"/>
        <v>65000</v>
      </c>
      <c r="I80" s="25">
        <f t="shared" si="16"/>
        <v>65000</v>
      </c>
      <c r="J80" s="25">
        <f t="shared" si="16"/>
        <v>65000</v>
      </c>
      <c r="K80" s="25">
        <f t="shared" si="16"/>
        <v>65000</v>
      </c>
      <c r="L80" s="25">
        <f t="shared" si="16"/>
        <v>65000</v>
      </c>
      <c r="M80" s="25">
        <f t="shared" si="16"/>
        <v>65000</v>
      </c>
      <c r="N80" s="25">
        <f t="shared" si="16"/>
        <v>65000</v>
      </c>
    </row>
    <row r="81" spans="1:14">
      <c r="A81" s="361" t="s">
        <v>76</v>
      </c>
      <c r="B81" s="362"/>
      <c r="C81" s="25">
        <f t="shared" si="16"/>
        <v>65000</v>
      </c>
      <c r="D81" s="25">
        <f t="shared" si="16"/>
        <v>65000</v>
      </c>
      <c r="E81" s="25">
        <f t="shared" si="16"/>
        <v>65000</v>
      </c>
      <c r="F81" s="25">
        <f t="shared" si="16"/>
        <v>65000</v>
      </c>
      <c r="G81" s="25">
        <f t="shared" si="16"/>
        <v>65000</v>
      </c>
      <c r="H81" s="25">
        <f t="shared" si="16"/>
        <v>65000</v>
      </c>
      <c r="I81" s="25">
        <f t="shared" si="16"/>
        <v>65000</v>
      </c>
      <c r="J81" s="25">
        <f t="shared" si="16"/>
        <v>65000</v>
      </c>
      <c r="K81" s="25">
        <f t="shared" si="16"/>
        <v>65000</v>
      </c>
      <c r="L81" s="25">
        <f t="shared" si="16"/>
        <v>65000</v>
      </c>
      <c r="M81" s="25">
        <f t="shared" si="16"/>
        <v>65000</v>
      </c>
      <c r="N81" s="25">
        <f t="shared" si="16"/>
        <v>65000</v>
      </c>
    </row>
    <row r="82" spans="1:14">
      <c r="A82" s="361" t="s">
        <v>77</v>
      </c>
      <c r="B82" s="362"/>
      <c r="C82" s="25">
        <f t="shared" si="16"/>
        <v>0</v>
      </c>
      <c r="D82" s="25">
        <f t="shared" si="16"/>
        <v>0</v>
      </c>
      <c r="E82" s="25">
        <f t="shared" si="16"/>
        <v>0</v>
      </c>
      <c r="F82" s="25">
        <f t="shared" si="16"/>
        <v>0</v>
      </c>
      <c r="G82" s="25">
        <f t="shared" si="16"/>
        <v>0</v>
      </c>
      <c r="H82" s="25">
        <f t="shared" si="16"/>
        <v>0</v>
      </c>
      <c r="I82" s="25">
        <f t="shared" si="16"/>
        <v>0</v>
      </c>
      <c r="J82" s="25">
        <f t="shared" si="16"/>
        <v>0</v>
      </c>
      <c r="K82" s="25">
        <f t="shared" si="16"/>
        <v>0</v>
      </c>
      <c r="L82" s="25">
        <f t="shared" si="16"/>
        <v>0</v>
      </c>
      <c r="M82" s="25">
        <f t="shared" si="16"/>
        <v>0</v>
      </c>
      <c r="N82" s="25">
        <f t="shared" si="16"/>
        <v>0</v>
      </c>
    </row>
    <row r="83" spans="1:14">
      <c r="A83" s="434" t="s">
        <v>78</v>
      </c>
      <c r="B83" s="435"/>
      <c r="C83" s="25">
        <f>+IF($E11&lt;=$H$4*2,$C$74,0)*4</f>
        <v>260000</v>
      </c>
      <c r="D83" s="25">
        <f t="shared" ref="D83:N83" si="17">+IF($E11&lt;=$H$4*2,$C$74,0)*4</f>
        <v>260000</v>
      </c>
      <c r="E83" s="25">
        <f t="shared" si="17"/>
        <v>260000</v>
      </c>
      <c r="F83" s="25">
        <f t="shared" si="17"/>
        <v>260000</v>
      </c>
      <c r="G83" s="25">
        <f t="shared" si="17"/>
        <v>260000</v>
      </c>
      <c r="H83" s="25">
        <f t="shared" si="17"/>
        <v>260000</v>
      </c>
      <c r="I83" s="25">
        <f t="shared" si="17"/>
        <v>260000</v>
      </c>
      <c r="J83" s="25">
        <f t="shared" si="17"/>
        <v>260000</v>
      </c>
      <c r="K83" s="25">
        <f t="shared" si="17"/>
        <v>260000</v>
      </c>
      <c r="L83" s="25">
        <f t="shared" si="17"/>
        <v>260000</v>
      </c>
      <c r="M83" s="25">
        <f t="shared" si="17"/>
        <v>260000</v>
      </c>
      <c r="N83" s="25">
        <f t="shared" si="17"/>
        <v>260000</v>
      </c>
    </row>
    <row r="84" spans="1:14">
      <c r="A84" s="434" t="s">
        <v>79</v>
      </c>
      <c r="B84" s="435"/>
      <c r="C84" s="25">
        <f t="shared" si="16"/>
        <v>65000</v>
      </c>
      <c r="D84" s="25">
        <f t="shared" si="16"/>
        <v>65000</v>
      </c>
      <c r="E84" s="25">
        <f t="shared" si="16"/>
        <v>65000</v>
      </c>
      <c r="F84" s="25">
        <f t="shared" si="16"/>
        <v>65000</v>
      </c>
      <c r="G84" s="25">
        <f t="shared" si="16"/>
        <v>65000</v>
      </c>
      <c r="H84" s="25">
        <f t="shared" si="16"/>
        <v>65000</v>
      </c>
      <c r="I84" s="25">
        <f t="shared" si="16"/>
        <v>65000</v>
      </c>
      <c r="J84" s="25">
        <f t="shared" si="16"/>
        <v>65000</v>
      </c>
      <c r="K84" s="25">
        <f t="shared" si="16"/>
        <v>65000</v>
      </c>
      <c r="L84" s="25">
        <f t="shared" si="16"/>
        <v>65000</v>
      </c>
      <c r="M84" s="25">
        <f t="shared" si="16"/>
        <v>65000</v>
      </c>
      <c r="N84" s="25">
        <f t="shared" si="16"/>
        <v>65000</v>
      </c>
    </row>
    <row r="86" spans="1:14">
      <c r="A86" s="29" t="s">
        <v>100</v>
      </c>
      <c r="C86" s="39">
        <f>12%+8.5%</f>
        <v>0.20500000000000002</v>
      </c>
      <c r="D86" s="35"/>
      <c r="N86" s="36"/>
    </row>
    <row r="87" spans="1:14">
      <c r="A87" s="438" t="s">
        <v>65</v>
      </c>
      <c r="B87" s="438"/>
      <c r="C87" s="28" t="s">
        <v>81</v>
      </c>
      <c r="D87" s="28" t="s">
        <v>82</v>
      </c>
      <c r="E87" s="28" t="s">
        <v>83</v>
      </c>
      <c r="F87" s="28" t="s">
        <v>84</v>
      </c>
      <c r="G87" s="28" t="s">
        <v>85</v>
      </c>
      <c r="H87" s="28" t="s">
        <v>86</v>
      </c>
      <c r="I87" s="28" t="s">
        <v>87</v>
      </c>
      <c r="J87" s="28" t="s">
        <v>88</v>
      </c>
      <c r="K87" s="28" t="s">
        <v>89</v>
      </c>
      <c r="L87" s="28" t="s">
        <v>90</v>
      </c>
      <c r="M87" s="28" t="s">
        <v>91</v>
      </c>
      <c r="N87" s="28" t="s">
        <v>92</v>
      </c>
    </row>
    <row r="88" spans="1:14">
      <c r="A88" s="434" t="s">
        <v>71</v>
      </c>
      <c r="B88" s="435"/>
      <c r="C88" s="23">
        <f>+$F4*$C$86</f>
        <v>799500.00000000012</v>
      </c>
      <c r="D88" s="23">
        <f t="shared" ref="D88:N88" si="18">+$F4*$C$86</f>
        <v>799500.00000000012</v>
      </c>
      <c r="E88" s="23">
        <f t="shared" si="18"/>
        <v>799500.00000000012</v>
      </c>
      <c r="F88" s="23">
        <f t="shared" si="18"/>
        <v>799500.00000000012</v>
      </c>
      <c r="G88" s="23">
        <f t="shared" si="18"/>
        <v>799500.00000000012</v>
      </c>
      <c r="H88" s="23">
        <f t="shared" si="18"/>
        <v>799500.00000000012</v>
      </c>
      <c r="I88" s="23">
        <f t="shared" si="18"/>
        <v>799500.00000000012</v>
      </c>
      <c r="J88" s="23">
        <f t="shared" si="18"/>
        <v>799500.00000000012</v>
      </c>
      <c r="K88" s="23">
        <f t="shared" si="18"/>
        <v>799500.00000000012</v>
      </c>
      <c r="L88" s="23">
        <f t="shared" si="18"/>
        <v>799500.00000000012</v>
      </c>
      <c r="M88" s="23">
        <f t="shared" si="18"/>
        <v>799500.00000000012</v>
      </c>
      <c r="N88" s="23">
        <f t="shared" si="18"/>
        <v>799500.00000000012</v>
      </c>
    </row>
    <row r="89" spans="1:14">
      <c r="A89" s="434" t="s">
        <v>72</v>
      </c>
      <c r="B89" s="435"/>
      <c r="C89" s="23">
        <f t="shared" ref="C89:N96" si="19">+$F5*$C$86</f>
        <v>399750.00000000006</v>
      </c>
      <c r="D89" s="23">
        <f t="shared" si="19"/>
        <v>399750.00000000006</v>
      </c>
      <c r="E89" s="23">
        <f t="shared" si="19"/>
        <v>399750.00000000006</v>
      </c>
      <c r="F89" s="23">
        <f t="shared" si="19"/>
        <v>399750.00000000006</v>
      </c>
      <c r="G89" s="23">
        <f t="shared" si="19"/>
        <v>399750.00000000006</v>
      </c>
      <c r="H89" s="23">
        <f t="shared" si="19"/>
        <v>399750.00000000006</v>
      </c>
      <c r="I89" s="23">
        <f t="shared" si="19"/>
        <v>399750.00000000006</v>
      </c>
      <c r="J89" s="23">
        <f t="shared" si="19"/>
        <v>399750.00000000006</v>
      </c>
      <c r="K89" s="23">
        <f t="shared" si="19"/>
        <v>399750.00000000006</v>
      </c>
      <c r="L89" s="23">
        <f t="shared" si="19"/>
        <v>399750.00000000006</v>
      </c>
      <c r="M89" s="23">
        <f t="shared" si="19"/>
        <v>399750.00000000006</v>
      </c>
      <c r="N89" s="23">
        <f t="shared" si="19"/>
        <v>399750.00000000006</v>
      </c>
    </row>
    <row r="90" spans="1:14">
      <c r="A90" s="434" t="s">
        <v>73</v>
      </c>
      <c r="B90" s="435"/>
      <c r="C90" s="23">
        <f t="shared" si="19"/>
        <v>533000</v>
      </c>
      <c r="D90" s="23">
        <f t="shared" si="19"/>
        <v>533000</v>
      </c>
      <c r="E90" s="23">
        <f t="shared" si="19"/>
        <v>533000</v>
      </c>
      <c r="F90" s="23">
        <f t="shared" si="19"/>
        <v>533000</v>
      </c>
      <c r="G90" s="23">
        <f t="shared" si="19"/>
        <v>533000</v>
      </c>
      <c r="H90" s="23">
        <f t="shared" si="19"/>
        <v>533000</v>
      </c>
      <c r="I90" s="23">
        <f t="shared" si="19"/>
        <v>533000</v>
      </c>
      <c r="J90" s="23">
        <f t="shared" si="19"/>
        <v>533000</v>
      </c>
      <c r="K90" s="23">
        <f t="shared" si="19"/>
        <v>533000</v>
      </c>
      <c r="L90" s="23">
        <f t="shared" si="19"/>
        <v>533000</v>
      </c>
      <c r="M90" s="23">
        <f t="shared" si="19"/>
        <v>533000</v>
      </c>
      <c r="N90" s="23">
        <f t="shared" si="19"/>
        <v>533000</v>
      </c>
    </row>
    <row r="91" spans="1:14">
      <c r="A91" s="434" t="s">
        <v>74</v>
      </c>
      <c r="B91" s="435"/>
      <c r="C91" s="23">
        <f t="shared" si="19"/>
        <v>533000</v>
      </c>
      <c r="D91" s="23">
        <f t="shared" si="19"/>
        <v>533000</v>
      </c>
      <c r="E91" s="23">
        <f t="shared" si="19"/>
        <v>533000</v>
      </c>
      <c r="F91" s="23">
        <f t="shared" si="19"/>
        <v>533000</v>
      </c>
      <c r="G91" s="23">
        <f t="shared" si="19"/>
        <v>533000</v>
      </c>
      <c r="H91" s="23">
        <f t="shared" si="19"/>
        <v>533000</v>
      </c>
      <c r="I91" s="23">
        <f t="shared" si="19"/>
        <v>533000</v>
      </c>
      <c r="J91" s="23">
        <f t="shared" si="19"/>
        <v>533000</v>
      </c>
      <c r="K91" s="23">
        <f t="shared" si="19"/>
        <v>533000</v>
      </c>
      <c r="L91" s="23">
        <f t="shared" si="19"/>
        <v>533000</v>
      </c>
      <c r="M91" s="23">
        <f t="shared" si="19"/>
        <v>533000</v>
      </c>
      <c r="N91" s="23">
        <f t="shared" si="19"/>
        <v>533000</v>
      </c>
    </row>
    <row r="92" spans="1:14">
      <c r="A92" s="361" t="s">
        <v>75</v>
      </c>
      <c r="B92" s="362"/>
      <c r="C92" s="23">
        <f t="shared" si="19"/>
        <v>399750.00000000006</v>
      </c>
      <c r="D92" s="23">
        <f t="shared" si="19"/>
        <v>399750.00000000006</v>
      </c>
      <c r="E92" s="23">
        <f t="shared" si="19"/>
        <v>399750.00000000006</v>
      </c>
      <c r="F92" s="23">
        <f t="shared" si="19"/>
        <v>399750.00000000006</v>
      </c>
      <c r="G92" s="23">
        <f t="shared" si="19"/>
        <v>399750.00000000006</v>
      </c>
      <c r="H92" s="23">
        <f t="shared" si="19"/>
        <v>399750.00000000006</v>
      </c>
      <c r="I92" s="23">
        <f t="shared" si="19"/>
        <v>399750.00000000006</v>
      </c>
      <c r="J92" s="23">
        <f t="shared" si="19"/>
        <v>399750.00000000006</v>
      </c>
      <c r="K92" s="23">
        <f t="shared" si="19"/>
        <v>399750.00000000006</v>
      </c>
      <c r="L92" s="23">
        <f t="shared" si="19"/>
        <v>399750.00000000006</v>
      </c>
      <c r="M92" s="23">
        <f t="shared" si="19"/>
        <v>399750.00000000006</v>
      </c>
      <c r="N92" s="23">
        <f t="shared" si="19"/>
        <v>399750.00000000006</v>
      </c>
    </row>
    <row r="93" spans="1:14">
      <c r="A93" s="361" t="s">
        <v>76</v>
      </c>
      <c r="B93" s="362"/>
      <c r="C93" s="23">
        <f t="shared" si="19"/>
        <v>533000</v>
      </c>
      <c r="D93" s="23">
        <f t="shared" si="19"/>
        <v>533000</v>
      </c>
      <c r="E93" s="23">
        <f t="shared" si="19"/>
        <v>533000</v>
      </c>
      <c r="F93" s="23">
        <f t="shared" si="19"/>
        <v>533000</v>
      </c>
      <c r="G93" s="23">
        <f t="shared" si="19"/>
        <v>533000</v>
      </c>
      <c r="H93" s="23">
        <f t="shared" si="19"/>
        <v>533000</v>
      </c>
      <c r="I93" s="23">
        <f t="shared" si="19"/>
        <v>533000</v>
      </c>
      <c r="J93" s="23">
        <f t="shared" si="19"/>
        <v>533000</v>
      </c>
      <c r="K93" s="23">
        <f t="shared" si="19"/>
        <v>533000</v>
      </c>
      <c r="L93" s="23">
        <f t="shared" si="19"/>
        <v>533000</v>
      </c>
      <c r="M93" s="23">
        <f t="shared" si="19"/>
        <v>533000</v>
      </c>
      <c r="N93" s="23">
        <f t="shared" si="19"/>
        <v>533000</v>
      </c>
    </row>
    <row r="94" spans="1:14">
      <c r="A94" s="361" t="s">
        <v>77</v>
      </c>
      <c r="B94" s="362"/>
      <c r="C94" s="23">
        <f t="shared" si="19"/>
        <v>666250</v>
      </c>
      <c r="D94" s="23">
        <f t="shared" si="19"/>
        <v>666250</v>
      </c>
      <c r="E94" s="23">
        <f t="shared" si="19"/>
        <v>666250</v>
      </c>
      <c r="F94" s="23">
        <f t="shared" si="19"/>
        <v>666250</v>
      </c>
      <c r="G94" s="23">
        <f t="shared" si="19"/>
        <v>666250</v>
      </c>
      <c r="H94" s="23">
        <f t="shared" si="19"/>
        <v>666250</v>
      </c>
      <c r="I94" s="23">
        <f t="shared" si="19"/>
        <v>666250</v>
      </c>
      <c r="J94" s="23">
        <f t="shared" si="19"/>
        <v>666250</v>
      </c>
      <c r="K94" s="23">
        <f t="shared" si="19"/>
        <v>666250</v>
      </c>
      <c r="L94" s="23">
        <f t="shared" si="19"/>
        <v>666250</v>
      </c>
      <c r="M94" s="23">
        <f t="shared" si="19"/>
        <v>666250</v>
      </c>
      <c r="N94" s="23">
        <f t="shared" si="19"/>
        <v>666250</v>
      </c>
    </row>
    <row r="95" spans="1:14">
      <c r="A95" s="434" t="s">
        <v>78</v>
      </c>
      <c r="B95" s="435"/>
      <c r="C95" s="23">
        <f t="shared" si="19"/>
        <v>1385800</v>
      </c>
      <c r="D95" s="23">
        <f t="shared" si="19"/>
        <v>1385800</v>
      </c>
      <c r="E95" s="23">
        <f t="shared" si="19"/>
        <v>1385800</v>
      </c>
      <c r="F95" s="23">
        <f t="shared" si="19"/>
        <v>1385800</v>
      </c>
      <c r="G95" s="23">
        <f t="shared" si="19"/>
        <v>1385800</v>
      </c>
      <c r="H95" s="23">
        <f t="shared" si="19"/>
        <v>1385800</v>
      </c>
      <c r="I95" s="23">
        <f t="shared" si="19"/>
        <v>1385800</v>
      </c>
      <c r="J95" s="23">
        <f t="shared" si="19"/>
        <v>1385800</v>
      </c>
      <c r="K95" s="23">
        <f t="shared" si="19"/>
        <v>1385800</v>
      </c>
      <c r="L95" s="23">
        <f t="shared" si="19"/>
        <v>1385800</v>
      </c>
      <c r="M95" s="23">
        <f t="shared" si="19"/>
        <v>1385800</v>
      </c>
      <c r="N95" s="23">
        <f t="shared" si="19"/>
        <v>1385800</v>
      </c>
    </row>
    <row r="96" spans="1:14">
      <c r="A96" s="434" t="s">
        <v>79</v>
      </c>
      <c r="B96" s="435"/>
      <c r="C96" s="23">
        <f t="shared" si="19"/>
        <v>533000</v>
      </c>
      <c r="D96" s="23">
        <f t="shared" si="19"/>
        <v>533000</v>
      </c>
      <c r="E96" s="23">
        <f t="shared" si="19"/>
        <v>533000</v>
      </c>
      <c r="F96" s="23">
        <f t="shared" si="19"/>
        <v>533000</v>
      </c>
      <c r="G96" s="23">
        <f t="shared" si="19"/>
        <v>533000</v>
      </c>
      <c r="H96" s="23">
        <f t="shared" si="19"/>
        <v>533000</v>
      </c>
      <c r="I96" s="23">
        <f t="shared" si="19"/>
        <v>533000</v>
      </c>
      <c r="J96" s="23">
        <f t="shared" si="19"/>
        <v>533000</v>
      </c>
      <c r="K96" s="23">
        <f t="shared" si="19"/>
        <v>533000</v>
      </c>
      <c r="L96" s="23">
        <f t="shared" si="19"/>
        <v>533000</v>
      </c>
      <c r="M96" s="23">
        <f t="shared" si="19"/>
        <v>533000</v>
      </c>
      <c r="N96" s="23">
        <f t="shared" si="19"/>
        <v>533000</v>
      </c>
    </row>
    <row r="98" spans="1:14">
      <c r="A98" s="29" t="s">
        <v>101</v>
      </c>
      <c r="D98" s="41" t="s">
        <v>102</v>
      </c>
      <c r="E98" s="46">
        <v>5.2199999999999998E-3</v>
      </c>
      <c r="G98" s="42" t="s">
        <v>103</v>
      </c>
      <c r="H98" s="45">
        <v>1.044E-2</v>
      </c>
      <c r="K98" s="43" t="s">
        <v>104</v>
      </c>
      <c r="L98" s="44">
        <v>2.436E-2</v>
      </c>
    </row>
    <row r="99" spans="1:14">
      <c r="A99" s="438" t="s">
        <v>65</v>
      </c>
      <c r="B99" s="438"/>
      <c r="C99" s="28" t="s">
        <v>81</v>
      </c>
      <c r="D99" s="28" t="s">
        <v>82</v>
      </c>
      <c r="E99" s="28" t="s">
        <v>83</v>
      </c>
      <c r="F99" s="28" t="s">
        <v>84</v>
      </c>
      <c r="G99" s="28" t="s">
        <v>85</v>
      </c>
      <c r="H99" s="28" t="s">
        <v>86</v>
      </c>
      <c r="I99" s="28" t="s">
        <v>87</v>
      </c>
      <c r="J99" s="28" t="s">
        <v>88</v>
      </c>
      <c r="K99" s="28" t="s">
        <v>89</v>
      </c>
      <c r="L99" s="28" t="s">
        <v>90</v>
      </c>
      <c r="M99" s="28" t="s">
        <v>91</v>
      </c>
      <c r="N99" s="28" t="s">
        <v>92</v>
      </c>
    </row>
    <row r="100" spans="1:14">
      <c r="A100" s="434" t="s">
        <v>71</v>
      </c>
      <c r="B100" s="435"/>
      <c r="C100" s="23">
        <f>+$F4*$E$98</f>
        <v>20358</v>
      </c>
      <c r="D100" s="23">
        <f>+$F4*$E$98</f>
        <v>20358</v>
      </c>
      <c r="E100" s="23">
        <f t="shared" ref="E100:N100" si="20">+$F4*$E$98</f>
        <v>20358</v>
      </c>
      <c r="F100" s="23">
        <f t="shared" si="20"/>
        <v>20358</v>
      </c>
      <c r="G100" s="23">
        <f t="shared" si="20"/>
        <v>20358</v>
      </c>
      <c r="H100" s="23">
        <f t="shared" si="20"/>
        <v>20358</v>
      </c>
      <c r="I100" s="23">
        <f t="shared" si="20"/>
        <v>20358</v>
      </c>
      <c r="J100" s="23">
        <f t="shared" si="20"/>
        <v>20358</v>
      </c>
      <c r="K100" s="23">
        <f t="shared" si="20"/>
        <v>20358</v>
      </c>
      <c r="L100" s="23">
        <f t="shared" si="20"/>
        <v>20358</v>
      </c>
      <c r="M100" s="23">
        <f t="shared" si="20"/>
        <v>20358</v>
      </c>
      <c r="N100" s="23">
        <f t="shared" si="20"/>
        <v>20358</v>
      </c>
    </row>
    <row r="101" spans="1:14">
      <c r="A101" s="434" t="s">
        <v>72</v>
      </c>
      <c r="B101" s="435"/>
      <c r="C101" s="23">
        <f t="shared" ref="C101:D103" si="21">+$F5*$E$98</f>
        <v>10179</v>
      </c>
      <c r="D101" s="23">
        <f t="shared" si="21"/>
        <v>10179</v>
      </c>
      <c r="E101" s="23">
        <f t="shared" ref="E101:N101" si="22">+$F5*$E$98</f>
        <v>10179</v>
      </c>
      <c r="F101" s="23">
        <f t="shared" si="22"/>
        <v>10179</v>
      </c>
      <c r="G101" s="23">
        <f t="shared" si="22"/>
        <v>10179</v>
      </c>
      <c r="H101" s="23">
        <f t="shared" si="22"/>
        <v>10179</v>
      </c>
      <c r="I101" s="23">
        <f t="shared" si="22"/>
        <v>10179</v>
      </c>
      <c r="J101" s="23">
        <f t="shared" si="22"/>
        <v>10179</v>
      </c>
      <c r="K101" s="23">
        <f t="shared" si="22"/>
        <v>10179</v>
      </c>
      <c r="L101" s="23">
        <f t="shared" si="22"/>
        <v>10179</v>
      </c>
      <c r="M101" s="23">
        <f t="shared" si="22"/>
        <v>10179</v>
      </c>
      <c r="N101" s="23">
        <f t="shared" si="22"/>
        <v>10179</v>
      </c>
    </row>
    <row r="102" spans="1:14">
      <c r="A102" s="434" t="s">
        <v>73</v>
      </c>
      <c r="B102" s="435"/>
      <c r="C102" s="23">
        <f t="shared" si="21"/>
        <v>13572</v>
      </c>
      <c r="D102" s="23">
        <f t="shared" si="21"/>
        <v>13572</v>
      </c>
      <c r="E102" s="23">
        <f t="shared" ref="E102:N102" si="23">+$F6*$E$98</f>
        <v>13572</v>
      </c>
      <c r="F102" s="23">
        <f t="shared" si="23"/>
        <v>13572</v>
      </c>
      <c r="G102" s="23">
        <f t="shared" si="23"/>
        <v>13572</v>
      </c>
      <c r="H102" s="23">
        <f t="shared" si="23"/>
        <v>13572</v>
      </c>
      <c r="I102" s="23">
        <f t="shared" si="23"/>
        <v>13572</v>
      </c>
      <c r="J102" s="23">
        <f t="shared" si="23"/>
        <v>13572</v>
      </c>
      <c r="K102" s="23">
        <f t="shared" si="23"/>
        <v>13572</v>
      </c>
      <c r="L102" s="23">
        <f t="shared" si="23"/>
        <v>13572</v>
      </c>
      <c r="M102" s="23">
        <f t="shared" si="23"/>
        <v>13572</v>
      </c>
      <c r="N102" s="23">
        <f t="shared" si="23"/>
        <v>13572</v>
      </c>
    </row>
    <row r="103" spans="1:14">
      <c r="A103" s="434" t="s">
        <v>74</v>
      </c>
      <c r="B103" s="435"/>
      <c r="C103" s="23">
        <f t="shared" si="21"/>
        <v>13572</v>
      </c>
      <c r="D103" s="23">
        <f t="shared" si="21"/>
        <v>13572</v>
      </c>
      <c r="E103" s="23">
        <f t="shared" ref="E103:N103" si="24">+$F7*$E$98</f>
        <v>13572</v>
      </c>
      <c r="F103" s="23">
        <f t="shared" si="24"/>
        <v>13572</v>
      </c>
      <c r="G103" s="23">
        <f t="shared" si="24"/>
        <v>13572</v>
      </c>
      <c r="H103" s="23">
        <f t="shared" si="24"/>
        <v>13572</v>
      </c>
      <c r="I103" s="23">
        <f t="shared" si="24"/>
        <v>13572</v>
      </c>
      <c r="J103" s="23">
        <f t="shared" si="24"/>
        <v>13572</v>
      </c>
      <c r="K103" s="23">
        <f t="shared" si="24"/>
        <v>13572</v>
      </c>
      <c r="L103" s="23">
        <f t="shared" si="24"/>
        <v>13572</v>
      </c>
      <c r="M103" s="23">
        <f t="shared" si="24"/>
        <v>13572</v>
      </c>
      <c r="N103" s="23">
        <f t="shared" si="24"/>
        <v>13572</v>
      </c>
    </row>
    <row r="104" spans="1:14">
      <c r="A104" s="361" t="s">
        <v>75</v>
      </c>
      <c r="B104" s="362"/>
      <c r="C104" s="23">
        <f>+$F8*$E$98</f>
        <v>10179</v>
      </c>
      <c r="D104" s="23">
        <f>+$F8*$E$98</f>
        <v>10179</v>
      </c>
      <c r="E104" s="23">
        <f t="shared" ref="E104:N104" si="25">+$F8*$E$98</f>
        <v>10179</v>
      </c>
      <c r="F104" s="23">
        <f t="shared" si="25"/>
        <v>10179</v>
      </c>
      <c r="G104" s="23">
        <f t="shared" si="25"/>
        <v>10179</v>
      </c>
      <c r="H104" s="23">
        <f t="shared" si="25"/>
        <v>10179</v>
      </c>
      <c r="I104" s="23">
        <f t="shared" si="25"/>
        <v>10179</v>
      </c>
      <c r="J104" s="23">
        <f t="shared" si="25"/>
        <v>10179</v>
      </c>
      <c r="K104" s="23">
        <f t="shared" si="25"/>
        <v>10179</v>
      </c>
      <c r="L104" s="23">
        <f t="shared" si="25"/>
        <v>10179</v>
      </c>
      <c r="M104" s="23">
        <f t="shared" si="25"/>
        <v>10179</v>
      </c>
      <c r="N104" s="23">
        <f t="shared" si="25"/>
        <v>10179</v>
      </c>
    </row>
    <row r="105" spans="1:14">
      <c r="A105" s="361" t="s">
        <v>76</v>
      </c>
      <c r="B105" s="362"/>
      <c r="C105" s="23">
        <f>+$F9*$H$98</f>
        <v>27144</v>
      </c>
      <c r="D105" s="23">
        <f>+$F9*$H$98</f>
        <v>27144</v>
      </c>
      <c r="E105" s="23">
        <f t="shared" ref="E105:N105" si="26">+$F9*$H$98</f>
        <v>27144</v>
      </c>
      <c r="F105" s="23">
        <f t="shared" si="26"/>
        <v>27144</v>
      </c>
      <c r="G105" s="23">
        <f t="shared" si="26"/>
        <v>27144</v>
      </c>
      <c r="H105" s="23">
        <f t="shared" si="26"/>
        <v>27144</v>
      </c>
      <c r="I105" s="23">
        <f t="shared" si="26"/>
        <v>27144</v>
      </c>
      <c r="J105" s="23">
        <f t="shared" si="26"/>
        <v>27144</v>
      </c>
      <c r="K105" s="23">
        <f t="shared" si="26"/>
        <v>27144</v>
      </c>
      <c r="L105" s="23">
        <f t="shared" si="26"/>
        <v>27144</v>
      </c>
      <c r="M105" s="23">
        <f t="shared" si="26"/>
        <v>27144</v>
      </c>
      <c r="N105" s="23">
        <f t="shared" si="26"/>
        <v>27144</v>
      </c>
    </row>
    <row r="106" spans="1:14">
      <c r="A106" s="361" t="s">
        <v>77</v>
      </c>
      <c r="B106" s="362"/>
      <c r="C106" s="23">
        <f>+$F10*$L$98</f>
        <v>79170</v>
      </c>
      <c r="D106" s="23">
        <f>+$F10*$L$98</f>
        <v>79170</v>
      </c>
      <c r="E106" s="23">
        <f t="shared" ref="E106:N106" si="27">+$F10*$L$98</f>
        <v>79170</v>
      </c>
      <c r="F106" s="23">
        <f t="shared" si="27"/>
        <v>79170</v>
      </c>
      <c r="G106" s="23">
        <f t="shared" si="27"/>
        <v>79170</v>
      </c>
      <c r="H106" s="23">
        <f t="shared" si="27"/>
        <v>79170</v>
      </c>
      <c r="I106" s="23">
        <f t="shared" si="27"/>
        <v>79170</v>
      </c>
      <c r="J106" s="23">
        <f t="shared" si="27"/>
        <v>79170</v>
      </c>
      <c r="K106" s="23">
        <f t="shared" si="27"/>
        <v>79170</v>
      </c>
      <c r="L106" s="23">
        <f t="shared" si="27"/>
        <v>79170</v>
      </c>
      <c r="M106" s="23">
        <f t="shared" si="27"/>
        <v>79170</v>
      </c>
      <c r="N106" s="23">
        <f t="shared" si="27"/>
        <v>79170</v>
      </c>
    </row>
    <row r="107" spans="1:14">
      <c r="A107" s="434" t="s">
        <v>78</v>
      </c>
      <c r="B107" s="435"/>
      <c r="C107" s="23">
        <f>+$F11*$L$98</f>
        <v>164673.60000000001</v>
      </c>
      <c r="D107" s="23">
        <f>+$F11*$L$98</f>
        <v>164673.60000000001</v>
      </c>
      <c r="E107" s="23">
        <f t="shared" ref="E107:N107" si="28">+$F11*$L$98</f>
        <v>164673.60000000001</v>
      </c>
      <c r="F107" s="23">
        <f t="shared" si="28"/>
        <v>164673.60000000001</v>
      </c>
      <c r="G107" s="23">
        <f t="shared" si="28"/>
        <v>164673.60000000001</v>
      </c>
      <c r="H107" s="23">
        <f t="shared" si="28"/>
        <v>164673.60000000001</v>
      </c>
      <c r="I107" s="23">
        <f t="shared" si="28"/>
        <v>164673.60000000001</v>
      </c>
      <c r="J107" s="23">
        <f t="shared" si="28"/>
        <v>164673.60000000001</v>
      </c>
      <c r="K107" s="23">
        <f t="shared" si="28"/>
        <v>164673.60000000001</v>
      </c>
      <c r="L107" s="23">
        <f t="shared" si="28"/>
        <v>164673.60000000001</v>
      </c>
      <c r="M107" s="23">
        <f t="shared" si="28"/>
        <v>164673.60000000001</v>
      </c>
      <c r="N107" s="23">
        <f t="shared" si="28"/>
        <v>164673.60000000001</v>
      </c>
    </row>
    <row r="108" spans="1:14">
      <c r="A108" s="434" t="s">
        <v>79</v>
      </c>
      <c r="B108" s="435"/>
      <c r="C108" s="23">
        <f>+$F12*$H$98</f>
        <v>27144</v>
      </c>
      <c r="D108" s="23">
        <f>+$F12*$H$98</f>
        <v>27144</v>
      </c>
      <c r="E108" s="23">
        <f t="shared" ref="E108:N108" si="29">+$F12*$H$98</f>
        <v>27144</v>
      </c>
      <c r="F108" s="23">
        <f t="shared" si="29"/>
        <v>27144</v>
      </c>
      <c r="G108" s="23">
        <f t="shared" si="29"/>
        <v>27144</v>
      </c>
      <c r="H108" s="23">
        <f t="shared" si="29"/>
        <v>27144</v>
      </c>
      <c r="I108" s="23">
        <f t="shared" si="29"/>
        <v>27144</v>
      </c>
      <c r="J108" s="23">
        <f t="shared" si="29"/>
        <v>27144</v>
      </c>
      <c r="K108" s="23">
        <f t="shared" si="29"/>
        <v>27144</v>
      </c>
      <c r="L108" s="23">
        <f t="shared" si="29"/>
        <v>27144</v>
      </c>
      <c r="M108" s="23">
        <f t="shared" si="29"/>
        <v>27144</v>
      </c>
      <c r="N108" s="23">
        <f t="shared" si="29"/>
        <v>27144</v>
      </c>
    </row>
    <row r="109" spans="1:14">
      <c r="A109" s="31"/>
      <c r="B109" s="31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1:14">
      <c r="A110" s="29" t="s">
        <v>105</v>
      </c>
    </row>
    <row r="111" spans="1:14">
      <c r="A111" s="438" t="s">
        <v>65</v>
      </c>
      <c r="B111" s="438"/>
      <c r="C111" s="28" t="s">
        <v>81</v>
      </c>
      <c r="D111" s="28" t="s">
        <v>82</v>
      </c>
      <c r="E111" s="28" t="s">
        <v>83</v>
      </c>
      <c r="F111" s="28" t="s">
        <v>84</v>
      </c>
      <c r="G111" s="28" t="s">
        <v>85</v>
      </c>
      <c r="H111" s="28" t="s">
        <v>86</v>
      </c>
      <c r="I111" s="28" t="s">
        <v>87</v>
      </c>
      <c r="J111" s="28" t="s">
        <v>88</v>
      </c>
      <c r="K111" s="28" t="s">
        <v>89</v>
      </c>
      <c r="L111" s="28" t="s">
        <v>90</v>
      </c>
      <c r="M111" s="28" t="s">
        <v>91</v>
      </c>
      <c r="N111" s="28" t="s">
        <v>92</v>
      </c>
    </row>
    <row r="112" spans="1:14">
      <c r="A112" s="434" t="s">
        <v>71</v>
      </c>
      <c r="B112" s="435"/>
      <c r="C112" s="23">
        <f>+C16+C28+C40+C52+C64+C76+C88+C100+$F4</f>
        <v>5922358</v>
      </c>
      <c r="D112" s="23">
        <f t="shared" ref="D112:N112" si="30">+D16+D28+D40+D52+D64+D76+D88+D100+$F4</f>
        <v>5922358</v>
      </c>
      <c r="E112" s="23">
        <f t="shared" si="30"/>
        <v>5922358</v>
      </c>
      <c r="F112" s="23">
        <f t="shared" si="30"/>
        <v>5922358</v>
      </c>
      <c r="G112" s="23">
        <f t="shared" si="30"/>
        <v>5922358</v>
      </c>
      <c r="H112" s="23">
        <f t="shared" si="30"/>
        <v>5922358</v>
      </c>
      <c r="I112" s="23">
        <f t="shared" si="30"/>
        <v>5922358</v>
      </c>
      <c r="J112" s="23">
        <f t="shared" si="30"/>
        <v>5922358</v>
      </c>
      <c r="K112" s="23">
        <f t="shared" si="30"/>
        <v>5922358</v>
      </c>
      <c r="L112" s="23">
        <f t="shared" si="30"/>
        <v>5922358</v>
      </c>
      <c r="M112" s="23">
        <f t="shared" si="30"/>
        <v>5922358</v>
      </c>
      <c r="N112" s="23">
        <f t="shared" si="30"/>
        <v>5922358</v>
      </c>
    </row>
    <row r="113" spans="1:14">
      <c r="A113" s="434" t="s">
        <v>72</v>
      </c>
      <c r="B113" s="435"/>
      <c r="C113" s="23">
        <f t="shared" ref="C113:N120" si="31">+C17+C29+C41+C53+C65+C77+C89+C101+$F5</f>
        <v>3216799</v>
      </c>
      <c r="D113" s="23">
        <f t="shared" si="31"/>
        <v>3216799</v>
      </c>
      <c r="E113" s="23">
        <f t="shared" si="31"/>
        <v>3216799</v>
      </c>
      <c r="F113" s="23">
        <f t="shared" si="31"/>
        <v>3216799</v>
      </c>
      <c r="G113" s="23">
        <f t="shared" si="31"/>
        <v>3216799</v>
      </c>
      <c r="H113" s="23">
        <f t="shared" si="31"/>
        <v>3216799</v>
      </c>
      <c r="I113" s="23">
        <f t="shared" si="31"/>
        <v>3216799</v>
      </c>
      <c r="J113" s="23">
        <f t="shared" si="31"/>
        <v>3216799</v>
      </c>
      <c r="K113" s="23">
        <f t="shared" si="31"/>
        <v>3216799</v>
      </c>
      <c r="L113" s="23">
        <f t="shared" si="31"/>
        <v>3216799</v>
      </c>
      <c r="M113" s="23">
        <f t="shared" si="31"/>
        <v>3216799</v>
      </c>
      <c r="N113" s="23">
        <f t="shared" si="31"/>
        <v>3216799</v>
      </c>
    </row>
    <row r="114" spans="1:14">
      <c r="A114" s="434" t="s">
        <v>73</v>
      </c>
      <c r="B114" s="435"/>
      <c r="C114" s="23">
        <f t="shared" si="31"/>
        <v>4203858.666666666</v>
      </c>
      <c r="D114" s="23">
        <f t="shared" si="31"/>
        <v>4203858.666666666</v>
      </c>
      <c r="E114" s="23">
        <f t="shared" si="31"/>
        <v>4203858.666666666</v>
      </c>
      <c r="F114" s="23">
        <f t="shared" si="31"/>
        <v>4203858.666666666</v>
      </c>
      <c r="G114" s="23">
        <f t="shared" si="31"/>
        <v>4203858.666666666</v>
      </c>
      <c r="H114" s="23">
        <f t="shared" si="31"/>
        <v>4203858.666666666</v>
      </c>
      <c r="I114" s="23">
        <f t="shared" si="31"/>
        <v>4203858.666666666</v>
      </c>
      <c r="J114" s="23">
        <f t="shared" si="31"/>
        <v>4203858.666666666</v>
      </c>
      <c r="K114" s="23">
        <f t="shared" si="31"/>
        <v>4203858.666666666</v>
      </c>
      <c r="L114" s="23">
        <f t="shared" si="31"/>
        <v>4203858.666666666</v>
      </c>
      <c r="M114" s="23">
        <f t="shared" si="31"/>
        <v>4203858.666666666</v>
      </c>
      <c r="N114" s="23">
        <f t="shared" si="31"/>
        <v>4203858.666666666</v>
      </c>
    </row>
    <row r="115" spans="1:14">
      <c r="A115" s="434" t="s">
        <v>74</v>
      </c>
      <c r="B115" s="435"/>
      <c r="C115" s="23">
        <f t="shared" si="31"/>
        <v>4203858.666666666</v>
      </c>
      <c r="D115" s="23">
        <f t="shared" si="31"/>
        <v>4203858.666666666</v>
      </c>
      <c r="E115" s="23">
        <f t="shared" si="31"/>
        <v>4203858.666666666</v>
      </c>
      <c r="F115" s="23">
        <f t="shared" si="31"/>
        <v>4203858.666666666</v>
      </c>
      <c r="G115" s="23">
        <f t="shared" si="31"/>
        <v>4203858.666666666</v>
      </c>
      <c r="H115" s="23">
        <f t="shared" si="31"/>
        <v>4203858.666666666</v>
      </c>
      <c r="I115" s="23">
        <f t="shared" si="31"/>
        <v>4203858.666666666</v>
      </c>
      <c r="J115" s="23">
        <f t="shared" si="31"/>
        <v>4203858.666666666</v>
      </c>
      <c r="K115" s="23">
        <f t="shared" si="31"/>
        <v>4203858.666666666</v>
      </c>
      <c r="L115" s="23">
        <f t="shared" si="31"/>
        <v>4203858.666666666</v>
      </c>
      <c r="M115" s="23">
        <f t="shared" si="31"/>
        <v>4203858.666666666</v>
      </c>
      <c r="N115" s="23">
        <f t="shared" si="31"/>
        <v>4203858.666666666</v>
      </c>
    </row>
    <row r="116" spans="1:14">
      <c r="A116" s="361" t="s">
        <v>75</v>
      </c>
      <c r="B116" s="362"/>
      <c r="C116" s="23">
        <f t="shared" si="31"/>
        <v>3216799</v>
      </c>
      <c r="D116" s="23">
        <f t="shared" si="31"/>
        <v>3216799</v>
      </c>
      <c r="E116" s="23">
        <f t="shared" si="31"/>
        <v>3216799</v>
      </c>
      <c r="F116" s="23">
        <f t="shared" si="31"/>
        <v>3216799</v>
      </c>
      <c r="G116" s="23">
        <f t="shared" si="31"/>
        <v>3216799</v>
      </c>
      <c r="H116" s="23">
        <f t="shared" si="31"/>
        <v>3216799</v>
      </c>
      <c r="I116" s="23">
        <f t="shared" si="31"/>
        <v>3216799</v>
      </c>
      <c r="J116" s="23">
        <f t="shared" si="31"/>
        <v>3216799</v>
      </c>
      <c r="K116" s="23">
        <f t="shared" si="31"/>
        <v>3216799</v>
      </c>
      <c r="L116" s="23">
        <f t="shared" si="31"/>
        <v>3216799</v>
      </c>
      <c r="M116" s="23">
        <f t="shared" si="31"/>
        <v>3216799</v>
      </c>
      <c r="N116" s="23">
        <f t="shared" si="31"/>
        <v>3216799</v>
      </c>
    </row>
    <row r="117" spans="1:14">
      <c r="A117" s="361" t="s">
        <v>76</v>
      </c>
      <c r="B117" s="362"/>
      <c r="C117" s="23">
        <f t="shared" si="31"/>
        <v>4217430.666666666</v>
      </c>
      <c r="D117" s="23">
        <f t="shared" si="31"/>
        <v>4217430.666666666</v>
      </c>
      <c r="E117" s="23">
        <f t="shared" si="31"/>
        <v>4217430.666666666</v>
      </c>
      <c r="F117" s="23">
        <f t="shared" si="31"/>
        <v>4217430.666666666</v>
      </c>
      <c r="G117" s="23">
        <f t="shared" si="31"/>
        <v>4217430.666666666</v>
      </c>
      <c r="H117" s="23">
        <f t="shared" si="31"/>
        <v>4217430.666666666</v>
      </c>
      <c r="I117" s="23">
        <f t="shared" si="31"/>
        <v>4217430.666666666</v>
      </c>
      <c r="J117" s="23">
        <f t="shared" si="31"/>
        <v>4217430.666666666</v>
      </c>
      <c r="K117" s="23">
        <f t="shared" si="31"/>
        <v>4217430.666666666</v>
      </c>
      <c r="L117" s="23">
        <f t="shared" si="31"/>
        <v>4217430.666666666</v>
      </c>
      <c r="M117" s="23">
        <f t="shared" si="31"/>
        <v>4217430.666666666</v>
      </c>
      <c r="N117" s="23">
        <f t="shared" si="31"/>
        <v>4217430.666666666</v>
      </c>
    </row>
    <row r="118" spans="1:14">
      <c r="A118" s="361" t="s">
        <v>77</v>
      </c>
      <c r="B118" s="362"/>
      <c r="C118" s="23">
        <f t="shared" si="31"/>
        <v>4997503.333333333</v>
      </c>
      <c r="D118" s="23">
        <f t="shared" si="31"/>
        <v>4997503.333333333</v>
      </c>
      <c r="E118" s="23">
        <f t="shared" si="31"/>
        <v>4997503.333333333</v>
      </c>
      <c r="F118" s="23">
        <f t="shared" si="31"/>
        <v>4997503.333333333</v>
      </c>
      <c r="G118" s="23">
        <f t="shared" si="31"/>
        <v>4997503.333333333</v>
      </c>
      <c r="H118" s="23">
        <f t="shared" si="31"/>
        <v>4997503.333333333</v>
      </c>
      <c r="I118" s="23">
        <f t="shared" si="31"/>
        <v>4997503.333333333</v>
      </c>
      <c r="J118" s="23">
        <f t="shared" si="31"/>
        <v>4997503.333333333</v>
      </c>
      <c r="K118" s="23">
        <f t="shared" si="31"/>
        <v>4997503.333333333</v>
      </c>
      <c r="L118" s="23">
        <f t="shared" si="31"/>
        <v>4997503.333333333</v>
      </c>
      <c r="M118" s="23">
        <f t="shared" si="31"/>
        <v>4997503.333333333</v>
      </c>
      <c r="N118" s="23">
        <f t="shared" si="31"/>
        <v>4997503.333333333</v>
      </c>
    </row>
    <row r="119" spans="1:14">
      <c r="A119" s="434" t="s">
        <v>78</v>
      </c>
      <c r="B119" s="435"/>
      <c r="C119" s="23">
        <f t="shared" si="31"/>
        <v>11417286.933333334</v>
      </c>
      <c r="D119" s="23">
        <f t="shared" si="31"/>
        <v>11417286.933333334</v>
      </c>
      <c r="E119" s="23">
        <f t="shared" si="31"/>
        <v>11417286.933333334</v>
      </c>
      <c r="F119" s="23">
        <f t="shared" si="31"/>
        <v>11417286.933333334</v>
      </c>
      <c r="G119" s="23">
        <f t="shared" si="31"/>
        <v>11417286.933333334</v>
      </c>
      <c r="H119" s="23">
        <f t="shared" si="31"/>
        <v>11417286.933333334</v>
      </c>
      <c r="I119" s="23">
        <f t="shared" si="31"/>
        <v>11417286.933333334</v>
      </c>
      <c r="J119" s="23">
        <f t="shared" si="31"/>
        <v>11417286.933333334</v>
      </c>
      <c r="K119" s="23">
        <f t="shared" si="31"/>
        <v>11417286.933333334</v>
      </c>
      <c r="L119" s="23">
        <f t="shared" si="31"/>
        <v>11417286.933333334</v>
      </c>
      <c r="M119" s="23">
        <f t="shared" si="31"/>
        <v>11417286.933333334</v>
      </c>
      <c r="N119" s="23">
        <f t="shared" si="31"/>
        <v>11417286.933333334</v>
      </c>
    </row>
    <row r="120" spans="1:14">
      <c r="A120" s="434" t="s">
        <v>79</v>
      </c>
      <c r="B120" s="435"/>
      <c r="C120" s="23">
        <f t="shared" si="31"/>
        <v>4217430.666666666</v>
      </c>
      <c r="D120" s="23">
        <f t="shared" si="31"/>
        <v>4217430.666666666</v>
      </c>
      <c r="E120" s="23">
        <f t="shared" si="31"/>
        <v>4217430.666666666</v>
      </c>
      <c r="F120" s="23">
        <f t="shared" si="31"/>
        <v>4217430.666666666</v>
      </c>
      <c r="G120" s="23">
        <f t="shared" si="31"/>
        <v>4217430.666666666</v>
      </c>
      <c r="H120" s="23">
        <f t="shared" si="31"/>
        <v>4217430.666666666</v>
      </c>
      <c r="I120" s="23">
        <f t="shared" si="31"/>
        <v>4217430.666666666</v>
      </c>
      <c r="J120" s="23">
        <f t="shared" si="31"/>
        <v>4217430.666666666</v>
      </c>
      <c r="K120" s="23">
        <f t="shared" si="31"/>
        <v>4217430.666666666</v>
      </c>
      <c r="L120" s="23">
        <f t="shared" si="31"/>
        <v>4217430.666666666</v>
      </c>
      <c r="M120" s="23">
        <f t="shared" si="31"/>
        <v>4217430.666666666</v>
      </c>
      <c r="N120" s="23">
        <f t="shared" si="31"/>
        <v>4217430.666666666</v>
      </c>
    </row>
    <row r="121" spans="1:14">
      <c r="A121" s="439" t="s">
        <v>106</v>
      </c>
      <c r="B121" s="439"/>
      <c r="C121" s="23">
        <f>SUM(C112:C120)</f>
        <v>45613324.93333333</v>
      </c>
      <c r="D121" s="23">
        <f t="shared" ref="D121:N121" si="32">SUM(D112:D120)</f>
        <v>45613324.93333333</v>
      </c>
      <c r="E121" s="23">
        <f t="shared" si="32"/>
        <v>45613324.93333333</v>
      </c>
      <c r="F121" s="23">
        <f t="shared" si="32"/>
        <v>45613324.93333333</v>
      </c>
      <c r="G121" s="23">
        <f t="shared" si="32"/>
        <v>45613324.93333333</v>
      </c>
      <c r="H121" s="23">
        <f t="shared" si="32"/>
        <v>45613324.93333333</v>
      </c>
      <c r="I121" s="23">
        <f t="shared" si="32"/>
        <v>45613324.93333333</v>
      </c>
      <c r="J121" s="23">
        <f t="shared" si="32"/>
        <v>45613324.93333333</v>
      </c>
      <c r="K121" s="23">
        <f t="shared" si="32"/>
        <v>45613324.93333333</v>
      </c>
      <c r="L121" s="23">
        <f t="shared" si="32"/>
        <v>45613324.93333333</v>
      </c>
      <c r="M121" s="23">
        <f t="shared" si="32"/>
        <v>45613324.93333333</v>
      </c>
      <c r="N121" s="23">
        <f t="shared" si="32"/>
        <v>45613324.93333333</v>
      </c>
    </row>
    <row r="124" spans="1:14">
      <c r="A124" s="440" t="s">
        <v>65</v>
      </c>
      <c r="B124" s="441"/>
      <c r="C124" s="28" t="s">
        <v>107</v>
      </c>
      <c r="D124" s="28" t="s">
        <v>108</v>
      </c>
      <c r="E124" s="28" t="s">
        <v>29</v>
      </c>
    </row>
    <row r="125" spans="1:14">
      <c r="A125" s="434" t="s">
        <v>71</v>
      </c>
      <c r="B125" s="435"/>
      <c r="C125" s="84">
        <v>0.25</v>
      </c>
      <c r="D125" s="84">
        <v>0.75</v>
      </c>
      <c r="E125" s="82">
        <f t="shared" ref="E125:E133" si="33">C125+D125</f>
        <v>1</v>
      </c>
    </row>
    <row r="126" spans="1:14">
      <c r="A126" s="434" t="s">
        <v>72</v>
      </c>
      <c r="B126" s="435"/>
      <c r="C126" s="84">
        <v>0</v>
      </c>
      <c r="D126" s="84">
        <v>1</v>
      </c>
      <c r="E126" s="82">
        <f t="shared" si="33"/>
        <v>1</v>
      </c>
    </row>
    <row r="127" spans="1:14">
      <c r="A127" s="434" t="s">
        <v>73</v>
      </c>
      <c r="B127" s="435"/>
      <c r="C127" s="84">
        <v>0.2</v>
      </c>
      <c r="D127" s="84">
        <v>0.8</v>
      </c>
      <c r="E127" s="82">
        <f t="shared" si="33"/>
        <v>1</v>
      </c>
    </row>
    <row r="128" spans="1:14">
      <c r="A128" s="434" t="s">
        <v>74</v>
      </c>
      <c r="B128" s="435"/>
      <c r="C128" s="84">
        <v>0</v>
      </c>
      <c r="D128" s="84">
        <v>1</v>
      </c>
      <c r="E128" s="82">
        <f t="shared" si="33"/>
        <v>1</v>
      </c>
    </row>
    <row r="129" spans="1:15">
      <c r="A129" s="361" t="s">
        <v>75</v>
      </c>
      <c r="B129" s="362"/>
      <c r="C129" s="84">
        <v>0</v>
      </c>
      <c r="D129" s="84">
        <v>1</v>
      </c>
      <c r="E129" s="82">
        <f>C129+D129</f>
        <v>1</v>
      </c>
    </row>
    <row r="130" spans="1:15">
      <c r="A130" s="361" t="s">
        <v>76</v>
      </c>
      <c r="B130" s="362"/>
      <c r="C130" s="84">
        <v>0.5</v>
      </c>
      <c r="D130" s="84">
        <v>0.5</v>
      </c>
      <c r="E130" s="82">
        <f t="shared" ref="E130:E131" si="34">C130+D130</f>
        <v>1</v>
      </c>
    </row>
    <row r="131" spans="1:15">
      <c r="A131" s="361" t="s">
        <v>77</v>
      </c>
      <c r="B131" s="362"/>
      <c r="C131" s="84">
        <v>1</v>
      </c>
      <c r="D131" s="84">
        <v>0</v>
      </c>
      <c r="E131" s="82">
        <f t="shared" si="34"/>
        <v>1</v>
      </c>
    </row>
    <row r="132" spans="1:15">
      <c r="A132" s="434" t="s">
        <v>78</v>
      </c>
      <c r="B132" s="435"/>
      <c r="C132" s="84">
        <v>1</v>
      </c>
      <c r="D132" s="84">
        <v>0</v>
      </c>
      <c r="E132" s="82">
        <f t="shared" si="33"/>
        <v>1</v>
      </c>
    </row>
    <row r="133" spans="1:15">
      <c r="A133" s="434" t="s">
        <v>79</v>
      </c>
      <c r="B133" s="435"/>
      <c r="C133" s="84">
        <v>0.8</v>
      </c>
      <c r="D133" s="84">
        <v>0.2</v>
      </c>
      <c r="E133" s="82">
        <f t="shared" si="33"/>
        <v>1</v>
      </c>
    </row>
    <row r="135" spans="1:15">
      <c r="A135" s="442" t="s">
        <v>65</v>
      </c>
      <c r="B135" s="442"/>
      <c r="C135" s="28" t="s">
        <v>108</v>
      </c>
      <c r="D135" s="77" t="s">
        <v>81</v>
      </c>
      <c r="E135" s="77" t="s">
        <v>82</v>
      </c>
      <c r="F135" s="77" t="s">
        <v>83</v>
      </c>
      <c r="G135" s="77" t="s">
        <v>84</v>
      </c>
      <c r="H135" s="77" t="s">
        <v>85</v>
      </c>
      <c r="I135" s="77" t="s">
        <v>86</v>
      </c>
      <c r="J135" s="77" t="s">
        <v>87</v>
      </c>
      <c r="K135" s="77" t="s">
        <v>88</v>
      </c>
      <c r="L135" s="77" t="s">
        <v>89</v>
      </c>
      <c r="M135" s="77" t="s">
        <v>90</v>
      </c>
      <c r="N135" s="77" t="s">
        <v>91</v>
      </c>
      <c r="O135" s="77" t="s">
        <v>92</v>
      </c>
    </row>
    <row r="136" spans="1:15">
      <c r="A136" s="434" t="s">
        <v>71</v>
      </c>
      <c r="B136" s="435"/>
      <c r="C136" s="84">
        <f>+D125</f>
        <v>0.75</v>
      </c>
      <c r="D136" s="94">
        <f>+C112*$C136</f>
        <v>4441768.5</v>
      </c>
      <c r="E136" s="94">
        <f t="shared" ref="E136:O136" si="35">+D112*$C136</f>
        <v>4441768.5</v>
      </c>
      <c r="F136" s="94">
        <f t="shared" si="35"/>
        <v>4441768.5</v>
      </c>
      <c r="G136" s="94">
        <f t="shared" si="35"/>
        <v>4441768.5</v>
      </c>
      <c r="H136" s="94">
        <f t="shared" si="35"/>
        <v>4441768.5</v>
      </c>
      <c r="I136" s="94">
        <f t="shared" si="35"/>
        <v>4441768.5</v>
      </c>
      <c r="J136" s="94">
        <f t="shared" si="35"/>
        <v>4441768.5</v>
      </c>
      <c r="K136" s="94">
        <f t="shared" si="35"/>
        <v>4441768.5</v>
      </c>
      <c r="L136" s="94">
        <f t="shared" si="35"/>
        <v>4441768.5</v>
      </c>
      <c r="M136" s="94">
        <f t="shared" si="35"/>
        <v>4441768.5</v>
      </c>
      <c r="N136" s="94">
        <f t="shared" si="35"/>
        <v>4441768.5</v>
      </c>
      <c r="O136" s="94">
        <f t="shared" si="35"/>
        <v>4441768.5</v>
      </c>
    </row>
    <row r="137" spans="1:15">
      <c r="A137" s="434" t="s">
        <v>72</v>
      </c>
      <c r="B137" s="435"/>
      <c r="C137" s="84">
        <f t="shared" ref="C137:C144" si="36">+D126</f>
        <v>1</v>
      </c>
      <c r="D137" s="94">
        <f t="shared" ref="D137:O144" si="37">+C113*$C137</f>
        <v>3216799</v>
      </c>
      <c r="E137" s="94">
        <f t="shared" si="37"/>
        <v>3216799</v>
      </c>
      <c r="F137" s="94">
        <f t="shared" si="37"/>
        <v>3216799</v>
      </c>
      <c r="G137" s="94">
        <f t="shared" si="37"/>
        <v>3216799</v>
      </c>
      <c r="H137" s="94">
        <f t="shared" si="37"/>
        <v>3216799</v>
      </c>
      <c r="I137" s="94">
        <f t="shared" si="37"/>
        <v>3216799</v>
      </c>
      <c r="J137" s="94">
        <f t="shared" si="37"/>
        <v>3216799</v>
      </c>
      <c r="K137" s="94">
        <f t="shared" si="37"/>
        <v>3216799</v>
      </c>
      <c r="L137" s="94">
        <f t="shared" si="37"/>
        <v>3216799</v>
      </c>
      <c r="M137" s="94">
        <f t="shared" si="37"/>
        <v>3216799</v>
      </c>
      <c r="N137" s="94">
        <f t="shared" si="37"/>
        <v>3216799</v>
      </c>
      <c r="O137" s="94">
        <f t="shared" si="37"/>
        <v>3216799</v>
      </c>
    </row>
    <row r="138" spans="1:15">
      <c r="A138" s="434" t="s">
        <v>73</v>
      </c>
      <c r="B138" s="435"/>
      <c r="C138" s="84">
        <f t="shared" si="36"/>
        <v>0.8</v>
      </c>
      <c r="D138" s="94">
        <f t="shared" si="37"/>
        <v>3363086.9333333331</v>
      </c>
      <c r="E138" s="94">
        <f t="shared" si="37"/>
        <v>3363086.9333333331</v>
      </c>
      <c r="F138" s="94">
        <f t="shared" si="37"/>
        <v>3363086.9333333331</v>
      </c>
      <c r="G138" s="94">
        <f t="shared" si="37"/>
        <v>3363086.9333333331</v>
      </c>
      <c r="H138" s="94">
        <f t="shared" si="37"/>
        <v>3363086.9333333331</v>
      </c>
      <c r="I138" s="94">
        <f t="shared" si="37"/>
        <v>3363086.9333333331</v>
      </c>
      <c r="J138" s="94">
        <f t="shared" si="37"/>
        <v>3363086.9333333331</v>
      </c>
      <c r="K138" s="94">
        <f t="shared" si="37"/>
        <v>3363086.9333333331</v>
      </c>
      <c r="L138" s="94">
        <f t="shared" si="37"/>
        <v>3363086.9333333331</v>
      </c>
      <c r="M138" s="94">
        <f t="shared" si="37"/>
        <v>3363086.9333333331</v>
      </c>
      <c r="N138" s="94">
        <f t="shared" si="37"/>
        <v>3363086.9333333331</v>
      </c>
      <c r="O138" s="94">
        <f t="shared" si="37"/>
        <v>3363086.9333333331</v>
      </c>
    </row>
    <row r="139" spans="1:15">
      <c r="A139" s="434" t="s">
        <v>74</v>
      </c>
      <c r="B139" s="435"/>
      <c r="C139" s="84">
        <f t="shared" si="36"/>
        <v>1</v>
      </c>
      <c r="D139" s="94">
        <f t="shared" si="37"/>
        <v>4203858.666666666</v>
      </c>
      <c r="E139" s="94">
        <f t="shared" si="37"/>
        <v>4203858.666666666</v>
      </c>
      <c r="F139" s="94">
        <f t="shared" si="37"/>
        <v>4203858.666666666</v>
      </c>
      <c r="G139" s="94">
        <f t="shared" si="37"/>
        <v>4203858.666666666</v>
      </c>
      <c r="H139" s="94">
        <f t="shared" si="37"/>
        <v>4203858.666666666</v>
      </c>
      <c r="I139" s="94">
        <f t="shared" si="37"/>
        <v>4203858.666666666</v>
      </c>
      <c r="J139" s="94">
        <f t="shared" si="37"/>
        <v>4203858.666666666</v>
      </c>
      <c r="K139" s="94">
        <f t="shared" si="37"/>
        <v>4203858.666666666</v>
      </c>
      <c r="L139" s="94">
        <f t="shared" si="37"/>
        <v>4203858.666666666</v>
      </c>
      <c r="M139" s="94">
        <f t="shared" si="37"/>
        <v>4203858.666666666</v>
      </c>
      <c r="N139" s="94">
        <f t="shared" si="37"/>
        <v>4203858.666666666</v>
      </c>
      <c r="O139" s="94">
        <f t="shared" si="37"/>
        <v>4203858.666666666</v>
      </c>
    </row>
    <row r="140" spans="1:15">
      <c r="A140" s="361" t="s">
        <v>75</v>
      </c>
      <c r="B140" s="362"/>
      <c r="C140" s="84">
        <f t="shared" si="36"/>
        <v>1</v>
      </c>
      <c r="D140" s="94">
        <f t="shared" si="37"/>
        <v>3216799</v>
      </c>
      <c r="E140" s="94">
        <f t="shared" si="37"/>
        <v>3216799</v>
      </c>
      <c r="F140" s="94">
        <f t="shared" si="37"/>
        <v>3216799</v>
      </c>
      <c r="G140" s="94">
        <f t="shared" si="37"/>
        <v>3216799</v>
      </c>
      <c r="H140" s="94">
        <f t="shared" si="37"/>
        <v>3216799</v>
      </c>
      <c r="I140" s="94">
        <f t="shared" si="37"/>
        <v>3216799</v>
      </c>
      <c r="J140" s="94">
        <f t="shared" si="37"/>
        <v>3216799</v>
      </c>
      <c r="K140" s="94">
        <f t="shared" si="37"/>
        <v>3216799</v>
      </c>
      <c r="L140" s="94">
        <f t="shared" si="37"/>
        <v>3216799</v>
      </c>
      <c r="M140" s="94">
        <f t="shared" si="37"/>
        <v>3216799</v>
      </c>
      <c r="N140" s="94">
        <f t="shared" si="37"/>
        <v>3216799</v>
      </c>
      <c r="O140" s="94">
        <f t="shared" si="37"/>
        <v>3216799</v>
      </c>
    </row>
    <row r="141" spans="1:15">
      <c r="A141" s="361" t="s">
        <v>76</v>
      </c>
      <c r="B141" s="362"/>
      <c r="C141" s="84">
        <f t="shared" si="36"/>
        <v>0.5</v>
      </c>
      <c r="D141" s="94">
        <f t="shared" si="37"/>
        <v>2108715.333333333</v>
      </c>
      <c r="E141" s="94">
        <f t="shared" si="37"/>
        <v>2108715.333333333</v>
      </c>
      <c r="F141" s="94">
        <f t="shared" si="37"/>
        <v>2108715.333333333</v>
      </c>
      <c r="G141" s="94">
        <f t="shared" si="37"/>
        <v>2108715.333333333</v>
      </c>
      <c r="H141" s="94">
        <f t="shared" si="37"/>
        <v>2108715.333333333</v>
      </c>
      <c r="I141" s="94">
        <f t="shared" si="37"/>
        <v>2108715.333333333</v>
      </c>
      <c r="J141" s="94">
        <f t="shared" si="37"/>
        <v>2108715.333333333</v>
      </c>
      <c r="K141" s="94">
        <f t="shared" si="37"/>
        <v>2108715.333333333</v>
      </c>
      <c r="L141" s="94">
        <f t="shared" si="37"/>
        <v>2108715.333333333</v>
      </c>
      <c r="M141" s="94">
        <f t="shared" si="37"/>
        <v>2108715.333333333</v>
      </c>
      <c r="N141" s="94">
        <f t="shared" si="37"/>
        <v>2108715.333333333</v>
      </c>
      <c r="O141" s="94">
        <f t="shared" si="37"/>
        <v>2108715.333333333</v>
      </c>
    </row>
    <row r="142" spans="1:15">
      <c r="A142" s="361" t="s">
        <v>77</v>
      </c>
      <c r="B142" s="362"/>
      <c r="C142" s="84">
        <f t="shared" si="36"/>
        <v>0</v>
      </c>
      <c r="D142" s="94">
        <f t="shared" si="37"/>
        <v>0</v>
      </c>
      <c r="E142" s="94">
        <f t="shared" si="37"/>
        <v>0</v>
      </c>
      <c r="F142" s="94">
        <f t="shared" si="37"/>
        <v>0</v>
      </c>
      <c r="G142" s="94">
        <f t="shared" si="37"/>
        <v>0</v>
      </c>
      <c r="H142" s="94">
        <f t="shared" si="37"/>
        <v>0</v>
      </c>
      <c r="I142" s="94">
        <f t="shared" si="37"/>
        <v>0</v>
      </c>
      <c r="J142" s="94">
        <f t="shared" si="37"/>
        <v>0</v>
      </c>
      <c r="K142" s="94">
        <f t="shared" si="37"/>
        <v>0</v>
      </c>
      <c r="L142" s="94">
        <f t="shared" si="37"/>
        <v>0</v>
      </c>
      <c r="M142" s="94">
        <f t="shared" si="37"/>
        <v>0</v>
      </c>
      <c r="N142" s="94">
        <f t="shared" si="37"/>
        <v>0</v>
      </c>
      <c r="O142" s="94">
        <f t="shared" si="37"/>
        <v>0</v>
      </c>
    </row>
    <row r="143" spans="1:15">
      <c r="A143" s="434" t="s">
        <v>78</v>
      </c>
      <c r="B143" s="435"/>
      <c r="C143" s="84">
        <f t="shared" si="36"/>
        <v>0</v>
      </c>
      <c r="D143" s="94">
        <f t="shared" si="37"/>
        <v>0</v>
      </c>
      <c r="E143" s="94">
        <f t="shared" si="37"/>
        <v>0</v>
      </c>
      <c r="F143" s="94">
        <f t="shared" si="37"/>
        <v>0</v>
      </c>
      <c r="G143" s="94">
        <f t="shared" si="37"/>
        <v>0</v>
      </c>
      <c r="H143" s="94">
        <f t="shared" si="37"/>
        <v>0</v>
      </c>
      <c r="I143" s="94">
        <f t="shared" si="37"/>
        <v>0</v>
      </c>
      <c r="J143" s="94">
        <f t="shared" si="37"/>
        <v>0</v>
      </c>
      <c r="K143" s="94">
        <f t="shared" si="37"/>
        <v>0</v>
      </c>
      <c r="L143" s="94">
        <f t="shared" si="37"/>
        <v>0</v>
      </c>
      <c r="M143" s="94">
        <f t="shared" si="37"/>
        <v>0</v>
      </c>
      <c r="N143" s="94">
        <f t="shared" si="37"/>
        <v>0</v>
      </c>
      <c r="O143" s="94">
        <f t="shared" si="37"/>
        <v>0</v>
      </c>
    </row>
    <row r="144" spans="1:15">
      <c r="A144" s="434" t="s">
        <v>79</v>
      </c>
      <c r="B144" s="435"/>
      <c r="C144" s="84">
        <f t="shared" si="36"/>
        <v>0.2</v>
      </c>
      <c r="D144" s="94">
        <f t="shared" si="37"/>
        <v>843486.1333333333</v>
      </c>
      <c r="E144" s="94">
        <f t="shared" si="37"/>
        <v>843486.1333333333</v>
      </c>
      <c r="F144" s="94">
        <f t="shared" si="37"/>
        <v>843486.1333333333</v>
      </c>
      <c r="G144" s="94">
        <f t="shared" si="37"/>
        <v>843486.1333333333</v>
      </c>
      <c r="H144" s="94">
        <f t="shared" si="37"/>
        <v>843486.1333333333</v>
      </c>
      <c r="I144" s="94">
        <f t="shared" si="37"/>
        <v>843486.1333333333</v>
      </c>
      <c r="J144" s="94">
        <f t="shared" si="37"/>
        <v>843486.1333333333</v>
      </c>
      <c r="K144" s="94">
        <f t="shared" si="37"/>
        <v>843486.1333333333</v>
      </c>
      <c r="L144" s="94">
        <f t="shared" si="37"/>
        <v>843486.1333333333</v>
      </c>
      <c r="M144" s="94">
        <f t="shared" si="37"/>
        <v>843486.1333333333</v>
      </c>
      <c r="N144" s="94">
        <f t="shared" si="37"/>
        <v>843486.1333333333</v>
      </c>
      <c r="O144" s="94">
        <f t="shared" si="37"/>
        <v>843486.1333333333</v>
      </c>
    </row>
    <row r="145" spans="1:15">
      <c r="A145" s="442" t="s">
        <v>109</v>
      </c>
      <c r="B145" s="442"/>
      <c r="C145" s="442"/>
      <c r="D145" s="83">
        <f>SUM(D136:D144)</f>
        <v>21394513.566666666</v>
      </c>
      <c r="E145" s="83">
        <f t="shared" ref="E145:O145" si="38">SUM(E136:E144)</f>
        <v>21394513.566666666</v>
      </c>
      <c r="F145" s="83">
        <f t="shared" si="38"/>
        <v>21394513.566666666</v>
      </c>
      <c r="G145" s="83">
        <f t="shared" si="38"/>
        <v>21394513.566666666</v>
      </c>
      <c r="H145" s="83">
        <f t="shared" si="38"/>
        <v>21394513.566666666</v>
      </c>
      <c r="I145" s="83">
        <f t="shared" si="38"/>
        <v>21394513.566666666</v>
      </c>
      <c r="J145" s="83">
        <f t="shared" si="38"/>
        <v>21394513.566666666</v>
      </c>
      <c r="K145" s="83">
        <f t="shared" si="38"/>
        <v>21394513.566666666</v>
      </c>
      <c r="L145" s="83">
        <f t="shared" si="38"/>
        <v>21394513.566666666</v>
      </c>
      <c r="M145" s="83">
        <f t="shared" si="38"/>
        <v>21394513.566666666</v>
      </c>
      <c r="N145" s="83">
        <f t="shared" si="38"/>
        <v>21394513.566666666</v>
      </c>
      <c r="O145" s="83">
        <f t="shared" si="38"/>
        <v>21394513.566666666</v>
      </c>
    </row>
    <row r="147" spans="1:15">
      <c r="A147" s="442" t="s">
        <v>65</v>
      </c>
      <c r="B147" s="442"/>
      <c r="C147" s="28" t="s">
        <v>107</v>
      </c>
      <c r="D147" s="77" t="s">
        <v>81</v>
      </c>
      <c r="E147" s="77" t="s">
        <v>82</v>
      </c>
      <c r="F147" s="77" t="s">
        <v>83</v>
      </c>
      <c r="G147" s="77" t="s">
        <v>84</v>
      </c>
      <c r="H147" s="77" t="s">
        <v>85</v>
      </c>
      <c r="I147" s="77" t="s">
        <v>86</v>
      </c>
      <c r="J147" s="77" t="s">
        <v>87</v>
      </c>
      <c r="K147" s="77" t="s">
        <v>88</v>
      </c>
      <c r="L147" s="77" t="s">
        <v>89</v>
      </c>
      <c r="M147" s="77" t="s">
        <v>90</v>
      </c>
      <c r="N147" s="77" t="s">
        <v>91</v>
      </c>
      <c r="O147" s="77" t="s">
        <v>92</v>
      </c>
    </row>
    <row r="148" spans="1:15">
      <c r="A148" s="434" t="s">
        <v>71</v>
      </c>
      <c r="B148" s="435"/>
      <c r="C148" s="84">
        <f>+C125</f>
        <v>0.25</v>
      </c>
      <c r="D148" s="94">
        <f>+C112*$C148</f>
        <v>1480589.5</v>
      </c>
      <c r="E148" s="94">
        <f t="shared" ref="E148:O148" si="39">+D112*$C148</f>
        <v>1480589.5</v>
      </c>
      <c r="F148" s="94">
        <f t="shared" si="39"/>
        <v>1480589.5</v>
      </c>
      <c r="G148" s="94">
        <f t="shared" si="39"/>
        <v>1480589.5</v>
      </c>
      <c r="H148" s="94">
        <f t="shared" si="39"/>
        <v>1480589.5</v>
      </c>
      <c r="I148" s="94">
        <f t="shared" si="39"/>
        <v>1480589.5</v>
      </c>
      <c r="J148" s="94">
        <f t="shared" si="39"/>
        <v>1480589.5</v>
      </c>
      <c r="K148" s="94">
        <f t="shared" si="39"/>
        <v>1480589.5</v>
      </c>
      <c r="L148" s="94">
        <f t="shared" si="39"/>
        <v>1480589.5</v>
      </c>
      <c r="M148" s="94">
        <f t="shared" si="39"/>
        <v>1480589.5</v>
      </c>
      <c r="N148" s="94">
        <f t="shared" si="39"/>
        <v>1480589.5</v>
      </c>
      <c r="O148" s="94">
        <f t="shared" si="39"/>
        <v>1480589.5</v>
      </c>
    </row>
    <row r="149" spans="1:15">
      <c r="A149" s="434" t="s">
        <v>72</v>
      </c>
      <c r="B149" s="435"/>
      <c r="C149" s="84">
        <f t="shared" ref="C149:C156" si="40">+C126</f>
        <v>0</v>
      </c>
      <c r="D149" s="94">
        <f t="shared" ref="D149:O156" si="41">+C113*$C149</f>
        <v>0</v>
      </c>
      <c r="E149" s="94">
        <f t="shared" si="41"/>
        <v>0</v>
      </c>
      <c r="F149" s="94">
        <f t="shared" si="41"/>
        <v>0</v>
      </c>
      <c r="G149" s="94">
        <f t="shared" si="41"/>
        <v>0</v>
      </c>
      <c r="H149" s="94">
        <f t="shared" si="41"/>
        <v>0</v>
      </c>
      <c r="I149" s="94">
        <f t="shared" si="41"/>
        <v>0</v>
      </c>
      <c r="J149" s="94">
        <f t="shared" si="41"/>
        <v>0</v>
      </c>
      <c r="K149" s="94">
        <f t="shared" si="41"/>
        <v>0</v>
      </c>
      <c r="L149" s="94">
        <f t="shared" si="41"/>
        <v>0</v>
      </c>
      <c r="M149" s="94">
        <f t="shared" si="41"/>
        <v>0</v>
      </c>
      <c r="N149" s="94">
        <f t="shared" si="41"/>
        <v>0</v>
      </c>
      <c r="O149" s="94">
        <f t="shared" si="41"/>
        <v>0</v>
      </c>
    </row>
    <row r="150" spans="1:15">
      <c r="A150" s="434" t="s">
        <v>73</v>
      </c>
      <c r="B150" s="435"/>
      <c r="C150" s="84">
        <f t="shared" si="40"/>
        <v>0.2</v>
      </c>
      <c r="D150" s="94">
        <f t="shared" si="41"/>
        <v>840771.73333333328</v>
      </c>
      <c r="E150" s="94">
        <f t="shared" si="41"/>
        <v>840771.73333333328</v>
      </c>
      <c r="F150" s="94">
        <f t="shared" si="41"/>
        <v>840771.73333333328</v>
      </c>
      <c r="G150" s="94">
        <f t="shared" si="41"/>
        <v>840771.73333333328</v>
      </c>
      <c r="H150" s="94">
        <f t="shared" si="41"/>
        <v>840771.73333333328</v>
      </c>
      <c r="I150" s="94">
        <f t="shared" si="41"/>
        <v>840771.73333333328</v>
      </c>
      <c r="J150" s="94">
        <f t="shared" si="41"/>
        <v>840771.73333333328</v>
      </c>
      <c r="K150" s="94">
        <f t="shared" si="41"/>
        <v>840771.73333333328</v>
      </c>
      <c r="L150" s="94">
        <f t="shared" si="41"/>
        <v>840771.73333333328</v>
      </c>
      <c r="M150" s="94">
        <f t="shared" si="41"/>
        <v>840771.73333333328</v>
      </c>
      <c r="N150" s="94">
        <f t="shared" si="41"/>
        <v>840771.73333333328</v>
      </c>
      <c r="O150" s="94">
        <f t="shared" si="41"/>
        <v>840771.73333333328</v>
      </c>
    </row>
    <row r="151" spans="1:15">
      <c r="A151" s="434" t="s">
        <v>74</v>
      </c>
      <c r="B151" s="435"/>
      <c r="C151" s="84">
        <f t="shared" si="40"/>
        <v>0</v>
      </c>
      <c r="D151" s="94">
        <f t="shared" si="41"/>
        <v>0</v>
      </c>
      <c r="E151" s="94">
        <f t="shared" si="41"/>
        <v>0</v>
      </c>
      <c r="F151" s="94">
        <f t="shared" si="41"/>
        <v>0</v>
      </c>
      <c r="G151" s="94">
        <f t="shared" si="41"/>
        <v>0</v>
      </c>
      <c r="H151" s="94">
        <f t="shared" si="41"/>
        <v>0</v>
      </c>
      <c r="I151" s="94">
        <f t="shared" si="41"/>
        <v>0</v>
      </c>
      <c r="J151" s="94">
        <f t="shared" si="41"/>
        <v>0</v>
      </c>
      <c r="K151" s="94">
        <f t="shared" si="41"/>
        <v>0</v>
      </c>
      <c r="L151" s="94">
        <f t="shared" si="41"/>
        <v>0</v>
      </c>
      <c r="M151" s="94">
        <f t="shared" si="41"/>
        <v>0</v>
      </c>
      <c r="N151" s="94">
        <f t="shared" si="41"/>
        <v>0</v>
      </c>
      <c r="O151" s="94">
        <f t="shared" si="41"/>
        <v>0</v>
      </c>
    </row>
    <row r="152" spans="1:15">
      <c r="A152" s="361" t="s">
        <v>75</v>
      </c>
      <c r="B152" s="362"/>
      <c r="C152" s="84">
        <f t="shared" si="40"/>
        <v>0</v>
      </c>
      <c r="D152" s="94">
        <f t="shared" si="41"/>
        <v>0</v>
      </c>
      <c r="E152" s="94">
        <f t="shared" si="41"/>
        <v>0</v>
      </c>
      <c r="F152" s="94">
        <f t="shared" si="41"/>
        <v>0</v>
      </c>
      <c r="G152" s="94">
        <f t="shared" si="41"/>
        <v>0</v>
      </c>
      <c r="H152" s="94">
        <f t="shared" si="41"/>
        <v>0</v>
      </c>
      <c r="I152" s="94">
        <f t="shared" si="41"/>
        <v>0</v>
      </c>
      <c r="J152" s="94">
        <f t="shared" si="41"/>
        <v>0</v>
      </c>
      <c r="K152" s="94">
        <f t="shared" si="41"/>
        <v>0</v>
      </c>
      <c r="L152" s="94">
        <f t="shared" si="41"/>
        <v>0</v>
      </c>
      <c r="M152" s="94">
        <f t="shared" si="41"/>
        <v>0</v>
      </c>
      <c r="N152" s="94">
        <f t="shared" si="41"/>
        <v>0</v>
      </c>
      <c r="O152" s="94">
        <f t="shared" si="41"/>
        <v>0</v>
      </c>
    </row>
    <row r="153" spans="1:15">
      <c r="A153" s="361" t="s">
        <v>76</v>
      </c>
      <c r="B153" s="362"/>
      <c r="C153" s="84">
        <f t="shared" si="40"/>
        <v>0.5</v>
      </c>
      <c r="D153" s="94">
        <f t="shared" si="41"/>
        <v>2108715.333333333</v>
      </c>
      <c r="E153" s="94">
        <f t="shared" si="41"/>
        <v>2108715.333333333</v>
      </c>
      <c r="F153" s="94">
        <f t="shared" si="41"/>
        <v>2108715.333333333</v>
      </c>
      <c r="G153" s="94">
        <f t="shared" si="41"/>
        <v>2108715.333333333</v>
      </c>
      <c r="H153" s="94">
        <f t="shared" si="41"/>
        <v>2108715.333333333</v>
      </c>
      <c r="I153" s="94">
        <f t="shared" si="41"/>
        <v>2108715.333333333</v>
      </c>
      <c r="J153" s="94">
        <f t="shared" si="41"/>
        <v>2108715.333333333</v>
      </c>
      <c r="K153" s="94">
        <f t="shared" si="41"/>
        <v>2108715.333333333</v>
      </c>
      <c r="L153" s="94">
        <f t="shared" si="41"/>
        <v>2108715.333333333</v>
      </c>
      <c r="M153" s="94">
        <f t="shared" si="41"/>
        <v>2108715.333333333</v>
      </c>
      <c r="N153" s="94">
        <f t="shared" si="41"/>
        <v>2108715.333333333</v>
      </c>
      <c r="O153" s="94">
        <f t="shared" si="41"/>
        <v>2108715.333333333</v>
      </c>
    </row>
    <row r="154" spans="1:15">
      <c r="A154" s="361" t="s">
        <v>77</v>
      </c>
      <c r="B154" s="362"/>
      <c r="C154" s="84">
        <f t="shared" si="40"/>
        <v>1</v>
      </c>
      <c r="D154" s="94">
        <f t="shared" si="41"/>
        <v>4997503.333333333</v>
      </c>
      <c r="E154" s="94">
        <f t="shared" si="41"/>
        <v>4997503.333333333</v>
      </c>
      <c r="F154" s="94">
        <f t="shared" si="41"/>
        <v>4997503.333333333</v>
      </c>
      <c r="G154" s="94">
        <f t="shared" si="41"/>
        <v>4997503.333333333</v>
      </c>
      <c r="H154" s="94">
        <f t="shared" si="41"/>
        <v>4997503.333333333</v>
      </c>
      <c r="I154" s="94">
        <f t="shared" si="41"/>
        <v>4997503.333333333</v>
      </c>
      <c r="J154" s="94">
        <f t="shared" si="41"/>
        <v>4997503.333333333</v>
      </c>
      <c r="K154" s="94">
        <f t="shared" si="41"/>
        <v>4997503.333333333</v>
      </c>
      <c r="L154" s="94">
        <f t="shared" si="41"/>
        <v>4997503.333333333</v>
      </c>
      <c r="M154" s="94">
        <f t="shared" si="41"/>
        <v>4997503.333333333</v>
      </c>
      <c r="N154" s="94">
        <f t="shared" si="41"/>
        <v>4997503.333333333</v>
      </c>
      <c r="O154" s="94">
        <f t="shared" si="41"/>
        <v>4997503.333333333</v>
      </c>
    </row>
    <row r="155" spans="1:15">
      <c r="A155" s="434" t="s">
        <v>78</v>
      </c>
      <c r="B155" s="435"/>
      <c r="C155" s="84">
        <f t="shared" si="40"/>
        <v>1</v>
      </c>
      <c r="D155" s="94">
        <f t="shared" si="41"/>
        <v>11417286.933333334</v>
      </c>
      <c r="E155" s="94">
        <f t="shared" si="41"/>
        <v>11417286.933333334</v>
      </c>
      <c r="F155" s="94">
        <f t="shared" si="41"/>
        <v>11417286.933333334</v>
      </c>
      <c r="G155" s="94">
        <f t="shared" si="41"/>
        <v>11417286.933333334</v>
      </c>
      <c r="H155" s="94">
        <f t="shared" si="41"/>
        <v>11417286.933333334</v>
      </c>
      <c r="I155" s="94">
        <f t="shared" si="41"/>
        <v>11417286.933333334</v>
      </c>
      <c r="J155" s="94">
        <f t="shared" si="41"/>
        <v>11417286.933333334</v>
      </c>
      <c r="K155" s="94">
        <f t="shared" si="41"/>
        <v>11417286.933333334</v>
      </c>
      <c r="L155" s="94">
        <f t="shared" si="41"/>
        <v>11417286.933333334</v>
      </c>
      <c r="M155" s="94">
        <f t="shared" si="41"/>
        <v>11417286.933333334</v>
      </c>
      <c r="N155" s="94">
        <f t="shared" si="41"/>
        <v>11417286.933333334</v>
      </c>
      <c r="O155" s="94">
        <f t="shared" si="41"/>
        <v>11417286.933333334</v>
      </c>
    </row>
    <row r="156" spans="1:15">
      <c r="A156" s="434" t="s">
        <v>79</v>
      </c>
      <c r="B156" s="435"/>
      <c r="C156" s="84">
        <f t="shared" si="40"/>
        <v>0.8</v>
      </c>
      <c r="D156" s="94">
        <f t="shared" si="41"/>
        <v>3373944.5333333332</v>
      </c>
      <c r="E156" s="94">
        <f t="shared" si="41"/>
        <v>3373944.5333333332</v>
      </c>
      <c r="F156" s="94">
        <f t="shared" si="41"/>
        <v>3373944.5333333332</v>
      </c>
      <c r="G156" s="94">
        <f t="shared" si="41"/>
        <v>3373944.5333333332</v>
      </c>
      <c r="H156" s="94">
        <f t="shared" si="41"/>
        <v>3373944.5333333332</v>
      </c>
      <c r="I156" s="94">
        <f t="shared" si="41"/>
        <v>3373944.5333333332</v>
      </c>
      <c r="J156" s="94">
        <f t="shared" si="41"/>
        <v>3373944.5333333332</v>
      </c>
      <c r="K156" s="94">
        <f t="shared" si="41"/>
        <v>3373944.5333333332</v>
      </c>
      <c r="L156" s="94">
        <f t="shared" si="41"/>
        <v>3373944.5333333332</v>
      </c>
      <c r="M156" s="94">
        <f t="shared" si="41"/>
        <v>3373944.5333333332</v>
      </c>
      <c r="N156" s="94">
        <f t="shared" si="41"/>
        <v>3373944.5333333332</v>
      </c>
      <c r="O156" s="94">
        <f t="shared" si="41"/>
        <v>3373944.5333333332</v>
      </c>
    </row>
    <row r="157" spans="1:15">
      <c r="A157" s="442" t="s">
        <v>109</v>
      </c>
      <c r="B157" s="442"/>
      <c r="C157" s="442"/>
      <c r="D157" s="83">
        <f>SUM(D148:D156)</f>
        <v>24218811.366666667</v>
      </c>
      <c r="E157" s="83">
        <f t="shared" ref="E157" si="42">SUM(E148:E156)</f>
        <v>24218811.366666667</v>
      </c>
      <c r="F157" s="83">
        <f t="shared" ref="F157" si="43">SUM(F148:F156)</f>
        <v>24218811.366666667</v>
      </c>
      <c r="G157" s="83">
        <f t="shared" ref="G157" si="44">SUM(G148:G156)</f>
        <v>24218811.366666667</v>
      </c>
      <c r="H157" s="83">
        <f t="shared" ref="H157" si="45">SUM(H148:H156)</f>
        <v>24218811.366666667</v>
      </c>
      <c r="I157" s="83">
        <f t="shared" ref="I157" si="46">SUM(I148:I156)</f>
        <v>24218811.366666667</v>
      </c>
      <c r="J157" s="83">
        <f t="shared" ref="J157" si="47">SUM(J148:J156)</f>
        <v>24218811.366666667</v>
      </c>
      <c r="K157" s="83">
        <f t="shared" ref="K157" si="48">SUM(K148:K156)</f>
        <v>24218811.366666667</v>
      </c>
      <c r="L157" s="83">
        <f t="shared" ref="L157" si="49">SUM(L148:L156)</f>
        <v>24218811.366666667</v>
      </c>
      <c r="M157" s="83">
        <f t="shared" ref="M157" si="50">SUM(M148:M156)</f>
        <v>24218811.366666667</v>
      </c>
      <c r="N157" s="83">
        <f t="shared" ref="N157" si="51">SUM(N148:N156)</f>
        <v>24218811.366666667</v>
      </c>
      <c r="O157" s="83">
        <f t="shared" ref="O157" si="52">SUM(O148:O156)</f>
        <v>24218811.366666667</v>
      </c>
    </row>
    <row r="160" spans="1:15" ht="15.75">
      <c r="A160" s="437" t="s">
        <v>65</v>
      </c>
      <c r="B160" s="437"/>
      <c r="C160" s="102" t="s">
        <v>110</v>
      </c>
      <c r="D160" s="95" t="s">
        <v>67</v>
      </c>
      <c r="E160" s="5" t="s">
        <v>111</v>
      </c>
      <c r="F160" s="55" t="s">
        <v>107</v>
      </c>
      <c r="G160" s="5" t="s">
        <v>112</v>
      </c>
      <c r="H160" s="5" t="s">
        <v>108</v>
      </c>
    </row>
    <row r="161" spans="1:9" ht="15.75">
      <c r="A161" s="434" t="s">
        <v>71</v>
      </c>
      <c r="B161" s="435"/>
      <c r="C161" s="96">
        <f>+C4</f>
        <v>1</v>
      </c>
      <c r="D161" s="96">
        <f>+D4</f>
        <v>3</v>
      </c>
      <c r="E161" s="98">
        <f>+C112</f>
        <v>5922358</v>
      </c>
      <c r="F161" s="99">
        <f>+C148</f>
        <v>0.25</v>
      </c>
      <c r="G161" s="97">
        <f>+E161*F161</f>
        <v>1480589.5</v>
      </c>
      <c r="H161" s="97">
        <f>+D136</f>
        <v>4441768.5</v>
      </c>
    </row>
    <row r="162" spans="1:9" ht="15.75">
      <c r="A162" s="434" t="s">
        <v>72</v>
      </c>
      <c r="B162" s="435"/>
      <c r="C162" s="96">
        <f t="shared" ref="C162:D169" si="53">+C5</f>
        <v>1</v>
      </c>
      <c r="D162" s="96">
        <f t="shared" si="53"/>
        <v>1.5</v>
      </c>
      <c r="E162" s="98">
        <f t="shared" ref="E162:E169" si="54">+C113</f>
        <v>3216799</v>
      </c>
      <c r="F162" s="99">
        <f t="shared" ref="F162:F169" si="55">+C149</f>
        <v>0</v>
      </c>
      <c r="G162" s="97">
        <f t="shared" ref="G162:G169" si="56">+E162*F162</f>
        <v>0</v>
      </c>
      <c r="H162" s="97">
        <f t="shared" ref="H162:H169" si="57">+D137</f>
        <v>3216799</v>
      </c>
    </row>
    <row r="163" spans="1:9" ht="15.75">
      <c r="A163" s="434" t="s">
        <v>73</v>
      </c>
      <c r="B163" s="435"/>
      <c r="C163" s="96">
        <f t="shared" si="53"/>
        <v>1</v>
      </c>
      <c r="D163" s="96">
        <f t="shared" si="53"/>
        <v>2</v>
      </c>
      <c r="E163" s="98">
        <f t="shared" si="54"/>
        <v>4203858.666666666</v>
      </c>
      <c r="F163" s="99">
        <f t="shared" si="55"/>
        <v>0.2</v>
      </c>
      <c r="G163" s="97">
        <f t="shared" si="56"/>
        <v>840771.73333333328</v>
      </c>
      <c r="H163" s="97">
        <f t="shared" si="57"/>
        <v>3363086.9333333331</v>
      </c>
    </row>
    <row r="164" spans="1:9" ht="15.75">
      <c r="A164" s="434" t="s">
        <v>74</v>
      </c>
      <c r="B164" s="435"/>
      <c r="C164" s="96">
        <f t="shared" si="53"/>
        <v>1</v>
      </c>
      <c r="D164" s="96">
        <f t="shared" si="53"/>
        <v>2</v>
      </c>
      <c r="E164" s="98">
        <f t="shared" si="54"/>
        <v>4203858.666666666</v>
      </c>
      <c r="F164" s="99">
        <f t="shared" si="55"/>
        <v>0</v>
      </c>
      <c r="G164" s="97">
        <f t="shared" si="56"/>
        <v>0</v>
      </c>
      <c r="H164" s="97">
        <f t="shared" si="57"/>
        <v>4203858.666666666</v>
      </c>
    </row>
    <row r="165" spans="1:9" ht="15.75">
      <c r="A165" s="361" t="s">
        <v>75</v>
      </c>
      <c r="B165" s="362"/>
      <c r="C165" s="96">
        <f t="shared" si="53"/>
        <v>1</v>
      </c>
      <c r="D165" s="96">
        <f t="shared" si="53"/>
        <v>1.5</v>
      </c>
      <c r="E165" s="98">
        <f t="shared" si="54"/>
        <v>3216799</v>
      </c>
      <c r="F165" s="99">
        <f t="shared" si="55"/>
        <v>0</v>
      </c>
      <c r="G165" s="97">
        <f t="shared" si="56"/>
        <v>0</v>
      </c>
      <c r="H165" s="97">
        <f t="shared" si="57"/>
        <v>3216799</v>
      </c>
    </row>
    <row r="166" spans="1:9" ht="15.75">
      <c r="A166" s="361" t="s">
        <v>76</v>
      </c>
      <c r="B166" s="362"/>
      <c r="C166" s="96">
        <f t="shared" si="53"/>
        <v>1</v>
      </c>
      <c r="D166" s="96">
        <f t="shared" si="53"/>
        <v>2</v>
      </c>
      <c r="E166" s="98">
        <f t="shared" si="54"/>
        <v>4217430.666666666</v>
      </c>
      <c r="F166" s="99">
        <f t="shared" si="55"/>
        <v>0.5</v>
      </c>
      <c r="G166" s="97">
        <f t="shared" si="56"/>
        <v>2108715.333333333</v>
      </c>
      <c r="H166" s="97">
        <f t="shared" si="57"/>
        <v>2108715.333333333</v>
      </c>
    </row>
    <row r="167" spans="1:9" ht="15.75">
      <c r="A167" s="361" t="s">
        <v>77</v>
      </c>
      <c r="B167" s="362"/>
      <c r="C167" s="96">
        <f t="shared" si="53"/>
        <v>1</v>
      </c>
      <c r="D167" s="96">
        <f t="shared" si="53"/>
        <v>2.5</v>
      </c>
      <c r="E167" s="98">
        <f t="shared" si="54"/>
        <v>4997503.333333333</v>
      </c>
      <c r="F167" s="99">
        <f t="shared" si="55"/>
        <v>1</v>
      </c>
      <c r="G167" s="97">
        <f t="shared" si="56"/>
        <v>4997503.333333333</v>
      </c>
      <c r="H167" s="97">
        <f t="shared" si="57"/>
        <v>0</v>
      </c>
    </row>
    <row r="168" spans="1:9" ht="15.75">
      <c r="A168" s="434" t="s">
        <v>78</v>
      </c>
      <c r="B168" s="435"/>
      <c r="C168" s="96">
        <f t="shared" si="53"/>
        <v>4</v>
      </c>
      <c r="D168" s="96">
        <f t="shared" si="53"/>
        <v>1.3</v>
      </c>
      <c r="E168" s="98">
        <f t="shared" si="54"/>
        <v>11417286.933333334</v>
      </c>
      <c r="F168" s="99">
        <f t="shared" si="55"/>
        <v>1</v>
      </c>
      <c r="G168" s="97">
        <f t="shared" si="56"/>
        <v>11417286.933333334</v>
      </c>
      <c r="H168" s="97">
        <f t="shared" si="57"/>
        <v>0</v>
      </c>
    </row>
    <row r="169" spans="1:9" ht="15.75">
      <c r="A169" s="434" t="s">
        <v>79</v>
      </c>
      <c r="B169" s="435"/>
      <c r="C169" s="96">
        <f t="shared" si="53"/>
        <v>1</v>
      </c>
      <c r="D169" s="96">
        <f t="shared" si="53"/>
        <v>2</v>
      </c>
      <c r="E169" s="98">
        <f t="shared" si="54"/>
        <v>4217430.666666666</v>
      </c>
      <c r="F169" s="99">
        <f t="shared" si="55"/>
        <v>0.8</v>
      </c>
      <c r="G169" s="97">
        <f t="shared" si="56"/>
        <v>3373944.5333333332</v>
      </c>
      <c r="H169" s="97">
        <f t="shared" si="57"/>
        <v>843486.1333333333</v>
      </c>
    </row>
    <row r="170" spans="1:9" ht="15.75">
      <c r="A170" s="436" t="s">
        <v>106</v>
      </c>
      <c r="B170" s="436"/>
      <c r="C170" s="436"/>
      <c r="D170" s="11"/>
      <c r="E170" s="100">
        <f>SUM(E161:E169)</f>
        <v>45613324.93333333</v>
      </c>
      <c r="F170" s="11"/>
      <c r="G170" s="101">
        <f>SUM(G161:G169)</f>
        <v>24218811.366666667</v>
      </c>
      <c r="H170" s="122">
        <f>SUM(H161:H169)</f>
        <v>21394513.566666666</v>
      </c>
      <c r="I170" s="242"/>
    </row>
    <row r="171" spans="1:9" ht="15.75">
      <c r="A171" s="3"/>
      <c r="B171" s="3"/>
      <c r="C171" s="3"/>
      <c r="D171" s="3"/>
      <c r="E171" s="3"/>
      <c r="F171" s="3"/>
      <c r="G171" s="3"/>
      <c r="H171" s="3"/>
    </row>
    <row r="179" spans="4:4">
      <c r="D179" s="123"/>
    </row>
  </sheetData>
  <mergeCells count="102">
    <mergeCell ref="A155:B155"/>
    <mergeCell ref="A156:B156"/>
    <mergeCell ref="A157:C157"/>
    <mergeCell ref="A147:B147"/>
    <mergeCell ref="A148:B148"/>
    <mergeCell ref="A149:B149"/>
    <mergeCell ref="A150:B150"/>
    <mergeCell ref="A151:B151"/>
    <mergeCell ref="A143:B143"/>
    <mergeCell ref="A144:B144"/>
    <mergeCell ref="A145:C145"/>
    <mergeCell ref="A124:B124"/>
    <mergeCell ref="A125:B125"/>
    <mergeCell ref="A135:B135"/>
    <mergeCell ref="A136:B136"/>
    <mergeCell ref="A137:B137"/>
    <mergeCell ref="A138:B138"/>
    <mergeCell ref="A139:B139"/>
    <mergeCell ref="A126:B126"/>
    <mergeCell ref="A127:B127"/>
    <mergeCell ref="A128:B128"/>
    <mergeCell ref="A132:B132"/>
    <mergeCell ref="A133:B133"/>
    <mergeCell ref="A90:B90"/>
    <mergeCell ref="A91:B91"/>
    <mergeCell ref="A95:B95"/>
    <mergeCell ref="A96:B96"/>
    <mergeCell ref="A99:B99"/>
    <mergeCell ref="A100:B100"/>
    <mergeCell ref="A101:B101"/>
    <mergeCell ref="A121:B121"/>
    <mergeCell ref="A120:B120"/>
    <mergeCell ref="A102:B102"/>
    <mergeCell ref="A103:B103"/>
    <mergeCell ref="A107:B107"/>
    <mergeCell ref="A108:B108"/>
    <mergeCell ref="A111:B111"/>
    <mergeCell ref="A112:B112"/>
    <mergeCell ref="A113:B113"/>
    <mergeCell ref="A114:B114"/>
    <mergeCell ref="A115:B115"/>
    <mergeCell ref="A119:B119"/>
    <mergeCell ref="A75:B75"/>
    <mergeCell ref="A76:B76"/>
    <mergeCell ref="A77:B77"/>
    <mergeCell ref="A78:B78"/>
    <mergeCell ref="A79:B79"/>
    <mergeCell ref="A83:B83"/>
    <mergeCell ref="A87:B87"/>
    <mergeCell ref="A88:B88"/>
    <mergeCell ref="A89:B89"/>
    <mergeCell ref="A17:B17"/>
    <mergeCell ref="A18:B18"/>
    <mergeCell ref="A23:B23"/>
    <mergeCell ref="A24:B24"/>
    <mergeCell ref="A27:B27"/>
    <mergeCell ref="A28:B28"/>
    <mergeCell ref="A29:B29"/>
    <mergeCell ref="A48:B48"/>
    <mergeCell ref="A30:B30"/>
    <mergeCell ref="A31:B31"/>
    <mergeCell ref="A35:B35"/>
    <mergeCell ref="A36:B36"/>
    <mergeCell ref="A39:B39"/>
    <mergeCell ref="A40:B40"/>
    <mergeCell ref="A41:B41"/>
    <mergeCell ref="A42:B42"/>
    <mergeCell ref="A43:B43"/>
    <mergeCell ref="A47:B47"/>
    <mergeCell ref="A3:B3"/>
    <mergeCell ref="A4:B4"/>
    <mergeCell ref="A5:B5"/>
    <mergeCell ref="A6:B6"/>
    <mergeCell ref="A7:B7"/>
    <mergeCell ref="A11:B11"/>
    <mergeCell ref="A12:B12"/>
    <mergeCell ref="A15:B15"/>
    <mergeCell ref="A16:B16"/>
    <mergeCell ref="A168:B168"/>
    <mergeCell ref="A169:B169"/>
    <mergeCell ref="A170:C170"/>
    <mergeCell ref="A160:B160"/>
    <mergeCell ref="A161:B161"/>
    <mergeCell ref="A162:B162"/>
    <mergeCell ref="A163:B163"/>
    <mergeCell ref="A164:B164"/>
    <mergeCell ref="A19:B19"/>
    <mergeCell ref="A51:B51"/>
    <mergeCell ref="A52:B52"/>
    <mergeCell ref="A53:B53"/>
    <mergeCell ref="A54:B54"/>
    <mergeCell ref="A55:B55"/>
    <mergeCell ref="A59:B59"/>
    <mergeCell ref="A60:B60"/>
    <mergeCell ref="A63:B63"/>
    <mergeCell ref="A64:B64"/>
    <mergeCell ref="A65:B65"/>
    <mergeCell ref="A84:B84"/>
    <mergeCell ref="A66:B66"/>
    <mergeCell ref="A67:B67"/>
    <mergeCell ref="A71:B71"/>
    <mergeCell ref="A72:B7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BCD8-4EAA-4CD7-9148-38C6E41592F0}">
  <dimension ref="A3:M59"/>
  <sheetViews>
    <sheetView topLeftCell="B37" zoomScale="97" workbookViewId="0">
      <selection activeCell="B2" sqref="B2"/>
    </sheetView>
  </sheetViews>
  <sheetFormatPr defaultColWidth="11.42578125" defaultRowHeight="15"/>
  <cols>
    <col min="1" max="1" width="31.85546875" style="18" customWidth="1"/>
    <col min="2" max="2" width="23.42578125" style="18" customWidth="1"/>
    <col min="3" max="3" width="22" style="18" customWidth="1"/>
    <col min="4" max="4" width="19.28515625" style="18" bestFit="1" customWidth="1"/>
    <col min="5" max="5" width="19.28515625" style="18" customWidth="1"/>
    <col min="6" max="6" width="20" style="18" customWidth="1"/>
    <col min="7" max="13" width="19.28515625" style="18" bestFit="1" customWidth="1"/>
    <col min="14" max="14" width="15" style="18" customWidth="1"/>
    <col min="15" max="16384" width="11.42578125" style="18"/>
  </cols>
  <sheetData>
    <row r="3" spans="1:13" ht="42.75">
      <c r="A3" s="55" t="s">
        <v>113</v>
      </c>
      <c r="B3" s="56" t="s">
        <v>114</v>
      </c>
      <c r="C3" s="57" t="s">
        <v>115</v>
      </c>
      <c r="D3" s="57" t="s">
        <v>116</v>
      </c>
      <c r="E3" s="57" t="s">
        <v>117</v>
      </c>
    </row>
    <row r="4" spans="1:13">
      <c r="A4" s="58" t="s">
        <v>38</v>
      </c>
      <c r="B4" s="59">
        <f>+'INVERSIÓN TOTAL'!C15</f>
        <v>102240000</v>
      </c>
      <c r="C4" s="60">
        <v>45</v>
      </c>
      <c r="D4" s="61">
        <f>+B4/C4</f>
        <v>2272000</v>
      </c>
      <c r="E4" s="61">
        <f>+D4/12</f>
        <v>189333.33333333334</v>
      </c>
    </row>
    <row r="5" spans="1:13">
      <c r="A5" s="58" t="s">
        <v>39</v>
      </c>
      <c r="B5" s="59">
        <f>+'INVERSIÓN TOTAL'!C16</f>
        <v>330000000</v>
      </c>
      <c r="C5" s="60">
        <v>10</v>
      </c>
      <c r="D5" s="61">
        <f>+B5/C5</f>
        <v>33000000</v>
      </c>
      <c r="E5" s="61">
        <f>+D5/12</f>
        <v>2750000</v>
      </c>
    </row>
    <row r="6" spans="1:13">
      <c r="A6" s="58" t="s">
        <v>40</v>
      </c>
      <c r="B6" s="59">
        <f>+'INVERSIÓN TOTAL'!C17</f>
        <v>9251000</v>
      </c>
      <c r="C6" s="60">
        <v>10</v>
      </c>
      <c r="D6" s="61">
        <f>+B6/C6</f>
        <v>925100</v>
      </c>
      <c r="E6" s="61">
        <f>+D6/12</f>
        <v>77091.666666666672</v>
      </c>
    </row>
    <row r="7" spans="1:13">
      <c r="A7" s="58" t="s">
        <v>41</v>
      </c>
      <c r="B7" s="59">
        <f>+'INVERSIÓN TOTAL'!C18</f>
        <v>8045000</v>
      </c>
      <c r="C7" s="60">
        <v>5</v>
      </c>
      <c r="D7" s="61">
        <f>+B7/C7</f>
        <v>1609000</v>
      </c>
      <c r="E7" s="61">
        <f>+D7/12</f>
        <v>134083.33333333334</v>
      </c>
    </row>
    <row r="11" spans="1:13">
      <c r="A11" s="49"/>
      <c r="B11" s="49" t="s">
        <v>81</v>
      </c>
      <c r="C11" s="49" t="s">
        <v>82</v>
      </c>
      <c r="D11" s="49" t="s">
        <v>83</v>
      </c>
      <c r="E11" s="49" t="s">
        <v>84</v>
      </c>
      <c r="F11" s="49" t="s">
        <v>85</v>
      </c>
      <c r="G11" s="49" t="s">
        <v>86</v>
      </c>
      <c r="H11" s="49" t="s">
        <v>87</v>
      </c>
      <c r="I11" s="49" t="s">
        <v>88</v>
      </c>
      <c r="J11" s="49" t="s">
        <v>89</v>
      </c>
      <c r="K11" s="49" t="s">
        <v>90</v>
      </c>
      <c r="L11" s="49" t="s">
        <v>91</v>
      </c>
      <c r="M11" s="49" t="s">
        <v>92</v>
      </c>
    </row>
    <row r="12" spans="1:13">
      <c r="A12" s="50" t="s">
        <v>118</v>
      </c>
      <c r="B12" s="51">
        <f>+$B$4</f>
        <v>102240000</v>
      </c>
      <c r="C12" s="51">
        <f t="shared" ref="C12:M12" si="0">+$B$4</f>
        <v>102240000</v>
      </c>
      <c r="D12" s="51">
        <f t="shared" si="0"/>
        <v>102240000</v>
      </c>
      <c r="E12" s="51">
        <f t="shared" si="0"/>
        <v>102240000</v>
      </c>
      <c r="F12" s="51">
        <f t="shared" si="0"/>
        <v>102240000</v>
      </c>
      <c r="G12" s="51">
        <f t="shared" si="0"/>
        <v>102240000</v>
      </c>
      <c r="H12" s="51">
        <f t="shared" si="0"/>
        <v>102240000</v>
      </c>
      <c r="I12" s="51">
        <f t="shared" si="0"/>
        <v>102240000</v>
      </c>
      <c r="J12" s="51">
        <f t="shared" si="0"/>
        <v>102240000</v>
      </c>
      <c r="K12" s="51">
        <f t="shared" si="0"/>
        <v>102240000</v>
      </c>
      <c r="L12" s="51">
        <f t="shared" si="0"/>
        <v>102240000</v>
      </c>
      <c r="M12" s="51">
        <f t="shared" si="0"/>
        <v>102240000</v>
      </c>
    </row>
    <row r="13" spans="1:13">
      <c r="A13" s="50" t="s">
        <v>119</v>
      </c>
      <c r="B13" s="52">
        <f>+$E$4</f>
        <v>189333.33333333334</v>
      </c>
      <c r="C13" s="52">
        <f t="shared" ref="C13:M13" si="1">+$E$4</f>
        <v>189333.33333333334</v>
      </c>
      <c r="D13" s="52">
        <f t="shared" si="1"/>
        <v>189333.33333333334</v>
      </c>
      <c r="E13" s="52">
        <f t="shared" si="1"/>
        <v>189333.33333333334</v>
      </c>
      <c r="F13" s="52">
        <f t="shared" si="1"/>
        <v>189333.33333333334</v>
      </c>
      <c r="G13" s="52">
        <f t="shared" si="1"/>
        <v>189333.33333333334</v>
      </c>
      <c r="H13" s="52">
        <f t="shared" si="1"/>
        <v>189333.33333333334</v>
      </c>
      <c r="I13" s="52">
        <f t="shared" si="1"/>
        <v>189333.33333333334</v>
      </c>
      <c r="J13" s="52">
        <f t="shared" si="1"/>
        <v>189333.33333333334</v>
      </c>
      <c r="K13" s="52">
        <f t="shared" si="1"/>
        <v>189333.33333333334</v>
      </c>
      <c r="L13" s="52">
        <f t="shared" si="1"/>
        <v>189333.33333333334</v>
      </c>
      <c r="M13" s="52">
        <f t="shared" si="1"/>
        <v>189333.33333333334</v>
      </c>
    </row>
    <row r="14" spans="1:13">
      <c r="A14" s="63" t="s">
        <v>120</v>
      </c>
      <c r="B14" s="51">
        <f>D4+B13</f>
        <v>2461333.3333333335</v>
      </c>
      <c r="C14" s="51">
        <f t="shared" ref="C14:M14" si="2">B14+C13</f>
        <v>2650666.666666667</v>
      </c>
      <c r="D14" s="51">
        <f t="shared" si="2"/>
        <v>2840000.0000000005</v>
      </c>
      <c r="E14" s="51">
        <f t="shared" si="2"/>
        <v>3029333.333333334</v>
      </c>
      <c r="F14" s="51">
        <f t="shared" si="2"/>
        <v>3218666.6666666674</v>
      </c>
      <c r="G14" s="51">
        <f t="shared" si="2"/>
        <v>3408000.0000000009</v>
      </c>
      <c r="H14" s="51">
        <f t="shared" si="2"/>
        <v>3597333.3333333344</v>
      </c>
      <c r="I14" s="51">
        <f t="shared" si="2"/>
        <v>3786666.6666666679</v>
      </c>
      <c r="J14" s="51">
        <f t="shared" si="2"/>
        <v>3976000.0000000014</v>
      </c>
      <c r="K14" s="51">
        <f t="shared" si="2"/>
        <v>4165333.3333333349</v>
      </c>
      <c r="L14" s="51">
        <f t="shared" si="2"/>
        <v>4354666.6666666679</v>
      </c>
      <c r="M14" s="51">
        <f t="shared" si="2"/>
        <v>4544000.0000000009</v>
      </c>
    </row>
    <row r="15" spans="1:13">
      <c r="A15" s="65" t="s">
        <v>121</v>
      </c>
      <c r="B15" s="72">
        <f t="shared" ref="B15:M15" si="3">B12-B14</f>
        <v>99778666.666666672</v>
      </c>
      <c r="C15" s="54">
        <f t="shared" si="3"/>
        <v>99589333.333333328</v>
      </c>
      <c r="D15" s="54">
        <f t="shared" si="3"/>
        <v>99400000</v>
      </c>
      <c r="E15" s="54">
        <f t="shared" si="3"/>
        <v>99210666.666666672</v>
      </c>
      <c r="F15" s="54">
        <f t="shared" si="3"/>
        <v>99021333.333333328</v>
      </c>
      <c r="G15" s="54">
        <f t="shared" si="3"/>
        <v>98832000</v>
      </c>
      <c r="H15" s="54">
        <f t="shared" si="3"/>
        <v>98642666.666666672</v>
      </c>
      <c r="I15" s="54">
        <f t="shared" si="3"/>
        <v>98453333.333333328</v>
      </c>
      <c r="J15" s="54">
        <f t="shared" si="3"/>
        <v>98264000</v>
      </c>
      <c r="K15" s="54">
        <f t="shared" si="3"/>
        <v>98074666.666666672</v>
      </c>
      <c r="L15" s="54">
        <f t="shared" si="3"/>
        <v>97885333.333333328</v>
      </c>
      <c r="M15" s="54">
        <f t="shared" si="3"/>
        <v>97696000</v>
      </c>
    </row>
    <row r="17" spans="1:13">
      <c r="A17" s="50" t="s">
        <v>39</v>
      </c>
      <c r="B17" s="51">
        <f t="shared" ref="B17:M17" si="4">+$B$5</f>
        <v>330000000</v>
      </c>
      <c r="C17" s="51">
        <f t="shared" si="4"/>
        <v>330000000</v>
      </c>
      <c r="D17" s="51">
        <f t="shared" si="4"/>
        <v>330000000</v>
      </c>
      <c r="E17" s="51">
        <f t="shared" si="4"/>
        <v>330000000</v>
      </c>
      <c r="F17" s="51">
        <f t="shared" si="4"/>
        <v>330000000</v>
      </c>
      <c r="G17" s="51">
        <f t="shared" si="4"/>
        <v>330000000</v>
      </c>
      <c r="H17" s="51">
        <f t="shared" si="4"/>
        <v>330000000</v>
      </c>
      <c r="I17" s="51">
        <f t="shared" si="4"/>
        <v>330000000</v>
      </c>
      <c r="J17" s="51">
        <f t="shared" si="4"/>
        <v>330000000</v>
      </c>
      <c r="K17" s="51">
        <f t="shared" si="4"/>
        <v>330000000</v>
      </c>
      <c r="L17" s="51">
        <f t="shared" si="4"/>
        <v>330000000</v>
      </c>
      <c r="M17" s="51">
        <f t="shared" si="4"/>
        <v>330000000</v>
      </c>
    </row>
    <row r="18" spans="1:13">
      <c r="A18" s="50" t="s">
        <v>119</v>
      </c>
      <c r="B18" s="52">
        <f t="shared" ref="B18:M18" si="5">$E$5</f>
        <v>2750000</v>
      </c>
      <c r="C18" s="52">
        <f t="shared" si="5"/>
        <v>2750000</v>
      </c>
      <c r="D18" s="52">
        <f t="shared" si="5"/>
        <v>2750000</v>
      </c>
      <c r="E18" s="52">
        <f t="shared" si="5"/>
        <v>2750000</v>
      </c>
      <c r="F18" s="52">
        <f t="shared" si="5"/>
        <v>2750000</v>
      </c>
      <c r="G18" s="52">
        <f t="shared" si="5"/>
        <v>2750000</v>
      </c>
      <c r="H18" s="52">
        <f t="shared" si="5"/>
        <v>2750000</v>
      </c>
      <c r="I18" s="52">
        <f t="shared" si="5"/>
        <v>2750000</v>
      </c>
      <c r="J18" s="52">
        <f t="shared" si="5"/>
        <v>2750000</v>
      </c>
      <c r="K18" s="52">
        <f t="shared" si="5"/>
        <v>2750000</v>
      </c>
      <c r="L18" s="52">
        <f t="shared" si="5"/>
        <v>2750000</v>
      </c>
      <c r="M18" s="52">
        <f t="shared" si="5"/>
        <v>2750000</v>
      </c>
    </row>
    <row r="19" spans="1:13">
      <c r="A19" s="50" t="s">
        <v>120</v>
      </c>
      <c r="B19" s="51">
        <f>D5+B18</f>
        <v>35750000</v>
      </c>
      <c r="C19" s="51">
        <f t="shared" ref="C19:M19" si="6">B19+C18</f>
        <v>38500000</v>
      </c>
      <c r="D19" s="51">
        <f t="shared" si="6"/>
        <v>41250000</v>
      </c>
      <c r="E19" s="51">
        <f t="shared" si="6"/>
        <v>44000000</v>
      </c>
      <c r="F19" s="51">
        <f t="shared" si="6"/>
        <v>46750000</v>
      </c>
      <c r="G19" s="51">
        <f t="shared" si="6"/>
        <v>49500000</v>
      </c>
      <c r="H19" s="51">
        <f t="shared" si="6"/>
        <v>52250000</v>
      </c>
      <c r="I19" s="51">
        <f t="shared" si="6"/>
        <v>55000000</v>
      </c>
      <c r="J19" s="51">
        <f t="shared" si="6"/>
        <v>57750000</v>
      </c>
      <c r="K19" s="51">
        <f t="shared" si="6"/>
        <v>60500000</v>
      </c>
      <c r="L19" s="51">
        <f t="shared" si="6"/>
        <v>63250000</v>
      </c>
      <c r="M19" s="51">
        <f t="shared" si="6"/>
        <v>66000000</v>
      </c>
    </row>
    <row r="20" spans="1:13">
      <c r="A20" s="53" t="s">
        <v>122</v>
      </c>
      <c r="B20" s="62">
        <f t="shared" ref="B20:M20" si="7">B17-B19</f>
        <v>294250000</v>
      </c>
      <c r="C20" s="62">
        <f t="shared" si="7"/>
        <v>291500000</v>
      </c>
      <c r="D20" s="62">
        <f t="shared" si="7"/>
        <v>288750000</v>
      </c>
      <c r="E20" s="62">
        <f t="shared" si="7"/>
        <v>286000000</v>
      </c>
      <c r="F20" s="62">
        <f t="shared" si="7"/>
        <v>283250000</v>
      </c>
      <c r="G20" s="62">
        <f t="shared" si="7"/>
        <v>280500000</v>
      </c>
      <c r="H20" s="62">
        <f t="shared" si="7"/>
        <v>277750000</v>
      </c>
      <c r="I20" s="62">
        <f t="shared" si="7"/>
        <v>275000000</v>
      </c>
      <c r="J20" s="62">
        <f t="shared" si="7"/>
        <v>272250000</v>
      </c>
      <c r="K20" s="62">
        <f t="shared" si="7"/>
        <v>269500000</v>
      </c>
      <c r="L20" s="62">
        <f t="shared" si="7"/>
        <v>266750000</v>
      </c>
      <c r="M20" s="62">
        <f t="shared" si="7"/>
        <v>264000000</v>
      </c>
    </row>
    <row r="21" spans="1:1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3">
      <c r="A22" s="50" t="s">
        <v>40</v>
      </c>
      <c r="B22" s="51">
        <f t="shared" ref="B22:M22" si="8">+$B$6</f>
        <v>9251000</v>
      </c>
      <c r="C22" s="51">
        <f t="shared" si="8"/>
        <v>9251000</v>
      </c>
      <c r="D22" s="51">
        <f t="shared" si="8"/>
        <v>9251000</v>
      </c>
      <c r="E22" s="51">
        <f t="shared" si="8"/>
        <v>9251000</v>
      </c>
      <c r="F22" s="51">
        <f t="shared" si="8"/>
        <v>9251000</v>
      </c>
      <c r="G22" s="51">
        <f t="shared" si="8"/>
        <v>9251000</v>
      </c>
      <c r="H22" s="51">
        <f t="shared" si="8"/>
        <v>9251000</v>
      </c>
      <c r="I22" s="51">
        <f t="shared" si="8"/>
        <v>9251000</v>
      </c>
      <c r="J22" s="51">
        <f t="shared" si="8"/>
        <v>9251000</v>
      </c>
      <c r="K22" s="51">
        <f t="shared" si="8"/>
        <v>9251000</v>
      </c>
      <c r="L22" s="51">
        <f t="shared" si="8"/>
        <v>9251000</v>
      </c>
      <c r="M22" s="51">
        <f t="shared" si="8"/>
        <v>9251000</v>
      </c>
    </row>
    <row r="23" spans="1:13">
      <c r="A23" s="50" t="s">
        <v>119</v>
      </c>
      <c r="B23" s="52">
        <f t="shared" ref="B23:M23" si="9">+$E$6</f>
        <v>77091.666666666672</v>
      </c>
      <c r="C23" s="52">
        <f t="shared" si="9"/>
        <v>77091.666666666672</v>
      </c>
      <c r="D23" s="52">
        <f t="shared" si="9"/>
        <v>77091.666666666672</v>
      </c>
      <c r="E23" s="52">
        <f t="shared" si="9"/>
        <v>77091.666666666672</v>
      </c>
      <c r="F23" s="52">
        <f t="shared" si="9"/>
        <v>77091.666666666672</v>
      </c>
      <c r="G23" s="52">
        <f t="shared" si="9"/>
        <v>77091.666666666672</v>
      </c>
      <c r="H23" s="52">
        <f t="shared" si="9"/>
        <v>77091.666666666672</v>
      </c>
      <c r="I23" s="52">
        <f t="shared" si="9"/>
        <v>77091.666666666672</v>
      </c>
      <c r="J23" s="52">
        <f t="shared" si="9"/>
        <v>77091.666666666672</v>
      </c>
      <c r="K23" s="52">
        <f t="shared" si="9"/>
        <v>77091.666666666672</v>
      </c>
      <c r="L23" s="52">
        <f t="shared" si="9"/>
        <v>77091.666666666672</v>
      </c>
      <c r="M23" s="52">
        <f t="shared" si="9"/>
        <v>77091.666666666672</v>
      </c>
    </row>
    <row r="24" spans="1:13">
      <c r="A24" s="63" t="s">
        <v>120</v>
      </c>
      <c r="B24" s="64">
        <f>+D6+B23</f>
        <v>1002191.6666666666</v>
      </c>
      <c r="C24" s="64">
        <f t="shared" ref="C24:M24" si="10">B24+C23</f>
        <v>1079283.3333333333</v>
      </c>
      <c r="D24" s="64">
        <f t="shared" si="10"/>
        <v>1156375</v>
      </c>
      <c r="E24" s="64">
        <f t="shared" si="10"/>
        <v>1233466.6666666667</v>
      </c>
      <c r="F24" s="64">
        <f t="shared" si="10"/>
        <v>1310558.3333333335</v>
      </c>
      <c r="G24" s="64">
        <f t="shared" si="10"/>
        <v>1387650.0000000002</v>
      </c>
      <c r="H24" s="64">
        <f t="shared" si="10"/>
        <v>1464741.666666667</v>
      </c>
      <c r="I24" s="64">
        <f t="shared" si="10"/>
        <v>1541833.3333333337</v>
      </c>
      <c r="J24" s="64">
        <f t="shared" si="10"/>
        <v>1618925.0000000005</v>
      </c>
      <c r="K24" s="64">
        <f t="shared" si="10"/>
        <v>1696016.6666666672</v>
      </c>
      <c r="L24" s="64">
        <f t="shared" si="10"/>
        <v>1773108.333333334</v>
      </c>
      <c r="M24" s="64">
        <f t="shared" si="10"/>
        <v>1850200.0000000007</v>
      </c>
    </row>
    <row r="25" spans="1:13">
      <c r="A25" s="65" t="s">
        <v>123</v>
      </c>
      <c r="B25" s="66">
        <f t="shared" ref="B25:M25" si="11">B22-B24</f>
        <v>8248808.333333333</v>
      </c>
      <c r="C25" s="66">
        <f t="shared" si="11"/>
        <v>8171716.666666667</v>
      </c>
      <c r="D25" s="66">
        <f t="shared" si="11"/>
        <v>8094625</v>
      </c>
      <c r="E25" s="66">
        <f t="shared" si="11"/>
        <v>8017533.333333333</v>
      </c>
      <c r="F25" s="66">
        <f t="shared" si="11"/>
        <v>7940441.666666666</v>
      </c>
      <c r="G25" s="66">
        <f t="shared" si="11"/>
        <v>7863350</v>
      </c>
      <c r="H25" s="66">
        <f t="shared" si="11"/>
        <v>7786258.333333333</v>
      </c>
      <c r="I25" s="66">
        <f t="shared" si="11"/>
        <v>7709166.666666666</v>
      </c>
      <c r="J25" s="66">
        <f t="shared" si="11"/>
        <v>7632075</v>
      </c>
      <c r="K25" s="66">
        <f t="shared" si="11"/>
        <v>7554983.333333333</v>
      </c>
      <c r="L25" s="66">
        <f t="shared" si="11"/>
        <v>7477891.666666666</v>
      </c>
      <c r="M25" s="66">
        <f t="shared" si="11"/>
        <v>7400799.9999999991</v>
      </c>
    </row>
    <row r="26" spans="1:13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>
      <c r="A27" s="33" t="s">
        <v>124</v>
      </c>
      <c r="B27" s="69">
        <f>+B7</f>
        <v>8045000</v>
      </c>
      <c r="C27" s="69">
        <f t="shared" ref="C27:M27" si="12">+$B$27</f>
        <v>8045000</v>
      </c>
      <c r="D27" s="69">
        <f t="shared" si="12"/>
        <v>8045000</v>
      </c>
      <c r="E27" s="69">
        <f t="shared" si="12"/>
        <v>8045000</v>
      </c>
      <c r="F27" s="69">
        <f t="shared" si="12"/>
        <v>8045000</v>
      </c>
      <c r="G27" s="69">
        <f t="shared" si="12"/>
        <v>8045000</v>
      </c>
      <c r="H27" s="69">
        <f t="shared" si="12"/>
        <v>8045000</v>
      </c>
      <c r="I27" s="69">
        <f t="shared" si="12"/>
        <v>8045000</v>
      </c>
      <c r="J27" s="69">
        <f t="shared" si="12"/>
        <v>8045000</v>
      </c>
      <c r="K27" s="69">
        <f t="shared" si="12"/>
        <v>8045000</v>
      </c>
      <c r="L27" s="69">
        <f t="shared" si="12"/>
        <v>8045000</v>
      </c>
      <c r="M27" s="69">
        <f t="shared" si="12"/>
        <v>8045000</v>
      </c>
    </row>
    <row r="28" spans="1:13">
      <c r="A28" s="70" t="s">
        <v>119</v>
      </c>
      <c r="B28" s="71">
        <f t="shared" ref="B28:M28" si="13">+$E$7</f>
        <v>134083.33333333334</v>
      </c>
      <c r="C28" s="71">
        <f t="shared" si="13"/>
        <v>134083.33333333334</v>
      </c>
      <c r="D28" s="71">
        <f t="shared" si="13"/>
        <v>134083.33333333334</v>
      </c>
      <c r="E28" s="71">
        <f t="shared" si="13"/>
        <v>134083.33333333334</v>
      </c>
      <c r="F28" s="71">
        <f t="shared" si="13"/>
        <v>134083.33333333334</v>
      </c>
      <c r="G28" s="71">
        <f t="shared" si="13"/>
        <v>134083.33333333334</v>
      </c>
      <c r="H28" s="71">
        <f t="shared" si="13"/>
        <v>134083.33333333334</v>
      </c>
      <c r="I28" s="71">
        <f t="shared" si="13"/>
        <v>134083.33333333334</v>
      </c>
      <c r="J28" s="71">
        <f t="shared" si="13"/>
        <v>134083.33333333334</v>
      </c>
      <c r="K28" s="71">
        <f t="shared" si="13"/>
        <v>134083.33333333334</v>
      </c>
      <c r="L28" s="71">
        <f t="shared" si="13"/>
        <v>134083.33333333334</v>
      </c>
      <c r="M28" s="71">
        <f t="shared" si="13"/>
        <v>134083.33333333334</v>
      </c>
    </row>
    <row r="29" spans="1:13">
      <c r="A29" s="50" t="s">
        <v>120</v>
      </c>
      <c r="B29" s="51">
        <f>D7+B28</f>
        <v>1743083.3333333333</v>
      </c>
      <c r="C29" s="51">
        <f t="shared" ref="C29:M29" si="14">B29+C28</f>
        <v>1877166.6666666665</v>
      </c>
      <c r="D29" s="51">
        <f t="shared" si="14"/>
        <v>2011249.9999999998</v>
      </c>
      <c r="E29" s="51">
        <f t="shared" si="14"/>
        <v>2145333.333333333</v>
      </c>
      <c r="F29" s="51">
        <f t="shared" si="14"/>
        <v>2279416.6666666665</v>
      </c>
      <c r="G29" s="51">
        <f t="shared" si="14"/>
        <v>2413500</v>
      </c>
      <c r="H29" s="51">
        <f t="shared" si="14"/>
        <v>2547583.3333333335</v>
      </c>
      <c r="I29" s="51">
        <f t="shared" si="14"/>
        <v>2681666.666666667</v>
      </c>
      <c r="J29" s="51">
        <f t="shared" si="14"/>
        <v>2815750.0000000005</v>
      </c>
      <c r="K29" s="51">
        <f t="shared" si="14"/>
        <v>2949833.333333334</v>
      </c>
      <c r="L29" s="51">
        <f t="shared" si="14"/>
        <v>3083916.6666666674</v>
      </c>
      <c r="M29" s="51">
        <f t="shared" si="14"/>
        <v>3218000.0000000009</v>
      </c>
    </row>
    <row r="30" spans="1:13">
      <c r="A30" s="53" t="s">
        <v>125</v>
      </c>
      <c r="B30" s="62">
        <f t="shared" ref="B30:M30" si="15">B27-B29</f>
        <v>6301916.666666667</v>
      </c>
      <c r="C30" s="62">
        <f t="shared" si="15"/>
        <v>6167833.333333334</v>
      </c>
      <c r="D30" s="62">
        <f t="shared" si="15"/>
        <v>6033750</v>
      </c>
      <c r="E30" s="62">
        <f t="shared" si="15"/>
        <v>5899666.666666667</v>
      </c>
      <c r="F30" s="62">
        <f t="shared" si="15"/>
        <v>5765583.333333334</v>
      </c>
      <c r="G30" s="62">
        <f t="shared" si="15"/>
        <v>5631500</v>
      </c>
      <c r="H30" s="62">
        <f t="shared" si="15"/>
        <v>5497416.666666666</v>
      </c>
      <c r="I30" s="62">
        <f t="shared" si="15"/>
        <v>5363333.333333333</v>
      </c>
      <c r="J30" s="62">
        <f t="shared" si="15"/>
        <v>5229250</v>
      </c>
      <c r="K30" s="62">
        <f t="shared" si="15"/>
        <v>5095166.666666666</v>
      </c>
      <c r="L30" s="62">
        <f t="shared" si="15"/>
        <v>4961083.3333333321</v>
      </c>
      <c r="M30" s="62">
        <f t="shared" si="15"/>
        <v>4826999.9999999991</v>
      </c>
    </row>
    <row r="32" spans="1:13">
      <c r="A32" s="67" t="s">
        <v>126</v>
      </c>
    </row>
    <row r="33" spans="1:13">
      <c r="A33" s="73" t="s">
        <v>127</v>
      </c>
      <c r="B33" s="76">
        <f t="shared" ref="B33:M33" si="16">+B13+B18+B23+B28</f>
        <v>3150508.3333333335</v>
      </c>
      <c r="C33" s="76">
        <f t="shared" si="16"/>
        <v>3150508.3333333335</v>
      </c>
      <c r="D33" s="76">
        <f t="shared" si="16"/>
        <v>3150508.3333333335</v>
      </c>
      <c r="E33" s="76">
        <f t="shared" si="16"/>
        <v>3150508.3333333335</v>
      </c>
      <c r="F33" s="76">
        <f t="shared" si="16"/>
        <v>3150508.3333333335</v>
      </c>
      <c r="G33" s="76">
        <f t="shared" si="16"/>
        <v>3150508.3333333335</v>
      </c>
      <c r="H33" s="76">
        <f t="shared" si="16"/>
        <v>3150508.3333333335</v>
      </c>
      <c r="I33" s="76">
        <f t="shared" si="16"/>
        <v>3150508.3333333335</v>
      </c>
      <c r="J33" s="76">
        <f t="shared" si="16"/>
        <v>3150508.3333333335</v>
      </c>
      <c r="K33" s="76">
        <f t="shared" si="16"/>
        <v>3150508.3333333335</v>
      </c>
      <c r="L33" s="76">
        <f t="shared" si="16"/>
        <v>3150508.3333333335</v>
      </c>
      <c r="M33" s="76">
        <f t="shared" si="16"/>
        <v>3150508.3333333335</v>
      </c>
    </row>
    <row r="34" spans="1:13">
      <c r="A34" s="74" t="s">
        <v>128</v>
      </c>
      <c r="B34" s="76">
        <f t="shared" ref="B34:M34" si="17">+B14+B19+B24+B29</f>
        <v>40956608.333333336</v>
      </c>
      <c r="C34" s="76">
        <f t="shared" si="17"/>
        <v>44107116.666666664</v>
      </c>
      <c r="D34" s="76">
        <f t="shared" si="17"/>
        <v>47257625</v>
      </c>
      <c r="E34" s="76">
        <f t="shared" si="17"/>
        <v>50408133.333333336</v>
      </c>
      <c r="F34" s="76">
        <f t="shared" si="17"/>
        <v>53558641.666666664</v>
      </c>
      <c r="G34" s="76">
        <f t="shared" si="17"/>
        <v>56709150</v>
      </c>
      <c r="H34" s="76">
        <f t="shared" si="17"/>
        <v>59859658.333333336</v>
      </c>
      <c r="I34" s="76">
        <f t="shared" si="17"/>
        <v>63010166.666666672</v>
      </c>
      <c r="J34" s="76">
        <f t="shared" si="17"/>
        <v>66160675</v>
      </c>
      <c r="K34" s="76">
        <f t="shared" si="17"/>
        <v>69311183.333333328</v>
      </c>
      <c r="L34" s="76">
        <f t="shared" si="17"/>
        <v>72461691.666666672</v>
      </c>
      <c r="M34" s="76">
        <f t="shared" si="17"/>
        <v>75612200</v>
      </c>
    </row>
    <row r="35" spans="1:13">
      <c r="A35" s="75" t="s">
        <v>129</v>
      </c>
      <c r="B35" s="76">
        <f t="shared" ref="B35:M35" si="18">+B15+B20+B25+B30</f>
        <v>408579391.66666669</v>
      </c>
      <c r="C35" s="76">
        <f t="shared" si="18"/>
        <v>405428883.33333331</v>
      </c>
      <c r="D35" s="76">
        <f t="shared" si="18"/>
        <v>402278375</v>
      </c>
      <c r="E35" s="76">
        <f t="shared" si="18"/>
        <v>399127866.66666669</v>
      </c>
      <c r="F35" s="76">
        <f t="shared" si="18"/>
        <v>395977358.33333331</v>
      </c>
      <c r="G35" s="76">
        <f t="shared" si="18"/>
        <v>392826850</v>
      </c>
      <c r="H35" s="76">
        <f t="shared" si="18"/>
        <v>389676341.66666669</v>
      </c>
      <c r="I35" s="76">
        <f t="shared" si="18"/>
        <v>386525833.33333331</v>
      </c>
      <c r="J35" s="76">
        <f t="shared" si="18"/>
        <v>383375325</v>
      </c>
      <c r="K35" s="76">
        <f t="shared" si="18"/>
        <v>380224816.66666669</v>
      </c>
      <c r="L35" s="76">
        <f t="shared" si="18"/>
        <v>377074308.33333331</v>
      </c>
      <c r="M35" s="76">
        <f t="shared" si="18"/>
        <v>373923800</v>
      </c>
    </row>
    <row r="37" spans="1:13">
      <c r="A37" s="67" t="s">
        <v>130</v>
      </c>
      <c r="B37" s="103">
        <v>0.92</v>
      </c>
    </row>
    <row r="38" spans="1:13">
      <c r="A38" s="73" t="s">
        <v>127</v>
      </c>
      <c r="B38" s="76">
        <f>+B33*$B$37</f>
        <v>2898467.666666667</v>
      </c>
      <c r="C38" s="76">
        <f t="shared" ref="C38:M38" si="19">+C33*$B$37</f>
        <v>2898467.666666667</v>
      </c>
      <c r="D38" s="76">
        <f t="shared" si="19"/>
        <v>2898467.666666667</v>
      </c>
      <c r="E38" s="76">
        <f t="shared" si="19"/>
        <v>2898467.666666667</v>
      </c>
      <c r="F38" s="76">
        <f t="shared" si="19"/>
        <v>2898467.666666667</v>
      </c>
      <c r="G38" s="76">
        <f t="shared" si="19"/>
        <v>2898467.666666667</v>
      </c>
      <c r="H38" s="76">
        <f t="shared" si="19"/>
        <v>2898467.666666667</v>
      </c>
      <c r="I38" s="76">
        <f t="shared" si="19"/>
        <v>2898467.666666667</v>
      </c>
      <c r="J38" s="76">
        <f t="shared" si="19"/>
        <v>2898467.666666667</v>
      </c>
      <c r="K38" s="76">
        <f t="shared" si="19"/>
        <v>2898467.666666667</v>
      </c>
      <c r="L38" s="76">
        <f t="shared" si="19"/>
        <v>2898467.666666667</v>
      </c>
      <c r="M38" s="76">
        <f t="shared" si="19"/>
        <v>2898467.666666667</v>
      </c>
    </row>
    <row r="39" spans="1:13">
      <c r="A39" s="74" t="s">
        <v>128</v>
      </c>
      <c r="B39" s="76">
        <f>+B34*$B$37</f>
        <v>37680079.666666672</v>
      </c>
      <c r="C39" s="76">
        <f t="shared" ref="C39:M39" si="20">+C34*$B$37</f>
        <v>40578547.333333336</v>
      </c>
      <c r="D39" s="76">
        <f t="shared" si="20"/>
        <v>43477015</v>
      </c>
      <c r="E39" s="76">
        <f t="shared" si="20"/>
        <v>46375482.666666672</v>
      </c>
      <c r="F39" s="76">
        <f t="shared" si="20"/>
        <v>49273950.333333336</v>
      </c>
      <c r="G39" s="76">
        <f t="shared" si="20"/>
        <v>52172418</v>
      </c>
      <c r="H39" s="76">
        <f t="shared" si="20"/>
        <v>55070885.666666672</v>
      </c>
      <c r="I39" s="76">
        <f t="shared" si="20"/>
        <v>57969353.333333343</v>
      </c>
      <c r="J39" s="76">
        <f t="shared" si="20"/>
        <v>60867821</v>
      </c>
      <c r="K39" s="76">
        <f t="shared" si="20"/>
        <v>63766288.666666664</v>
      </c>
      <c r="L39" s="76">
        <f t="shared" si="20"/>
        <v>66664756.333333343</v>
      </c>
      <c r="M39" s="76">
        <f t="shared" si="20"/>
        <v>69563224</v>
      </c>
    </row>
    <row r="40" spans="1:13">
      <c r="A40" s="75" t="s">
        <v>129</v>
      </c>
      <c r="B40" s="76">
        <f t="shared" ref="B40:M40" si="21">+B20+B25+B30+B35</f>
        <v>717380116.66666675</v>
      </c>
      <c r="C40" s="76">
        <f t="shared" si="21"/>
        <v>711268433.33333325</v>
      </c>
      <c r="D40" s="76">
        <f t="shared" si="21"/>
        <v>705156750</v>
      </c>
      <c r="E40" s="76">
        <f t="shared" si="21"/>
        <v>699045066.66666675</v>
      </c>
      <c r="F40" s="76">
        <f t="shared" si="21"/>
        <v>692933383.33333325</v>
      </c>
      <c r="G40" s="76">
        <f t="shared" si="21"/>
        <v>686821700</v>
      </c>
      <c r="H40" s="76">
        <f t="shared" si="21"/>
        <v>680710016.66666675</v>
      </c>
      <c r="I40" s="76">
        <f t="shared" si="21"/>
        <v>674598333.33333325</v>
      </c>
      <c r="J40" s="76">
        <f t="shared" si="21"/>
        <v>668486650</v>
      </c>
      <c r="K40" s="76">
        <f t="shared" si="21"/>
        <v>662374966.66666675</v>
      </c>
      <c r="L40" s="76">
        <f t="shared" si="21"/>
        <v>656263283.33333325</v>
      </c>
      <c r="M40" s="76">
        <f t="shared" si="21"/>
        <v>650151600</v>
      </c>
    </row>
    <row r="42" spans="1:13">
      <c r="A42" s="67" t="s">
        <v>131</v>
      </c>
      <c r="C42" s="103">
        <v>0.08</v>
      </c>
    </row>
    <row r="43" spans="1:13">
      <c r="A43" s="73" t="s">
        <v>127</v>
      </c>
      <c r="B43" s="76">
        <f>+B33*$C$42</f>
        <v>252040.66666666669</v>
      </c>
      <c r="C43" s="76">
        <f t="shared" ref="C43:M43" si="22">+C33*$C$42</f>
        <v>252040.66666666669</v>
      </c>
      <c r="D43" s="76">
        <f t="shared" si="22"/>
        <v>252040.66666666669</v>
      </c>
      <c r="E43" s="76">
        <f t="shared" si="22"/>
        <v>252040.66666666669</v>
      </c>
      <c r="F43" s="76">
        <f t="shared" si="22"/>
        <v>252040.66666666669</v>
      </c>
      <c r="G43" s="76">
        <f t="shared" si="22"/>
        <v>252040.66666666669</v>
      </c>
      <c r="H43" s="76">
        <f t="shared" si="22"/>
        <v>252040.66666666669</v>
      </c>
      <c r="I43" s="76">
        <f t="shared" si="22"/>
        <v>252040.66666666669</v>
      </c>
      <c r="J43" s="76">
        <f t="shared" si="22"/>
        <v>252040.66666666669</v>
      </c>
      <c r="K43" s="76">
        <f t="shared" si="22"/>
        <v>252040.66666666669</v>
      </c>
      <c r="L43" s="76">
        <f t="shared" si="22"/>
        <v>252040.66666666669</v>
      </c>
      <c r="M43" s="76">
        <f t="shared" si="22"/>
        <v>252040.66666666669</v>
      </c>
    </row>
    <row r="44" spans="1:13">
      <c r="A44" s="74" t="s">
        <v>128</v>
      </c>
      <c r="B44" s="76">
        <f>+B34*$C$42</f>
        <v>3276528.666666667</v>
      </c>
      <c r="C44" s="76">
        <f t="shared" ref="C44:M44" si="23">+C34*$C$42</f>
        <v>3528569.333333333</v>
      </c>
      <c r="D44" s="76">
        <f t="shared" si="23"/>
        <v>3780610</v>
      </c>
      <c r="E44" s="76">
        <f t="shared" si="23"/>
        <v>4032650.666666667</v>
      </c>
      <c r="F44" s="76">
        <f t="shared" si="23"/>
        <v>4284691.333333333</v>
      </c>
      <c r="G44" s="76">
        <f t="shared" si="23"/>
        <v>4536732</v>
      </c>
      <c r="H44" s="76">
        <f t="shared" si="23"/>
        <v>4788772.666666667</v>
      </c>
      <c r="I44" s="76">
        <f t="shared" si="23"/>
        <v>5040813.333333334</v>
      </c>
      <c r="J44" s="76">
        <f t="shared" si="23"/>
        <v>5292854</v>
      </c>
      <c r="K44" s="76">
        <f t="shared" si="23"/>
        <v>5544894.666666666</v>
      </c>
      <c r="L44" s="76">
        <f t="shared" si="23"/>
        <v>5796935.333333334</v>
      </c>
      <c r="M44" s="76">
        <f t="shared" si="23"/>
        <v>6048976</v>
      </c>
    </row>
    <row r="45" spans="1:13">
      <c r="A45" s="75" t="s">
        <v>129</v>
      </c>
      <c r="B45" s="76">
        <f t="shared" ref="B45:M45" si="24">+B25+B30+B35+B40</f>
        <v>1140510233.3333335</v>
      </c>
      <c r="C45" s="76">
        <f t="shared" si="24"/>
        <v>1131036866.6666665</v>
      </c>
      <c r="D45" s="76">
        <f t="shared" si="24"/>
        <v>1121563500</v>
      </c>
      <c r="E45" s="76">
        <f t="shared" si="24"/>
        <v>1112090133.3333335</v>
      </c>
      <c r="F45" s="76">
        <f t="shared" si="24"/>
        <v>1102616766.6666665</v>
      </c>
      <c r="G45" s="76">
        <f t="shared" si="24"/>
        <v>1093143400</v>
      </c>
      <c r="H45" s="76">
        <f t="shared" si="24"/>
        <v>1083670033.3333335</v>
      </c>
      <c r="I45" s="76">
        <f t="shared" si="24"/>
        <v>1074196666.6666665</v>
      </c>
      <c r="J45" s="76">
        <f t="shared" si="24"/>
        <v>1064723300</v>
      </c>
      <c r="K45" s="76">
        <f t="shared" si="24"/>
        <v>1055249933.3333335</v>
      </c>
      <c r="L45" s="76">
        <f t="shared" si="24"/>
        <v>1045776566.6666665</v>
      </c>
      <c r="M45" s="76">
        <f t="shared" si="24"/>
        <v>1036303200</v>
      </c>
    </row>
    <row r="47" spans="1:13" ht="45" customHeight="1">
      <c r="A47" s="116" t="s">
        <v>132</v>
      </c>
      <c r="B47" s="56" t="s">
        <v>114</v>
      </c>
      <c r="C47" s="111" t="s">
        <v>133</v>
      </c>
      <c r="D47" s="57" t="s">
        <v>116</v>
      </c>
      <c r="E47" s="57" t="s">
        <v>117</v>
      </c>
    </row>
    <row r="48" spans="1:13" ht="15.75">
      <c r="A48" s="115" t="s">
        <v>38</v>
      </c>
      <c r="B48" s="59">
        <f>+B12</f>
        <v>102240000</v>
      </c>
      <c r="C48" s="60">
        <v>45</v>
      </c>
      <c r="D48" s="61">
        <f>+B48/C48</f>
        <v>2272000</v>
      </c>
      <c r="E48" s="61">
        <f>+D48/12</f>
        <v>189333.33333333334</v>
      </c>
    </row>
    <row r="49" spans="1:5" ht="15.75">
      <c r="A49" s="115" t="s">
        <v>39</v>
      </c>
      <c r="B49" s="59">
        <f>+B17</f>
        <v>330000000</v>
      </c>
      <c r="C49" s="60">
        <v>10</v>
      </c>
      <c r="D49" s="61">
        <f>+B49/C49</f>
        <v>33000000</v>
      </c>
      <c r="E49" s="61">
        <f t="shared" ref="E49:E51" si="25">+D49/12</f>
        <v>2750000</v>
      </c>
    </row>
    <row r="50" spans="1:5" ht="15.75">
      <c r="A50" s="115" t="s">
        <v>40</v>
      </c>
      <c r="B50" s="59">
        <f>+B22</f>
        <v>9251000</v>
      </c>
      <c r="C50" s="60">
        <v>10</v>
      </c>
      <c r="D50" s="61">
        <f t="shared" ref="D50" si="26">+B50/C50</f>
        <v>925100</v>
      </c>
      <c r="E50" s="61">
        <f t="shared" si="25"/>
        <v>77091.666666666672</v>
      </c>
    </row>
    <row r="51" spans="1:5" ht="15.75">
      <c r="A51" s="115" t="s">
        <v>41</v>
      </c>
      <c r="B51" s="59">
        <f>+B27</f>
        <v>8045000</v>
      </c>
      <c r="C51" s="60">
        <v>5</v>
      </c>
      <c r="D51" s="61">
        <f>+B51/C51</f>
        <v>1609000</v>
      </c>
      <c r="E51" s="61">
        <f t="shared" si="25"/>
        <v>134083.33333333334</v>
      </c>
    </row>
    <row r="52" spans="1:5" ht="15.75">
      <c r="A52" s="443" t="s">
        <v>29</v>
      </c>
      <c r="B52" s="444"/>
      <c r="C52" s="444"/>
      <c r="D52" s="121">
        <f>SUM(D48:D51)</f>
        <v>37806100</v>
      </c>
      <c r="E52" s="47">
        <f>SUM(E48:E51)</f>
        <v>3150508.3333333335</v>
      </c>
    </row>
    <row r="59" spans="1:5">
      <c r="C59" s="123"/>
    </row>
  </sheetData>
  <mergeCells count="1">
    <mergeCell ref="A52:C5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23AE-3CD1-4109-81CB-6D238565DE65}">
  <dimension ref="A1:O61"/>
  <sheetViews>
    <sheetView topLeftCell="A25" zoomScale="90" workbookViewId="0">
      <selection activeCell="A54" sqref="A54:C61"/>
    </sheetView>
  </sheetViews>
  <sheetFormatPr defaultColWidth="11.42578125" defaultRowHeight="15"/>
  <cols>
    <col min="1" max="1" width="23.140625" bestFit="1" customWidth="1"/>
    <col min="2" max="2" width="16.7109375" customWidth="1"/>
    <col min="3" max="3" width="16" customWidth="1"/>
    <col min="4" max="4" width="18" bestFit="1" customWidth="1"/>
    <col min="5" max="15" width="16.85546875" bestFit="1" customWidth="1"/>
  </cols>
  <sheetData>
    <row r="1" spans="1:14" s="18" customFormat="1"/>
    <row r="2" spans="1:14" s="18" customFormat="1">
      <c r="A2" s="65" t="s">
        <v>134</v>
      </c>
      <c r="B2" s="28" t="s">
        <v>135</v>
      </c>
      <c r="C2" s="77" t="s">
        <v>81</v>
      </c>
      <c r="D2" s="77" t="s">
        <v>82</v>
      </c>
      <c r="E2" s="77" t="s">
        <v>83</v>
      </c>
      <c r="F2" s="77" t="s">
        <v>84</v>
      </c>
      <c r="G2" s="77" t="s">
        <v>85</v>
      </c>
      <c r="H2" s="77" t="s">
        <v>86</v>
      </c>
      <c r="I2" s="77" t="s">
        <v>87</v>
      </c>
      <c r="J2" s="77" t="s">
        <v>88</v>
      </c>
      <c r="K2" s="77" t="s">
        <v>89</v>
      </c>
      <c r="L2" s="77" t="s">
        <v>90</v>
      </c>
      <c r="M2" s="77" t="s">
        <v>91</v>
      </c>
      <c r="N2" s="77" t="s">
        <v>92</v>
      </c>
    </row>
    <row r="3" spans="1:14" s="18" customFormat="1">
      <c r="A3" s="50" t="s">
        <v>118</v>
      </c>
      <c r="B3" s="78">
        <v>0.05</v>
      </c>
      <c r="C3" s="25">
        <f>+DEPRECIACIÓN!B13*$B3</f>
        <v>9466.6666666666679</v>
      </c>
      <c r="D3" s="25">
        <f>+DEPRECIACIÓN!C13*$B3</f>
        <v>9466.6666666666679</v>
      </c>
      <c r="E3" s="25">
        <f>+DEPRECIACIÓN!D13*$B3</f>
        <v>9466.6666666666679</v>
      </c>
      <c r="F3" s="25">
        <f>+DEPRECIACIÓN!E13*$B3</f>
        <v>9466.6666666666679</v>
      </c>
      <c r="G3" s="25">
        <f>+DEPRECIACIÓN!F13*$B3</f>
        <v>9466.6666666666679</v>
      </c>
      <c r="H3" s="25">
        <f>+DEPRECIACIÓN!G13*$B3</f>
        <v>9466.6666666666679</v>
      </c>
      <c r="I3" s="25">
        <f>+DEPRECIACIÓN!H13*$B3</f>
        <v>9466.6666666666679</v>
      </c>
      <c r="J3" s="25">
        <f>+DEPRECIACIÓN!I13*$B3</f>
        <v>9466.6666666666679</v>
      </c>
      <c r="K3" s="25">
        <f>+DEPRECIACIÓN!J13*$B3</f>
        <v>9466.6666666666679</v>
      </c>
      <c r="L3" s="25">
        <f>+DEPRECIACIÓN!K13*$B3</f>
        <v>9466.6666666666679</v>
      </c>
      <c r="M3" s="25">
        <f>+DEPRECIACIÓN!L13*$B3</f>
        <v>9466.6666666666679</v>
      </c>
      <c r="N3" s="25">
        <f>+DEPRECIACIÓN!M13*$B3</f>
        <v>9466.6666666666679</v>
      </c>
    </row>
    <row r="4" spans="1:14" s="18" customFormat="1">
      <c r="A4" s="50" t="s">
        <v>39</v>
      </c>
      <c r="B4" s="78">
        <v>0.05</v>
      </c>
      <c r="C4" s="25">
        <f>+DEPRECIACIÓN!B18*$B4</f>
        <v>137500</v>
      </c>
      <c r="D4" s="25">
        <f>+DEPRECIACIÓN!C18*$B4</f>
        <v>137500</v>
      </c>
      <c r="E4" s="25">
        <f>+DEPRECIACIÓN!D18*$B4</f>
        <v>137500</v>
      </c>
      <c r="F4" s="25">
        <f>+DEPRECIACIÓN!E18*$B4</f>
        <v>137500</v>
      </c>
      <c r="G4" s="25">
        <f>+DEPRECIACIÓN!F18*$B4</f>
        <v>137500</v>
      </c>
      <c r="H4" s="25">
        <f>+DEPRECIACIÓN!G18*$B4</f>
        <v>137500</v>
      </c>
      <c r="I4" s="25">
        <f>+DEPRECIACIÓN!H18*$B4</f>
        <v>137500</v>
      </c>
      <c r="J4" s="25">
        <f>+DEPRECIACIÓN!I18*$B4</f>
        <v>137500</v>
      </c>
      <c r="K4" s="25">
        <f>+DEPRECIACIÓN!J18*$B4</f>
        <v>137500</v>
      </c>
      <c r="L4" s="25">
        <f>+DEPRECIACIÓN!K18*$B4</f>
        <v>137500</v>
      </c>
      <c r="M4" s="25">
        <f>+DEPRECIACIÓN!L18*$B4</f>
        <v>137500</v>
      </c>
      <c r="N4" s="25">
        <f>+DEPRECIACIÓN!M18*$B4</f>
        <v>137500</v>
      </c>
    </row>
    <row r="5" spans="1:14" s="18" customFormat="1">
      <c r="A5" s="33" t="s">
        <v>124</v>
      </c>
      <c r="B5" s="78">
        <v>0.05</v>
      </c>
      <c r="C5" s="25">
        <f>+DEPRECIACIÓN!B23*$B5</f>
        <v>3854.5833333333339</v>
      </c>
      <c r="D5" s="25">
        <f>+DEPRECIACIÓN!C23*$B5</f>
        <v>3854.5833333333339</v>
      </c>
      <c r="E5" s="25">
        <f>+DEPRECIACIÓN!D23*$B5</f>
        <v>3854.5833333333339</v>
      </c>
      <c r="F5" s="25">
        <f>+DEPRECIACIÓN!E23*$B5</f>
        <v>3854.5833333333339</v>
      </c>
      <c r="G5" s="25">
        <f>+DEPRECIACIÓN!F23*$B5</f>
        <v>3854.5833333333339</v>
      </c>
      <c r="H5" s="25">
        <f>+DEPRECIACIÓN!G23*$B5</f>
        <v>3854.5833333333339</v>
      </c>
      <c r="I5" s="25">
        <f>+DEPRECIACIÓN!H23*$B5</f>
        <v>3854.5833333333339</v>
      </c>
      <c r="J5" s="25">
        <f>+DEPRECIACIÓN!I23*$B5</f>
        <v>3854.5833333333339</v>
      </c>
      <c r="K5" s="25">
        <f>+DEPRECIACIÓN!J23*$B5</f>
        <v>3854.5833333333339</v>
      </c>
      <c r="L5" s="25">
        <f>+DEPRECIACIÓN!K23*$B5</f>
        <v>3854.5833333333339</v>
      </c>
      <c r="M5" s="25">
        <f>+DEPRECIACIÓN!L23*$B5</f>
        <v>3854.5833333333339</v>
      </c>
      <c r="N5" s="25">
        <f>+DEPRECIACIÓN!M23*$B5</f>
        <v>3854.5833333333339</v>
      </c>
    </row>
    <row r="6" spans="1:14" s="18" customFormat="1">
      <c r="A6" s="50" t="s">
        <v>40</v>
      </c>
      <c r="B6" s="78">
        <v>0.05</v>
      </c>
      <c r="C6" s="25">
        <f>+DEPRECIACIÓN!B28*$B6</f>
        <v>6704.1666666666679</v>
      </c>
      <c r="D6" s="25">
        <f>+DEPRECIACIÓN!C28*$B6</f>
        <v>6704.1666666666679</v>
      </c>
      <c r="E6" s="25">
        <f>+DEPRECIACIÓN!D28*$B6</f>
        <v>6704.1666666666679</v>
      </c>
      <c r="F6" s="25">
        <f>+DEPRECIACIÓN!E28*$B6</f>
        <v>6704.1666666666679</v>
      </c>
      <c r="G6" s="25">
        <f>+DEPRECIACIÓN!F28*$B6</f>
        <v>6704.1666666666679</v>
      </c>
      <c r="H6" s="25">
        <f>+DEPRECIACIÓN!G28*$B6</f>
        <v>6704.1666666666679</v>
      </c>
      <c r="I6" s="25">
        <f>+DEPRECIACIÓN!H28*$B6</f>
        <v>6704.1666666666679</v>
      </c>
      <c r="J6" s="25">
        <f>+DEPRECIACIÓN!I28*$B6</f>
        <v>6704.1666666666679</v>
      </c>
      <c r="K6" s="25">
        <f>+DEPRECIACIÓN!J28*$B6</f>
        <v>6704.1666666666679</v>
      </c>
      <c r="L6" s="25">
        <f>+DEPRECIACIÓN!K28*$B6</f>
        <v>6704.1666666666679</v>
      </c>
      <c r="M6" s="25">
        <f>+DEPRECIACIÓN!L28*$B6</f>
        <v>6704.1666666666679</v>
      </c>
      <c r="N6" s="25">
        <f>+DEPRECIACIÓN!M28*$B6</f>
        <v>6704.1666666666679</v>
      </c>
    </row>
    <row r="7" spans="1:14" s="18" customFormat="1">
      <c r="A7" s="65" t="s">
        <v>29</v>
      </c>
      <c r="B7" s="78"/>
      <c r="C7" s="25">
        <f t="shared" ref="C7:N7" si="0">SUM(C3:C6)</f>
        <v>157525.41666666666</v>
      </c>
      <c r="D7" s="25">
        <f t="shared" si="0"/>
        <v>157525.41666666666</v>
      </c>
      <c r="E7" s="25">
        <f t="shared" si="0"/>
        <v>157525.41666666666</v>
      </c>
      <c r="F7" s="25">
        <f t="shared" si="0"/>
        <v>157525.41666666666</v>
      </c>
      <c r="G7" s="25">
        <f t="shared" si="0"/>
        <v>157525.41666666666</v>
      </c>
      <c r="H7" s="25">
        <f t="shared" si="0"/>
        <v>157525.41666666666</v>
      </c>
      <c r="I7" s="25">
        <f t="shared" si="0"/>
        <v>157525.41666666666</v>
      </c>
      <c r="J7" s="25">
        <f t="shared" si="0"/>
        <v>157525.41666666666</v>
      </c>
      <c r="K7" s="25">
        <f t="shared" si="0"/>
        <v>157525.41666666666</v>
      </c>
      <c r="L7" s="25">
        <f t="shared" si="0"/>
        <v>157525.41666666666</v>
      </c>
      <c r="M7" s="25">
        <f t="shared" si="0"/>
        <v>157525.41666666666</v>
      </c>
      <c r="N7" s="25">
        <f t="shared" si="0"/>
        <v>157525.41666666666</v>
      </c>
    </row>
    <row r="8" spans="1:14" s="18" customFormat="1"/>
    <row r="9" spans="1:14" s="18" customFormat="1">
      <c r="A9" s="65" t="s">
        <v>136</v>
      </c>
      <c r="B9" s="28" t="s">
        <v>135</v>
      </c>
      <c r="C9" s="77" t="s">
        <v>81</v>
      </c>
      <c r="D9" s="77" t="s">
        <v>82</v>
      </c>
      <c r="E9" s="77" t="s">
        <v>83</v>
      </c>
      <c r="F9" s="77" t="s">
        <v>84</v>
      </c>
      <c r="G9" s="77" t="s">
        <v>85</v>
      </c>
      <c r="H9" s="77" t="s">
        <v>86</v>
      </c>
      <c r="I9" s="77" t="s">
        <v>87</v>
      </c>
      <c r="J9" s="77" t="s">
        <v>88</v>
      </c>
      <c r="K9" s="77" t="s">
        <v>89</v>
      </c>
      <c r="L9" s="77" t="s">
        <v>90</v>
      </c>
      <c r="M9" s="77" t="s">
        <v>91</v>
      </c>
      <c r="N9" s="77" t="s">
        <v>92</v>
      </c>
    </row>
    <row r="10" spans="1:14" s="18" customFormat="1">
      <c r="A10" s="50" t="s">
        <v>118</v>
      </c>
      <c r="B10" s="78">
        <v>0.05</v>
      </c>
      <c r="C10" s="25">
        <f>+DEPRECIACIÓN!B13*$B10</f>
        <v>9466.6666666666679</v>
      </c>
      <c r="D10" s="25">
        <f>+DEPRECIACIÓN!C13*$B10</f>
        <v>9466.6666666666679</v>
      </c>
      <c r="E10" s="25">
        <f>+DEPRECIACIÓN!D13*$B10</f>
        <v>9466.6666666666679</v>
      </c>
      <c r="F10" s="25">
        <f>+DEPRECIACIÓN!E13*$B10</f>
        <v>9466.6666666666679</v>
      </c>
      <c r="G10" s="25">
        <f>+DEPRECIACIÓN!F13*$B10</f>
        <v>9466.6666666666679</v>
      </c>
      <c r="H10" s="25">
        <f>+DEPRECIACIÓN!G13*$B10</f>
        <v>9466.6666666666679</v>
      </c>
      <c r="I10" s="25">
        <f>+DEPRECIACIÓN!H13*$B10</f>
        <v>9466.6666666666679</v>
      </c>
      <c r="J10" s="25">
        <f>+DEPRECIACIÓN!I13*$B10</f>
        <v>9466.6666666666679</v>
      </c>
      <c r="K10" s="25">
        <f>+DEPRECIACIÓN!J13*$B10</f>
        <v>9466.6666666666679</v>
      </c>
      <c r="L10" s="25">
        <f>+DEPRECIACIÓN!K13*$B10</f>
        <v>9466.6666666666679</v>
      </c>
      <c r="M10" s="25">
        <f>+DEPRECIACIÓN!L13*$B10</f>
        <v>9466.6666666666679</v>
      </c>
      <c r="N10" s="25">
        <f>+DEPRECIACIÓN!M13*$B10</f>
        <v>9466.6666666666679</v>
      </c>
    </row>
    <row r="11" spans="1:14" s="18" customFormat="1">
      <c r="A11" s="50" t="s">
        <v>39</v>
      </c>
      <c r="B11" s="78">
        <v>0.05</v>
      </c>
      <c r="C11" s="25">
        <f>+DEPRECIACIÓN!B18*$B11</f>
        <v>137500</v>
      </c>
      <c r="D11" s="25">
        <f>+DEPRECIACIÓN!C18*$B11</f>
        <v>137500</v>
      </c>
      <c r="E11" s="25">
        <f>+DEPRECIACIÓN!D18*$B11</f>
        <v>137500</v>
      </c>
      <c r="F11" s="25">
        <f>+DEPRECIACIÓN!E18*$B11</f>
        <v>137500</v>
      </c>
      <c r="G11" s="25">
        <f>+DEPRECIACIÓN!F18*$B11</f>
        <v>137500</v>
      </c>
      <c r="H11" s="25">
        <f>+DEPRECIACIÓN!G18*$B11</f>
        <v>137500</v>
      </c>
      <c r="I11" s="25">
        <f>+DEPRECIACIÓN!H18*$B11</f>
        <v>137500</v>
      </c>
      <c r="J11" s="25">
        <f>+DEPRECIACIÓN!I18*$B11</f>
        <v>137500</v>
      </c>
      <c r="K11" s="25">
        <f>+DEPRECIACIÓN!J18*$B11</f>
        <v>137500</v>
      </c>
      <c r="L11" s="25">
        <f>+DEPRECIACIÓN!K18*$B11</f>
        <v>137500</v>
      </c>
      <c r="M11" s="25">
        <f>+DEPRECIACIÓN!L18*$B11</f>
        <v>137500</v>
      </c>
      <c r="N11" s="25">
        <f>+DEPRECIACIÓN!M18*$B11</f>
        <v>137500</v>
      </c>
    </row>
    <row r="12" spans="1:14" s="18" customFormat="1">
      <c r="A12" s="33" t="s">
        <v>124</v>
      </c>
      <c r="B12" s="78">
        <v>0.05</v>
      </c>
      <c r="C12" s="25">
        <f>+DEPRECIACIÓN!B23*$B12</f>
        <v>3854.5833333333339</v>
      </c>
      <c r="D12" s="25">
        <f>+DEPRECIACIÓN!C23*$B12</f>
        <v>3854.5833333333339</v>
      </c>
      <c r="E12" s="25">
        <f>+DEPRECIACIÓN!D23*$B12</f>
        <v>3854.5833333333339</v>
      </c>
      <c r="F12" s="25">
        <f>+DEPRECIACIÓN!E23*$B12</f>
        <v>3854.5833333333339</v>
      </c>
      <c r="G12" s="25">
        <f>+DEPRECIACIÓN!F23*$B12</f>
        <v>3854.5833333333339</v>
      </c>
      <c r="H12" s="25">
        <f>+DEPRECIACIÓN!G23*$B12</f>
        <v>3854.5833333333339</v>
      </c>
      <c r="I12" s="25">
        <f>+DEPRECIACIÓN!H23*$B12</f>
        <v>3854.5833333333339</v>
      </c>
      <c r="J12" s="25">
        <f>+DEPRECIACIÓN!I23*$B12</f>
        <v>3854.5833333333339</v>
      </c>
      <c r="K12" s="25">
        <f>+DEPRECIACIÓN!J23*$B12</f>
        <v>3854.5833333333339</v>
      </c>
      <c r="L12" s="25">
        <f>+DEPRECIACIÓN!K23*$B12</f>
        <v>3854.5833333333339</v>
      </c>
      <c r="M12" s="25">
        <f>+DEPRECIACIÓN!L23*$B12</f>
        <v>3854.5833333333339</v>
      </c>
      <c r="N12" s="25">
        <f>+DEPRECIACIÓN!M23*$B12</f>
        <v>3854.5833333333339</v>
      </c>
    </row>
    <row r="13" spans="1:14" s="18" customFormat="1">
      <c r="A13" s="65" t="s">
        <v>29</v>
      </c>
      <c r="B13" s="78"/>
      <c r="C13" s="25">
        <f t="shared" ref="C13:N13" si="1">SUM(C10:C12)</f>
        <v>150821.25</v>
      </c>
      <c r="D13" s="25">
        <f t="shared" si="1"/>
        <v>150821.25</v>
      </c>
      <c r="E13" s="25">
        <f t="shared" si="1"/>
        <v>150821.25</v>
      </c>
      <c r="F13" s="25">
        <f t="shared" si="1"/>
        <v>150821.25</v>
      </c>
      <c r="G13" s="25">
        <f t="shared" si="1"/>
        <v>150821.25</v>
      </c>
      <c r="H13" s="25">
        <f t="shared" si="1"/>
        <v>150821.25</v>
      </c>
      <c r="I13" s="25">
        <f t="shared" si="1"/>
        <v>150821.25</v>
      </c>
      <c r="J13" s="25">
        <f t="shared" si="1"/>
        <v>150821.25</v>
      </c>
      <c r="K13" s="25">
        <f t="shared" si="1"/>
        <v>150821.25</v>
      </c>
      <c r="L13" s="25">
        <f t="shared" si="1"/>
        <v>150821.25</v>
      </c>
      <c r="M13" s="25">
        <f t="shared" si="1"/>
        <v>150821.25</v>
      </c>
      <c r="N13" s="25">
        <f t="shared" si="1"/>
        <v>150821.25</v>
      </c>
    </row>
    <row r="14" spans="1:14" s="18" customFormat="1">
      <c r="B14" s="3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s="18" customFormat="1">
      <c r="A15" s="106" t="s">
        <v>137</v>
      </c>
      <c r="B15" s="106">
        <v>0.92</v>
      </c>
      <c r="C15" s="77" t="s">
        <v>81</v>
      </c>
      <c r="D15" s="77" t="s">
        <v>82</v>
      </c>
      <c r="E15" s="77" t="s">
        <v>83</v>
      </c>
      <c r="F15" s="77" t="s">
        <v>84</v>
      </c>
      <c r="G15" s="77" t="s">
        <v>85</v>
      </c>
      <c r="H15" s="77" t="s">
        <v>86</v>
      </c>
      <c r="I15" s="77" t="s">
        <v>87</v>
      </c>
      <c r="J15" s="77" t="s">
        <v>88</v>
      </c>
      <c r="K15" s="77" t="s">
        <v>89</v>
      </c>
      <c r="L15" s="77" t="s">
        <v>90</v>
      </c>
      <c r="M15" s="77" t="s">
        <v>91</v>
      </c>
      <c r="N15" s="77" t="s">
        <v>92</v>
      </c>
    </row>
    <row r="16" spans="1:14" s="18" customFormat="1">
      <c r="A16" s="65" t="s">
        <v>134</v>
      </c>
      <c r="B16" s="78"/>
      <c r="C16" s="23">
        <f>+C7*$B$15</f>
        <v>144923.38333333333</v>
      </c>
      <c r="D16" s="23">
        <f t="shared" ref="D16:N16" si="2">+D7*$B$15</f>
        <v>144923.38333333333</v>
      </c>
      <c r="E16" s="23">
        <f t="shared" si="2"/>
        <v>144923.38333333333</v>
      </c>
      <c r="F16" s="23">
        <f t="shared" si="2"/>
        <v>144923.38333333333</v>
      </c>
      <c r="G16" s="23">
        <f t="shared" si="2"/>
        <v>144923.38333333333</v>
      </c>
      <c r="H16" s="23">
        <f t="shared" si="2"/>
        <v>144923.38333333333</v>
      </c>
      <c r="I16" s="23">
        <f t="shared" si="2"/>
        <v>144923.38333333333</v>
      </c>
      <c r="J16" s="23">
        <f t="shared" si="2"/>
        <v>144923.38333333333</v>
      </c>
      <c r="K16" s="23">
        <f t="shared" si="2"/>
        <v>144923.38333333333</v>
      </c>
      <c r="L16" s="23">
        <f t="shared" si="2"/>
        <v>144923.38333333333</v>
      </c>
      <c r="M16" s="23">
        <f t="shared" si="2"/>
        <v>144923.38333333333</v>
      </c>
      <c r="N16" s="23">
        <f t="shared" si="2"/>
        <v>144923.38333333333</v>
      </c>
    </row>
    <row r="17" spans="1:15" s="18" customFormat="1">
      <c r="A17" s="65" t="s">
        <v>136</v>
      </c>
      <c r="B17" s="78"/>
      <c r="C17" s="25">
        <f>+C13*$B$15</f>
        <v>138755.55000000002</v>
      </c>
      <c r="D17" s="25">
        <f t="shared" ref="D17:N17" si="3">+D13*$B$15</f>
        <v>138755.55000000002</v>
      </c>
      <c r="E17" s="25">
        <f t="shared" si="3"/>
        <v>138755.55000000002</v>
      </c>
      <c r="F17" s="25">
        <f t="shared" si="3"/>
        <v>138755.55000000002</v>
      </c>
      <c r="G17" s="25">
        <f t="shared" si="3"/>
        <v>138755.55000000002</v>
      </c>
      <c r="H17" s="25">
        <f t="shared" si="3"/>
        <v>138755.55000000002</v>
      </c>
      <c r="I17" s="25">
        <f t="shared" si="3"/>
        <v>138755.55000000002</v>
      </c>
      <c r="J17" s="25">
        <f t="shared" si="3"/>
        <v>138755.55000000002</v>
      </c>
      <c r="K17" s="25">
        <f t="shared" si="3"/>
        <v>138755.55000000002</v>
      </c>
      <c r="L17" s="25">
        <f t="shared" si="3"/>
        <v>138755.55000000002</v>
      </c>
      <c r="M17" s="25">
        <f t="shared" si="3"/>
        <v>138755.55000000002</v>
      </c>
      <c r="N17" s="25">
        <f t="shared" si="3"/>
        <v>138755.55000000002</v>
      </c>
    </row>
    <row r="18" spans="1:15" s="18" customFormat="1">
      <c r="A18" s="65" t="s">
        <v>138</v>
      </c>
      <c r="B18" s="33"/>
      <c r="C18" s="25">
        <f>SUM(C16:C17)</f>
        <v>283678.93333333335</v>
      </c>
      <c r="D18" s="25">
        <f t="shared" ref="D18:N18" si="4">SUM(D16:D17)</f>
        <v>283678.93333333335</v>
      </c>
      <c r="E18" s="25">
        <f t="shared" si="4"/>
        <v>283678.93333333335</v>
      </c>
      <c r="F18" s="25">
        <f t="shared" si="4"/>
        <v>283678.93333333335</v>
      </c>
      <c r="G18" s="25">
        <f t="shared" si="4"/>
        <v>283678.93333333335</v>
      </c>
      <c r="H18" s="25">
        <f t="shared" si="4"/>
        <v>283678.93333333335</v>
      </c>
      <c r="I18" s="25">
        <f t="shared" si="4"/>
        <v>283678.93333333335</v>
      </c>
      <c r="J18" s="25">
        <f t="shared" si="4"/>
        <v>283678.93333333335</v>
      </c>
      <c r="K18" s="25">
        <f t="shared" si="4"/>
        <v>283678.93333333335</v>
      </c>
      <c r="L18" s="25">
        <f t="shared" si="4"/>
        <v>283678.93333333335</v>
      </c>
      <c r="M18" s="25">
        <f t="shared" si="4"/>
        <v>283678.93333333335</v>
      </c>
      <c r="N18" s="25">
        <f t="shared" si="4"/>
        <v>283678.93333333335</v>
      </c>
    </row>
    <row r="19" spans="1:15" s="18" customFormat="1">
      <c r="B19" s="38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5" s="18" customFormat="1">
      <c r="A20" s="442" t="s">
        <v>139</v>
      </c>
      <c r="B20" s="442"/>
      <c r="C20" s="77" t="s">
        <v>81</v>
      </c>
      <c r="D20" s="77" t="s">
        <v>82</v>
      </c>
      <c r="E20" s="77" t="s">
        <v>83</v>
      </c>
      <c r="F20" s="77" t="s">
        <v>84</v>
      </c>
      <c r="G20" s="77" t="s">
        <v>85</v>
      </c>
      <c r="H20" s="77" t="s">
        <v>86</v>
      </c>
      <c r="I20" s="77" t="s">
        <v>87</v>
      </c>
      <c r="J20" s="77" t="s">
        <v>88</v>
      </c>
      <c r="K20" s="77" t="s">
        <v>89</v>
      </c>
      <c r="L20" s="77" t="s">
        <v>90</v>
      </c>
      <c r="M20" s="77" t="s">
        <v>91</v>
      </c>
      <c r="N20" s="77" t="s">
        <v>92</v>
      </c>
    </row>
    <row r="21" spans="1:15" s="18" customFormat="1">
      <c r="A21" s="448" t="s">
        <v>140</v>
      </c>
      <c r="B21" s="449"/>
      <c r="C21" s="25">
        <v>400000</v>
      </c>
      <c r="D21" s="25">
        <f t="shared" ref="D21:N21" si="5">+C21</f>
        <v>400000</v>
      </c>
      <c r="E21" s="25">
        <f t="shared" si="5"/>
        <v>400000</v>
      </c>
      <c r="F21" s="25">
        <f t="shared" si="5"/>
        <v>400000</v>
      </c>
      <c r="G21" s="25">
        <f t="shared" si="5"/>
        <v>400000</v>
      </c>
      <c r="H21" s="25">
        <f t="shared" si="5"/>
        <v>400000</v>
      </c>
      <c r="I21" s="25">
        <f t="shared" si="5"/>
        <v>400000</v>
      </c>
      <c r="J21" s="25">
        <f t="shared" si="5"/>
        <v>400000</v>
      </c>
      <c r="K21" s="25">
        <f t="shared" si="5"/>
        <v>400000</v>
      </c>
      <c r="L21" s="25">
        <f t="shared" si="5"/>
        <v>400000</v>
      </c>
      <c r="M21" s="25">
        <f t="shared" si="5"/>
        <v>400000</v>
      </c>
      <c r="N21" s="25">
        <f t="shared" si="5"/>
        <v>400000</v>
      </c>
    </row>
    <row r="22" spans="1:15" s="18" customFormat="1">
      <c r="A22" s="448" t="s">
        <v>141</v>
      </c>
      <c r="B22" s="449"/>
      <c r="C22" s="25">
        <v>500000</v>
      </c>
      <c r="D22" s="25">
        <f t="shared" ref="D22:N22" si="6">+C22</f>
        <v>500000</v>
      </c>
      <c r="E22" s="25">
        <f t="shared" si="6"/>
        <v>500000</v>
      </c>
      <c r="F22" s="25">
        <f t="shared" si="6"/>
        <v>500000</v>
      </c>
      <c r="G22" s="25">
        <f t="shared" si="6"/>
        <v>500000</v>
      </c>
      <c r="H22" s="25">
        <f t="shared" si="6"/>
        <v>500000</v>
      </c>
      <c r="I22" s="25">
        <f t="shared" si="6"/>
        <v>500000</v>
      </c>
      <c r="J22" s="25">
        <f t="shared" si="6"/>
        <v>500000</v>
      </c>
      <c r="K22" s="25">
        <f t="shared" si="6"/>
        <v>500000</v>
      </c>
      <c r="L22" s="25">
        <f t="shared" si="6"/>
        <v>500000</v>
      </c>
      <c r="M22" s="25">
        <f t="shared" si="6"/>
        <v>500000</v>
      </c>
      <c r="N22" s="25">
        <f t="shared" si="6"/>
        <v>500000</v>
      </c>
    </row>
    <row r="23" spans="1:15" s="18" customFormat="1">
      <c r="A23" s="448" t="s">
        <v>142</v>
      </c>
      <c r="B23" s="449"/>
      <c r="C23" s="25">
        <v>150000</v>
      </c>
      <c r="D23" s="25">
        <f t="shared" ref="D23:N23" si="7">+C23</f>
        <v>150000</v>
      </c>
      <c r="E23" s="25">
        <f t="shared" si="7"/>
        <v>150000</v>
      </c>
      <c r="F23" s="25">
        <f t="shared" si="7"/>
        <v>150000</v>
      </c>
      <c r="G23" s="25">
        <f t="shared" si="7"/>
        <v>150000</v>
      </c>
      <c r="H23" s="25">
        <f t="shared" si="7"/>
        <v>150000</v>
      </c>
      <c r="I23" s="25">
        <f t="shared" si="7"/>
        <v>150000</v>
      </c>
      <c r="J23" s="25">
        <f t="shared" si="7"/>
        <v>150000</v>
      </c>
      <c r="K23" s="25">
        <f t="shared" si="7"/>
        <v>150000</v>
      </c>
      <c r="L23" s="25">
        <f t="shared" si="7"/>
        <v>150000</v>
      </c>
      <c r="M23" s="25">
        <f t="shared" si="7"/>
        <v>150000</v>
      </c>
      <c r="N23" s="25">
        <f t="shared" si="7"/>
        <v>150000</v>
      </c>
    </row>
    <row r="24" spans="1:15" s="18" customFormat="1">
      <c r="A24" s="440" t="s">
        <v>29</v>
      </c>
      <c r="B24" s="441"/>
      <c r="C24" s="25">
        <f>SUM(C21:C23)</f>
        <v>1050000</v>
      </c>
      <c r="D24" s="25">
        <f t="shared" ref="D24:N24" si="8">+C24</f>
        <v>1050000</v>
      </c>
      <c r="E24" s="25">
        <f t="shared" si="8"/>
        <v>1050000</v>
      </c>
      <c r="F24" s="25">
        <f t="shared" si="8"/>
        <v>1050000</v>
      </c>
      <c r="G24" s="25">
        <f t="shared" si="8"/>
        <v>1050000</v>
      </c>
      <c r="H24" s="25">
        <f t="shared" si="8"/>
        <v>1050000</v>
      </c>
      <c r="I24" s="25">
        <f t="shared" si="8"/>
        <v>1050000</v>
      </c>
      <c r="J24" s="25">
        <f t="shared" si="8"/>
        <v>1050000</v>
      </c>
      <c r="K24" s="25">
        <f t="shared" si="8"/>
        <v>1050000</v>
      </c>
      <c r="L24" s="25">
        <f t="shared" si="8"/>
        <v>1050000</v>
      </c>
      <c r="M24" s="25">
        <f t="shared" si="8"/>
        <v>1050000</v>
      </c>
      <c r="N24" s="25">
        <f t="shared" si="8"/>
        <v>1050000</v>
      </c>
    </row>
    <row r="27" spans="1:15" s="18" customFormat="1">
      <c r="A27" s="450" t="s">
        <v>143</v>
      </c>
      <c r="B27" s="450"/>
      <c r="C27" s="79" t="s">
        <v>137</v>
      </c>
      <c r="D27" s="28" t="s">
        <v>108</v>
      </c>
    </row>
    <row r="28" spans="1:15" s="18" customFormat="1">
      <c r="A28" s="80" t="s">
        <v>144</v>
      </c>
      <c r="B28" s="81"/>
      <c r="C28" s="82">
        <v>0.5</v>
      </c>
      <c r="D28" s="82">
        <v>0.5</v>
      </c>
    </row>
    <row r="29" spans="1:15" s="18" customFormat="1"/>
    <row r="30" spans="1:15" s="18" customFormat="1">
      <c r="C30" s="89"/>
      <c r="D30" s="440">
        <v>2023</v>
      </c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1"/>
    </row>
    <row r="31" spans="1:15" s="18" customFormat="1">
      <c r="A31" s="67" t="s">
        <v>137</v>
      </c>
      <c r="C31" s="90"/>
      <c r="D31" s="77" t="s">
        <v>81</v>
      </c>
      <c r="E31" s="77" t="s">
        <v>82</v>
      </c>
      <c r="F31" s="77" t="s">
        <v>83</v>
      </c>
      <c r="G31" s="77" t="s">
        <v>84</v>
      </c>
      <c r="H31" s="77" t="s">
        <v>85</v>
      </c>
      <c r="I31" s="77" t="s">
        <v>86</v>
      </c>
      <c r="J31" s="77" t="s">
        <v>87</v>
      </c>
      <c r="K31" s="77" t="s">
        <v>88</v>
      </c>
      <c r="L31" s="77" t="s">
        <v>89</v>
      </c>
      <c r="M31" s="77" t="s">
        <v>90</v>
      </c>
      <c r="N31" s="77" t="s">
        <v>91</v>
      </c>
      <c r="O31" s="77" t="s">
        <v>92</v>
      </c>
    </row>
    <row r="32" spans="1:15" s="18" customFormat="1">
      <c r="A32" s="65" t="s">
        <v>145</v>
      </c>
      <c r="B32" s="78"/>
      <c r="C32" s="23"/>
      <c r="D32" s="91">
        <f>+C24*$C$28</f>
        <v>525000</v>
      </c>
      <c r="E32" s="91">
        <f t="shared" ref="E32:O32" si="9">+D24*$C$28</f>
        <v>525000</v>
      </c>
      <c r="F32" s="91">
        <f t="shared" si="9"/>
        <v>525000</v>
      </c>
      <c r="G32" s="91">
        <f t="shared" si="9"/>
        <v>525000</v>
      </c>
      <c r="H32" s="91">
        <f t="shared" si="9"/>
        <v>525000</v>
      </c>
      <c r="I32" s="91">
        <f t="shared" si="9"/>
        <v>525000</v>
      </c>
      <c r="J32" s="91">
        <f t="shared" si="9"/>
        <v>525000</v>
      </c>
      <c r="K32" s="91">
        <f t="shared" si="9"/>
        <v>525000</v>
      </c>
      <c r="L32" s="91">
        <f t="shared" si="9"/>
        <v>525000</v>
      </c>
      <c r="M32" s="91">
        <f t="shared" si="9"/>
        <v>525000</v>
      </c>
      <c r="N32" s="91">
        <f t="shared" si="9"/>
        <v>525000</v>
      </c>
      <c r="O32" s="91">
        <f t="shared" si="9"/>
        <v>525000</v>
      </c>
    </row>
    <row r="33" spans="1:15" s="18" customFormat="1"/>
    <row r="34" spans="1:15" s="18" customFormat="1">
      <c r="A34" s="446" t="s">
        <v>146</v>
      </c>
      <c r="B34" s="447"/>
      <c r="C34" s="65" t="s">
        <v>147</v>
      </c>
      <c r="D34" s="77" t="s">
        <v>81</v>
      </c>
      <c r="E34" s="77" t="s">
        <v>82</v>
      </c>
      <c r="F34" s="77" t="s">
        <v>83</v>
      </c>
      <c r="G34" s="77" t="s">
        <v>84</v>
      </c>
      <c r="H34" s="77" t="s">
        <v>85</v>
      </c>
      <c r="I34" s="77" t="s">
        <v>86</v>
      </c>
      <c r="J34" s="77" t="s">
        <v>87</v>
      </c>
      <c r="K34" s="77" t="s">
        <v>88</v>
      </c>
      <c r="L34" s="77" t="s">
        <v>89</v>
      </c>
      <c r="M34" s="77" t="s">
        <v>90</v>
      </c>
      <c r="N34" s="77" t="s">
        <v>91</v>
      </c>
      <c r="O34" s="77" t="s">
        <v>92</v>
      </c>
    </row>
    <row r="35" spans="1:15" s="18" customFormat="1">
      <c r="A35" s="33" t="s">
        <v>148</v>
      </c>
      <c r="B35" s="33">
        <v>10</v>
      </c>
      <c r="C35" s="92">
        <f>9.67*1000</f>
        <v>9670</v>
      </c>
      <c r="D35" s="93">
        <f>+$C$35*$B$35</f>
        <v>96700</v>
      </c>
      <c r="E35" s="93">
        <f t="shared" ref="E35:O35" si="10">+$C$35*$B$35</f>
        <v>96700</v>
      </c>
      <c r="F35" s="93">
        <f t="shared" si="10"/>
        <v>96700</v>
      </c>
      <c r="G35" s="93">
        <f t="shared" si="10"/>
        <v>96700</v>
      </c>
      <c r="H35" s="93">
        <f t="shared" si="10"/>
        <v>96700</v>
      </c>
      <c r="I35" s="93">
        <f t="shared" si="10"/>
        <v>96700</v>
      </c>
      <c r="J35" s="93">
        <f t="shared" si="10"/>
        <v>96700</v>
      </c>
      <c r="K35" s="93">
        <f t="shared" si="10"/>
        <v>96700</v>
      </c>
      <c r="L35" s="93">
        <f t="shared" si="10"/>
        <v>96700</v>
      </c>
      <c r="M35" s="93">
        <f t="shared" si="10"/>
        <v>96700</v>
      </c>
      <c r="N35" s="93">
        <f t="shared" si="10"/>
        <v>96700</v>
      </c>
      <c r="O35" s="93">
        <f t="shared" si="10"/>
        <v>96700</v>
      </c>
    </row>
    <row r="36" spans="1:15" s="18" customFormat="1">
      <c r="A36" s="33" t="s">
        <v>149</v>
      </c>
      <c r="B36" s="33">
        <v>10</v>
      </c>
      <c r="C36" s="92">
        <v>9950</v>
      </c>
      <c r="D36" s="93">
        <f>+$B$36*$C$36</f>
        <v>99500</v>
      </c>
      <c r="E36" s="93">
        <f t="shared" ref="E36:O36" si="11">+$B$36*$C$36</f>
        <v>99500</v>
      </c>
      <c r="F36" s="93">
        <f t="shared" si="11"/>
        <v>99500</v>
      </c>
      <c r="G36" s="93">
        <f t="shared" si="11"/>
        <v>99500</v>
      </c>
      <c r="H36" s="93">
        <f t="shared" si="11"/>
        <v>99500</v>
      </c>
      <c r="I36" s="93">
        <f t="shared" si="11"/>
        <v>99500</v>
      </c>
      <c r="J36" s="93">
        <f t="shared" si="11"/>
        <v>99500</v>
      </c>
      <c r="K36" s="93">
        <f t="shared" si="11"/>
        <v>99500</v>
      </c>
      <c r="L36" s="93">
        <f t="shared" si="11"/>
        <v>99500</v>
      </c>
      <c r="M36" s="93">
        <f t="shared" si="11"/>
        <v>99500</v>
      </c>
      <c r="N36" s="93">
        <f t="shared" si="11"/>
        <v>99500</v>
      </c>
      <c r="O36" s="93">
        <f t="shared" si="11"/>
        <v>99500</v>
      </c>
    </row>
    <row r="37" spans="1:15" s="18" customFormat="1" ht="15" customHeight="1">
      <c r="A37" s="18" t="s">
        <v>150</v>
      </c>
      <c r="B37" s="33">
        <v>250</v>
      </c>
      <c r="C37" s="92">
        <v>9856</v>
      </c>
      <c r="D37" s="93">
        <f>+$B$37*$C$37</f>
        <v>2464000</v>
      </c>
      <c r="E37" s="93">
        <f t="shared" ref="E37:O37" si="12">+$B$37*$C$37</f>
        <v>2464000</v>
      </c>
      <c r="F37" s="93">
        <f t="shared" si="12"/>
        <v>2464000</v>
      </c>
      <c r="G37" s="93">
        <f t="shared" si="12"/>
        <v>2464000</v>
      </c>
      <c r="H37" s="93">
        <f t="shared" si="12"/>
        <v>2464000</v>
      </c>
      <c r="I37" s="93">
        <f t="shared" si="12"/>
        <v>2464000</v>
      </c>
      <c r="J37" s="93">
        <f t="shared" si="12"/>
        <v>2464000</v>
      </c>
      <c r="K37" s="93">
        <f t="shared" si="12"/>
        <v>2464000</v>
      </c>
      <c r="L37" s="93">
        <f t="shared" si="12"/>
        <v>2464000</v>
      </c>
      <c r="M37" s="93">
        <f t="shared" si="12"/>
        <v>2464000</v>
      </c>
      <c r="N37" s="93">
        <f t="shared" si="12"/>
        <v>2464000</v>
      </c>
      <c r="O37" s="93">
        <f t="shared" si="12"/>
        <v>2464000</v>
      </c>
    </row>
    <row r="38" spans="1:15" s="18" customFormat="1">
      <c r="A38" s="446" t="s">
        <v>151</v>
      </c>
      <c r="B38" s="452"/>
      <c r="C38" s="447"/>
      <c r="D38" s="91">
        <f t="shared" ref="D38:O38" si="13">SUM(D35:D37)</f>
        <v>2660200</v>
      </c>
      <c r="E38" s="91">
        <f t="shared" si="13"/>
        <v>2660200</v>
      </c>
      <c r="F38" s="91">
        <f t="shared" si="13"/>
        <v>2660200</v>
      </c>
      <c r="G38" s="91">
        <f t="shared" si="13"/>
        <v>2660200</v>
      </c>
      <c r="H38" s="91">
        <f t="shared" si="13"/>
        <v>2660200</v>
      </c>
      <c r="I38" s="91">
        <f t="shared" si="13"/>
        <v>2660200</v>
      </c>
      <c r="J38" s="91">
        <f t="shared" si="13"/>
        <v>2660200</v>
      </c>
      <c r="K38" s="91">
        <f t="shared" si="13"/>
        <v>2660200</v>
      </c>
      <c r="L38" s="91">
        <f t="shared" si="13"/>
        <v>2660200</v>
      </c>
      <c r="M38" s="91">
        <f t="shared" si="13"/>
        <v>2660200</v>
      </c>
      <c r="N38" s="91">
        <f t="shared" si="13"/>
        <v>2660200</v>
      </c>
      <c r="O38" s="91">
        <f t="shared" si="13"/>
        <v>2660200</v>
      </c>
    </row>
    <row r="39" spans="1:15" s="18" customFormat="1"/>
    <row r="40" spans="1:15" s="18" customFormat="1"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</row>
    <row r="41" spans="1:15" s="18" customFormat="1">
      <c r="A41" s="438" t="s">
        <v>152</v>
      </c>
      <c r="B41" s="438"/>
      <c r="C41" s="438"/>
      <c r="D41" s="86" t="s">
        <v>81</v>
      </c>
      <c r="E41" s="86" t="s">
        <v>82</v>
      </c>
      <c r="F41" s="86" t="s">
        <v>83</v>
      </c>
      <c r="G41" s="86" t="s">
        <v>84</v>
      </c>
      <c r="H41" s="86" t="s">
        <v>85</v>
      </c>
      <c r="I41" s="86" t="s">
        <v>86</v>
      </c>
      <c r="J41" s="86" t="s">
        <v>87</v>
      </c>
      <c r="K41" s="86" t="s">
        <v>88</v>
      </c>
      <c r="L41" s="86" t="s">
        <v>89</v>
      </c>
      <c r="M41" s="86" t="s">
        <v>90</v>
      </c>
      <c r="N41" s="86" t="s">
        <v>91</v>
      </c>
      <c r="O41" s="86" t="s">
        <v>92</v>
      </c>
    </row>
    <row r="42" spans="1:15" s="18" customFormat="1">
      <c r="A42" s="440" t="s">
        <v>153</v>
      </c>
      <c r="B42" s="445"/>
      <c r="C42" s="441"/>
      <c r="D42" s="23">
        <f t="shared" ref="D42:O42" si="14">+D32+D38+C18</f>
        <v>3468878.9333333336</v>
      </c>
      <c r="E42" s="23">
        <f t="shared" si="14"/>
        <v>3468878.9333333336</v>
      </c>
      <c r="F42" s="23">
        <f t="shared" si="14"/>
        <v>3468878.9333333336</v>
      </c>
      <c r="G42" s="23">
        <f t="shared" si="14"/>
        <v>3468878.9333333336</v>
      </c>
      <c r="H42" s="23">
        <f t="shared" si="14"/>
        <v>3468878.9333333336</v>
      </c>
      <c r="I42" s="23">
        <f t="shared" si="14"/>
        <v>3468878.9333333336</v>
      </c>
      <c r="J42" s="23">
        <f t="shared" si="14"/>
        <v>3468878.9333333336</v>
      </c>
      <c r="K42" s="23">
        <f t="shared" si="14"/>
        <v>3468878.9333333336</v>
      </c>
      <c r="L42" s="23">
        <f t="shared" si="14"/>
        <v>3468878.9333333336</v>
      </c>
      <c r="M42" s="23">
        <f t="shared" si="14"/>
        <v>3468878.9333333336</v>
      </c>
      <c r="N42" s="23">
        <f t="shared" si="14"/>
        <v>3468878.9333333336</v>
      </c>
      <c r="O42" s="23">
        <f t="shared" si="14"/>
        <v>3468878.9333333336</v>
      </c>
    </row>
    <row r="43" spans="1:15" s="18" customFormat="1">
      <c r="A43" s="442" t="s">
        <v>154</v>
      </c>
      <c r="B43" s="442"/>
      <c r="C43" s="78">
        <v>0.05</v>
      </c>
      <c r="D43" s="23">
        <f>+D42*$C$43</f>
        <v>173443.94666666668</v>
      </c>
      <c r="E43" s="23">
        <f t="shared" ref="E43:O43" si="15">+E42*$C$43</f>
        <v>173443.94666666668</v>
      </c>
      <c r="F43" s="23">
        <f t="shared" si="15"/>
        <v>173443.94666666668</v>
      </c>
      <c r="G43" s="23">
        <f t="shared" si="15"/>
        <v>173443.94666666668</v>
      </c>
      <c r="H43" s="23">
        <f t="shared" si="15"/>
        <v>173443.94666666668</v>
      </c>
      <c r="I43" s="23">
        <f t="shared" si="15"/>
        <v>173443.94666666668</v>
      </c>
      <c r="J43" s="23">
        <f t="shared" si="15"/>
        <v>173443.94666666668</v>
      </c>
      <c r="K43" s="23">
        <f t="shared" si="15"/>
        <v>173443.94666666668</v>
      </c>
      <c r="L43" s="23">
        <f t="shared" si="15"/>
        <v>173443.94666666668</v>
      </c>
      <c r="M43" s="23">
        <f t="shared" si="15"/>
        <v>173443.94666666668</v>
      </c>
      <c r="N43" s="23">
        <f t="shared" si="15"/>
        <v>173443.94666666668</v>
      </c>
      <c r="O43" s="23">
        <f t="shared" si="15"/>
        <v>173443.94666666668</v>
      </c>
    </row>
    <row r="44" spans="1:15" s="67" customFormat="1" ht="14.25">
      <c r="A44" s="442" t="s">
        <v>109</v>
      </c>
      <c r="B44" s="442"/>
      <c r="C44" s="442"/>
      <c r="D44" s="91">
        <f>SUM(D42:D43)</f>
        <v>3642322.8800000004</v>
      </c>
      <c r="E44" s="91">
        <f t="shared" ref="E44:O44" si="16">SUM(E42:E43)</f>
        <v>3642322.8800000004</v>
      </c>
      <c r="F44" s="91">
        <f t="shared" si="16"/>
        <v>3642322.8800000004</v>
      </c>
      <c r="G44" s="91">
        <f t="shared" si="16"/>
        <v>3642322.8800000004</v>
      </c>
      <c r="H44" s="91">
        <f t="shared" si="16"/>
        <v>3642322.8800000004</v>
      </c>
      <c r="I44" s="91">
        <f t="shared" si="16"/>
        <v>3642322.8800000004</v>
      </c>
      <c r="J44" s="91">
        <f t="shared" si="16"/>
        <v>3642322.8800000004</v>
      </c>
      <c r="K44" s="91">
        <f t="shared" si="16"/>
        <v>3642322.8800000004</v>
      </c>
      <c r="L44" s="91">
        <f t="shared" si="16"/>
        <v>3642322.8800000004</v>
      </c>
      <c r="M44" s="91">
        <f t="shared" si="16"/>
        <v>3642322.8800000004</v>
      </c>
      <c r="N44" s="91">
        <f t="shared" si="16"/>
        <v>3642322.8800000004</v>
      </c>
      <c r="O44" s="91">
        <f t="shared" si="16"/>
        <v>3642322.8800000004</v>
      </c>
    </row>
    <row r="45" spans="1:15" s="18" customFormat="1">
      <c r="A45" s="104"/>
      <c r="B45" s="104"/>
      <c r="C45" s="38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15" s="18" customFormat="1">
      <c r="A46" s="453" t="s">
        <v>130</v>
      </c>
      <c r="B46" s="453"/>
      <c r="C46" s="105">
        <v>0.92</v>
      </c>
      <c r="D46" s="77" t="s">
        <v>81</v>
      </c>
      <c r="E46" s="77" t="s">
        <v>82</v>
      </c>
      <c r="F46" s="77" t="s">
        <v>83</v>
      </c>
      <c r="G46" s="77" t="s">
        <v>84</v>
      </c>
      <c r="H46" s="77" t="s">
        <v>85</v>
      </c>
      <c r="I46" s="77" t="s">
        <v>86</v>
      </c>
      <c r="J46" s="77" t="s">
        <v>87</v>
      </c>
      <c r="K46" s="77" t="s">
        <v>88</v>
      </c>
      <c r="L46" s="77" t="s">
        <v>89</v>
      </c>
      <c r="M46" s="77" t="s">
        <v>90</v>
      </c>
      <c r="N46" s="77" t="s">
        <v>91</v>
      </c>
      <c r="O46" s="77" t="s">
        <v>92</v>
      </c>
    </row>
    <row r="47" spans="1:15" s="18" customFormat="1">
      <c r="A47" s="453" t="s">
        <v>127</v>
      </c>
      <c r="B47" s="453"/>
      <c r="C47" s="33"/>
      <c r="D47" s="23">
        <f>+DEPRECIACIÓN!B38</f>
        <v>2898467.666666667</v>
      </c>
      <c r="E47" s="23">
        <f>+DEPRECIACIÓN!C38</f>
        <v>2898467.666666667</v>
      </c>
      <c r="F47" s="23">
        <f>+DEPRECIACIÓN!D38</f>
        <v>2898467.666666667</v>
      </c>
      <c r="G47" s="23">
        <f>+DEPRECIACIÓN!E38</f>
        <v>2898467.666666667</v>
      </c>
      <c r="H47" s="23">
        <f>+DEPRECIACIÓN!F38</f>
        <v>2898467.666666667</v>
      </c>
      <c r="I47" s="23">
        <f>+DEPRECIACIÓN!G38</f>
        <v>2898467.666666667</v>
      </c>
      <c r="J47" s="23">
        <f>+DEPRECIACIÓN!H38</f>
        <v>2898467.666666667</v>
      </c>
      <c r="K47" s="23">
        <f>+DEPRECIACIÓN!I38</f>
        <v>2898467.666666667</v>
      </c>
      <c r="L47" s="23">
        <f>+DEPRECIACIÓN!J38</f>
        <v>2898467.666666667</v>
      </c>
      <c r="M47" s="23">
        <f>+DEPRECIACIÓN!K38</f>
        <v>2898467.666666667</v>
      </c>
      <c r="N47" s="23">
        <f>+DEPRECIACIÓN!L38</f>
        <v>2898467.666666667</v>
      </c>
      <c r="O47" s="23">
        <f>+DEPRECIACIÓN!M38</f>
        <v>2898467.666666667</v>
      </c>
    </row>
    <row r="48" spans="1:15" s="18" customFormat="1"/>
    <row r="49" spans="1:15" s="18" customFormat="1">
      <c r="D49" s="87" t="s">
        <v>81</v>
      </c>
      <c r="E49" s="87" t="s">
        <v>82</v>
      </c>
      <c r="F49" s="87" t="s">
        <v>83</v>
      </c>
      <c r="G49" s="87" t="s">
        <v>84</v>
      </c>
      <c r="H49" s="87" t="s">
        <v>85</v>
      </c>
      <c r="I49" s="87" t="s">
        <v>86</v>
      </c>
      <c r="J49" s="87" t="s">
        <v>87</v>
      </c>
      <c r="K49" s="87" t="s">
        <v>88</v>
      </c>
      <c r="L49" s="87" t="s">
        <v>89</v>
      </c>
      <c r="M49" s="87" t="s">
        <v>90</v>
      </c>
      <c r="N49" s="87" t="s">
        <v>91</v>
      </c>
      <c r="O49" s="87" t="s">
        <v>92</v>
      </c>
    </row>
    <row r="50" spans="1:15" s="18" customFormat="1">
      <c r="A50" s="451" t="s">
        <v>138</v>
      </c>
      <c r="B50" s="451"/>
      <c r="C50" s="451"/>
      <c r="D50" s="88">
        <f>+D42+D43+D47</f>
        <v>6540790.5466666669</v>
      </c>
      <c r="E50" s="88">
        <f t="shared" ref="E50:O50" si="17">+E42+E43+E47</f>
        <v>6540790.5466666669</v>
      </c>
      <c r="F50" s="88">
        <f t="shared" si="17"/>
        <v>6540790.5466666669</v>
      </c>
      <c r="G50" s="88">
        <f t="shared" si="17"/>
        <v>6540790.5466666669</v>
      </c>
      <c r="H50" s="88">
        <f t="shared" si="17"/>
        <v>6540790.5466666669</v>
      </c>
      <c r="I50" s="88">
        <f t="shared" si="17"/>
        <v>6540790.5466666669</v>
      </c>
      <c r="J50" s="88">
        <f t="shared" si="17"/>
        <v>6540790.5466666669</v>
      </c>
      <c r="K50" s="88">
        <f t="shared" si="17"/>
        <v>6540790.5466666669</v>
      </c>
      <c r="L50" s="88">
        <f t="shared" si="17"/>
        <v>6540790.5466666669</v>
      </c>
      <c r="M50" s="88">
        <f t="shared" si="17"/>
        <v>6540790.5466666669</v>
      </c>
      <c r="N50" s="88">
        <f t="shared" si="17"/>
        <v>6540790.5466666669</v>
      </c>
      <c r="O50" s="88">
        <f t="shared" si="17"/>
        <v>6540790.5466666669</v>
      </c>
    </row>
    <row r="51" spans="1:15" s="18" customFormat="1"/>
    <row r="52" spans="1:15" s="18" customFormat="1"/>
    <row r="54" spans="1:15" ht="15.75">
      <c r="A54" s="118" t="s">
        <v>155</v>
      </c>
      <c r="B54" s="112" t="s">
        <v>156</v>
      </c>
      <c r="C54" s="112" t="s">
        <v>157</v>
      </c>
    </row>
    <row r="55" spans="1:15">
      <c r="A55" s="117" t="s">
        <v>158</v>
      </c>
      <c r="B55" s="59">
        <f>C16</f>
        <v>144923.38333333333</v>
      </c>
      <c r="C55" s="59">
        <f>+B55*12</f>
        <v>1739080.6</v>
      </c>
    </row>
    <row r="56" spans="1:15">
      <c r="A56" s="117" t="s">
        <v>159</v>
      </c>
      <c r="B56" s="59">
        <f>C17</f>
        <v>138755.55000000002</v>
      </c>
      <c r="C56" s="59">
        <f t="shared" ref="C56:C60" si="18">+B56*12</f>
        <v>1665066.6</v>
      </c>
    </row>
    <row r="57" spans="1:15">
      <c r="A57" s="117" t="s">
        <v>160</v>
      </c>
      <c r="B57" s="59">
        <f>+D32</f>
        <v>525000</v>
      </c>
      <c r="C57" s="59">
        <f t="shared" si="18"/>
        <v>6300000</v>
      </c>
    </row>
    <row r="58" spans="1:15">
      <c r="A58" s="117" t="s">
        <v>161</v>
      </c>
      <c r="B58" s="59">
        <f>+D38</f>
        <v>2660200</v>
      </c>
      <c r="C58" s="59">
        <f t="shared" si="18"/>
        <v>31922400</v>
      </c>
    </row>
    <row r="59" spans="1:15">
      <c r="A59" s="117" t="s">
        <v>162</v>
      </c>
      <c r="B59" s="59">
        <f>+D43</f>
        <v>173443.94666666668</v>
      </c>
      <c r="C59" s="59">
        <f t="shared" si="18"/>
        <v>2081327.3600000003</v>
      </c>
    </row>
    <row r="60" spans="1:15">
      <c r="A60" s="120" t="s">
        <v>163</v>
      </c>
      <c r="B60" s="59">
        <f>+D47</f>
        <v>2898467.666666667</v>
      </c>
      <c r="C60" s="59">
        <f t="shared" si="18"/>
        <v>34781612</v>
      </c>
    </row>
    <row r="61" spans="1:15" ht="15.75">
      <c r="A61" s="120" t="s">
        <v>106</v>
      </c>
      <c r="B61" s="113">
        <f>SUM(B55:B60)</f>
        <v>6540790.5466666669</v>
      </c>
      <c r="C61" s="113">
        <f>SUM(C55:C60)</f>
        <v>78489486.560000002</v>
      </c>
    </row>
  </sheetData>
  <mergeCells count="16">
    <mergeCell ref="A50:C50"/>
    <mergeCell ref="A38:C38"/>
    <mergeCell ref="A41:C41"/>
    <mergeCell ref="A42:C42"/>
    <mergeCell ref="A46:B46"/>
    <mergeCell ref="A47:B47"/>
    <mergeCell ref="A44:C44"/>
    <mergeCell ref="D30:O30"/>
    <mergeCell ref="A34:B34"/>
    <mergeCell ref="A21:B21"/>
    <mergeCell ref="A43:B43"/>
    <mergeCell ref="A20:B20"/>
    <mergeCell ref="A22:B22"/>
    <mergeCell ref="A23:B23"/>
    <mergeCell ref="A24:B24"/>
    <mergeCell ref="A27:B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9382-B118-4E50-9185-1E168CF01D54}">
  <dimension ref="A1:O57"/>
  <sheetViews>
    <sheetView topLeftCell="A32" zoomScale="90" zoomScaleNormal="90" workbookViewId="0">
      <selection activeCell="A48" sqref="A48:D55"/>
    </sheetView>
  </sheetViews>
  <sheetFormatPr defaultColWidth="11.42578125" defaultRowHeight="15"/>
  <cols>
    <col min="1" max="1" width="32" customWidth="1"/>
    <col min="2" max="2" width="11.85546875" customWidth="1"/>
    <col min="3" max="14" width="16.28515625" customWidth="1"/>
    <col min="15" max="15" width="15.42578125" bestFit="1" customWidth="1"/>
  </cols>
  <sheetData>
    <row r="1" spans="1:15">
      <c r="A1" s="65" t="s">
        <v>134</v>
      </c>
      <c r="B1" s="28" t="s">
        <v>135</v>
      </c>
      <c r="C1" s="77" t="s">
        <v>81</v>
      </c>
      <c r="D1" s="77" t="s">
        <v>82</v>
      </c>
      <c r="E1" s="77" t="s">
        <v>83</v>
      </c>
      <c r="F1" s="77" t="s">
        <v>84</v>
      </c>
      <c r="G1" s="77" t="s">
        <v>85</v>
      </c>
      <c r="H1" s="77" t="s">
        <v>86</v>
      </c>
      <c r="I1" s="77" t="s">
        <v>87</v>
      </c>
      <c r="J1" s="77" t="s">
        <v>88</v>
      </c>
      <c r="K1" s="77" t="s">
        <v>89</v>
      </c>
      <c r="L1" s="77" t="s">
        <v>90</v>
      </c>
      <c r="M1" s="77" t="s">
        <v>91</v>
      </c>
      <c r="N1" s="77" t="s">
        <v>92</v>
      </c>
      <c r="O1" s="18"/>
    </row>
    <row r="2" spans="1:15">
      <c r="A2" s="50" t="s">
        <v>118</v>
      </c>
      <c r="B2" s="78">
        <v>0.05</v>
      </c>
      <c r="C2" s="25">
        <f>+DEPRECIACIÓN!B12*$B2</f>
        <v>5112000</v>
      </c>
      <c r="D2" s="25">
        <f>+DEPRECIACIÓN!C12*$B2</f>
        <v>5112000</v>
      </c>
      <c r="E2" s="25">
        <f>+DEPRECIACIÓN!D12*$B2</f>
        <v>5112000</v>
      </c>
      <c r="F2" s="25">
        <f>+DEPRECIACIÓN!E12*$B2</f>
        <v>5112000</v>
      </c>
      <c r="G2" s="25">
        <f>+DEPRECIACIÓN!F12*$B2</f>
        <v>5112000</v>
      </c>
      <c r="H2" s="25">
        <f>+DEPRECIACIÓN!G12*$B2</f>
        <v>5112000</v>
      </c>
      <c r="I2" s="25">
        <f>+DEPRECIACIÓN!H12*$B2</f>
        <v>5112000</v>
      </c>
      <c r="J2" s="25">
        <f>+DEPRECIACIÓN!I12*$B2</f>
        <v>5112000</v>
      </c>
      <c r="K2" s="25">
        <f>+DEPRECIACIÓN!J12*$B2</f>
        <v>5112000</v>
      </c>
      <c r="L2" s="25">
        <f>+DEPRECIACIÓN!K12*$B2</f>
        <v>5112000</v>
      </c>
      <c r="M2" s="25">
        <f>+DEPRECIACIÓN!L12*$B2</f>
        <v>5112000</v>
      </c>
      <c r="N2" s="25">
        <f>+DEPRECIACIÓN!M12*$B2</f>
        <v>5112000</v>
      </c>
      <c r="O2" s="18"/>
    </row>
    <row r="3" spans="1:15">
      <c r="A3" s="50" t="s">
        <v>39</v>
      </c>
      <c r="B3" s="78">
        <v>0.05</v>
      </c>
      <c r="C3" s="25">
        <f>+DEPRECIACIÓN!B17*$B3</f>
        <v>16500000</v>
      </c>
      <c r="D3" s="25">
        <f>+DEPRECIACIÓN!C17*$B3</f>
        <v>16500000</v>
      </c>
      <c r="E3" s="25">
        <f>+DEPRECIACIÓN!D17*$B3</f>
        <v>16500000</v>
      </c>
      <c r="F3" s="25">
        <f>+DEPRECIACIÓN!E17*$B3</f>
        <v>16500000</v>
      </c>
      <c r="G3" s="25">
        <f>+DEPRECIACIÓN!F17*$B3</f>
        <v>16500000</v>
      </c>
      <c r="H3" s="25">
        <f>+DEPRECIACIÓN!G17*$B3</f>
        <v>16500000</v>
      </c>
      <c r="I3" s="25">
        <f>+DEPRECIACIÓN!H17*$B3</f>
        <v>16500000</v>
      </c>
      <c r="J3" s="25">
        <f>+DEPRECIACIÓN!I17*$B3</f>
        <v>16500000</v>
      </c>
      <c r="K3" s="25">
        <f>+DEPRECIACIÓN!J17*$B3</f>
        <v>16500000</v>
      </c>
      <c r="L3" s="25">
        <f>+DEPRECIACIÓN!K17*$B3</f>
        <v>16500000</v>
      </c>
      <c r="M3" s="25">
        <f>+DEPRECIACIÓN!L17*$B3</f>
        <v>16500000</v>
      </c>
      <c r="N3" s="25">
        <f>+DEPRECIACIÓN!M17*$B3</f>
        <v>16500000</v>
      </c>
      <c r="O3" s="18"/>
    </row>
    <row r="4" spans="1:15">
      <c r="A4" s="33" t="s">
        <v>124</v>
      </c>
      <c r="B4" s="78">
        <v>0.05</v>
      </c>
      <c r="C4" s="25">
        <f>+DEPRECIACIÓN!B22*$B4</f>
        <v>462550</v>
      </c>
      <c r="D4" s="25">
        <f>+DEPRECIACIÓN!C22*$B4</f>
        <v>462550</v>
      </c>
      <c r="E4" s="25">
        <f>+DEPRECIACIÓN!D22*$B4</f>
        <v>462550</v>
      </c>
      <c r="F4" s="25">
        <f>+DEPRECIACIÓN!E22*$B4</f>
        <v>462550</v>
      </c>
      <c r="G4" s="25">
        <f>+DEPRECIACIÓN!F22*$B4</f>
        <v>462550</v>
      </c>
      <c r="H4" s="25">
        <f>+DEPRECIACIÓN!G22*$B4</f>
        <v>462550</v>
      </c>
      <c r="I4" s="25">
        <f>+DEPRECIACIÓN!H22*$B4</f>
        <v>462550</v>
      </c>
      <c r="J4" s="25">
        <f>+DEPRECIACIÓN!I22*$B4</f>
        <v>462550</v>
      </c>
      <c r="K4" s="25">
        <f>+DEPRECIACIÓN!J22*$B4</f>
        <v>462550</v>
      </c>
      <c r="L4" s="25">
        <f>+DEPRECIACIÓN!K22*$B4</f>
        <v>462550</v>
      </c>
      <c r="M4" s="25">
        <f>+DEPRECIACIÓN!L22*$B4</f>
        <v>462550</v>
      </c>
      <c r="N4" s="25">
        <f>+DEPRECIACIÓN!M22*$B4</f>
        <v>462550</v>
      </c>
      <c r="O4" s="18"/>
    </row>
    <row r="5" spans="1:15">
      <c r="A5" s="50" t="s">
        <v>40</v>
      </c>
      <c r="B5" s="78">
        <v>0.05</v>
      </c>
      <c r="C5" s="25">
        <f>+DEPRECIACIÓN!B27*$B5</f>
        <v>402250</v>
      </c>
      <c r="D5" s="25">
        <f>+DEPRECIACIÓN!C27*$B5</f>
        <v>402250</v>
      </c>
      <c r="E5" s="25">
        <f>+DEPRECIACIÓN!D27*$B5</f>
        <v>402250</v>
      </c>
      <c r="F5" s="25">
        <f>+DEPRECIACIÓN!E27*$B5</f>
        <v>402250</v>
      </c>
      <c r="G5" s="25">
        <f>+DEPRECIACIÓN!F27*$B5</f>
        <v>402250</v>
      </c>
      <c r="H5" s="25">
        <f>+DEPRECIACIÓN!G27*$B5</f>
        <v>402250</v>
      </c>
      <c r="I5" s="25">
        <f>+DEPRECIACIÓN!H27*$B5</f>
        <v>402250</v>
      </c>
      <c r="J5" s="25">
        <f>+DEPRECIACIÓN!I27*$B5</f>
        <v>402250</v>
      </c>
      <c r="K5" s="25">
        <f>+DEPRECIACIÓN!J27*$B5</f>
        <v>402250</v>
      </c>
      <c r="L5" s="25">
        <f>+DEPRECIACIÓN!K27*$B5</f>
        <v>402250</v>
      </c>
      <c r="M5" s="25">
        <f>+DEPRECIACIÓN!L27*$B5</f>
        <v>402250</v>
      </c>
      <c r="N5" s="25">
        <f>+DEPRECIACIÓN!M27*$B5</f>
        <v>402250</v>
      </c>
      <c r="O5" s="18"/>
    </row>
    <row r="6" spans="1:15">
      <c r="A6" s="65" t="s">
        <v>29</v>
      </c>
      <c r="B6" s="78"/>
      <c r="C6" s="25">
        <f t="shared" ref="C6:N6" si="0">SUM(C2:C5)</f>
        <v>22476800</v>
      </c>
      <c r="D6" s="25">
        <f t="shared" si="0"/>
        <v>22476800</v>
      </c>
      <c r="E6" s="25">
        <f t="shared" si="0"/>
        <v>22476800</v>
      </c>
      <c r="F6" s="25">
        <f t="shared" si="0"/>
        <v>22476800</v>
      </c>
      <c r="G6" s="25">
        <f t="shared" si="0"/>
        <v>22476800</v>
      </c>
      <c r="H6" s="25">
        <f t="shared" si="0"/>
        <v>22476800</v>
      </c>
      <c r="I6" s="25">
        <f t="shared" si="0"/>
        <v>22476800</v>
      </c>
      <c r="J6" s="25">
        <f t="shared" si="0"/>
        <v>22476800</v>
      </c>
      <c r="K6" s="25">
        <f t="shared" si="0"/>
        <v>22476800</v>
      </c>
      <c r="L6" s="25">
        <f t="shared" si="0"/>
        <v>22476800</v>
      </c>
      <c r="M6" s="25">
        <f t="shared" si="0"/>
        <v>22476800</v>
      </c>
      <c r="N6" s="25">
        <f t="shared" si="0"/>
        <v>22476800</v>
      </c>
      <c r="O6" s="18"/>
    </row>
    <row r="7" spans="1: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65" t="s">
        <v>136</v>
      </c>
      <c r="B8" s="28" t="s">
        <v>135</v>
      </c>
      <c r="C8" s="77" t="s">
        <v>81</v>
      </c>
      <c r="D8" s="77" t="s">
        <v>82</v>
      </c>
      <c r="E8" s="77" t="s">
        <v>83</v>
      </c>
      <c r="F8" s="77" t="s">
        <v>84</v>
      </c>
      <c r="G8" s="77" t="s">
        <v>85</v>
      </c>
      <c r="H8" s="77" t="s">
        <v>86</v>
      </c>
      <c r="I8" s="77" t="s">
        <v>87</v>
      </c>
      <c r="J8" s="77" t="s">
        <v>88</v>
      </c>
      <c r="K8" s="77" t="s">
        <v>89</v>
      </c>
      <c r="L8" s="77" t="s">
        <v>90</v>
      </c>
      <c r="M8" s="77" t="s">
        <v>91</v>
      </c>
      <c r="N8" s="77" t="s">
        <v>92</v>
      </c>
      <c r="O8" s="18"/>
    </row>
    <row r="9" spans="1:15">
      <c r="A9" s="50" t="s">
        <v>118</v>
      </c>
      <c r="B9" s="78">
        <v>0.05</v>
      </c>
      <c r="C9" s="25">
        <f>+DEPRECIACIÓN!B12*$B9</f>
        <v>5112000</v>
      </c>
      <c r="D9" s="25">
        <f>+DEPRECIACIÓN!C12*$B9</f>
        <v>5112000</v>
      </c>
      <c r="E9" s="25">
        <f>+DEPRECIACIÓN!D12*$B9</f>
        <v>5112000</v>
      </c>
      <c r="F9" s="25">
        <f>+DEPRECIACIÓN!E12*$B9</f>
        <v>5112000</v>
      </c>
      <c r="G9" s="25">
        <f>+DEPRECIACIÓN!F12*$B9</f>
        <v>5112000</v>
      </c>
      <c r="H9" s="25">
        <f>+DEPRECIACIÓN!G12*$B9</f>
        <v>5112000</v>
      </c>
      <c r="I9" s="25">
        <f>+DEPRECIACIÓN!H12*$B9</f>
        <v>5112000</v>
      </c>
      <c r="J9" s="25">
        <f>+DEPRECIACIÓN!I12*$B9</f>
        <v>5112000</v>
      </c>
      <c r="K9" s="25">
        <f>+DEPRECIACIÓN!J12*$B9</f>
        <v>5112000</v>
      </c>
      <c r="L9" s="25">
        <f>+DEPRECIACIÓN!K12*$B9</f>
        <v>5112000</v>
      </c>
      <c r="M9" s="25">
        <f>+DEPRECIACIÓN!L12*$B9</f>
        <v>5112000</v>
      </c>
      <c r="N9" s="25">
        <f>+DEPRECIACIÓN!M12*$B9</f>
        <v>5112000</v>
      </c>
      <c r="O9" s="18"/>
    </row>
    <row r="10" spans="1:15">
      <c r="A10" s="50" t="s">
        <v>39</v>
      </c>
      <c r="B10" s="78">
        <v>0.05</v>
      </c>
      <c r="C10" s="25">
        <f>+DEPRECIACIÓN!B17*$B10</f>
        <v>16500000</v>
      </c>
      <c r="D10" s="25">
        <f>+DEPRECIACIÓN!C17*$B10</f>
        <v>16500000</v>
      </c>
      <c r="E10" s="25">
        <f>+DEPRECIACIÓN!D17*$B10</f>
        <v>16500000</v>
      </c>
      <c r="F10" s="25">
        <f>+DEPRECIACIÓN!E17*$B10</f>
        <v>16500000</v>
      </c>
      <c r="G10" s="25">
        <f>+DEPRECIACIÓN!F17*$B10</f>
        <v>16500000</v>
      </c>
      <c r="H10" s="25">
        <f>+DEPRECIACIÓN!G17*$B10</f>
        <v>16500000</v>
      </c>
      <c r="I10" s="25">
        <f>+DEPRECIACIÓN!H17*$B10</f>
        <v>16500000</v>
      </c>
      <c r="J10" s="25">
        <f>+DEPRECIACIÓN!I17*$B10</f>
        <v>16500000</v>
      </c>
      <c r="K10" s="25">
        <f>+DEPRECIACIÓN!J17*$B10</f>
        <v>16500000</v>
      </c>
      <c r="L10" s="25">
        <f>+DEPRECIACIÓN!K17*$B10</f>
        <v>16500000</v>
      </c>
      <c r="M10" s="25">
        <f>+DEPRECIACIÓN!L17*$B10</f>
        <v>16500000</v>
      </c>
      <c r="N10" s="25">
        <f>+DEPRECIACIÓN!M17*$B10</f>
        <v>16500000</v>
      </c>
      <c r="O10" s="18"/>
    </row>
    <row r="11" spans="1:15">
      <c r="A11" s="33" t="s">
        <v>124</v>
      </c>
      <c r="B11" s="78">
        <v>0.05</v>
      </c>
      <c r="C11" s="25">
        <f>+DEPRECIACIÓN!B22*$B11</f>
        <v>462550</v>
      </c>
      <c r="D11" s="25">
        <f>+DEPRECIACIÓN!C22*$B11</f>
        <v>462550</v>
      </c>
      <c r="E11" s="25">
        <f>+DEPRECIACIÓN!D22*$B11</f>
        <v>462550</v>
      </c>
      <c r="F11" s="25">
        <f>+DEPRECIACIÓN!E22*$B11</f>
        <v>462550</v>
      </c>
      <c r="G11" s="25">
        <f>+DEPRECIACIÓN!F22*$B11</f>
        <v>462550</v>
      </c>
      <c r="H11" s="25">
        <f>+DEPRECIACIÓN!G22*$B11</f>
        <v>462550</v>
      </c>
      <c r="I11" s="25">
        <f>+DEPRECIACIÓN!H22*$B11</f>
        <v>462550</v>
      </c>
      <c r="J11" s="25">
        <f>+DEPRECIACIÓN!I22*$B11</f>
        <v>462550</v>
      </c>
      <c r="K11" s="25">
        <f>+DEPRECIACIÓN!J22*$B11</f>
        <v>462550</v>
      </c>
      <c r="L11" s="25">
        <f>+DEPRECIACIÓN!K22*$B11</f>
        <v>462550</v>
      </c>
      <c r="M11" s="25">
        <f>+DEPRECIACIÓN!L22*$B11</f>
        <v>462550</v>
      </c>
      <c r="N11" s="25">
        <f>+DEPRECIACIÓN!M22*$B11</f>
        <v>462550</v>
      </c>
      <c r="O11" s="18"/>
    </row>
    <row r="12" spans="1:15">
      <c r="A12" s="65" t="s">
        <v>29</v>
      </c>
      <c r="B12" s="78"/>
      <c r="C12" s="25">
        <f t="shared" ref="C12:N12" si="1">SUM(C9:C11)</f>
        <v>22074550</v>
      </c>
      <c r="D12" s="25">
        <f t="shared" si="1"/>
        <v>22074550</v>
      </c>
      <c r="E12" s="25">
        <f t="shared" si="1"/>
        <v>22074550</v>
      </c>
      <c r="F12" s="25">
        <f t="shared" si="1"/>
        <v>22074550</v>
      </c>
      <c r="G12" s="25">
        <f t="shared" si="1"/>
        <v>22074550</v>
      </c>
      <c r="H12" s="25">
        <f t="shared" si="1"/>
        <v>22074550</v>
      </c>
      <c r="I12" s="25">
        <f t="shared" si="1"/>
        <v>22074550</v>
      </c>
      <c r="J12" s="25">
        <f t="shared" si="1"/>
        <v>22074550</v>
      </c>
      <c r="K12" s="25">
        <f t="shared" si="1"/>
        <v>22074550</v>
      </c>
      <c r="L12" s="25">
        <f t="shared" si="1"/>
        <v>22074550</v>
      </c>
      <c r="M12" s="25">
        <f t="shared" si="1"/>
        <v>22074550</v>
      </c>
      <c r="N12" s="25">
        <f t="shared" si="1"/>
        <v>22074550</v>
      </c>
      <c r="O12" s="18"/>
    </row>
    <row r="13" spans="1:15">
      <c r="A13" s="18"/>
      <c r="B13" s="38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18"/>
    </row>
    <row r="14" spans="1:15">
      <c r="A14" s="106" t="s">
        <v>164</v>
      </c>
      <c r="B14" s="106">
        <v>0.08</v>
      </c>
      <c r="C14" s="77" t="s">
        <v>81</v>
      </c>
      <c r="D14" s="77" t="s">
        <v>82</v>
      </c>
      <c r="E14" s="77" t="s">
        <v>83</v>
      </c>
      <c r="F14" s="77" t="s">
        <v>84</v>
      </c>
      <c r="G14" s="77" t="s">
        <v>85</v>
      </c>
      <c r="H14" s="77" t="s">
        <v>86</v>
      </c>
      <c r="I14" s="77" t="s">
        <v>87</v>
      </c>
      <c r="J14" s="77" t="s">
        <v>88</v>
      </c>
      <c r="K14" s="77" t="s">
        <v>89</v>
      </c>
      <c r="L14" s="77" t="s">
        <v>90</v>
      </c>
      <c r="M14" s="77" t="s">
        <v>91</v>
      </c>
      <c r="N14" s="77" t="s">
        <v>92</v>
      </c>
      <c r="O14" s="18"/>
    </row>
    <row r="15" spans="1:15">
      <c r="A15" s="65" t="s">
        <v>134</v>
      </c>
      <c r="B15" s="78"/>
      <c r="C15" s="23">
        <f>+C6*$B$14</f>
        <v>1798144</v>
      </c>
      <c r="D15" s="23">
        <f t="shared" ref="D15:N15" si="2">+D6*$B$14</f>
        <v>1798144</v>
      </c>
      <c r="E15" s="23">
        <f t="shared" si="2"/>
        <v>1798144</v>
      </c>
      <c r="F15" s="23">
        <f t="shared" si="2"/>
        <v>1798144</v>
      </c>
      <c r="G15" s="23">
        <f t="shared" si="2"/>
        <v>1798144</v>
      </c>
      <c r="H15" s="23">
        <f t="shared" si="2"/>
        <v>1798144</v>
      </c>
      <c r="I15" s="23">
        <f t="shared" si="2"/>
        <v>1798144</v>
      </c>
      <c r="J15" s="23">
        <f t="shared" si="2"/>
        <v>1798144</v>
      </c>
      <c r="K15" s="23">
        <f t="shared" si="2"/>
        <v>1798144</v>
      </c>
      <c r="L15" s="23">
        <f t="shared" si="2"/>
        <v>1798144</v>
      </c>
      <c r="M15" s="23">
        <f t="shared" si="2"/>
        <v>1798144</v>
      </c>
      <c r="N15" s="23">
        <f t="shared" si="2"/>
        <v>1798144</v>
      </c>
      <c r="O15" s="18"/>
    </row>
    <row r="16" spans="1:15">
      <c r="A16" s="65" t="s">
        <v>136</v>
      </c>
      <c r="B16" s="78"/>
      <c r="C16" s="25">
        <f t="shared" ref="C16:N16" si="3">+C12*$B$14</f>
        <v>1765964</v>
      </c>
      <c r="D16" s="25">
        <f t="shared" si="3"/>
        <v>1765964</v>
      </c>
      <c r="E16" s="25">
        <f t="shared" si="3"/>
        <v>1765964</v>
      </c>
      <c r="F16" s="25">
        <f t="shared" si="3"/>
        <v>1765964</v>
      </c>
      <c r="G16" s="25">
        <f t="shared" si="3"/>
        <v>1765964</v>
      </c>
      <c r="H16" s="25">
        <f t="shared" si="3"/>
        <v>1765964</v>
      </c>
      <c r="I16" s="25">
        <f t="shared" si="3"/>
        <v>1765964</v>
      </c>
      <c r="J16" s="25">
        <f t="shared" si="3"/>
        <v>1765964</v>
      </c>
      <c r="K16" s="25">
        <f t="shared" si="3"/>
        <v>1765964</v>
      </c>
      <c r="L16" s="25">
        <f t="shared" si="3"/>
        <v>1765964</v>
      </c>
      <c r="M16" s="25">
        <f t="shared" si="3"/>
        <v>1765964</v>
      </c>
      <c r="N16" s="25">
        <f t="shared" si="3"/>
        <v>1765964</v>
      </c>
      <c r="O16" s="18"/>
    </row>
    <row r="17" spans="1:15">
      <c r="A17" s="75" t="s">
        <v>165</v>
      </c>
      <c r="B17" s="372"/>
      <c r="C17" s="25">
        <v>350000</v>
      </c>
      <c r="D17" s="25">
        <f>+C17</f>
        <v>350000</v>
      </c>
      <c r="E17" s="25">
        <f t="shared" ref="E17:N17" si="4">+D17</f>
        <v>350000</v>
      </c>
      <c r="F17" s="25">
        <f t="shared" si="4"/>
        <v>350000</v>
      </c>
      <c r="G17" s="25">
        <f t="shared" si="4"/>
        <v>350000</v>
      </c>
      <c r="H17" s="25">
        <f t="shared" si="4"/>
        <v>350000</v>
      </c>
      <c r="I17" s="25">
        <f t="shared" si="4"/>
        <v>350000</v>
      </c>
      <c r="J17" s="25">
        <f t="shared" si="4"/>
        <v>350000</v>
      </c>
      <c r="K17" s="25">
        <f t="shared" si="4"/>
        <v>350000</v>
      </c>
      <c r="L17" s="25">
        <f t="shared" si="4"/>
        <v>350000</v>
      </c>
      <c r="M17" s="25">
        <f t="shared" si="4"/>
        <v>350000</v>
      </c>
      <c r="N17" s="25">
        <f t="shared" si="4"/>
        <v>350000</v>
      </c>
      <c r="O17" s="18"/>
    </row>
    <row r="18" spans="1:15" s="110" customFormat="1">
      <c r="A18" s="440" t="s">
        <v>166</v>
      </c>
      <c r="B18" s="441"/>
      <c r="C18" s="109">
        <f>SUM(C15:C17)</f>
        <v>3914108</v>
      </c>
      <c r="D18" s="109">
        <f>SUM(D15:D17)</f>
        <v>3914108</v>
      </c>
      <c r="E18" s="109">
        <f t="shared" ref="E18:N18" si="5">SUM(E15:E17)</f>
        <v>3914108</v>
      </c>
      <c r="F18" s="109">
        <f t="shared" si="5"/>
        <v>3914108</v>
      </c>
      <c r="G18" s="109">
        <f t="shared" si="5"/>
        <v>3914108</v>
      </c>
      <c r="H18" s="109">
        <f t="shared" si="5"/>
        <v>3914108</v>
      </c>
      <c r="I18" s="109">
        <f t="shared" si="5"/>
        <v>3914108</v>
      </c>
      <c r="J18" s="109">
        <f t="shared" si="5"/>
        <v>3914108</v>
      </c>
      <c r="K18" s="109">
        <f t="shared" si="5"/>
        <v>3914108</v>
      </c>
      <c r="L18" s="109">
        <f t="shared" si="5"/>
        <v>3914108</v>
      </c>
      <c r="M18" s="109">
        <f t="shared" si="5"/>
        <v>3914108</v>
      </c>
      <c r="N18" s="109">
        <f t="shared" si="5"/>
        <v>3914108</v>
      </c>
      <c r="O18" s="67"/>
    </row>
    <row r="19" spans="1:15">
      <c r="A19" s="18"/>
      <c r="B19" s="38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18"/>
    </row>
    <row r="20" spans="1:15">
      <c r="A20" s="442" t="s">
        <v>139</v>
      </c>
      <c r="B20" s="442"/>
      <c r="C20" s="77" t="s">
        <v>81</v>
      </c>
      <c r="D20" s="77" t="s">
        <v>82</v>
      </c>
      <c r="E20" s="77" t="s">
        <v>83</v>
      </c>
      <c r="F20" s="77" t="s">
        <v>84</v>
      </c>
      <c r="G20" s="77" t="s">
        <v>85</v>
      </c>
      <c r="H20" s="77" t="s">
        <v>86</v>
      </c>
      <c r="I20" s="77" t="s">
        <v>87</v>
      </c>
      <c r="J20" s="77" t="s">
        <v>88</v>
      </c>
      <c r="K20" s="77" t="s">
        <v>89</v>
      </c>
      <c r="L20" s="77" t="s">
        <v>90</v>
      </c>
      <c r="M20" s="77" t="s">
        <v>91</v>
      </c>
      <c r="N20" s="77" t="s">
        <v>92</v>
      </c>
      <c r="O20" s="18"/>
    </row>
    <row r="21" spans="1:15">
      <c r="A21" s="448" t="s">
        <v>140</v>
      </c>
      <c r="B21" s="449"/>
      <c r="C21" s="25">
        <v>400000</v>
      </c>
      <c r="D21" s="25">
        <f t="shared" ref="D21:N24" si="6">+C21</f>
        <v>400000</v>
      </c>
      <c r="E21" s="25">
        <f t="shared" si="6"/>
        <v>400000</v>
      </c>
      <c r="F21" s="25">
        <f t="shared" si="6"/>
        <v>400000</v>
      </c>
      <c r="G21" s="25">
        <f t="shared" si="6"/>
        <v>400000</v>
      </c>
      <c r="H21" s="25">
        <f t="shared" si="6"/>
        <v>400000</v>
      </c>
      <c r="I21" s="25">
        <f t="shared" si="6"/>
        <v>400000</v>
      </c>
      <c r="J21" s="25">
        <f t="shared" si="6"/>
        <v>400000</v>
      </c>
      <c r="K21" s="25">
        <f t="shared" si="6"/>
        <v>400000</v>
      </c>
      <c r="L21" s="25">
        <f t="shared" si="6"/>
        <v>400000</v>
      </c>
      <c r="M21" s="25">
        <f t="shared" si="6"/>
        <v>400000</v>
      </c>
      <c r="N21" s="25">
        <f t="shared" si="6"/>
        <v>400000</v>
      </c>
      <c r="O21" s="18"/>
    </row>
    <row r="22" spans="1:15">
      <c r="A22" s="448" t="s">
        <v>141</v>
      </c>
      <c r="B22" s="449"/>
      <c r="C22" s="25">
        <v>500000</v>
      </c>
      <c r="D22" s="25">
        <f t="shared" si="6"/>
        <v>500000</v>
      </c>
      <c r="E22" s="25">
        <f t="shared" si="6"/>
        <v>500000</v>
      </c>
      <c r="F22" s="25">
        <f t="shared" si="6"/>
        <v>500000</v>
      </c>
      <c r="G22" s="25">
        <f t="shared" si="6"/>
        <v>500000</v>
      </c>
      <c r="H22" s="25">
        <f t="shared" si="6"/>
        <v>500000</v>
      </c>
      <c r="I22" s="25">
        <f t="shared" si="6"/>
        <v>500000</v>
      </c>
      <c r="J22" s="25">
        <f t="shared" si="6"/>
        <v>500000</v>
      </c>
      <c r="K22" s="25">
        <f t="shared" si="6"/>
        <v>500000</v>
      </c>
      <c r="L22" s="25">
        <f t="shared" si="6"/>
        <v>500000</v>
      </c>
      <c r="M22" s="25">
        <f t="shared" si="6"/>
        <v>500000</v>
      </c>
      <c r="N22" s="25">
        <f t="shared" si="6"/>
        <v>500000</v>
      </c>
      <c r="O22" s="18"/>
    </row>
    <row r="23" spans="1:15">
      <c r="A23" s="448" t="s">
        <v>142</v>
      </c>
      <c r="B23" s="449"/>
      <c r="C23" s="25">
        <v>150000</v>
      </c>
      <c r="D23" s="25">
        <f t="shared" si="6"/>
        <v>150000</v>
      </c>
      <c r="E23" s="25">
        <f t="shared" si="6"/>
        <v>150000</v>
      </c>
      <c r="F23" s="25">
        <f t="shared" si="6"/>
        <v>150000</v>
      </c>
      <c r="G23" s="25">
        <f t="shared" si="6"/>
        <v>150000</v>
      </c>
      <c r="H23" s="25">
        <f t="shared" si="6"/>
        <v>150000</v>
      </c>
      <c r="I23" s="25">
        <f t="shared" si="6"/>
        <v>150000</v>
      </c>
      <c r="J23" s="25">
        <f t="shared" si="6"/>
        <v>150000</v>
      </c>
      <c r="K23" s="25">
        <f t="shared" si="6"/>
        <v>150000</v>
      </c>
      <c r="L23" s="25">
        <f t="shared" si="6"/>
        <v>150000</v>
      </c>
      <c r="M23" s="25">
        <f t="shared" si="6"/>
        <v>150000</v>
      </c>
      <c r="N23" s="25">
        <f t="shared" si="6"/>
        <v>150000</v>
      </c>
      <c r="O23" s="18"/>
    </row>
    <row r="24" spans="1:15" s="110" customFormat="1">
      <c r="A24" s="440" t="s">
        <v>29</v>
      </c>
      <c r="B24" s="441"/>
      <c r="C24" s="109">
        <f>SUM(C21:C23)</f>
        <v>1050000</v>
      </c>
      <c r="D24" s="109">
        <f t="shared" si="6"/>
        <v>1050000</v>
      </c>
      <c r="E24" s="109">
        <f t="shared" si="6"/>
        <v>1050000</v>
      </c>
      <c r="F24" s="109">
        <f t="shared" si="6"/>
        <v>1050000</v>
      </c>
      <c r="G24" s="109">
        <f t="shared" si="6"/>
        <v>1050000</v>
      </c>
      <c r="H24" s="109">
        <f t="shared" si="6"/>
        <v>1050000</v>
      </c>
      <c r="I24" s="109">
        <f t="shared" si="6"/>
        <v>1050000</v>
      </c>
      <c r="J24" s="109">
        <f t="shared" si="6"/>
        <v>1050000</v>
      </c>
      <c r="K24" s="109">
        <f t="shared" si="6"/>
        <v>1050000</v>
      </c>
      <c r="L24" s="109">
        <f t="shared" si="6"/>
        <v>1050000</v>
      </c>
      <c r="M24" s="109">
        <f t="shared" si="6"/>
        <v>1050000</v>
      </c>
      <c r="N24" s="109">
        <f t="shared" si="6"/>
        <v>1050000</v>
      </c>
      <c r="O24" s="67"/>
    </row>
    <row r="27" spans="1:15">
      <c r="A27" s="450" t="s">
        <v>143</v>
      </c>
      <c r="B27" s="450"/>
      <c r="C27" s="79" t="s">
        <v>137</v>
      </c>
      <c r="D27" s="28" t="s">
        <v>108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>
      <c r="A28" s="440" t="s">
        <v>144</v>
      </c>
      <c r="B28" s="441"/>
      <c r="C28" s="82">
        <v>0.5</v>
      </c>
      <c r="D28" s="82">
        <v>0.5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30" spans="1:15" s="18" customFormat="1">
      <c r="C30" s="440">
        <v>2023</v>
      </c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1"/>
    </row>
    <row r="31" spans="1:15" s="18" customFormat="1">
      <c r="A31" s="459" t="s">
        <v>164</v>
      </c>
      <c r="B31" s="460"/>
      <c r="C31" s="77" t="s">
        <v>81</v>
      </c>
      <c r="D31" s="77" t="s">
        <v>82</v>
      </c>
      <c r="E31" s="77" t="s">
        <v>83</v>
      </c>
      <c r="F31" s="77" t="s">
        <v>84</v>
      </c>
      <c r="G31" s="77" t="s">
        <v>85</v>
      </c>
      <c r="H31" s="77" t="s">
        <v>86</v>
      </c>
      <c r="I31" s="77" t="s">
        <v>87</v>
      </c>
      <c r="J31" s="77" t="s">
        <v>88</v>
      </c>
      <c r="K31" s="77" t="s">
        <v>89</v>
      </c>
      <c r="L31" s="77" t="s">
        <v>90</v>
      </c>
      <c r="M31" s="77" t="s">
        <v>91</v>
      </c>
      <c r="N31" s="77" t="s">
        <v>92</v>
      </c>
    </row>
    <row r="32" spans="1:15" s="18" customFormat="1">
      <c r="A32" s="459" t="s">
        <v>145</v>
      </c>
      <c r="B32" s="460"/>
      <c r="C32" s="91">
        <f>+C24*$D$28</f>
        <v>525000</v>
      </c>
      <c r="D32" s="91">
        <f t="shared" ref="D32:N32" si="7">+D24*$D$28</f>
        <v>525000</v>
      </c>
      <c r="E32" s="91">
        <f t="shared" si="7"/>
        <v>525000</v>
      </c>
      <c r="F32" s="91">
        <f t="shared" si="7"/>
        <v>525000</v>
      </c>
      <c r="G32" s="91">
        <f t="shared" si="7"/>
        <v>525000</v>
      </c>
      <c r="H32" s="91">
        <f t="shared" si="7"/>
        <v>525000</v>
      </c>
      <c r="I32" s="91">
        <f t="shared" si="7"/>
        <v>525000</v>
      </c>
      <c r="J32" s="91">
        <f t="shared" si="7"/>
        <v>525000</v>
      </c>
      <c r="K32" s="91">
        <f t="shared" si="7"/>
        <v>525000</v>
      </c>
      <c r="L32" s="91">
        <f t="shared" si="7"/>
        <v>525000</v>
      </c>
      <c r="M32" s="91">
        <f t="shared" si="7"/>
        <v>525000</v>
      </c>
      <c r="N32" s="91">
        <f t="shared" si="7"/>
        <v>525000</v>
      </c>
    </row>
    <row r="34" spans="1:14" ht="15" customHeight="1">
      <c r="A34" s="457" t="s">
        <v>167</v>
      </c>
      <c r="B34" s="458"/>
      <c r="C34" s="440">
        <v>2023</v>
      </c>
      <c r="D34" s="445"/>
      <c r="E34" s="445"/>
      <c r="F34" s="445"/>
      <c r="G34" s="445"/>
      <c r="H34" s="445"/>
      <c r="I34" s="445"/>
      <c r="J34" s="445"/>
      <c r="K34" s="445"/>
      <c r="L34" s="445"/>
      <c r="M34" s="445"/>
      <c r="N34" s="441"/>
    </row>
    <row r="35" spans="1:14" ht="18.75" customHeight="1">
      <c r="A35" s="457"/>
      <c r="B35" s="458"/>
      <c r="C35" s="77" t="s">
        <v>81</v>
      </c>
      <c r="D35" s="77" t="s">
        <v>82</v>
      </c>
      <c r="E35" s="77" t="s">
        <v>83</v>
      </c>
      <c r="F35" s="77" t="s">
        <v>84</v>
      </c>
      <c r="G35" s="77" t="s">
        <v>85</v>
      </c>
      <c r="H35" s="77" t="s">
        <v>86</v>
      </c>
      <c r="I35" s="77" t="s">
        <v>87</v>
      </c>
      <c r="J35" s="77" t="s">
        <v>88</v>
      </c>
      <c r="K35" s="77" t="s">
        <v>89</v>
      </c>
      <c r="L35" s="77" t="s">
        <v>90</v>
      </c>
      <c r="M35" s="77" t="s">
        <v>91</v>
      </c>
      <c r="N35" s="77" t="s">
        <v>92</v>
      </c>
    </row>
    <row r="36" spans="1:14">
      <c r="A36" s="455" t="s">
        <v>29</v>
      </c>
      <c r="B36" s="456"/>
      <c r="C36" s="91">
        <f t="shared" ref="C36:N36" si="8">+C32+C18</f>
        <v>4439108</v>
      </c>
      <c r="D36" s="91">
        <f t="shared" si="8"/>
        <v>4439108</v>
      </c>
      <c r="E36" s="91">
        <f t="shared" si="8"/>
        <v>4439108</v>
      </c>
      <c r="F36" s="91">
        <f t="shared" si="8"/>
        <v>4439108</v>
      </c>
      <c r="G36" s="91">
        <f t="shared" si="8"/>
        <v>4439108</v>
      </c>
      <c r="H36" s="91">
        <f t="shared" si="8"/>
        <v>4439108</v>
      </c>
      <c r="I36" s="91">
        <f t="shared" si="8"/>
        <v>4439108</v>
      </c>
      <c r="J36" s="91">
        <f t="shared" si="8"/>
        <v>4439108</v>
      </c>
      <c r="K36" s="91">
        <f t="shared" si="8"/>
        <v>4439108</v>
      </c>
      <c r="L36" s="91">
        <f t="shared" si="8"/>
        <v>4439108</v>
      </c>
      <c r="M36" s="91">
        <f t="shared" si="8"/>
        <v>4439108</v>
      </c>
      <c r="N36" s="91">
        <f t="shared" si="8"/>
        <v>4439108</v>
      </c>
    </row>
    <row r="37" spans="1:14" ht="17.25" customHeight="1">
      <c r="A37" s="18"/>
      <c r="B37" s="18"/>
      <c r="C37" s="440">
        <v>2023</v>
      </c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1"/>
    </row>
    <row r="38" spans="1:14">
      <c r="A38" s="442" t="s">
        <v>168</v>
      </c>
      <c r="B38" s="442"/>
      <c r="C38" s="77" t="s">
        <v>81</v>
      </c>
      <c r="D38" s="77" t="s">
        <v>82</v>
      </c>
      <c r="E38" s="77" t="s">
        <v>83</v>
      </c>
      <c r="F38" s="77" t="s">
        <v>84</v>
      </c>
      <c r="G38" s="77" t="s">
        <v>85</v>
      </c>
      <c r="H38" s="77" t="s">
        <v>86</v>
      </c>
      <c r="I38" s="77" t="s">
        <v>87</v>
      </c>
      <c r="J38" s="77" t="s">
        <v>88</v>
      </c>
      <c r="K38" s="77" t="s">
        <v>89</v>
      </c>
      <c r="L38" s="77" t="s">
        <v>90</v>
      </c>
      <c r="M38" s="77" t="s">
        <v>91</v>
      </c>
      <c r="N38" s="77" t="s">
        <v>92</v>
      </c>
    </row>
    <row r="39" spans="1:14" s="18" customFormat="1">
      <c r="A39" s="442" t="s">
        <v>29</v>
      </c>
      <c r="B39" s="442"/>
      <c r="C39" s="91">
        <f>+'MANO DE OBRA'!D145</f>
        <v>21394513.566666666</v>
      </c>
      <c r="D39" s="91">
        <f>+'MANO DE OBRA'!E145</f>
        <v>21394513.566666666</v>
      </c>
      <c r="E39" s="91">
        <f>+'MANO DE OBRA'!F145</f>
        <v>21394513.566666666</v>
      </c>
      <c r="F39" s="91">
        <f>+'MANO DE OBRA'!G145</f>
        <v>21394513.566666666</v>
      </c>
      <c r="G39" s="91">
        <f>+'MANO DE OBRA'!H145</f>
        <v>21394513.566666666</v>
      </c>
      <c r="H39" s="91">
        <f>+'MANO DE OBRA'!I145</f>
        <v>21394513.566666666</v>
      </c>
      <c r="I39" s="91">
        <f>+'MANO DE OBRA'!J145</f>
        <v>21394513.566666666</v>
      </c>
      <c r="J39" s="91">
        <f>+'MANO DE OBRA'!K145</f>
        <v>21394513.566666666</v>
      </c>
      <c r="K39" s="91">
        <f>+'MANO DE OBRA'!L145</f>
        <v>21394513.566666666</v>
      </c>
      <c r="L39" s="91">
        <f>+'MANO DE OBRA'!M145</f>
        <v>21394513.566666666</v>
      </c>
      <c r="M39" s="91">
        <f>+'MANO DE OBRA'!N145</f>
        <v>21394513.566666666</v>
      </c>
      <c r="N39" s="91">
        <f>+'MANO DE OBRA'!O145</f>
        <v>21394513.566666666</v>
      </c>
    </row>
    <row r="40" spans="1:14" s="18" customFormat="1" ht="15.7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s="18" customFormat="1" ht="15.75" customHeight="1">
      <c r="A41" s="442" t="s">
        <v>169</v>
      </c>
      <c r="B41" s="442"/>
      <c r="C41" s="77" t="s">
        <v>81</v>
      </c>
      <c r="D41" s="77" t="s">
        <v>82</v>
      </c>
      <c r="E41" s="77" t="s">
        <v>83</v>
      </c>
      <c r="F41" s="77" t="s">
        <v>84</v>
      </c>
      <c r="G41" s="77" t="s">
        <v>85</v>
      </c>
      <c r="H41" s="77" t="s">
        <v>86</v>
      </c>
      <c r="I41" s="77" t="s">
        <v>87</v>
      </c>
      <c r="J41" s="77" t="s">
        <v>88</v>
      </c>
      <c r="K41" s="77" t="s">
        <v>89</v>
      </c>
      <c r="L41" s="77" t="s">
        <v>90</v>
      </c>
      <c r="M41" s="77" t="s">
        <v>91</v>
      </c>
      <c r="N41" s="77" t="s">
        <v>92</v>
      </c>
    </row>
    <row r="42" spans="1:14" s="18" customFormat="1" ht="15.75" customHeight="1">
      <c r="A42" s="442" t="s">
        <v>29</v>
      </c>
      <c r="B42" s="442"/>
      <c r="C42" s="91">
        <f>+DEPRECIACIÓN!B43</f>
        <v>252040.66666666669</v>
      </c>
      <c r="D42" s="91">
        <f>+DEPRECIACIÓN!C43</f>
        <v>252040.66666666669</v>
      </c>
      <c r="E42" s="91">
        <f>+DEPRECIACIÓN!D43</f>
        <v>252040.66666666669</v>
      </c>
      <c r="F42" s="91">
        <f>+DEPRECIACIÓN!E43</f>
        <v>252040.66666666669</v>
      </c>
      <c r="G42" s="91">
        <f>+DEPRECIACIÓN!F43</f>
        <v>252040.66666666669</v>
      </c>
      <c r="H42" s="91">
        <f>+DEPRECIACIÓN!G43</f>
        <v>252040.66666666669</v>
      </c>
      <c r="I42" s="91">
        <f>+DEPRECIACIÓN!H43</f>
        <v>252040.66666666669</v>
      </c>
      <c r="J42" s="91">
        <f>+DEPRECIACIÓN!I43</f>
        <v>252040.66666666669</v>
      </c>
      <c r="K42" s="91">
        <f>+DEPRECIACIÓN!J43</f>
        <v>252040.66666666669</v>
      </c>
      <c r="L42" s="91">
        <f>+DEPRECIACIÓN!K43</f>
        <v>252040.66666666669</v>
      </c>
      <c r="M42" s="91">
        <f>+DEPRECIACIÓN!L43</f>
        <v>252040.66666666669</v>
      </c>
      <c r="N42" s="91">
        <f>+DEPRECIACIÓN!M43</f>
        <v>252040.66666666669</v>
      </c>
    </row>
    <row r="44" spans="1:14">
      <c r="A44" s="107"/>
      <c r="B44" s="108"/>
      <c r="C44" s="86" t="s">
        <v>81</v>
      </c>
      <c r="D44" s="86" t="s">
        <v>82</v>
      </c>
      <c r="E44" s="86" t="s">
        <v>83</v>
      </c>
      <c r="F44" s="86" t="s">
        <v>84</v>
      </c>
      <c r="G44" s="86" t="s">
        <v>85</v>
      </c>
      <c r="H44" s="86" t="s">
        <v>86</v>
      </c>
      <c r="I44" s="86" t="s">
        <v>87</v>
      </c>
      <c r="J44" s="86" t="s">
        <v>88</v>
      </c>
      <c r="K44" s="86" t="s">
        <v>89</v>
      </c>
      <c r="L44" s="86" t="s">
        <v>90</v>
      </c>
      <c r="M44" s="86" t="s">
        <v>91</v>
      </c>
      <c r="N44" s="86" t="s">
        <v>92</v>
      </c>
    </row>
    <row r="45" spans="1:14">
      <c r="A45" s="462" t="s">
        <v>166</v>
      </c>
      <c r="B45" s="463"/>
      <c r="C45" s="23">
        <f t="shared" ref="C45:N45" si="9">+C18+C32+C39+C42</f>
        <v>26085662.233333334</v>
      </c>
      <c r="D45" s="23">
        <f t="shared" si="9"/>
        <v>26085662.233333334</v>
      </c>
      <c r="E45" s="23">
        <f t="shared" si="9"/>
        <v>26085662.233333334</v>
      </c>
      <c r="F45" s="23">
        <f t="shared" si="9"/>
        <v>26085662.233333334</v>
      </c>
      <c r="G45" s="23">
        <f t="shared" si="9"/>
        <v>26085662.233333334</v>
      </c>
      <c r="H45" s="23">
        <f t="shared" si="9"/>
        <v>26085662.233333334</v>
      </c>
      <c r="I45" s="23">
        <f t="shared" si="9"/>
        <v>26085662.233333334</v>
      </c>
      <c r="J45" s="23">
        <f t="shared" si="9"/>
        <v>26085662.233333334</v>
      </c>
      <c r="K45" s="23">
        <f t="shared" si="9"/>
        <v>26085662.233333334</v>
      </c>
      <c r="L45" s="23">
        <f t="shared" si="9"/>
        <v>26085662.233333334</v>
      </c>
      <c r="M45" s="23">
        <f t="shared" si="9"/>
        <v>26085662.233333334</v>
      </c>
      <c r="N45" s="23">
        <f t="shared" si="9"/>
        <v>26085662.233333334</v>
      </c>
    </row>
    <row r="48" spans="1:14" ht="15.75" customHeight="1">
      <c r="A48" s="454" t="s">
        <v>155</v>
      </c>
      <c r="B48" s="454"/>
      <c r="C48" s="112" t="s">
        <v>170</v>
      </c>
      <c r="D48" s="112" t="s">
        <v>157</v>
      </c>
    </row>
    <row r="49" spans="1:5">
      <c r="A49" s="461" t="s">
        <v>158</v>
      </c>
      <c r="B49" s="461"/>
      <c r="C49" s="59">
        <f>+C15</f>
        <v>1798144</v>
      </c>
      <c r="D49" s="59">
        <f>+C49*12</f>
        <v>21577728</v>
      </c>
      <c r="E49" s="170"/>
    </row>
    <row r="50" spans="1:5">
      <c r="A50" s="461" t="s">
        <v>159</v>
      </c>
      <c r="B50" s="461" t="s">
        <v>39</v>
      </c>
      <c r="C50" s="59">
        <f>+C16</f>
        <v>1765964</v>
      </c>
      <c r="D50" s="59">
        <f t="shared" ref="D50:D54" si="10">+C50*12</f>
        <v>21191568</v>
      </c>
    </row>
    <row r="51" spans="1:5">
      <c r="A51" s="464" t="s">
        <v>171</v>
      </c>
      <c r="B51" s="465"/>
      <c r="C51" s="59">
        <f>+C17</f>
        <v>350000</v>
      </c>
      <c r="D51" s="59">
        <f t="shared" si="10"/>
        <v>4200000</v>
      </c>
    </row>
    <row r="52" spans="1:5">
      <c r="A52" s="461" t="s">
        <v>160</v>
      </c>
      <c r="B52" s="461" t="s">
        <v>40</v>
      </c>
      <c r="C52" s="59">
        <f>+C32</f>
        <v>525000</v>
      </c>
      <c r="D52" s="59">
        <f t="shared" si="10"/>
        <v>6300000</v>
      </c>
    </row>
    <row r="53" spans="1:5">
      <c r="A53" s="461" t="s">
        <v>172</v>
      </c>
      <c r="B53" s="461" t="s">
        <v>40</v>
      </c>
      <c r="C53" s="59">
        <f>+C39</f>
        <v>21394513.566666666</v>
      </c>
      <c r="D53" s="59">
        <f t="shared" si="10"/>
        <v>256734162.80000001</v>
      </c>
    </row>
    <row r="54" spans="1:5">
      <c r="A54" s="461" t="s">
        <v>163</v>
      </c>
      <c r="B54" s="461" t="s">
        <v>40</v>
      </c>
      <c r="C54" s="59">
        <f>+C42</f>
        <v>252040.66666666669</v>
      </c>
      <c r="D54" s="59">
        <f t="shared" si="10"/>
        <v>3024488</v>
      </c>
      <c r="E54" s="170"/>
    </row>
    <row r="55" spans="1:5" ht="15.75">
      <c r="A55" s="436" t="s">
        <v>106</v>
      </c>
      <c r="B55" s="436"/>
      <c r="C55" s="114">
        <f>SUM(C49:C54)</f>
        <v>26085662.233333334</v>
      </c>
      <c r="D55" s="113">
        <f>SUM(D49:D54)</f>
        <v>313027946.80000001</v>
      </c>
    </row>
    <row r="57" spans="1:5">
      <c r="C57" s="170"/>
    </row>
  </sheetData>
  <mergeCells count="28">
    <mergeCell ref="A54:B54"/>
    <mergeCell ref="A45:B45"/>
    <mergeCell ref="C37:N37"/>
    <mergeCell ref="A55:B55"/>
    <mergeCell ref="A38:B38"/>
    <mergeCell ref="A39:B39"/>
    <mergeCell ref="A41:B41"/>
    <mergeCell ref="A42:B42"/>
    <mergeCell ref="A49:B49"/>
    <mergeCell ref="A50:B50"/>
    <mergeCell ref="A52:B52"/>
    <mergeCell ref="A53:B53"/>
    <mergeCell ref="A51:B51"/>
    <mergeCell ref="A18:B18"/>
    <mergeCell ref="A48:B48"/>
    <mergeCell ref="C34:N34"/>
    <mergeCell ref="A36:B36"/>
    <mergeCell ref="A34:B35"/>
    <mergeCell ref="A27:B27"/>
    <mergeCell ref="C30:N30"/>
    <mergeCell ref="A31:B31"/>
    <mergeCell ref="A32:B32"/>
    <mergeCell ref="A20:B20"/>
    <mergeCell ref="A21:B21"/>
    <mergeCell ref="A22:B22"/>
    <mergeCell ref="A23:B23"/>
    <mergeCell ref="A24:B24"/>
    <mergeCell ref="A28:B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1D7A-E8EF-440A-B389-534F326E9D3D}">
  <dimension ref="C1:I34"/>
  <sheetViews>
    <sheetView topLeftCell="A8" workbookViewId="0">
      <selection activeCell="E14" sqref="E14"/>
    </sheetView>
  </sheetViews>
  <sheetFormatPr defaultColWidth="11.42578125" defaultRowHeight="15"/>
  <cols>
    <col min="3" max="3" width="30" customWidth="1"/>
    <col min="4" max="4" width="18.28515625" style="119" bestFit="1" customWidth="1"/>
    <col min="5" max="5" width="20.140625" customWidth="1"/>
    <col min="6" max="6" width="26.42578125" customWidth="1"/>
    <col min="7" max="7" width="17.140625" bestFit="1" customWidth="1"/>
    <col min="8" max="8" width="19.28515625" bestFit="1" customWidth="1"/>
    <col min="9" max="9" width="16.85546875" bestFit="1" customWidth="1"/>
    <col min="10" max="10" width="14.42578125" bestFit="1" customWidth="1"/>
    <col min="11" max="11" width="16.85546875" bestFit="1" customWidth="1"/>
  </cols>
  <sheetData>
    <row r="1" spans="3:9">
      <c r="F1" s="571" t="s">
        <v>173</v>
      </c>
      <c r="G1" s="572"/>
      <c r="H1" s="573"/>
    </row>
    <row r="2" spans="3:9">
      <c r="C2" s="131" t="s">
        <v>132</v>
      </c>
      <c r="D2" s="127" t="s">
        <v>174</v>
      </c>
      <c r="F2" s="574" t="s">
        <v>44</v>
      </c>
      <c r="G2" s="575" t="s">
        <v>106</v>
      </c>
      <c r="H2" s="574" t="s">
        <v>175</v>
      </c>
    </row>
    <row r="3" spans="3:9">
      <c r="C3" s="125" t="s">
        <v>36</v>
      </c>
      <c r="D3" s="130">
        <f>+'INVERSIÓN TOTAL'!C19</f>
        <v>539536000</v>
      </c>
      <c r="F3" s="125" t="s">
        <v>176</v>
      </c>
      <c r="G3" s="130">
        <f>+'MANO DE OBRA'!E170</f>
        <v>45613324.93333333</v>
      </c>
      <c r="H3" s="130">
        <f>+G3*3</f>
        <v>136839974.79999998</v>
      </c>
      <c r="I3" s="170"/>
    </row>
    <row r="4" spans="3:9">
      <c r="C4" s="125" t="s">
        <v>177</v>
      </c>
      <c r="D4" s="130">
        <f>+'MANO DE OBRA'!G170</f>
        <v>24218811.366666667</v>
      </c>
      <c r="F4" s="125" t="s">
        <v>178</v>
      </c>
      <c r="G4" s="130">
        <f>+DEPRECIACIÓN!E52</f>
        <v>3150508.3333333335</v>
      </c>
      <c r="H4" s="130">
        <f>+G4*3</f>
        <v>9451525</v>
      </c>
      <c r="I4" s="170"/>
    </row>
    <row r="5" spans="3:9">
      <c r="C5" s="125" t="s">
        <v>137</v>
      </c>
      <c r="D5" s="130">
        <f>+CIF!B61</f>
        <v>6540790.5466666669</v>
      </c>
      <c r="F5" s="125" t="s">
        <v>179</v>
      </c>
      <c r="G5" s="130">
        <f>+CIF!D44</f>
        <v>3642322.8800000004</v>
      </c>
      <c r="H5" s="130">
        <f t="shared" ref="H5:H7" si="0">+G5*3</f>
        <v>10926968.640000001</v>
      </c>
    </row>
    <row r="6" spans="3:9">
      <c r="C6" s="125" t="s">
        <v>164</v>
      </c>
      <c r="D6" s="130">
        <f>+'GASTOS ADMINISTRATIVOS'!C55</f>
        <v>26085662.233333334</v>
      </c>
      <c r="F6" s="125" t="s">
        <v>164</v>
      </c>
      <c r="G6" s="130">
        <f>+'GASTOS ADMINISTRATIVOS'!C36</f>
        <v>4439108</v>
      </c>
      <c r="H6" s="130">
        <f t="shared" si="0"/>
        <v>13317324</v>
      </c>
    </row>
    <row r="7" spans="3:9">
      <c r="C7" s="125" t="s">
        <v>180</v>
      </c>
      <c r="D7" s="130">
        <f>+'INVERSIÓN TOTAL'!F37</f>
        <v>42840000</v>
      </c>
      <c r="F7" s="125" t="s">
        <v>180</v>
      </c>
      <c r="G7" s="130">
        <f>+'INVERSIÓN TOTAL'!F37</f>
        <v>42840000</v>
      </c>
      <c r="H7" s="130">
        <f t="shared" si="0"/>
        <v>128520000</v>
      </c>
    </row>
    <row r="8" spans="3:9">
      <c r="C8" s="128" t="s">
        <v>181</v>
      </c>
      <c r="D8" s="129">
        <f>SUM(D3:D7)</f>
        <v>639221264.14666665</v>
      </c>
      <c r="F8" s="131" t="s">
        <v>182</v>
      </c>
      <c r="G8" s="129">
        <f>SUM(G3:G7)</f>
        <v>99685264.146666676</v>
      </c>
      <c r="H8" s="129">
        <f>SUM(H3:H7)</f>
        <v>299055792.44</v>
      </c>
    </row>
    <row r="9" spans="3:9">
      <c r="G9" s="170">
        <f>G8*12</f>
        <v>1196223169.7600002</v>
      </c>
    </row>
    <row r="10" spans="3:9" ht="15.75">
      <c r="C10" s="3" t="s">
        <v>183</v>
      </c>
    </row>
    <row r="12" spans="3:9">
      <c r="C12" s="469" t="s">
        <v>184</v>
      </c>
      <c r="D12" s="469"/>
      <c r="F12" s="467" t="s">
        <v>185</v>
      </c>
      <c r="G12" s="468"/>
    </row>
    <row r="13" spans="3:9">
      <c r="C13" s="125" t="s">
        <v>186</v>
      </c>
      <c r="D13" s="130">
        <v>600000</v>
      </c>
      <c r="F13" s="210" t="s">
        <v>187</v>
      </c>
      <c r="G13" s="127" t="s">
        <v>188</v>
      </c>
    </row>
    <row r="14" spans="3:9">
      <c r="C14" s="125" t="s">
        <v>189</v>
      </c>
      <c r="D14" s="130">
        <v>1500000</v>
      </c>
      <c r="E14" s="170"/>
      <c r="F14" s="211" t="s">
        <v>36</v>
      </c>
      <c r="G14" s="130">
        <f>+'INVERSIÓN TOTAL'!C19</f>
        <v>539536000</v>
      </c>
    </row>
    <row r="15" spans="3:9">
      <c r="C15" s="125" t="s">
        <v>190</v>
      </c>
      <c r="D15" s="130">
        <v>1000000</v>
      </c>
      <c r="F15" s="212" t="s">
        <v>191</v>
      </c>
      <c r="G15" s="132">
        <f>+H8</f>
        <v>299055792.44</v>
      </c>
    </row>
    <row r="16" spans="3:9">
      <c r="C16" s="125" t="s">
        <v>192</v>
      </c>
      <c r="D16" s="130">
        <f>+SUM(D13:D15)*10%</f>
        <v>310000</v>
      </c>
      <c r="F16" s="212" t="s">
        <v>184</v>
      </c>
      <c r="G16" s="132">
        <f>+D17</f>
        <v>3410000</v>
      </c>
    </row>
    <row r="17" spans="3:8">
      <c r="C17" s="128" t="s">
        <v>181</v>
      </c>
      <c r="D17" s="129">
        <f>SUM(D13:D16)</f>
        <v>3410000</v>
      </c>
      <c r="F17" s="128" t="s">
        <v>193</v>
      </c>
      <c r="G17" s="133">
        <f>SUM(G14:G16)</f>
        <v>842001792.44000006</v>
      </c>
    </row>
    <row r="21" spans="3:8">
      <c r="C21" s="470" t="s">
        <v>194</v>
      </c>
      <c r="D21" s="470"/>
      <c r="E21" s="470"/>
      <c r="F21" s="470"/>
    </row>
    <row r="22" spans="3:8">
      <c r="C22" s="131" t="s">
        <v>44</v>
      </c>
      <c r="D22" s="127" t="s">
        <v>195</v>
      </c>
      <c r="E22" s="134" t="s">
        <v>196</v>
      </c>
      <c r="F22" s="134" t="s">
        <v>197</v>
      </c>
    </row>
    <row r="23" spans="3:8">
      <c r="C23" s="163" t="s">
        <v>176</v>
      </c>
      <c r="D23" s="130">
        <f>G3*12</f>
        <v>547359899.19999993</v>
      </c>
      <c r="E23" s="161">
        <f>+D23</f>
        <v>547359899.19999993</v>
      </c>
      <c r="F23" s="135"/>
    </row>
    <row r="24" spans="3:8">
      <c r="C24" s="163" t="s">
        <v>178</v>
      </c>
      <c r="D24" s="130">
        <f>G4*12</f>
        <v>37806100</v>
      </c>
      <c r="E24" s="161">
        <f>+D24</f>
        <v>37806100</v>
      </c>
      <c r="F24" s="135"/>
    </row>
    <row r="25" spans="3:8">
      <c r="C25" s="163" t="s">
        <v>179</v>
      </c>
      <c r="D25" s="130">
        <f>G5*12</f>
        <v>43707874.560000002</v>
      </c>
      <c r="E25" s="161">
        <f>+D25</f>
        <v>43707874.560000002</v>
      </c>
      <c r="F25" s="135"/>
    </row>
    <row r="26" spans="3:8">
      <c r="C26" s="163" t="s">
        <v>164</v>
      </c>
      <c r="D26" s="130">
        <f>G6*12</f>
        <v>53269296</v>
      </c>
      <c r="E26" s="161">
        <f>+D26</f>
        <v>53269296</v>
      </c>
      <c r="F26" s="135"/>
    </row>
    <row r="27" spans="3:8">
      <c r="C27" s="163" t="s">
        <v>180</v>
      </c>
      <c r="D27" s="130">
        <f>G7*12</f>
        <v>514080000</v>
      </c>
      <c r="E27" s="135"/>
      <c r="F27" s="161">
        <f>+D27</f>
        <v>514080000</v>
      </c>
    </row>
    <row r="28" spans="3:8">
      <c r="C28" s="163" t="s">
        <v>198</v>
      </c>
      <c r="D28" s="174">
        <f>+AMORTIZACIONES!E68/5</f>
        <v>49894301.310009338</v>
      </c>
      <c r="E28" s="136">
        <f>+D28</f>
        <v>49894301.310009338</v>
      </c>
      <c r="F28" s="161"/>
    </row>
    <row r="29" spans="3:8">
      <c r="C29" s="162" t="s">
        <v>199</v>
      </c>
      <c r="D29" s="129">
        <f>SUM(D23:D28)</f>
        <v>1246117471.0700092</v>
      </c>
      <c r="E29" s="129">
        <f>SUM(E23:E28)</f>
        <v>732037471.07000935</v>
      </c>
      <c r="F29" s="129">
        <f>SUM(F23:F27)</f>
        <v>514080000</v>
      </c>
      <c r="H29" s="119"/>
    </row>
    <row r="31" spans="3:8">
      <c r="D31" s="170"/>
    </row>
    <row r="32" spans="3:8">
      <c r="D32"/>
    </row>
    <row r="33" spans="4:4">
      <c r="D33"/>
    </row>
    <row r="34" spans="4:4">
      <c r="D34"/>
    </row>
  </sheetData>
  <mergeCells count="4">
    <mergeCell ref="F1:H1"/>
    <mergeCell ref="F12:G12"/>
    <mergeCell ref="C12:D12"/>
    <mergeCell ref="C21:F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D374-96A5-4C81-8BCB-BC99783EE8FE}">
  <dimension ref="A1:N159"/>
  <sheetViews>
    <sheetView topLeftCell="A136" zoomScale="57" zoomScaleNormal="70" workbookViewId="0">
      <selection activeCell="E153" sqref="E153"/>
    </sheetView>
  </sheetViews>
  <sheetFormatPr defaultColWidth="11.42578125" defaultRowHeight="15"/>
  <cols>
    <col min="1" max="7" width="28.7109375" style="18" customWidth="1"/>
    <col min="8" max="8" width="11.42578125" style="18"/>
    <col min="9" max="13" width="22" style="18" customWidth="1"/>
    <col min="14" max="14" width="24.42578125" style="18" customWidth="1"/>
    <col min="15" max="17" width="11.42578125" style="18"/>
    <col min="18" max="18" width="18.140625" style="18" customWidth="1"/>
    <col min="19" max="16384" width="11.42578125" style="18"/>
  </cols>
  <sheetData>
    <row r="1" spans="1:14">
      <c r="A1" s="478" t="s">
        <v>200</v>
      </c>
      <c r="B1" s="479"/>
      <c r="C1" s="479"/>
      <c r="D1" s="479"/>
      <c r="E1" s="479"/>
      <c r="F1" s="479"/>
      <c r="G1" s="480"/>
      <c r="I1" s="471" t="s">
        <v>200</v>
      </c>
      <c r="J1" s="471"/>
      <c r="K1" s="471"/>
      <c r="L1" s="471"/>
      <c r="M1" s="471"/>
      <c r="N1" s="471"/>
    </row>
    <row r="2" spans="1:14">
      <c r="A2" s="477" t="s">
        <v>201</v>
      </c>
      <c r="B2" s="376" t="s">
        <v>202</v>
      </c>
      <c r="C2" s="376">
        <v>60</v>
      </c>
      <c r="D2" s="376" t="s">
        <v>203</v>
      </c>
      <c r="E2" s="377">
        <v>0.35</v>
      </c>
      <c r="F2" s="378" t="s">
        <v>204</v>
      </c>
      <c r="G2" s="379">
        <v>350000000</v>
      </c>
      <c r="I2" s="472" t="s">
        <v>205</v>
      </c>
      <c r="J2" s="33" t="s">
        <v>202</v>
      </c>
      <c r="K2" s="33">
        <v>60</v>
      </c>
      <c r="L2" s="33"/>
      <c r="M2" s="145" t="s">
        <v>204</v>
      </c>
      <c r="N2" s="146">
        <v>350000000</v>
      </c>
    </row>
    <row r="3" spans="1:14">
      <c r="A3" s="477"/>
      <c r="B3" s="376" t="s">
        <v>206</v>
      </c>
      <c r="C3" s="380">
        <v>1.78E-2</v>
      </c>
      <c r="D3" s="381">
        <f>((1+C3)^(12))-1</f>
        <v>0.23580332236181256</v>
      </c>
      <c r="E3" s="376"/>
      <c r="F3" s="376" t="s">
        <v>207</v>
      </c>
      <c r="G3" s="382">
        <f>G2*((C3*((1+C3)^C2))/(((1+C3)^C2)-1))</f>
        <v>9539691.7758340966</v>
      </c>
      <c r="I3" s="472"/>
      <c r="J3" s="33" t="s">
        <v>206</v>
      </c>
      <c r="K3" s="147">
        <v>2.0500000000000001E-2</v>
      </c>
      <c r="L3" s="33"/>
      <c r="M3" s="33" t="s">
        <v>207</v>
      </c>
      <c r="N3" s="142">
        <f>N2*((K3*((1+K3)^K2))/(((1+K3)^K2)-1))</f>
        <v>10191048.542634645</v>
      </c>
    </row>
    <row r="4" spans="1:14">
      <c r="A4" s="383"/>
      <c r="B4" s="376" t="s">
        <v>208</v>
      </c>
      <c r="C4" s="380">
        <f>C151+(C152*C153)</f>
        <v>0.11550000000000002</v>
      </c>
      <c r="D4" s="380"/>
      <c r="E4" s="380"/>
      <c r="F4" s="376" t="s">
        <v>209</v>
      </c>
      <c r="G4" s="382">
        <v>451500</v>
      </c>
      <c r="I4" s="148"/>
      <c r="J4" s="33"/>
      <c r="K4" s="33"/>
      <c r="L4" s="137"/>
      <c r="M4" s="33" t="s">
        <v>209</v>
      </c>
      <c r="N4" s="142">
        <v>460000</v>
      </c>
    </row>
    <row r="5" spans="1:14">
      <c r="A5" s="384"/>
      <c r="B5" s="376"/>
      <c r="C5" s="376"/>
      <c r="D5" s="376"/>
      <c r="E5" s="376"/>
      <c r="F5" s="378" t="s">
        <v>210</v>
      </c>
      <c r="G5" s="385">
        <f>+G3+G4</f>
        <v>9991191.7758340966</v>
      </c>
      <c r="I5" s="33"/>
      <c r="J5" s="33"/>
      <c r="K5" s="33"/>
      <c r="L5" s="33"/>
      <c r="M5" s="65" t="s">
        <v>210</v>
      </c>
      <c r="N5" s="138">
        <f>+N3+N4</f>
        <v>10651048.542634645</v>
      </c>
    </row>
    <row r="6" spans="1:14" ht="18.75">
      <c r="A6" s="386" t="s">
        <v>211</v>
      </c>
      <c r="B6" s="387" t="s">
        <v>212</v>
      </c>
      <c r="C6" s="387" t="s">
        <v>209</v>
      </c>
      <c r="D6" s="387" t="s">
        <v>213</v>
      </c>
      <c r="E6" s="387" t="s">
        <v>214</v>
      </c>
      <c r="F6" s="387" t="s">
        <v>215</v>
      </c>
      <c r="G6" s="388" t="s">
        <v>216</v>
      </c>
      <c r="I6" s="139" t="s">
        <v>211</v>
      </c>
      <c r="J6" s="139" t="s">
        <v>212</v>
      </c>
      <c r="K6" s="139" t="s">
        <v>209</v>
      </c>
      <c r="L6" s="139" t="s">
        <v>213</v>
      </c>
      <c r="M6" s="139" t="s">
        <v>215</v>
      </c>
      <c r="N6" s="139" t="s">
        <v>216</v>
      </c>
    </row>
    <row r="7" spans="1:14" ht="18.75">
      <c r="A7" s="386">
        <v>0</v>
      </c>
      <c r="B7" s="389"/>
      <c r="C7" s="389"/>
      <c r="D7" s="389"/>
      <c r="E7" s="389"/>
      <c r="F7" s="389"/>
      <c r="G7" s="390">
        <f>+G2</f>
        <v>350000000</v>
      </c>
      <c r="I7" s="139">
        <v>0</v>
      </c>
      <c r="J7" s="140"/>
      <c r="K7" s="140"/>
      <c r="L7" s="140"/>
      <c r="M7" s="140"/>
      <c r="N7" s="140">
        <f>+N2</f>
        <v>350000000</v>
      </c>
    </row>
    <row r="8" spans="1:14" ht="18.75">
      <c r="A8" s="386">
        <v>1</v>
      </c>
      <c r="B8" s="391">
        <f>+G5</f>
        <v>9991191.7758340966</v>
      </c>
      <c r="C8" s="391">
        <f>+$G$4</f>
        <v>451500</v>
      </c>
      <c r="D8" s="389">
        <f t="shared" ref="D8:D39" si="0">+G7*$C$3</f>
        <v>6230000</v>
      </c>
      <c r="E8" s="389">
        <f>+C8+D8</f>
        <v>6681500</v>
      </c>
      <c r="F8" s="389">
        <f>+B8-D8-C8</f>
        <v>3309691.7758340966</v>
      </c>
      <c r="G8" s="390">
        <f>+G7-F8</f>
        <v>346690308.22416592</v>
      </c>
      <c r="I8" s="139">
        <v>1</v>
      </c>
      <c r="J8" s="141">
        <f>+N5</f>
        <v>10651048.542634645</v>
      </c>
      <c r="K8" s="141">
        <f>+N4</f>
        <v>460000</v>
      </c>
      <c r="L8" s="140">
        <f>+N7*$K$3</f>
        <v>7175000</v>
      </c>
      <c r="M8" s="140">
        <f>+J8-L8-K8</f>
        <v>3016048.5426346455</v>
      </c>
      <c r="N8" s="140">
        <f>+N7-M8</f>
        <v>346983951.45736533</v>
      </c>
    </row>
    <row r="9" spans="1:14" ht="18.75">
      <c r="A9" s="386">
        <v>2</v>
      </c>
      <c r="B9" s="391">
        <f>+B8</f>
        <v>9991191.7758340966</v>
      </c>
      <c r="C9" s="391">
        <f t="shared" ref="C9:C67" si="1">+$G$4</f>
        <v>451500</v>
      </c>
      <c r="D9" s="389">
        <f>+G8*$C$3</f>
        <v>6171087.4863901529</v>
      </c>
      <c r="E9" s="389">
        <f>+C9+D9</f>
        <v>6622587.4863901529</v>
      </c>
      <c r="F9" s="389">
        <f>+B9-D9-C9</f>
        <v>3368604.2894439436</v>
      </c>
      <c r="G9" s="390">
        <f t="shared" ref="G9:G66" si="2">+G8-F9</f>
        <v>343321703.93472195</v>
      </c>
      <c r="I9" s="139">
        <v>2</v>
      </c>
      <c r="J9" s="141">
        <f>+J8</f>
        <v>10651048.542634645</v>
      </c>
      <c r="K9" s="141">
        <f>+$K$8</f>
        <v>460000</v>
      </c>
      <c r="L9" s="140">
        <f t="shared" ref="L9:L67" si="3">+N8*$K$3</f>
        <v>7113171.0048759896</v>
      </c>
      <c r="M9" s="140">
        <f t="shared" ref="M9:M67" si="4">+J9-L9-K9</f>
        <v>3077877.5377586558</v>
      </c>
      <c r="N9" s="140">
        <f t="shared" ref="N9:N67" si="5">+N8-M9</f>
        <v>343906073.91960669</v>
      </c>
    </row>
    <row r="10" spans="1:14" ht="18.75">
      <c r="A10" s="386">
        <v>3</v>
      </c>
      <c r="B10" s="391">
        <f t="shared" ref="B10:B67" si="6">+B9</f>
        <v>9991191.7758340966</v>
      </c>
      <c r="C10" s="391">
        <f t="shared" si="1"/>
        <v>451500</v>
      </c>
      <c r="D10" s="389">
        <f t="shared" si="0"/>
        <v>6111126.3300380502</v>
      </c>
      <c r="E10" s="389">
        <f t="shared" ref="E10:E67" si="7">+C10+D10</f>
        <v>6562626.3300380502</v>
      </c>
      <c r="F10" s="389">
        <f t="shared" ref="F10:F67" si="8">+B10-D10-C10</f>
        <v>3428565.4457960464</v>
      </c>
      <c r="G10" s="390">
        <f t="shared" si="2"/>
        <v>339893138.48892587</v>
      </c>
      <c r="I10" s="139">
        <v>3</v>
      </c>
      <c r="J10" s="141">
        <f t="shared" ref="J10:J67" si="9">+J9</f>
        <v>10651048.542634645</v>
      </c>
      <c r="K10" s="141">
        <f t="shared" ref="K10:K67" si="10">+$K$8</f>
        <v>460000</v>
      </c>
      <c r="L10" s="140">
        <f t="shared" si="3"/>
        <v>7050074.5153519372</v>
      </c>
      <c r="M10" s="140">
        <f t="shared" si="4"/>
        <v>3140974.0272827083</v>
      </c>
      <c r="N10" s="140">
        <f t="shared" si="5"/>
        <v>340765099.89232397</v>
      </c>
    </row>
    <row r="11" spans="1:14" ht="18.75">
      <c r="A11" s="386">
        <v>4</v>
      </c>
      <c r="B11" s="391">
        <f t="shared" si="6"/>
        <v>9991191.7758340966</v>
      </c>
      <c r="C11" s="391">
        <f t="shared" si="1"/>
        <v>451500</v>
      </c>
      <c r="D11" s="389">
        <f t="shared" si="0"/>
        <v>6050097.8651028806</v>
      </c>
      <c r="E11" s="389">
        <f t="shared" si="7"/>
        <v>6501597.8651028806</v>
      </c>
      <c r="F11" s="389">
        <f t="shared" si="8"/>
        <v>3489593.910731216</v>
      </c>
      <c r="G11" s="390">
        <f t="shared" si="2"/>
        <v>336403544.57819468</v>
      </c>
      <c r="I11" s="139">
        <v>4</v>
      </c>
      <c r="J11" s="141">
        <f t="shared" si="9"/>
        <v>10651048.542634645</v>
      </c>
      <c r="K11" s="141">
        <f t="shared" si="10"/>
        <v>460000</v>
      </c>
      <c r="L11" s="140">
        <f t="shared" si="3"/>
        <v>6985684.5477926414</v>
      </c>
      <c r="M11" s="140">
        <f t="shared" si="4"/>
        <v>3205363.994842004</v>
      </c>
      <c r="N11" s="140">
        <f t="shared" si="5"/>
        <v>337559735.89748198</v>
      </c>
    </row>
    <row r="12" spans="1:14" ht="18.75">
      <c r="A12" s="386">
        <v>5</v>
      </c>
      <c r="B12" s="391">
        <f t="shared" si="6"/>
        <v>9991191.7758340966</v>
      </c>
      <c r="C12" s="391">
        <f t="shared" si="1"/>
        <v>451500</v>
      </c>
      <c r="D12" s="389">
        <f t="shared" si="0"/>
        <v>5987983.0934918653</v>
      </c>
      <c r="E12" s="389">
        <f t="shared" si="7"/>
        <v>6439483.0934918653</v>
      </c>
      <c r="F12" s="389">
        <f t="shared" si="8"/>
        <v>3551708.6823422313</v>
      </c>
      <c r="G12" s="390">
        <f t="shared" si="2"/>
        <v>332851835.89585245</v>
      </c>
      <c r="I12" s="139">
        <v>5</v>
      </c>
      <c r="J12" s="141">
        <f t="shared" si="9"/>
        <v>10651048.542634645</v>
      </c>
      <c r="K12" s="141">
        <f t="shared" si="10"/>
        <v>460000</v>
      </c>
      <c r="L12" s="140">
        <f t="shared" si="3"/>
        <v>6919974.5858983807</v>
      </c>
      <c r="M12" s="140">
        <f t="shared" si="4"/>
        <v>3271073.9567362648</v>
      </c>
      <c r="N12" s="140">
        <f t="shared" si="5"/>
        <v>334288661.94074571</v>
      </c>
    </row>
    <row r="13" spans="1:14" ht="18.75">
      <c r="A13" s="386">
        <v>6</v>
      </c>
      <c r="B13" s="391">
        <f t="shared" si="6"/>
        <v>9991191.7758340966</v>
      </c>
      <c r="C13" s="391">
        <f t="shared" si="1"/>
        <v>451500</v>
      </c>
      <c r="D13" s="389">
        <f t="shared" si="0"/>
        <v>5924762.6789461737</v>
      </c>
      <c r="E13" s="389">
        <f t="shared" si="7"/>
        <v>6376262.6789461737</v>
      </c>
      <c r="F13" s="389">
        <f t="shared" si="8"/>
        <v>3614929.0968879228</v>
      </c>
      <c r="G13" s="390">
        <f t="shared" si="2"/>
        <v>329236906.7989645</v>
      </c>
      <c r="I13" s="139">
        <v>6</v>
      </c>
      <c r="J13" s="141">
        <f t="shared" si="9"/>
        <v>10651048.542634645</v>
      </c>
      <c r="K13" s="141">
        <f t="shared" si="10"/>
        <v>460000</v>
      </c>
      <c r="L13" s="140">
        <f t="shared" si="3"/>
        <v>6852917.5697852876</v>
      </c>
      <c r="M13" s="140">
        <f t="shared" si="4"/>
        <v>3338130.9728493579</v>
      </c>
      <c r="N13" s="140">
        <f t="shared" si="5"/>
        <v>330950530.96789634</v>
      </c>
    </row>
    <row r="14" spans="1:14" ht="18.75">
      <c r="A14" s="386">
        <v>7</v>
      </c>
      <c r="B14" s="391">
        <f t="shared" si="6"/>
        <v>9991191.7758340966</v>
      </c>
      <c r="C14" s="391">
        <f t="shared" si="1"/>
        <v>451500</v>
      </c>
      <c r="D14" s="389">
        <f t="shared" si="0"/>
        <v>5860416.9410215681</v>
      </c>
      <c r="E14" s="389">
        <f t="shared" si="7"/>
        <v>6311916.9410215681</v>
      </c>
      <c r="F14" s="389">
        <f t="shared" si="8"/>
        <v>3679274.8348125285</v>
      </c>
      <c r="G14" s="390">
        <f t="shared" si="2"/>
        <v>325557631.96415198</v>
      </c>
      <c r="I14" s="139">
        <v>7</v>
      </c>
      <c r="J14" s="141">
        <f t="shared" si="9"/>
        <v>10651048.542634645</v>
      </c>
      <c r="K14" s="141">
        <f t="shared" si="10"/>
        <v>460000</v>
      </c>
      <c r="L14" s="140">
        <f t="shared" si="3"/>
        <v>6784485.8848418752</v>
      </c>
      <c r="M14" s="140">
        <f t="shared" si="4"/>
        <v>3406562.6577927703</v>
      </c>
      <c r="N14" s="140">
        <f t="shared" si="5"/>
        <v>327543968.3101036</v>
      </c>
    </row>
    <row r="15" spans="1:14" ht="18.75">
      <c r="A15" s="386">
        <v>8</v>
      </c>
      <c r="B15" s="391">
        <f t="shared" si="6"/>
        <v>9991191.7758340966</v>
      </c>
      <c r="C15" s="391">
        <f t="shared" si="1"/>
        <v>451500</v>
      </c>
      <c r="D15" s="389">
        <f t="shared" si="0"/>
        <v>5794925.8489619056</v>
      </c>
      <c r="E15" s="389">
        <f t="shared" si="7"/>
        <v>6246425.8489619056</v>
      </c>
      <c r="F15" s="389">
        <f t="shared" si="8"/>
        <v>3744765.926872191</v>
      </c>
      <c r="G15" s="390">
        <f t="shared" si="2"/>
        <v>321812866.03727978</v>
      </c>
      <c r="I15" s="139">
        <v>8</v>
      </c>
      <c r="J15" s="141">
        <f t="shared" si="9"/>
        <v>10651048.542634645</v>
      </c>
      <c r="K15" s="141">
        <f t="shared" si="10"/>
        <v>460000</v>
      </c>
      <c r="L15" s="140">
        <f t="shared" si="3"/>
        <v>6714651.3503571237</v>
      </c>
      <c r="M15" s="140">
        <f t="shared" si="4"/>
        <v>3476397.1922775218</v>
      </c>
      <c r="N15" s="140">
        <f t="shared" si="5"/>
        <v>324067571.11782604</v>
      </c>
    </row>
    <row r="16" spans="1:14" ht="18.75">
      <c r="A16" s="386">
        <v>9</v>
      </c>
      <c r="B16" s="391">
        <f t="shared" si="6"/>
        <v>9991191.7758340966</v>
      </c>
      <c r="C16" s="391">
        <f t="shared" si="1"/>
        <v>451500</v>
      </c>
      <c r="D16" s="389">
        <f t="shared" si="0"/>
        <v>5728269.0154635804</v>
      </c>
      <c r="E16" s="389">
        <f t="shared" si="7"/>
        <v>6179769.0154635804</v>
      </c>
      <c r="F16" s="389">
        <f t="shared" si="8"/>
        <v>3811422.7603705162</v>
      </c>
      <c r="G16" s="390">
        <f t="shared" si="2"/>
        <v>318001443.27690929</v>
      </c>
      <c r="I16" s="139">
        <v>9</v>
      </c>
      <c r="J16" s="141">
        <f t="shared" si="9"/>
        <v>10651048.542634645</v>
      </c>
      <c r="K16" s="141">
        <f t="shared" si="10"/>
        <v>460000</v>
      </c>
      <c r="L16" s="140">
        <f t="shared" si="3"/>
        <v>6643385.2079154346</v>
      </c>
      <c r="M16" s="140">
        <f t="shared" si="4"/>
        <v>3547663.3347192109</v>
      </c>
      <c r="N16" s="140">
        <f t="shared" si="5"/>
        <v>320519907.7831068</v>
      </c>
    </row>
    <row r="17" spans="1:14" ht="18.75">
      <c r="A17" s="386">
        <v>10</v>
      </c>
      <c r="B17" s="391">
        <f t="shared" si="6"/>
        <v>9991191.7758340966</v>
      </c>
      <c r="C17" s="391">
        <f t="shared" si="1"/>
        <v>451500</v>
      </c>
      <c r="D17" s="389">
        <f t="shared" si="0"/>
        <v>5660425.6903289855</v>
      </c>
      <c r="E17" s="389">
        <f t="shared" si="7"/>
        <v>6111925.6903289855</v>
      </c>
      <c r="F17" s="389">
        <f t="shared" si="8"/>
        <v>3879266.0855051111</v>
      </c>
      <c r="G17" s="390">
        <f t="shared" si="2"/>
        <v>314122177.19140416</v>
      </c>
      <c r="I17" s="139">
        <v>10</v>
      </c>
      <c r="J17" s="141">
        <f t="shared" si="9"/>
        <v>10651048.542634645</v>
      </c>
      <c r="K17" s="141">
        <f t="shared" si="10"/>
        <v>460000</v>
      </c>
      <c r="L17" s="140">
        <f t="shared" si="3"/>
        <v>6570658.1095536901</v>
      </c>
      <c r="M17" s="140">
        <f t="shared" si="4"/>
        <v>3620390.4330809554</v>
      </c>
      <c r="N17" s="140">
        <f t="shared" si="5"/>
        <v>316899517.35002583</v>
      </c>
    </row>
    <row r="18" spans="1:14" ht="18.75">
      <c r="A18" s="386">
        <v>11</v>
      </c>
      <c r="B18" s="391">
        <f t="shared" si="6"/>
        <v>9991191.7758340966</v>
      </c>
      <c r="C18" s="391">
        <f t="shared" si="1"/>
        <v>451500</v>
      </c>
      <c r="D18" s="389">
        <f t="shared" si="0"/>
        <v>5591374.754006994</v>
      </c>
      <c r="E18" s="389">
        <f t="shared" si="7"/>
        <v>6042874.754006994</v>
      </c>
      <c r="F18" s="389">
        <f t="shared" si="8"/>
        <v>3948317.0218271026</v>
      </c>
      <c r="G18" s="390">
        <f t="shared" si="2"/>
        <v>310173860.16957706</v>
      </c>
      <c r="I18" s="139">
        <v>11</v>
      </c>
      <c r="J18" s="141">
        <f t="shared" si="9"/>
        <v>10651048.542634645</v>
      </c>
      <c r="K18" s="141">
        <f t="shared" si="10"/>
        <v>460000</v>
      </c>
      <c r="L18" s="140">
        <f t="shared" si="3"/>
        <v>6496440.1056755297</v>
      </c>
      <c r="M18" s="140">
        <f t="shared" si="4"/>
        <v>3694608.4369591158</v>
      </c>
      <c r="N18" s="140">
        <f t="shared" si="5"/>
        <v>313204908.91306674</v>
      </c>
    </row>
    <row r="19" spans="1:14" ht="18.75">
      <c r="A19" s="386">
        <v>12</v>
      </c>
      <c r="B19" s="391">
        <f t="shared" si="6"/>
        <v>9991191.7758340966</v>
      </c>
      <c r="C19" s="391">
        <f t="shared" si="1"/>
        <v>451500</v>
      </c>
      <c r="D19" s="389">
        <f t="shared" si="0"/>
        <v>5521094.711018472</v>
      </c>
      <c r="E19" s="389">
        <f t="shared" si="7"/>
        <v>5972594.711018472</v>
      </c>
      <c r="F19" s="389">
        <f t="shared" si="8"/>
        <v>4018597.0648156246</v>
      </c>
      <c r="G19" s="390">
        <f t="shared" si="2"/>
        <v>306155263.10476142</v>
      </c>
      <c r="I19" s="139">
        <v>12</v>
      </c>
      <c r="J19" s="141">
        <f t="shared" si="9"/>
        <v>10651048.542634645</v>
      </c>
      <c r="K19" s="141">
        <f t="shared" si="10"/>
        <v>460000</v>
      </c>
      <c r="L19" s="140">
        <f t="shared" si="3"/>
        <v>6420700.6327178683</v>
      </c>
      <c r="M19" s="140">
        <f t="shared" si="4"/>
        <v>3770347.9099167772</v>
      </c>
      <c r="N19" s="140">
        <f t="shared" si="5"/>
        <v>309434561.00314999</v>
      </c>
    </row>
    <row r="20" spans="1:14" ht="18.75">
      <c r="A20" s="386">
        <v>13</v>
      </c>
      <c r="B20" s="391">
        <f t="shared" si="6"/>
        <v>9991191.7758340966</v>
      </c>
      <c r="C20" s="391">
        <f t="shared" si="1"/>
        <v>451500</v>
      </c>
      <c r="D20" s="389">
        <f t="shared" si="0"/>
        <v>5449563.6832647528</v>
      </c>
      <c r="E20" s="389">
        <f t="shared" si="7"/>
        <v>5901063.6832647528</v>
      </c>
      <c r="F20" s="389">
        <f t="shared" si="8"/>
        <v>4090128.0925693437</v>
      </c>
      <c r="G20" s="390">
        <f t="shared" si="2"/>
        <v>302065135.01219207</v>
      </c>
      <c r="I20" s="139">
        <v>13</v>
      </c>
      <c r="J20" s="141">
        <f t="shared" si="9"/>
        <v>10651048.542634645</v>
      </c>
      <c r="K20" s="141">
        <f t="shared" si="10"/>
        <v>460000</v>
      </c>
      <c r="L20" s="140">
        <f t="shared" si="3"/>
        <v>6343408.5005645752</v>
      </c>
      <c r="M20" s="140">
        <f t="shared" si="4"/>
        <v>3847640.0420700703</v>
      </c>
      <c r="N20" s="140">
        <f t="shared" si="5"/>
        <v>305586920.9610799</v>
      </c>
    </row>
    <row r="21" spans="1:14" ht="18.75">
      <c r="A21" s="386">
        <v>14</v>
      </c>
      <c r="B21" s="391">
        <f t="shared" si="6"/>
        <v>9991191.7758340966</v>
      </c>
      <c r="C21" s="391">
        <f t="shared" si="1"/>
        <v>451500</v>
      </c>
      <c r="D21" s="389">
        <f t="shared" si="0"/>
        <v>5376759.4032170186</v>
      </c>
      <c r="E21" s="389">
        <f t="shared" si="7"/>
        <v>5828259.4032170186</v>
      </c>
      <c r="F21" s="389">
        <f t="shared" si="8"/>
        <v>4162932.372617078</v>
      </c>
      <c r="G21" s="390">
        <f t="shared" si="2"/>
        <v>297902202.639575</v>
      </c>
      <c r="I21" s="139">
        <v>14</v>
      </c>
      <c r="J21" s="141">
        <f t="shared" si="9"/>
        <v>10651048.542634645</v>
      </c>
      <c r="K21" s="141">
        <f t="shared" si="10"/>
        <v>460000</v>
      </c>
      <c r="L21" s="140">
        <f t="shared" si="3"/>
        <v>6264531.8797021378</v>
      </c>
      <c r="M21" s="140">
        <f t="shared" si="4"/>
        <v>3926516.6629325077</v>
      </c>
      <c r="N21" s="140">
        <f t="shared" si="5"/>
        <v>301660404.29814738</v>
      </c>
    </row>
    <row r="22" spans="1:14" ht="18.75">
      <c r="A22" s="386">
        <v>15</v>
      </c>
      <c r="B22" s="391">
        <f t="shared" si="6"/>
        <v>9991191.7758340966</v>
      </c>
      <c r="C22" s="391">
        <f t="shared" si="1"/>
        <v>451500</v>
      </c>
      <c r="D22" s="389">
        <f t="shared" si="0"/>
        <v>5302659.2069844352</v>
      </c>
      <c r="E22" s="389">
        <f t="shared" si="7"/>
        <v>5754159.2069844352</v>
      </c>
      <c r="F22" s="389">
        <f t="shared" si="8"/>
        <v>4237032.5688496614</v>
      </c>
      <c r="G22" s="390">
        <f t="shared" si="2"/>
        <v>293665170.07072532</v>
      </c>
      <c r="I22" s="139">
        <v>15</v>
      </c>
      <c r="J22" s="141">
        <f t="shared" si="9"/>
        <v>10651048.542634645</v>
      </c>
      <c r="K22" s="141">
        <f t="shared" si="10"/>
        <v>460000</v>
      </c>
      <c r="L22" s="140">
        <f t="shared" si="3"/>
        <v>6184038.288112022</v>
      </c>
      <c r="M22" s="140">
        <f t="shared" si="4"/>
        <v>4007010.2545226235</v>
      </c>
      <c r="N22" s="140">
        <f t="shared" si="5"/>
        <v>297653394.04362476</v>
      </c>
    </row>
    <row r="23" spans="1:14" ht="18.75">
      <c r="A23" s="386">
        <v>16</v>
      </c>
      <c r="B23" s="391">
        <f t="shared" si="6"/>
        <v>9991191.7758340966</v>
      </c>
      <c r="C23" s="391">
        <f t="shared" si="1"/>
        <v>451500</v>
      </c>
      <c r="D23" s="389">
        <f t="shared" si="0"/>
        <v>5227240.0272589102</v>
      </c>
      <c r="E23" s="389">
        <f t="shared" si="7"/>
        <v>5678740.0272589102</v>
      </c>
      <c r="F23" s="389">
        <f t="shared" si="8"/>
        <v>4312451.7485751864</v>
      </c>
      <c r="G23" s="390">
        <f t="shared" si="2"/>
        <v>289352718.32215011</v>
      </c>
      <c r="I23" s="139">
        <v>16</v>
      </c>
      <c r="J23" s="141">
        <f t="shared" si="9"/>
        <v>10651048.542634645</v>
      </c>
      <c r="K23" s="141">
        <f t="shared" si="10"/>
        <v>460000</v>
      </c>
      <c r="L23" s="140">
        <f t="shared" si="3"/>
        <v>6101894.5778943077</v>
      </c>
      <c r="M23" s="140">
        <f t="shared" si="4"/>
        <v>4089153.9647403378</v>
      </c>
      <c r="N23" s="140">
        <f t="shared" si="5"/>
        <v>293564240.07888442</v>
      </c>
    </row>
    <row r="24" spans="1:14" ht="18.75">
      <c r="A24" s="386">
        <v>17</v>
      </c>
      <c r="B24" s="391">
        <f t="shared" si="6"/>
        <v>9991191.7758340966</v>
      </c>
      <c r="C24" s="391">
        <f t="shared" si="1"/>
        <v>451500</v>
      </c>
      <c r="D24" s="389">
        <f t="shared" si="0"/>
        <v>5150478.3861342715</v>
      </c>
      <c r="E24" s="389">
        <f t="shared" si="7"/>
        <v>5601978.3861342715</v>
      </c>
      <c r="F24" s="389">
        <f t="shared" si="8"/>
        <v>4389213.3896998251</v>
      </c>
      <c r="G24" s="390">
        <f t="shared" si="2"/>
        <v>284963504.93245029</v>
      </c>
      <c r="I24" s="139">
        <v>17</v>
      </c>
      <c r="J24" s="141">
        <f t="shared" si="9"/>
        <v>10651048.542634645</v>
      </c>
      <c r="K24" s="141">
        <f t="shared" si="10"/>
        <v>460000</v>
      </c>
      <c r="L24" s="140">
        <f t="shared" si="3"/>
        <v>6018066.9216171307</v>
      </c>
      <c r="M24" s="140">
        <f t="shared" si="4"/>
        <v>4172981.6210175147</v>
      </c>
      <c r="N24" s="140">
        <f t="shared" si="5"/>
        <v>289391258.45786691</v>
      </c>
    </row>
    <row r="25" spans="1:14" ht="18.75">
      <c r="A25" s="386">
        <v>18</v>
      </c>
      <c r="B25" s="391">
        <f t="shared" si="6"/>
        <v>9991191.7758340966</v>
      </c>
      <c r="C25" s="391">
        <f t="shared" si="1"/>
        <v>451500</v>
      </c>
      <c r="D25" s="389">
        <f t="shared" si="0"/>
        <v>5072350.3877976155</v>
      </c>
      <c r="E25" s="389">
        <f t="shared" si="7"/>
        <v>5523850.3877976155</v>
      </c>
      <c r="F25" s="389">
        <f t="shared" si="8"/>
        <v>4467341.3880364811</v>
      </c>
      <c r="G25" s="390">
        <f t="shared" si="2"/>
        <v>280496163.54441381</v>
      </c>
      <c r="I25" s="139">
        <v>18</v>
      </c>
      <c r="J25" s="141">
        <f t="shared" si="9"/>
        <v>10651048.542634645</v>
      </c>
      <c r="K25" s="141">
        <f t="shared" si="10"/>
        <v>460000</v>
      </c>
      <c r="L25" s="140">
        <f t="shared" si="3"/>
        <v>5932520.798386272</v>
      </c>
      <c r="M25" s="140">
        <f t="shared" si="4"/>
        <v>4258527.7442483734</v>
      </c>
      <c r="N25" s="140">
        <f t="shared" si="5"/>
        <v>285132730.71361852</v>
      </c>
    </row>
    <row r="26" spans="1:14" ht="18.75">
      <c r="A26" s="386">
        <v>19</v>
      </c>
      <c r="B26" s="391">
        <f t="shared" si="6"/>
        <v>9991191.7758340966</v>
      </c>
      <c r="C26" s="391">
        <f t="shared" si="1"/>
        <v>451500</v>
      </c>
      <c r="D26" s="389">
        <f t="shared" si="0"/>
        <v>4992831.7110905657</v>
      </c>
      <c r="E26" s="389">
        <f t="shared" si="7"/>
        <v>5444331.7110905657</v>
      </c>
      <c r="F26" s="389">
        <f t="shared" si="8"/>
        <v>4546860.0647435309</v>
      </c>
      <c r="G26" s="390">
        <f t="shared" si="2"/>
        <v>275949303.47967029</v>
      </c>
      <c r="I26" s="139">
        <v>19</v>
      </c>
      <c r="J26" s="141">
        <f t="shared" si="9"/>
        <v>10651048.542634645</v>
      </c>
      <c r="K26" s="141">
        <f t="shared" si="10"/>
        <v>460000</v>
      </c>
      <c r="L26" s="140">
        <f t="shared" si="3"/>
        <v>5845220.9796291795</v>
      </c>
      <c r="M26" s="140">
        <f t="shared" si="4"/>
        <v>4345827.563005466</v>
      </c>
      <c r="N26" s="140">
        <f t="shared" si="5"/>
        <v>280786903.15061307</v>
      </c>
    </row>
    <row r="27" spans="1:14" ht="18.75">
      <c r="A27" s="386">
        <v>20</v>
      </c>
      <c r="B27" s="391">
        <f t="shared" si="6"/>
        <v>9991191.7758340966</v>
      </c>
      <c r="C27" s="391">
        <f t="shared" si="1"/>
        <v>451500</v>
      </c>
      <c r="D27" s="389">
        <f t="shared" si="0"/>
        <v>4911897.6019381313</v>
      </c>
      <c r="E27" s="389">
        <f t="shared" si="7"/>
        <v>5363397.6019381313</v>
      </c>
      <c r="F27" s="389">
        <f t="shared" si="8"/>
        <v>4627794.1738959653</v>
      </c>
      <c r="G27" s="390">
        <f t="shared" si="2"/>
        <v>271321509.30577433</v>
      </c>
      <c r="I27" s="139">
        <v>20</v>
      </c>
      <c r="J27" s="141">
        <f t="shared" si="9"/>
        <v>10651048.542634645</v>
      </c>
      <c r="K27" s="141">
        <f t="shared" si="10"/>
        <v>460000</v>
      </c>
      <c r="L27" s="140">
        <f t="shared" si="3"/>
        <v>5756131.5145875681</v>
      </c>
      <c r="M27" s="140">
        <f t="shared" si="4"/>
        <v>4434917.0280470774</v>
      </c>
      <c r="N27" s="140">
        <f t="shared" si="5"/>
        <v>276351986.12256598</v>
      </c>
    </row>
    <row r="28" spans="1:14" ht="18.75">
      <c r="A28" s="386">
        <v>21</v>
      </c>
      <c r="B28" s="391">
        <f t="shared" si="6"/>
        <v>9991191.7758340966</v>
      </c>
      <c r="C28" s="391">
        <f t="shared" si="1"/>
        <v>451500</v>
      </c>
      <c r="D28" s="389">
        <f t="shared" si="0"/>
        <v>4829522.8656427832</v>
      </c>
      <c r="E28" s="389">
        <f t="shared" si="7"/>
        <v>5281022.8656427832</v>
      </c>
      <c r="F28" s="389">
        <f t="shared" si="8"/>
        <v>4710168.9101913134</v>
      </c>
      <c r="G28" s="390">
        <f t="shared" si="2"/>
        <v>266611340.395583</v>
      </c>
      <c r="I28" s="139">
        <v>21</v>
      </c>
      <c r="J28" s="141">
        <f t="shared" si="9"/>
        <v>10651048.542634645</v>
      </c>
      <c r="K28" s="141">
        <f t="shared" si="10"/>
        <v>460000</v>
      </c>
      <c r="L28" s="140">
        <f t="shared" si="3"/>
        <v>5665215.7155126026</v>
      </c>
      <c r="M28" s="140">
        <f t="shared" si="4"/>
        <v>4525832.8271220429</v>
      </c>
      <c r="N28" s="140">
        <f t="shared" si="5"/>
        <v>271826153.29544395</v>
      </c>
    </row>
    <row r="29" spans="1:14" ht="18.75">
      <c r="A29" s="386">
        <v>22</v>
      </c>
      <c r="B29" s="391">
        <f t="shared" si="6"/>
        <v>9991191.7758340966</v>
      </c>
      <c r="C29" s="391">
        <f t="shared" si="1"/>
        <v>451500</v>
      </c>
      <c r="D29" s="389">
        <f t="shared" si="0"/>
        <v>4745681.859041377</v>
      </c>
      <c r="E29" s="389">
        <f t="shared" si="7"/>
        <v>5197181.859041377</v>
      </c>
      <c r="F29" s="389">
        <f t="shared" si="8"/>
        <v>4794009.9167927196</v>
      </c>
      <c r="G29" s="390">
        <f t="shared" si="2"/>
        <v>261817330.47879028</v>
      </c>
      <c r="I29" s="139">
        <v>22</v>
      </c>
      <c r="J29" s="141">
        <f t="shared" si="9"/>
        <v>10651048.542634645</v>
      </c>
      <c r="K29" s="141">
        <f t="shared" si="10"/>
        <v>460000</v>
      </c>
      <c r="L29" s="140">
        <f t="shared" si="3"/>
        <v>5572436.1425566012</v>
      </c>
      <c r="M29" s="140">
        <f t="shared" si="4"/>
        <v>4618612.4000780443</v>
      </c>
      <c r="N29" s="140">
        <f t="shared" si="5"/>
        <v>267207540.89536589</v>
      </c>
    </row>
    <row r="30" spans="1:14" ht="18.75">
      <c r="A30" s="386">
        <v>23</v>
      </c>
      <c r="B30" s="391">
        <f t="shared" si="6"/>
        <v>9991191.7758340966</v>
      </c>
      <c r="C30" s="391">
        <f t="shared" si="1"/>
        <v>451500</v>
      </c>
      <c r="D30" s="389">
        <f t="shared" si="0"/>
        <v>4660348.4825224672</v>
      </c>
      <c r="E30" s="389">
        <f t="shared" si="7"/>
        <v>5111848.4825224672</v>
      </c>
      <c r="F30" s="389">
        <f t="shared" si="8"/>
        <v>4879343.2933116294</v>
      </c>
      <c r="G30" s="390">
        <f t="shared" si="2"/>
        <v>256937987.18547866</v>
      </c>
      <c r="I30" s="139">
        <v>23</v>
      </c>
      <c r="J30" s="141">
        <f t="shared" si="9"/>
        <v>10651048.542634645</v>
      </c>
      <c r="K30" s="141">
        <f t="shared" si="10"/>
        <v>460000</v>
      </c>
      <c r="L30" s="140">
        <f t="shared" si="3"/>
        <v>5477754.5883550011</v>
      </c>
      <c r="M30" s="140">
        <f t="shared" si="4"/>
        <v>4713293.9542796444</v>
      </c>
      <c r="N30" s="140">
        <f t="shared" si="5"/>
        <v>262494246.94108626</v>
      </c>
    </row>
    <row r="31" spans="1:14" ht="18.75">
      <c r="A31" s="386">
        <v>24</v>
      </c>
      <c r="B31" s="391">
        <f t="shared" si="6"/>
        <v>9991191.7758340966</v>
      </c>
      <c r="C31" s="391">
        <f t="shared" si="1"/>
        <v>451500</v>
      </c>
      <c r="D31" s="389">
        <f t="shared" si="0"/>
        <v>4573496.1719015203</v>
      </c>
      <c r="E31" s="389">
        <f t="shared" si="7"/>
        <v>5024996.1719015203</v>
      </c>
      <c r="F31" s="389">
        <f t="shared" si="8"/>
        <v>4966195.6039325763</v>
      </c>
      <c r="G31" s="390">
        <f t="shared" si="2"/>
        <v>251971791.58154607</v>
      </c>
      <c r="I31" s="139">
        <v>24</v>
      </c>
      <c r="J31" s="141">
        <f t="shared" si="9"/>
        <v>10651048.542634645</v>
      </c>
      <c r="K31" s="141">
        <f t="shared" si="10"/>
        <v>460000</v>
      </c>
      <c r="L31" s="140">
        <f t="shared" si="3"/>
        <v>5381132.0622922685</v>
      </c>
      <c r="M31" s="140">
        <f t="shared" si="4"/>
        <v>4809916.480342377</v>
      </c>
      <c r="N31" s="140">
        <f t="shared" si="5"/>
        <v>257684330.46074387</v>
      </c>
    </row>
    <row r="32" spans="1:14" ht="18.75">
      <c r="A32" s="386">
        <v>25</v>
      </c>
      <c r="B32" s="391">
        <f t="shared" si="6"/>
        <v>9991191.7758340966</v>
      </c>
      <c r="C32" s="391">
        <f t="shared" si="1"/>
        <v>451500</v>
      </c>
      <c r="D32" s="389">
        <f t="shared" si="0"/>
        <v>4485097.8901515203</v>
      </c>
      <c r="E32" s="389">
        <f t="shared" si="7"/>
        <v>4936597.8901515203</v>
      </c>
      <c r="F32" s="389">
        <f t="shared" si="8"/>
        <v>5054593.8856825763</v>
      </c>
      <c r="G32" s="390">
        <f t="shared" si="2"/>
        <v>246917197.69586349</v>
      </c>
      <c r="I32" s="139">
        <v>25</v>
      </c>
      <c r="J32" s="141">
        <f t="shared" si="9"/>
        <v>10651048.542634645</v>
      </c>
      <c r="K32" s="141">
        <f t="shared" si="10"/>
        <v>460000</v>
      </c>
      <c r="L32" s="140">
        <f t="shared" si="3"/>
        <v>5282528.7744452497</v>
      </c>
      <c r="M32" s="140">
        <f t="shared" si="4"/>
        <v>4908519.7681893958</v>
      </c>
      <c r="N32" s="140">
        <f t="shared" si="5"/>
        <v>252775810.69255447</v>
      </c>
    </row>
    <row r="33" spans="1:14" ht="18.75">
      <c r="A33" s="386">
        <v>26</v>
      </c>
      <c r="B33" s="391">
        <f t="shared" si="6"/>
        <v>9991191.7758340966</v>
      </c>
      <c r="C33" s="391">
        <f t="shared" si="1"/>
        <v>451500</v>
      </c>
      <c r="D33" s="389">
        <f t="shared" si="0"/>
        <v>4395126.11898637</v>
      </c>
      <c r="E33" s="389">
        <f t="shared" si="7"/>
        <v>4846626.11898637</v>
      </c>
      <c r="F33" s="389">
        <f t="shared" si="8"/>
        <v>5144565.6568477266</v>
      </c>
      <c r="G33" s="390">
        <f t="shared" si="2"/>
        <v>241772632.03901577</v>
      </c>
      <c r="I33" s="139">
        <v>26</v>
      </c>
      <c r="J33" s="141">
        <f t="shared" si="9"/>
        <v>10651048.542634645</v>
      </c>
      <c r="K33" s="141">
        <f t="shared" si="10"/>
        <v>460000</v>
      </c>
      <c r="L33" s="140">
        <f t="shared" si="3"/>
        <v>5181904.1191973668</v>
      </c>
      <c r="M33" s="140">
        <f t="shared" si="4"/>
        <v>5009144.4234372787</v>
      </c>
      <c r="N33" s="140">
        <f t="shared" si="5"/>
        <v>247766666.26911721</v>
      </c>
    </row>
    <row r="34" spans="1:14" ht="18.75">
      <c r="A34" s="386">
        <v>27</v>
      </c>
      <c r="B34" s="391">
        <f t="shared" si="6"/>
        <v>9991191.7758340966</v>
      </c>
      <c r="C34" s="391">
        <f t="shared" si="1"/>
        <v>451500</v>
      </c>
      <c r="D34" s="389">
        <f t="shared" si="0"/>
        <v>4303552.850294481</v>
      </c>
      <c r="E34" s="389">
        <f t="shared" si="7"/>
        <v>4755052.850294481</v>
      </c>
      <c r="F34" s="389">
        <f t="shared" si="8"/>
        <v>5236138.9255396156</v>
      </c>
      <c r="G34" s="390">
        <f t="shared" si="2"/>
        <v>236536493.11347616</v>
      </c>
      <c r="I34" s="139">
        <v>27</v>
      </c>
      <c r="J34" s="141">
        <f t="shared" si="9"/>
        <v>10651048.542634645</v>
      </c>
      <c r="K34" s="141">
        <f t="shared" si="10"/>
        <v>460000</v>
      </c>
      <c r="L34" s="140">
        <f t="shared" si="3"/>
        <v>5079216.6585169034</v>
      </c>
      <c r="M34" s="140">
        <f t="shared" si="4"/>
        <v>5111831.8841177421</v>
      </c>
      <c r="N34" s="140">
        <f t="shared" si="5"/>
        <v>242654834.38499945</v>
      </c>
    </row>
    <row r="35" spans="1:14" ht="18.75">
      <c r="A35" s="386">
        <v>28</v>
      </c>
      <c r="B35" s="391">
        <f t="shared" si="6"/>
        <v>9991191.7758340966</v>
      </c>
      <c r="C35" s="391">
        <f t="shared" si="1"/>
        <v>451500</v>
      </c>
      <c r="D35" s="389">
        <f t="shared" si="0"/>
        <v>4210349.5774198752</v>
      </c>
      <c r="E35" s="389">
        <f t="shared" si="7"/>
        <v>4661849.5774198752</v>
      </c>
      <c r="F35" s="389">
        <f t="shared" si="8"/>
        <v>5329342.1984142214</v>
      </c>
      <c r="G35" s="390">
        <f t="shared" si="2"/>
        <v>231207150.91506195</v>
      </c>
      <c r="I35" s="139">
        <v>28</v>
      </c>
      <c r="J35" s="141">
        <f t="shared" si="9"/>
        <v>10651048.542634645</v>
      </c>
      <c r="K35" s="141">
        <f t="shared" si="10"/>
        <v>460000</v>
      </c>
      <c r="L35" s="140">
        <f t="shared" si="3"/>
        <v>4974424.1048924886</v>
      </c>
      <c r="M35" s="140">
        <f t="shared" si="4"/>
        <v>5216624.4377421569</v>
      </c>
      <c r="N35" s="140">
        <f t="shared" si="5"/>
        <v>237438209.94725731</v>
      </c>
    </row>
    <row r="36" spans="1:14" ht="18.75">
      <c r="A36" s="386">
        <v>29</v>
      </c>
      <c r="B36" s="391">
        <f t="shared" si="6"/>
        <v>9991191.7758340966</v>
      </c>
      <c r="C36" s="391">
        <f t="shared" si="1"/>
        <v>451500</v>
      </c>
      <c r="D36" s="389">
        <f t="shared" si="0"/>
        <v>4115487.2862881026</v>
      </c>
      <c r="E36" s="389">
        <f t="shared" si="7"/>
        <v>4566987.2862881031</v>
      </c>
      <c r="F36" s="389">
        <f t="shared" si="8"/>
        <v>5424204.4895459935</v>
      </c>
      <c r="G36" s="390">
        <f t="shared" si="2"/>
        <v>225782946.42551595</v>
      </c>
      <c r="I36" s="139">
        <v>29</v>
      </c>
      <c r="J36" s="141">
        <f t="shared" si="9"/>
        <v>10651048.542634645</v>
      </c>
      <c r="K36" s="141">
        <f t="shared" si="10"/>
        <v>460000</v>
      </c>
      <c r="L36" s="140">
        <f t="shared" si="3"/>
        <v>4867483.3039187752</v>
      </c>
      <c r="M36" s="140">
        <f t="shared" si="4"/>
        <v>5323565.2387158703</v>
      </c>
      <c r="N36" s="140">
        <f t="shared" si="5"/>
        <v>232114644.70854145</v>
      </c>
    </row>
    <row r="37" spans="1:14" ht="18.75">
      <c r="A37" s="386">
        <v>30</v>
      </c>
      <c r="B37" s="391">
        <f t="shared" si="6"/>
        <v>9991191.7758340966</v>
      </c>
      <c r="C37" s="391">
        <f t="shared" si="1"/>
        <v>451500</v>
      </c>
      <c r="D37" s="389">
        <f t="shared" si="0"/>
        <v>4018936.446374184</v>
      </c>
      <c r="E37" s="389">
        <f t="shared" si="7"/>
        <v>4470436.4463741835</v>
      </c>
      <c r="F37" s="389">
        <f t="shared" si="8"/>
        <v>5520755.3294599131</v>
      </c>
      <c r="G37" s="390">
        <f t="shared" si="2"/>
        <v>220262191.09605604</v>
      </c>
      <c r="I37" s="139">
        <v>30</v>
      </c>
      <c r="J37" s="141">
        <f t="shared" si="9"/>
        <v>10651048.542634645</v>
      </c>
      <c r="K37" s="141">
        <f t="shared" si="10"/>
        <v>460000</v>
      </c>
      <c r="L37" s="140">
        <f t="shared" si="3"/>
        <v>4758350.2165251002</v>
      </c>
      <c r="M37" s="140">
        <f t="shared" si="4"/>
        <v>5432698.3261095453</v>
      </c>
      <c r="N37" s="140">
        <f t="shared" si="5"/>
        <v>226681946.38243189</v>
      </c>
    </row>
    <row r="38" spans="1:14" ht="18.75">
      <c r="A38" s="386">
        <v>31</v>
      </c>
      <c r="B38" s="391">
        <f t="shared" si="6"/>
        <v>9991191.7758340966</v>
      </c>
      <c r="C38" s="391">
        <f t="shared" si="1"/>
        <v>451500</v>
      </c>
      <c r="D38" s="389">
        <f t="shared" si="0"/>
        <v>3920667.0015097978</v>
      </c>
      <c r="E38" s="389">
        <f t="shared" si="7"/>
        <v>4372167.0015097978</v>
      </c>
      <c r="F38" s="389">
        <f t="shared" si="8"/>
        <v>5619024.7743242988</v>
      </c>
      <c r="G38" s="390">
        <f t="shared" si="2"/>
        <v>214643166.32173175</v>
      </c>
      <c r="I38" s="139">
        <v>31</v>
      </c>
      <c r="J38" s="141">
        <f t="shared" si="9"/>
        <v>10651048.542634645</v>
      </c>
      <c r="K38" s="141">
        <f t="shared" si="10"/>
        <v>460000</v>
      </c>
      <c r="L38" s="140">
        <f t="shared" si="3"/>
        <v>4646979.900839854</v>
      </c>
      <c r="M38" s="140">
        <f t="shared" si="4"/>
        <v>5544068.6417947914</v>
      </c>
      <c r="N38" s="140">
        <f t="shared" si="5"/>
        <v>221137877.74063709</v>
      </c>
    </row>
    <row r="39" spans="1:14" ht="18.75">
      <c r="A39" s="386">
        <v>32</v>
      </c>
      <c r="B39" s="391">
        <f t="shared" si="6"/>
        <v>9991191.7758340966</v>
      </c>
      <c r="C39" s="391">
        <f t="shared" si="1"/>
        <v>451500</v>
      </c>
      <c r="D39" s="389">
        <f t="shared" si="0"/>
        <v>3820648.3605268248</v>
      </c>
      <c r="E39" s="389">
        <f t="shared" si="7"/>
        <v>4272148.3605268244</v>
      </c>
      <c r="F39" s="389">
        <f t="shared" si="8"/>
        <v>5719043.4153072722</v>
      </c>
      <c r="G39" s="390">
        <f t="shared" si="2"/>
        <v>208924122.90642446</v>
      </c>
      <c r="I39" s="139">
        <v>32</v>
      </c>
      <c r="J39" s="141">
        <f t="shared" si="9"/>
        <v>10651048.542634645</v>
      </c>
      <c r="K39" s="141">
        <f t="shared" si="10"/>
        <v>460000</v>
      </c>
      <c r="L39" s="140">
        <f t="shared" si="3"/>
        <v>4533326.4936830606</v>
      </c>
      <c r="M39" s="140">
        <f t="shared" si="4"/>
        <v>5657722.0489515848</v>
      </c>
      <c r="N39" s="140">
        <f t="shared" si="5"/>
        <v>215480155.6916855</v>
      </c>
    </row>
    <row r="40" spans="1:14" ht="18.75">
      <c r="A40" s="386">
        <v>33</v>
      </c>
      <c r="B40" s="391">
        <f t="shared" si="6"/>
        <v>9991191.7758340966</v>
      </c>
      <c r="C40" s="391">
        <f t="shared" si="1"/>
        <v>451500</v>
      </c>
      <c r="D40" s="389">
        <f t="shared" ref="D40:D67" si="11">+G39*$C$3</f>
        <v>3718849.3877343554</v>
      </c>
      <c r="E40" s="389">
        <f t="shared" si="7"/>
        <v>4170349.3877343554</v>
      </c>
      <c r="F40" s="389">
        <f t="shared" si="8"/>
        <v>5820842.3880997412</v>
      </c>
      <c r="G40" s="390">
        <f t="shared" si="2"/>
        <v>203103280.51832473</v>
      </c>
      <c r="I40" s="139">
        <v>33</v>
      </c>
      <c r="J40" s="141">
        <f t="shared" si="9"/>
        <v>10651048.542634645</v>
      </c>
      <c r="K40" s="141">
        <f t="shared" si="10"/>
        <v>460000</v>
      </c>
      <c r="L40" s="140">
        <f t="shared" si="3"/>
        <v>4417343.1916795531</v>
      </c>
      <c r="M40" s="140">
        <f t="shared" si="4"/>
        <v>5773705.3509550923</v>
      </c>
      <c r="N40" s="140">
        <f t="shared" si="5"/>
        <v>209706450.3407304</v>
      </c>
    </row>
    <row r="41" spans="1:14" ht="18.75">
      <c r="A41" s="386">
        <v>34</v>
      </c>
      <c r="B41" s="391">
        <f t="shared" si="6"/>
        <v>9991191.7758340966</v>
      </c>
      <c r="C41" s="391">
        <f t="shared" si="1"/>
        <v>451500</v>
      </c>
      <c r="D41" s="389">
        <f t="shared" si="11"/>
        <v>3615238.3932261802</v>
      </c>
      <c r="E41" s="389">
        <f t="shared" si="7"/>
        <v>4066738.3932261802</v>
      </c>
      <c r="F41" s="389">
        <f t="shared" si="8"/>
        <v>5924453.3826079164</v>
      </c>
      <c r="G41" s="390">
        <f t="shared" si="2"/>
        <v>197178827.13571683</v>
      </c>
      <c r="I41" s="139">
        <v>34</v>
      </c>
      <c r="J41" s="141">
        <f t="shared" si="9"/>
        <v>10651048.542634645</v>
      </c>
      <c r="K41" s="141">
        <f t="shared" si="10"/>
        <v>460000</v>
      </c>
      <c r="L41" s="140">
        <f t="shared" si="3"/>
        <v>4298982.231984973</v>
      </c>
      <c r="M41" s="140">
        <f t="shared" si="4"/>
        <v>5892066.3106496725</v>
      </c>
      <c r="N41" s="140">
        <f t="shared" si="5"/>
        <v>203814384.03008074</v>
      </c>
    </row>
    <row r="42" spans="1:14" ht="18.75">
      <c r="A42" s="386">
        <v>35</v>
      </c>
      <c r="B42" s="391">
        <f t="shared" si="6"/>
        <v>9991191.7758340966</v>
      </c>
      <c r="C42" s="391">
        <f t="shared" si="1"/>
        <v>451500</v>
      </c>
      <c r="D42" s="389">
        <f t="shared" si="11"/>
        <v>3509783.1230157595</v>
      </c>
      <c r="E42" s="389">
        <f t="shared" si="7"/>
        <v>3961283.1230157595</v>
      </c>
      <c r="F42" s="389">
        <f t="shared" si="8"/>
        <v>6029908.6528183371</v>
      </c>
      <c r="G42" s="390">
        <f t="shared" si="2"/>
        <v>191148918.48289847</v>
      </c>
      <c r="I42" s="139">
        <v>35</v>
      </c>
      <c r="J42" s="141">
        <f t="shared" si="9"/>
        <v>10651048.542634645</v>
      </c>
      <c r="K42" s="141">
        <f t="shared" si="10"/>
        <v>460000</v>
      </c>
      <c r="L42" s="140">
        <f t="shared" si="3"/>
        <v>4178194.8726166552</v>
      </c>
      <c r="M42" s="140">
        <f t="shared" si="4"/>
        <v>6012853.6700179903</v>
      </c>
      <c r="N42" s="140">
        <f t="shared" si="5"/>
        <v>197801530.36006275</v>
      </c>
    </row>
    <row r="43" spans="1:14" ht="18.75">
      <c r="A43" s="386">
        <v>36</v>
      </c>
      <c r="B43" s="391">
        <f t="shared" si="6"/>
        <v>9991191.7758340966</v>
      </c>
      <c r="C43" s="391">
        <f t="shared" si="1"/>
        <v>451500</v>
      </c>
      <c r="D43" s="389">
        <f t="shared" si="11"/>
        <v>3402450.7489955928</v>
      </c>
      <c r="E43" s="389">
        <f t="shared" si="7"/>
        <v>3853950.7489955928</v>
      </c>
      <c r="F43" s="389">
        <f t="shared" si="8"/>
        <v>6137241.0268385038</v>
      </c>
      <c r="G43" s="390">
        <f t="shared" si="2"/>
        <v>185011677.45605996</v>
      </c>
      <c r="I43" s="139">
        <v>36</v>
      </c>
      <c r="J43" s="141">
        <f t="shared" si="9"/>
        <v>10651048.542634645</v>
      </c>
      <c r="K43" s="141">
        <f t="shared" si="10"/>
        <v>460000</v>
      </c>
      <c r="L43" s="140">
        <f t="shared" si="3"/>
        <v>4054931.3723812867</v>
      </c>
      <c r="M43" s="140">
        <f t="shared" si="4"/>
        <v>6136117.1702533588</v>
      </c>
      <c r="N43" s="140">
        <f t="shared" si="5"/>
        <v>191665413.18980938</v>
      </c>
    </row>
    <row r="44" spans="1:14" ht="18.75">
      <c r="A44" s="386">
        <v>37</v>
      </c>
      <c r="B44" s="391">
        <f t="shared" si="6"/>
        <v>9991191.7758340966</v>
      </c>
      <c r="C44" s="391">
        <f t="shared" si="1"/>
        <v>451500</v>
      </c>
      <c r="D44" s="389">
        <f t="shared" si="11"/>
        <v>3293207.8587178672</v>
      </c>
      <c r="E44" s="389">
        <f t="shared" si="7"/>
        <v>3744707.8587178672</v>
      </c>
      <c r="F44" s="389">
        <f t="shared" si="8"/>
        <v>6246483.9171162294</v>
      </c>
      <c r="G44" s="390">
        <f t="shared" si="2"/>
        <v>178765193.53894374</v>
      </c>
      <c r="I44" s="139">
        <v>37</v>
      </c>
      <c r="J44" s="141">
        <f t="shared" si="9"/>
        <v>10651048.542634645</v>
      </c>
      <c r="K44" s="141">
        <f t="shared" si="10"/>
        <v>460000</v>
      </c>
      <c r="L44" s="140">
        <f t="shared" si="3"/>
        <v>3929140.9703910924</v>
      </c>
      <c r="M44" s="140">
        <f t="shared" si="4"/>
        <v>6261907.5722435527</v>
      </c>
      <c r="N44" s="140">
        <f t="shared" si="5"/>
        <v>185403505.61756584</v>
      </c>
    </row>
    <row r="45" spans="1:14" ht="18.75">
      <c r="A45" s="386">
        <v>38</v>
      </c>
      <c r="B45" s="391">
        <f t="shared" si="6"/>
        <v>9991191.7758340966</v>
      </c>
      <c r="C45" s="391">
        <f t="shared" si="1"/>
        <v>451500</v>
      </c>
      <c r="D45" s="389">
        <f t="shared" si="11"/>
        <v>3182020.4449931984</v>
      </c>
      <c r="E45" s="389">
        <f t="shared" si="7"/>
        <v>3633520.4449931984</v>
      </c>
      <c r="F45" s="389">
        <f t="shared" si="8"/>
        <v>6357671.3308408987</v>
      </c>
      <c r="G45" s="390">
        <f t="shared" si="2"/>
        <v>172407522.20810285</v>
      </c>
      <c r="I45" s="139">
        <v>38</v>
      </c>
      <c r="J45" s="141">
        <f t="shared" si="9"/>
        <v>10651048.542634645</v>
      </c>
      <c r="K45" s="141">
        <f t="shared" si="10"/>
        <v>460000</v>
      </c>
      <c r="L45" s="140">
        <f t="shared" si="3"/>
        <v>3800771.8651600997</v>
      </c>
      <c r="M45" s="140">
        <f t="shared" si="4"/>
        <v>6390276.6774745453</v>
      </c>
      <c r="N45" s="140">
        <f t="shared" si="5"/>
        <v>179013228.94009128</v>
      </c>
    </row>
    <row r="46" spans="1:14" ht="18.75">
      <c r="A46" s="386">
        <v>39</v>
      </c>
      <c r="B46" s="391">
        <f t="shared" si="6"/>
        <v>9991191.7758340966</v>
      </c>
      <c r="C46" s="391">
        <f t="shared" si="1"/>
        <v>451500</v>
      </c>
      <c r="D46" s="389">
        <f t="shared" si="11"/>
        <v>3068853.895304231</v>
      </c>
      <c r="E46" s="389">
        <f t="shared" si="7"/>
        <v>3520353.895304231</v>
      </c>
      <c r="F46" s="389">
        <f t="shared" si="8"/>
        <v>6470837.8805298656</v>
      </c>
      <c r="G46" s="390">
        <f t="shared" si="2"/>
        <v>165936684.327573</v>
      </c>
      <c r="I46" s="139">
        <v>39</v>
      </c>
      <c r="J46" s="141">
        <f t="shared" si="9"/>
        <v>10651048.542634645</v>
      </c>
      <c r="K46" s="141">
        <f t="shared" si="10"/>
        <v>460000</v>
      </c>
      <c r="L46" s="140">
        <f t="shared" si="3"/>
        <v>3669771.1932718717</v>
      </c>
      <c r="M46" s="140">
        <f t="shared" si="4"/>
        <v>6521277.3493627738</v>
      </c>
      <c r="N46" s="140">
        <f t="shared" si="5"/>
        <v>172491951.59072852</v>
      </c>
    </row>
    <row r="47" spans="1:14" ht="18.75">
      <c r="A47" s="386">
        <v>40</v>
      </c>
      <c r="B47" s="391">
        <f t="shared" si="6"/>
        <v>9991191.7758340966</v>
      </c>
      <c r="C47" s="391">
        <f t="shared" si="1"/>
        <v>451500</v>
      </c>
      <c r="D47" s="389">
        <f t="shared" si="11"/>
        <v>2953672.9810307994</v>
      </c>
      <c r="E47" s="389">
        <f t="shared" si="7"/>
        <v>3405172.9810307994</v>
      </c>
      <c r="F47" s="389">
        <f t="shared" si="8"/>
        <v>6586018.7948032971</v>
      </c>
      <c r="G47" s="390">
        <f t="shared" si="2"/>
        <v>159350665.53276971</v>
      </c>
      <c r="I47" s="139">
        <v>40</v>
      </c>
      <c r="J47" s="141">
        <f t="shared" si="9"/>
        <v>10651048.542634645</v>
      </c>
      <c r="K47" s="141">
        <f t="shared" si="10"/>
        <v>460000</v>
      </c>
      <c r="L47" s="140">
        <f t="shared" si="3"/>
        <v>3536085.007609935</v>
      </c>
      <c r="M47" s="140">
        <f t="shared" si="4"/>
        <v>6654963.53502471</v>
      </c>
      <c r="N47" s="140">
        <f t="shared" si="5"/>
        <v>165836988.05570382</v>
      </c>
    </row>
    <row r="48" spans="1:14" ht="18.75">
      <c r="A48" s="386">
        <v>41</v>
      </c>
      <c r="B48" s="391">
        <f t="shared" si="6"/>
        <v>9991191.7758340966</v>
      </c>
      <c r="C48" s="391">
        <f t="shared" si="1"/>
        <v>451500</v>
      </c>
      <c r="D48" s="389">
        <f t="shared" si="11"/>
        <v>2836441.8464833009</v>
      </c>
      <c r="E48" s="389">
        <f t="shared" si="7"/>
        <v>3287941.8464833009</v>
      </c>
      <c r="F48" s="389">
        <f t="shared" si="8"/>
        <v>6703249.9293507952</v>
      </c>
      <c r="G48" s="390">
        <f t="shared" si="2"/>
        <v>152647415.60341892</v>
      </c>
      <c r="I48" s="139">
        <v>41</v>
      </c>
      <c r="J48" s="141">
        <f t="shared" si="9"/>
        <v>10651048.542634645</v>
      </c>
      <c r="K48" s="141">
        <f t="shared" si="10"/>
        <v>460000</v>
      </c>
      <c r="L48" s="140">
        <f t="shared" si="3"/>
        <v>3399658.2551419283</v>
      </c>
      <c r="M48" s="140">
        <f t="shared" si="4"/>
        <v>6791390.2874927167</v>
      </c>
      <c r="N48" s="140">
        <f t="shared" si="5"/>
        <v>159045597.7682111</v>
      </c>
    </row>
    <row r="49" spans="1:14" ht="18.75">
      <c r="A49" s="386">
        <v>42</v>
      </c>
      <c r="B49" s="391">
        <f t="shared" si="6"/>
        <v>9991191.7758340966</v>
      </c>
      <c r="C49" s="391">
        <f t="shared" si="1"/>
        <v>451500</v>
      </c>
      <c r="D49" s="389">
        <f t="shared" si="11"/>
        <v>2717123.9977408568</v>
      </c>
      <c r="E49" s="389">
        <f t="shared" si="7"/>
        <v>3168623.9977408568</v>
      </c>
      <c r="F49" s="389">
        <f t="shared" si="8"/>
        <v>6822567.7780932393</v>
      </c>
      <c r="G49" s="390">
        <f t="shared" si="2"/>
        <v>145824847.82532567</v>
      </c>
      <c r="I49" s="139">
        <v>42</v>
      </c>
      <c r="J49" s="141">
        <f t="shared" si="9"/>
        <v>10651048.542634645</v>
      </c>
      <c r="K49" s="141">
        <f t="shared" si="10"/>
        <v>460000</v>
      </c>
      <c r="L49" s="140">
        <f t="shared" si="3"/>
        <v>3260434.7542483276</v>
      </c>
      <c r="M49" s="140">
        <f t="shared" si="4"/>
        <v>6930613.7883863179</v>
      </c>
      <c r="N49" s="140">
        <f t="shared" si="5"/>
        <v>152114983.97982478</v>
      </c>
    </row>
    <row r="50" spans="1:14" ht="18.75">
      <c r="A50" s="386">
        <v>43</v>
      </c>
      <c r="B50" s="391">
        <f t="shared" si="6"/>
        <v>9991191.7758340966</v>
      </c>
      <c r="C50" s="391">
        <f t="shared" si="1"/>
        <v>451500</v>
      </c>
      <c r="D50" s="389">
        <f t="shared" si="11"/>
        <v>2595682.2912907968</v>
      </c>
      <c r="E50" s="389">
        <f t="shared" si="7"/>
        <v>3047182.2912907968</v>
      </c>
      <c r="F50" s="389">
        <f t="shared" si="8"/>
        <v>6944009.4845432993</v>
      </c>
      <c r="G50" s="390">
        <f t="shared" si="2"/>
        <v>138880838.34078237</v>
      </c>
      <c r="I50" s="139">
        <v>43</v>
      </c>
      <c r="J50" s="141">
        <f t="shared" si="9"/>
        <v>10651048.542634645</v>
      </c>
      <c r="K50" s="141">
        <f t="shared" si="10"/>
        <v>460000</v>
      </c>
      <c r="L50" s="140">
        <f t="shared" si="3"/>
        <v>3118357.1715864083</v>
      </c>
      <c r="M50" s="140">
        <f t="shared" si="4"/>
        <v>7072691.3710482372</v>
      </c>
      <c r="N50" s="140">
        <f t="shared" si="5"/>
        <v>145042292.60877654</v>
      </c>
    </row>
    <row r="51" spans="1:14" ht="18.75">
      <c r="A51" s="386">
        <v>44</v>
      </c>
      <c r="B51" s="391">
        <f t="shared" si="6"/>
        <v>9991191.7758340966</v>
      </c>
      <c r="C51" s="391">
        <f t="shared" si="1"/>
        <v>451500</v>
      </c>
      <c r="D51" s="389">
        <f t="shared" si="11"/>
        <v>2472078.922465926</v>
      </c>
      <c r="E51" s="389">
        <f t="shared" si="7"/>
        <v>2923578.922465926</v>
      </c>
      <c r="F51" s="389">
        <f t="shared" si="8"/>
        <v>7067612.8533681706</v>
      </c>
      <c r="G51" s="390">
        <f t="shared" si="2"/>
        <v>131813225.48741421</v>
      </c>
      <c r="I51" s="139">
        <v>44</v>
      </c>
      <c r="J51" s="141">
        <f t="shared" si="9"/>
        <v>10651048.542634645</v>
      </c>
      <c r="K51" s="141">
        <f t="shared" si="10"/>
        <v>460000</v>
      </c>
      <c r="L51" s="140">
        <f t="shared" si="3"/>
        <v>2973366.998479919</v>
      </c>
      <c r="M51" s="140">
        <f t="shared" si="4"/>
        <v>7217681.544154726</v>
      </c>
      <c r="N51" s="140">
        <f t="shared" si="5"/>
        <v>137824611.06462181</v>
      </c>
    </row>
    <row r="52" spans="1:14" ht="18.75">
      <c r="A52" s="386">
        <v>45</v>
      </c>
      <c r="B52" s="391">
        <f t="shared" si="6"/>
        <v>9991191.7758340966</v>
      </c>
      <c r="C52" s="391">
        <f t="shared" si="1"/>
        <v>451500</v>
      </c>
      <c r="D52" s="389">
        <f t="shared" si="11"/>
        <v>2346275.4136759727</v>
      </c>
      <c r="E52" s="389">
        <f t="shared" si="7"/>
        <v>2797775.4136759727</v>
      </c>
      <c r="F52" s="389">
        <f t="shared" si="8"/>
        <v>7193416.3621581234</v>
      </c>
      <c r="G52" s="390">
        <f t="shared" si="2"/>
        <v>124619809.12525609</v>
      </c>
      <c r="I52" s="139">
        <v>45</v>
      </c>
      <c r="J52" s="141">
        <f t="shared" si="9"/>
        <v>10651048.542634645</v>
      </c>
      <c r="K52" s="141">
        <f t="shared" si="10"/>
        <v>460000</v>
      </c>
      <c r="L52" s="140">
        <f t="shared" si="3"/>
        <v>2825404.5268247472</v>
      </c>
      <c r="M52" s="140">
        <f t="shared" si="4"/>
        <v>7365644.0158098983</v>
      </c>
      <c r="N52" s="140">
        <f t="shared" si="5"/>
        <v>130458967.04881191</v>
      </c>
    </row>
    <row r="53" spans="1:14" ht="18.75">
      <c r="A53" s="386">
        <v>46</v>
      </c>
      <c r="B53" s="391">
        <f t="shared" si="6"/>
        <v>9991191.7758340966</v>
      </c>
      <c r="C53" s="391">
        <f t="shared" si="1"/>
        <v>451500</v>
      </c>
      <c r="D53" s="389">
        <f t="shared" si="11"/>
        <v>2218232.6024295585</v>
      </c>
      <c r="E53" s="389">
        <f t="shared" si="7"/>
        <v>2669732.6024295585</v>
      </c>
      <c r="F53" s="389">
        <f t="shared" si="8"/>
        <v>7321459.1734045381</v>
      </c>
      <c r="G53" s="390">
        <f t="shared" si="2"/>
        <v>117298349.95185155</v>
      </c>
      <c r="I53" s="139">
        <v>46</v>
      </c>
      <c r="J53" s="141">
        <f t="shared" si="9"/>
        <v>10651048.542634645</v>
      </c>
      <c r="K53" s="141">
        <f t="shared" si="10"/>
        <v>460000</v>
      </c>
      <c r="L53" s="140">
        <f t="shared" si="3"/>
        <v>2674408.8245006441</v>
      </c>
      <c r="M53" s="140">
        <f t="shared" si="4"/>
        <v>7516639.7181340009</v>
      </c>
      <c r="N53" s="140">
        <f t="shared" si="5"/>
        <v>122942327.33067791</v>
      </c>
    </row>
    <row r="54" spans="1:14" ht="18.75">
      <c r="A54" s="386">
        <v>47</v>
      </c>
      <c r="B54" s="391">
        <f t="shared" si="6"/>
        <v>9991191.7758340966</v>
      </c>
      <c r="C54" s="391">
        <f t="shared" si="1"/>
        <v>451500</v>
      </c>
      <c r="D54" s="389">
        <f t="shared" si="11"/>
        <v>2087910.6291429575</v>
      </c>
      <c r="E54" s="389">
        <f t="shared" si="7"/>
        <v>2539410.6291429577</v>
      </c>
      <c r="F54" s="389">
        <f t="shared" si="8"/>
        <v>7451781.1466911389</v>
      </c>
      <c r="G54" s="390">
        <f t="shared" si="2"/>
        <v>109846568.8051604</v>
      </c>
      <c r="I54" s="139">
        <v>47</v>
      </c>
      <c r="J54" s="141">
        <f t="shared" si="9"/>
        <v>10651048.542634645</v>
      </c>
      <c r="K54" s="141">
        <f t="shared" si="10"/>
        <v>460000</v>
      </c>
      <c r="L54" s="140">
        <f t="shared" si="3"/>
        <v>2520317.7102788971</v>
      </c>
      <c r="M54" s="140">
        <f t="shared" si="4"/>
        <v>7670730.8323557489</v>
      </c>
      <c r="N54" s="140">
        <f t="shared" si="5"/>
        <v>115271596.49832216</v>
      </c>
    </row>
    <row r="55" spans="1:14" ht="18.75">
      <c r="A55" s="386">
        <v>48</v>
      </c>
      <c r="B55" s="391">
        <f t="shared" si="6"/>
        <v>9991191.7758340966</v>
      </c>
      <c r="C55" s="391">
        <f t="shared" si="1"/>
        <v>451500</v>
      </c>
      <c r="D55" s="389">
        <f t="shared" si="11"/>
        <v>1955268.924731855</v>
      </c>
      <c r="E55" s="389">
        <f t="shared" si="7"/>
        <v>2406768.9247318553</v>
      </c>
      <c r="F55" s="389">
        <f t="shared" si="8"/>
        <v>7584422.8511022413</v>
      </c>
      <c r="G55" s="390">
        <f>+G54-F55</f>
        <v>102262145.95405816</v>
      </c>
      <c r="I55" s="139">
        <v>48</v>
      </c>
      <c r="J55" s="141">
        <f t="shared" si="9"/>
        <v>10651048.542634645</v>
      </c>
      <c r="K55" s="141">
        <f t="shared" si="10"/>
        <v>460000</v>
      </c>
      <c r="L55" s="140">
        <f t="shared" si="3"/>
        <v>2363067.7282156046</v>
      </c>
      <c r="M55" s="140">
        <f t="shared" si="4"/>
        <v>7827980.8144190405</v>
      </c>
      <c r="N55" s="140">
        <f t="shared" si="5"/>
        <v>107443615.68390311</v>
      </c>
    </row>
    <row r="56" spans="1:14" ht="18.75">
      <c r="A56" s="386">
        <v>49</v>
      </c>
      <c r="B56" s="391">
        <f t="shared" si="6"/>
        <v>9991191.7758340966</v>
      </c>
      <c r="C56" s="391">
        <f t="shared" si="1"/>
        <v>451500</v>
      </c>
      <c r="D56" s="389">
        <f t="shared" si="11"/>
        <v>1820266.1979822351</v>
      </c>
      <c r="E56" s="389">
        <f t="shared" si="7"/>
        <v>2271766.1979822349</v>
      </c>
      <c r="F56" s="389">
        <f t="shared" si="8"/>
        <v>7719425.5778518617</v>
      </c>
      <c r="G56" s="390">
        <f t="shared" si="2"/>
        <v>94542720.376206294</v>
      </c>
      <c r="I56" s="139">
        <v>49</v>
      </c>
      <c r="J56" s="141">
        <f t="shared" si="9"/>
        <v>10651048.542634645</v>
      </c>
      <c r="K56" s="141">
        <f t="shared" si="10"/>
        <v>460000</v>
      </c>
      <c r="L56" s="140">
        <f t="shared" si="3"/>
        <v>2202594.121520014</v>
      </c>
      <c r="M56" s="140">
        <f t="shared" si="4"/>
        <v>7988454.421114631</v>
      </c>
      <c r="N56" s="140">
        <f t="shared" si="5"/>
        <v>99455161.262788475</v>
      </c>
    </row>
    <row r="57" spans="1:14" ht="18.75">
      <c r="A57" s="386">
        <v>50</v>
      </c>
      <c r="B57" s="391">
        <f t="shared" si="6"/>
        <v>9991191.7758340966</v>
      </c>
      <c r="C57" s="391">
        <f t="shared" si="1"/>
        <v>451500</v>
      </c>
      <c r="D57" s="389">
        <f t="shared" si="11"/>
        <v>1682860.4226964719</v>
      </c>
      <c r="E57" s="389">
        <f t="shared" si="7"/>
        <v>2134360.4226964721</v>
      </c>
      <c r="F57" s="389">
        <f t="shared" si="8"/>
        <v>7856831.3531376245</v>
      </c>
      <c r="G57" s="390">
        <f t="shared" si="2"/>
        <v>86685889.023068666</v>
      </c>
      <c r="I57" s="139">
        <v>50</v>
      </c>
      <c r="J57" s="141">
        <f t="shared" si="9"/>
        <v>10651048.542634645</v>
      </c>
      <c r="K57" s="141">
        <f t="shared" si="10"/>
        <v>460000</v>
      </c>
      <c r="L57" s="140">
        <f t="shared" si="3"/>
        <v>2038830.8058871638</v>
      </c>
      <c r="M57" s="140">
        <f t="shared" si="4"/>
        <v>8152217.7367474809</v>
      </c>
      <c r="N57" s="140">
        <f t="shared" si="5"/>
        <v>91302943.526041001</v>
      </c>
    </row>
    <row r="58" spans="1:14" ht="18.75">
      <c r="A58" s="386">
        <v>51</v>
      </c>
      <c r="B58" s="391">
        <f t="shared" si="6"/>
        <v>9991191.7758340966</v>
      </c>
      <c r="C58" s="391">
        <f t="shared" si="1"/>
        <v>451500</v>
      </c>
      <c r="D58" s="389">
        <f t="shared" si="11"/>
        <v>1543008.8246106221</v>
      </c>
      <c r="E58" s="389">
        <f t="shared" si="7"/>
        <v>1994508.8246106221</v>
      </c>
      <c r="F58" s="389">
        <f t="shared" si="8"/>
        <v>7996682.951223474</v>
      </c>
      <c r="G58" s="390">
        <f t="shared" si="2"/>
        <v>78689206.071845189</v>
      </c>
      <c r="I58" s="139">
        <v>51</v>
      </c>
      <c r="J58" s="141">
        <f t="shared" si="9"/>
        <v>10651048.542634645</v>
      </c>
      <c r="K58" s="141">
        <f t="shared" si="10"/>
        <v>460000</v>
      </c>
      <c r="L58" s="140">
        <f t="shared" si="3"/>
        <v>1871710.3422838405</v>
      </c>
      <c r="M58" s="140">
        <f t="shared" si="4"/>
        <v>8319338.2003508043</v>
      </c>
      <c r="N58" s="140">
        <f t="shared" si="5"/>
        <v>82983605.325690195</v>
      </c>
    </row>
    <row r="59" spans="1:14" ht="18.75">
      <c r="A59" s="386">
        <v>52</v>
      </c>
      <c r="B59" s="391">
        <f t="shared" si="6"/>
        <v>9991191.7758340966</v>
      </c>
      <c r="C59" s="391">
        <f t="shared" si="1"/>
        <v>451500</v>
      </c>
      <c r="D59" s="389">
        <f t="shared" si="11"/>
        <v>1400667.8680788444</v>
      </c>
      <c r="E59" s="389">
        <f t="shared" si="7"/>
        <v>1852167.8680788444</v>
      </c>
      <c r="F59" s="389">
        <f t="shared" si="8"/>
        <v>8139023.907755252</v>
      </c>
      <c r="G59" s="390">
        <f t="shared" si="2"/>
        <v>70550182.164089933</v>
      </c>
      <c r="I59" s="139">
        <v>52</v>
      </c>
      <c r="J59" s="141">
        <f t="shared" si="9"/>
        <v>10651048.542634645</v>
      </c>
      <c r="K59" s="141">
        <f t="shared" si="10"/>
        <v>460000</v>
      </c>
      <c r="L59" s="140">
        <f t="shared" si="3"/>
        <v>1701163.9091766491</v>
      </c>
      <c r="M59" s="140">
        <f t="shared" si="4"/>
        <v>8489884.633457996</v>
      </c>
      <c r="N59" s="140">
        <f t="shared" si="5"/>
        <v>74493720.692232192</v>
      </c>
    </row>
    <row r="60" spans="1:14" ht="18.75">
      <c r="A60" s="386">
        <v>53</v>
      </c>
      <c r="B60" s="391">
        <f t="shared" si="6"/>
        <v>9991191.7758340966</v>
      </c>
      <c r="C60" s="391">
        <f t="shared" si="1"/>
        <v>451500</v>
      </c>
      <c r="D60" s="389">
        <f t="shared" si="11"/>
        <v>1255793.2425208008</v>
      </c>
      <c r="E60" s="389">
        <f t="shared" si="7"/>
        <v>1707293.2425208008</v>
      </c>
      <c r="F60" s="389">
        <f t="shared" si="8"/>
        <v>8283898.5333132967</v>
      </c>
      <c r="G60" s="390">
        <f t="shared" si="2"/>
        <v>62266283.630776636</v>
      </c>
      <c r="I60" s="139">
        <v>53</v>
      </c>
      <c r="J60" s="141">
        <f t="shared" si="9"/>
        <v>10651048.542634645</v>
      </c>
      <c r="K60" s="141">
        <f t="shared" si="10"/>
        <v>460000</v>
      </c>
      <c r="L60" s="140">
        <f t="shared" si="3"/>
        <v>1527121.27419076</v>
      </c>
      <c r="M60" s="140">
        <f t="shared" si="4"/>
        <v>8663927.2684438862</v>
      </c>
      <c r="N60" s="140">
        <f t="shared" si="5"/>
        <v>65829793.423788309</v>
      </c>
    </row>
    <row r="61" spans="1:14" ht="18.75">
      <c r="A61" s="386">
        <v>54</v>
      </c>
      <c r="B61" s="391">
        <f t="shared" si="6"/>
        <v>9991191.7758340966</v>
      </c>
      <c r="C61" s="391">
        <f t="shared" si="1"/>
        <v>451500</v>
      </c>
      <c r="D61" s="389">
        <f t="shared" si="11"/>
        <v>1108339.8486278241</v>
      </c>
      <c r="E61" s="389">
        <f t="shared" si="7"/>
        <v>1559839.8486278241</v>
      </c>
      <c r="F61" s="389">
        <f t="shared" si="8"/>
        <v>8431351.9272062723</v>
      </c>
      <c r="G61" s="390">
        <f t="shared" si="2"/>
        <v>53834931.703570366</v>
      </c>
      <c r="I61" s="139">
        <v>54</v>
      </c>
      <c r="J61" s="141">
        <f t="shared" si="9"/>
        <v>10651048.542634645</v>
      </c>
      <c r="K61" s="141">
        <f t="shared" si="10"/>
        <v>460000</v>
      </c>
      <c r="L61" s="140">
        <f t="shared" si="3"/>
        <v>1349510.7651876605</v>
      </c>
      <c r="M61" s="140">
        <f t="shared" si="4"/>
        <v>8841537.7774469852</v>
      </c>
      <c r="N61" s="140">
        <f t="shared" si="5"/>
        <v>56988255.646341324</v>
      </c>
    </row>
    <row r="62" spans="1:14" ht="18.75">
      <c r="A62" s="386">
        <v>55</v>
      </c>
      <c r="B62" s="391">
        <f t="shared" si="6"/>
        <v>9991191.7758340966</v>
      </c>
      <c r="C62" s="391">
        <f t="shared" si="1"/>
        <v>451500</v>
      </c>
      <c r="D62" s="389">
        <f t="shared" si="11"/>
        <v>958261.78432355251</v>
      </c>
      <c r="E62" s="389">
        <f t="shared" si="7"/>
        <v>1409761.7843235526</v>
      </c>
      <c r="F62" s="389">
        <f t="shared" si="8"/>
        <v>8581429.991510544</v>
      </c>
      <c r="G62" s="390">
        <f t="shared" si="2"/>
        <v>45253501.712059826</v>
      </c>
      <c r="I62" s="139">
        <v>55</v>
      </c>
      <c r="J62" s="141">
        <f t="shared" si="9"/>
        <v>10651048.542634645</v>
      </c>
      <c r="K62" s="141">
        <f t="shared" si="10"/>
        <v>460000</v>
      </c>
      <c r="L62" s="140">
        <f t="shared" si="3"/>
        <v>1168259.2407499971</v>
      </c>
      <c r="M62" s="140">
        <f t="shared" si="4"/>
        <v>9022789.3018846475</v>
      </c>
      <c r="N62" s="140">
        <f t="shared" si="5"/>
        <v>47965466.344456673</v>
      </c>
    </row>
    <row r="63" spans="1:14" ht="18.75">
      <c r="A63" s="386">
        <v>56</v>
      </c>
      <c r="B63" s="391">
        <f t="shared" si="6"/>
        <v>9991191.7758340966</v>
      </c>
      <c r="C63" s="391">
        <f t="shared" si="1"/>
        <v>451500</v>
      </c>
      <c r="D63" s="389">
        <f t="shared" si="11"/>
        <v>805512.33047466492</v>
      </c>
      <c r="E63" s="389">
        <f t="shared" si="7"/>
        <v>1257012.3304746649</v>
      </c>
      <c r="F63" s="389">
        <f t="shared" si="8"/>
        <v>8734179.4453594312</v>
      </c>
      <c r="G63" s="390">
        <f t="shared" si="2"/>
        <v>36519322.266700394</v>
      </c>
      <c r="I63" s="139">
        <v>56</v>
      </c>
      <c r="J63" s="141">
        <f t="shared" si="9"/>
        <v>10651048.542634645</v>
      </c>
      <c r="K63" s="141">
        <f t="shared" si="10"/>
        <v>460000</v>
      </c>
      <c r="L63" s="140">
        <f t="shared" si="3"/>
        <v>983292.06006136187</v>
      </c>
      <c r="M63" s="140">
        <f t="shared" si="4"/>
        <v>9207756.4825732838</v>
      </c>
      <c r="N63" s="140">
        <f t="shared" si="5"/>
        <v>38757709.861883387</v>
      </c>
    </row>
    <row r="64" spans="1:14" ht="18.75">
      <c r="A64" s="386">
        <v>57</v>
      </c>
      <c r="B64" s="391">
        <f t="shared" si="6"/>
        <v>9991191.7758340966</v>
      </c>
      <c r="C64" s="391">
        <f t="shared" si="1"/>
        <v>451500</v>
      </c>
      <c r="D64" s="389">
        <f t="shared" si="11"/>
        <v>650043.93634726701</v>
      </c>
      <c r="E64" s="389">
        <f t="shared" si="7"/>
        <v>1101543.9363472671</v>
      </c>
      <c r="F64" s="389">
        <f t="shared" si="8"/>
        <v>8889647.8394868299</v>
      </c>
      <c r="G64" s="390">
        <f t="shared" si="2"/>
        <v>27629674.427213565</v>
      </c>
      <c r="I64" s="139">
        <v>57</v>
      </c>
      <c r="J64" s="141">
        <f t="shared" si="9"/>
        <v>10651048.542634645</v>
      </c>
      <c r="K64" s="141">
        <f t="shared" si="10"/>
        <v>460000</v>
      </c>
      <c r="L64" s="140">
        <f>+N63*$K$3</f>
        <v>794533.05216860946</v>
      </c>
      <c r="M64" s="140">
        <f t="shared" si="4"/>
        <v>9396515.4904660359</v>
      </c>
      <c r="N64" s="140">
        <f t="shared" si="5"/>
        <v>29361194.371417351</v>
      </c>
    </row>
    <row r="65" spans="1:14" ht="18.75">
      <c r="A65" s="386">
        <v>58</v>
      </c>
      <c r="B65" s="391">
        <f t="shared" si="6"/>
        <v>9991191.7758340966</v>
      </c>
      <c r="C65" s="391">
        <f t="shared" si="1"/>
        <v>451500</v>
      </c>
      <c r="D65" s="389">
        <f t="shared" si="11"/>
        <v>491808.20480440144</v>
      </c>
      <c r="E65" s="389">
        <f t="shared" si="7"/>
        <v>943308.20480440138</v>
      </c>
      <c r="F65" s="389">
        <f t="shared" si="8"/>
        <v>9047883.5710296948</v>
      </c>
      <c r="G65" s="390">
        <f t="shared" si="2"/>
        <v>18581790.856183872</v>
      </c>
      <c r="I65" s="139">
        <v>58</v>
      </c>
      <c r="J65" s="141">
        <f t="shared" si="9"/>
        <v>10651048.542634645</v>
      </c>
      <c r="K65" s="141">
        <f t="shared" si="10"/>
        <v>460000</v>
      </c>
      <c r="L65" s="140">
        <f t="shared" si="3"/>
        <v>601904.48461405572</v>
      </c>
      <c r="M65" s="140">
        <f t="shared" si="4"/>
        <v>9589144.0580205899</v>
      </c>
      <c r="N65" s="140">
        <f t="shared" si="5"/>
        <v>19772050.313396759</v>
      </c>
    </row>
    <row r="66" spans="1:14" ht="18.75">
      <c r="A66" s="386">
        <v>59</v>
      </c>
      <c r="B66" s="391">
        <f t="shared" si="6"/>
        <v>9991191.7758340966</v>
      </c>
      <c r="C66" s="391">
        <f t="shared" si="1"/>
        <v>451500</v>
      </c>
      <c r="D66" s="389">
        <f t="shared" si="11"/>
        <v>330755.87724007294</v>
      </c>
      <c r="E66" s="389">
        <f t="shared" si="7"/>
        <v>782255.87724007294</v>
      </c>
      <c r="F66" s="389">
        <f t="shared" si="8"/>
        <v>9208935.8985940237</v>
      </c>
      <c r="G66" s="390">
        <f t="shared" si="2"/>
        <v>9372854.957589848</v>
      </c>
      <c r="I66" s="139">
        <v>59</v>
      </c>
      <c r="J66" s="141">
        <f t="shared" si="9"/>
        <v>10651048.542634645</v>
      </c>
      <c r="K66" s="141">
        <f t="shared" si="10"/>
        <v>460000</v>
      </c>
      <c r="L66" s="140">
        <f>+N65*$K$3</f>
        <v>405327.03142463358</v>
      </c>
      <c r="M66" s="140">
        <f t="shared" si="4"/>
        <v>9785721.5112100113</v>
      </c>
      <c r="N66" s="140">
        <f t="shared" si="5"/>
        <v>9986328.802186748</v>
      </c>
    </row>
    <row r="67" spans="1:14" ht="18.75">
      <c r="A67" s="386">
        <v>60</v>
      </c>
      <c r="B67" s="391">
        <f t="shared" si="6"/>
        <v>9991191.7758340966</v>
      </c>
      <c r="C67" s="391">
        <f t="shared" si="1"/>
        <v>451500</v>
      </c>
      <c r="D67" s="389">
        <f t="shared" si="11"/>
        <v>166836.8182450993</v>
      </c>
      <c r="E67" s="389">
        <f t="shared" si="7"/>
        <v>618336.81824509928</v>
      </c>
      <c r="F67" s="389">
        <f t="shared" si="8"/>
        <v>9372854.9575889967</v>
      </c>
      <c r="G67" s="390">
        <f>+G66-F67</f>
        <v>8.5122883319854736E-7</v>
      </c>
      <c r="I67" s="139">
        <v>60</v>
      </c>
      <c r="J67" s="141">
        <f t="shared" si="9"/>
        <v>10651048.542634645</v>
      </c>
      <c r="K67" s="141">
        <f t="shared" si="10"/>
        <v>460000</v>
      </c>
      <c r="L67" s="140">
        <f t="shared" si="3"/>
        <v>204719.74044482835</v>
      </c>
      <c r="M67" s="140">
        <f t="shared" si="4"/>
        <v>9986328.8021898177</v>
      </c>
      <c r="N67" s="140">
        <f t="shared" si="5"/>
        <v>-3.0696392059326172E-6</v>
      </c>
    </row>
    <row r="68" spans="1:14" ht="15.75">
      <c r="A68" s="392" t="s">
        <v>29</v>
      </c>
      <c r="B68" s="393"/>
      <c r="C68" s="394">
        <f>+SUM(C8:C67)</f>
        <v>27090000</v>
      </c>
      <c r="D68" s="394">
        <f>+SUM(D8:D67)</f>
        <v>222381506.55004668</v>
      </c>
      <c r="E68" s="394">
        <f>+SUM(E8:E67)</f>
        <v>249471506.55004668</v>
      </c>
      <c r="F68" s="395"/>
      <c r="G68" s="396"/>
      <c r="I68" s="21" t="s">
        <v>29</v>
      </c>
      <c r="J68" s="149"/>
      <c r="K68" s="150">
        <f>+SUM(K8:K67)</f>
        <v>27600000</v>
      </c>
      <c r="L68" s="150">
        <f>+SUM(L8:L67)</f>
        <v>261462912.55807576</v>
      </c>
    </row>
    <row r="69" spans="1:14" ht="16.5" thickBot="1">
      <c r="A69" s="397" t="s">
        <v>217</v>
      </c>
      <c r="B69" s="398"/>
      <c r="C69" s="399"/>
      <c r="D69" s="399">
        <f>+D68+C68+G2</f>
        <v>599471506.55004668</v>
      </c>
      <c r="E69" s="400"/>
      <c r="F69" s="401"/>
      <c r="G69" s="402"/>
      <c r="I69" s="143" t="s">
        <v>217</v>
      </c>
      <c r="J69" s="144"/>
      <c r="K69" s="151"/>
      <c r="L69" s="151">
        <f>+L68+K68+N2</f>
        <v>639062912.55807579</v>
      </c>
    </row>
    <row r="70" spans="1:14" ht="15.75" thickBot="1"/>
    <row r="71" spans="1:14">
      <c r="A71" s="473" t="s">
        <v>200</v>
      </c>
      <c r="B71" s="474"/>
      <c r="C71" s="474"/>
      <c r="D71" s="474"/>
      <c r="E71" s="474"/>
      <c r="F71" s="474"/>
      <c r="G71" s="475"/>
      <c r="I71" s="471" t="s">
        <v>200</v>
      </c>
      <c r="J71" s="471"/>
      <c r="K71" s="471"/>
      <c r="L71" s="471"/>
      <c r="M71" s="471"/>
      <c r="N71" s="471"/>
    </row>
    <row r="72" spans="1:14">
      <c r="A72" s="476" t="s">
        <v>218</v>
      </c>
      <c r="B72" s="33" t="s">
        <v>202</v>
      </c>
      <c r="C72" s="33">
        <v>60</v>
      </c>
      <c r="D72" s="33"/>
      <c r="E72" s="33"/>
      <c r="F72" s="65" t="s">
        <v>204</v>
      </c>
      <c r="G72" s="190">
        <v>350000000</v>
      </c>
      <c r="I72" s="472" t="s">
        <v>219</v>
      </c>
      <c r="J72" s="33" t="s">
        <v>202</v>
      </c>
      <c r="K72" s="33">
        <v>60</v>
      </c>
      <c r="L72" s="33"/>
      <c r="M72" s="145" t="s">
        <v>204</v>
      </c>
      <c r="N72" s="146">
        <v>350000000</v>
      </c>
    </row>
    <row r="73" spans="1:14">
      <c r="A73" s="476"/>
      <c r="B73" s="33" t="s">
        <v>206</v>
      </c>
      <c r="C73" s="137">
        <v>2.12E-2</v>
      </c>
      <c r="D73" s="33"/>
      <c r="E73" s="33"/>
      <c r="F73" s="33" t="s">
        <v>207</v>
      </c>
      <c r="G73" s="191">
        <f>G72*((C73*((1+C73)^C72))/(((1+C73)^C72)-1))</f>
        <v>10363443.61591788</v>
      </c>
      <c r="I73" s="472"/>
      <c r="J73" s="33" t="s">
        <v>206</v>
      </c>
      <c r="K73" s="147">
        <v>2.12E-2</v>
      </c>
      <c r="L73" s="137">
        <v>0.4294</v>
      </c>
      <c r="M73" s="33" t="s">
        <v>207</v>
      </c>
      <c r="N73" s="142">
        <f>N72*((K73*((1+K73)^K72))/(((1+K73)^K72)-1))</f>
        <v>10363443.61591788</v>
      </c>
    </row>
    <row r="74" spans="1:14">
      <c r="A74" s="192"/>
      <c r="B74" s="33"/>
      <c r="C74" s="33"/>
      <c r="D74" s="137"/>
      <c r="E74" s="137"/>
      <c r="F74" s="33" t="s">
        <v>209</v>
      </c>
      <c r="G74" s="191">
        <v>233000</v>
      </c>
      <c r="I74" s="148"/>
      <c r="J74" s="33"/>
      <c r="K74" s="33"/>
      <c r="L74" s="155"/>
      <c r="M74" s="33" t="s">
        <v>209</v>
      </c>
      <c r="N74" s="142">
        <v>460000</v>
      </c>
    </row>
    <row r="75" spans="1:14">
      <c r="A75" s="193"/>
      <c r="B75" s="33"/>
      <c r="C75" s="33"/>
      <c r="D75" s="33"/>
      <c r="E75" s="33"/>
      <c r="F75" s="65" t="s">
        <v>210</v>
      </c>
      <c r="G75" s="194">
        <f>+G73+G74</f>
        <v>10596443.61591788</v>
      </c>
      <c r="I75" s="33"/>
      <c r="J75" s="33"/>
      <c r="K75" s="33"/>
      <c r="L75" s="33"/>
      <c r="M75" s="65" t="s">
        <v>210</v>
      </c>
      <c r="N75" s="138">
        <f>+N73+N74</f>
        <v>10823443.61591788</v>
      </c>
    </row>
    <row r="76" spans="1:14" ht="18.75">
      <c r="A76" s="195" t="s">
        <v>211</v>
      </c>
      <c r="B76" s="139" t="s">
        <v>212</v>
      </c>
      <c r="C76" s="139" t="s">
        <v>209</v>
      </c>
      <c r="D76" s="139" t="s">
        <v>213</v>
      </c>
      <c r="E76" s="139" t="s">
        <v>214</v>
      </c>
      <c r="F76" s="139" t="s">
        <v>215</v>
      </c>
      <c r="G76" s="196" t="s">
        <v>216</v>
      </c>
      <c r="I76" s="139" t="s">
        <v>211</v>
      </c>
      <c r="J76" s="139" t="s">
        <v>212</v>
      </c>
      <c r="K76" s="139" t="s">
        <v>209</v>
      </c>
      <c r="L76" s="139" t="s">
        <v>213</v>
      </c>
      <c r="M76" s="139" t="s">
        <v>215</v>
      </c>
      <c r="N76" s="139" t="s">
        <v>216</v>
      </c>
    </row>
    <row r="77" spans="1:14" ht="18.75">
      <c r="A77" s="195">
        <v>0</v>
      </c>
      <c r="B77" s="197"/>
      <c r="C77" s="197"/>
      <c r="D77" s="197"/>
      <c r="E77" s="197"/>
      <c r="F77" s="197"/>
      <c r="G77" s="198">
        <f>+G72</f>
        <v>350000000</v>
      </c>
      <c r="I77" s="139">
        <v>0</v>
      </c>
      <c r="J77" s="140"/>
      <c r="K77" s="140"/>
      <c r="L77" s="140"/>
      <c r="M77" s="140"/>
      <c r="N77" s="140">
        <f>+N72</f>
        <v>350000000</v>
      </c>
    </row>
    <row r="78" spans="1:14" ht="18.75">
      <c r="A78" s="195">
        <v>1</v>
      </c>
      <c r="B78" s="199">
        <f>+G75</f>
        <v>10596443.61591788</v>
      </c>
      <c r="C78" s="199">
        <f>+G74</f>
        <v>233000</v>
      </c>
      <c r="D78" s="197">
        <f>+G77*$C$73</f>
        <v>7420000</v>
      </c>
      <c r="E78" s="197">
        <f>+C78+D78</f>
        <v>7653000</v>
      </c>
      <c r="F78" s="197">
        <f>+B78-D78-C78</f>
        <v>2943443.6159178801</v>
      </c>
      <c r="G78" s="198">
        <f>+G77-F78</f>
        <v>347056556.38408214</v>
      </c>
      <c r="I78" s="139">
        <v>1</v>
      </c>
      <c r="J78" s="141">
        <f>+N75</f>
        <v>10823443.61591788</v>
      </c>
      <c r="K78" s="141">
        <f>+N74</f>
        <v>460000</v>
      </c>
      <c r="L78" s="140">
        <f>+N77*$K$73</f>
        <v>7420000</v>
      </c>
      <c r="M78" s="140">
        <f>+J78-L78-K78</f>
        <v>2943443.6159178801</v>
      </c>
      <c r="N78" s="140">
        <f>+N77-M78</f>
        <v>347056556.38408214</v>
      </c>
    </row>
    <row r="79" spans="1:14" ht="18.75">
      <c r="A79" s="195">
        <v>2</v>
      </c>
      <c r="B79" s="199">
        <f>+B78</f>
        <v>10596443.61591788</v>
      </c>
      <c r="C79" s="199">
        <f>+$C$78</f>
        <v>233000</v>
      </c>
      <c r="D79" s="197">
        <f t="shared" ref="D79:D137" si="12">+G78*$C$73</f>
        <v>7357598.9953425415</v>
      </c>
      <c r="E79" s="197">
        <f t="shared" ref="E79:E137" si="13">+C79+D79</f>
        <v>7590598.9953425415</v>
      </c>
      <c r="F79" s="197">
        <f t="shared" ref="F79:F137" si="14">+B79-D79-C79</f>
        <v>3005844.6205753386</v>
      </c>
      <c r="G79" s="198">
        <f t="shared" ref="G79:G137" si="15">+G78-F79</f>
        <v>344050711.76350677</v>
      </c>
      <c r="I79" s="139">
        <v>2</v>
      </c>
      <c r="J79" s="141">
        <f>+J78</f>
        <v>10823443.61591788</v>
      </c>
      <c r="K79" s="141">
        <f>+$N$74</f>
        <v>460000</v>
      </c>
      <c r="L79" s="140">
        <f t="shared" ref="L79:L137" si="16">+N78*$K$73</f>
        <v>7357598.9953425415</v>
      </c>
      <c r="M79" s="140">
        <f t="shared" ref="M79:M137" si="17">+J79-L79-K79</f>
        <v>3005844.6205753386</v>
      </c>
      <c r="N79" s="140">
        <f t="shared" ref="N79:N137" si="18">+N78-M79</f>
        <v>344050711.76350677</v>
      </c>
    </row>
    <row r="80" spans="1:14" ht="18.75">
      <c r="A80" s="195">
        <v>3</v>
      </c>
      <c r="B80" s="199">
        <f t="shared" ref="B80:B137" si="19">+B79</f>
        <v>10596443.61591788</v>
      </c>
      <c r="C80" s="199">
        <f t="shared" ref="C80:C137" si="20">+$C$78</f>
        <v>233000</v>
      </c>
      <c r="D80" s="197">
        <f t="shared" si="12"/>
        <v>7293875.089386344</v>
      </c>
      <c r="E80" s="197">
        <f t="shared" si="13"/>
        <v>7526875.089386344</v>
      </c>
      <c r="F80" s="197">
        <f t="shared" si="14"/>
        <v>3069568.5265315361</v>
      </c>
      <c r="G80" s="198">
        <f t="shared" si="15"/>
        <v>340981143.23697525</v>
      </c>
      <c r="I80" s="139">
        <v>3</v>
      </c>
      <c r="J80" s="141">
        <f t="shared" ref="J80:J137" si="21">+J79</f>
        <v>10823443.61591788</v>
      </c>
      <c r="K80" s="141">
        <f t="shared" ref="K80:K137" si="22">+$N$74</f>
        <v>460000</v>
      </c>
      <c r="L80" s="140">
        <f t="shared" si="16"/>
        <v>7293875.089386344</v>
      </c>
      <c r="M80" s="140">
        <f t="shared" si="17"/>
        <v>3069568.5265315361</v>
      </c>
      <c r="N80" s="140">
        <f t="shared" si="18"/>
        <v>340981143.23697525</v>
      </c>
    </row>
    <row r="81" spans="1:14" ht="18.75">
      <c r="A81" s="195">
        <v>4</v>
      </c>
      <c r="B81" s="199">
        <f t="shared" si="19"/>
        <v>10596443.61591788</v>
      </c>
      <c r="C81" s="199">
        <f t="shared" si="20"/>
        <v>233000</v>
      </c>
      <c r="D81" s="197">
        <f t="shared" si="12"/>
        <v>7228800.2366238758</v>
      </c>
      <c r="E81" s="197">
        <f t="shared" si="13"/>
        <v>7461800.2366238758</v>
      </c>
      <c r="F81" s="197">
        <f t="shared" si="14"/>
        <v>3134643.3792940043</v>
      </c>
      <c r="G81" s="198">
        <f t="shared" si="15"/>
        <v>337846499.85768127</v>
      </c>
      <c r="I81" s="139">
        <v>4</v>
      </c>
      <c r="J81" s="141">
        <f t="shared" si="21"/>
        <v>10823443.61591788</v>
      </c>
      <c r="K81" s="141">
        <f t="shared" si="22"/>
        <v>460000</v>
      </c>
      <c r="L81" s="140">
        <f t="shared" si="16"/>
        <v>7228800.2366238758</v>
      </c>
      <c r="M81" s="140">
        <f t="shared" si="17"/>
        <v>3134643.3792940043</v>
      </c>
      <c r="N81" s="140">
        <f t="shared" si="18"/>
        <v>337846499.85768127</v>
      </c>
    </row>
    <row r="82" spans="1:14" ht="18.75">
      <c r="A82" s="195">
        <v>5</v>
      </c>
      <c r="B82" s="199">
        <f t="shared" si="19"/>
        <v>10596443.61591788</v>
      </c>
      <c r="C82" s="199">
        <f t="shared" si="20"/>
        <v>233000</v>
      </c>
      <c r="D82" s="197">
        <f t="shared" si="12"/>
        <v>7162345.7969828434</v>
      </c>
      <c r="E82" s="197">
        <f t="shared" si="13"/>
        <v>7395345.7969828434</v>
      </c>
      <c r="F82" s="197">
        <f t="shared" si="14"/>
        <v>3201097.8189350367</v>
      </c>
      <c r="G82" s="198">
        <f t="shared" si="15"/>
        <v>334645402.03874624</v>
      </c>
      <c r="I82" s="139">
        <v>5</v>
      </c>
      <c r="J82" s="141">
        <f t="shared" si="21"/>
        <v>10823443.61591788</v>
      </c>
      <c r="K82" s="141">
        <f t="shared" si="22"/>
        <v>460000</v>
      </c>
      <c r="L82" s="140">
        <f t="shared" si="16"/>
        <v>7162345.7969828434</v>
      </c>
      <c r="M82" s="140">
        <f t="shared" si="17"/>
        <v>3201097.8189350367</v>
      </c>
      <c r="N82" s="140">
        <f t="shared" si="18"/>
        <v>334645402.03874624</v>
      </c>
    </row>
    <row r="83" spans="1:14" ht="18.75">
      <c r="A83" s="195">
        <v>6</v>
      </c>
      <c r="B83" s="199">
        <f t="shared" si="19"/>
        <v>10596443.61591788</v>
      </c>
      <c r="C83" s="199">
        <f t="shared" si="20"/>
        <v>233000</v>
      </c>
      <c r="D83" s="197">
        <f t="shared" si="12"/>
        <v>7094482.5232214201</v>
      </c>
      <c r="E83" s="197">
        <f t="shared" si="13"/>
        <v>7327482.5232214201</v>
      </c>
      <c r="F83" s="197">
        <f t="shared" si="14"/>
        <v>3268961.09269646</v>
      </c>
      <c r="G83" s="198">
        <f t="shared" si="15"/>
        <v>331376440.94604975</v>
      </c>
      <c r="I83" s="139">
        <v>6</v>
      </c>
      <c r="J83" s="141">
        <f t="shared" si="21"/>
        <v>10823443.61591788</v>
      </c>
      <c r="K83" s="141">
        <f t="shared" si="22"/>
        <v>460000</v>
      </c>
      <c r="L83" s="140">
        <f t="shared" si="16"/>
        <v>7094482.5232214201</v>
      </c>
      <c r="M83" s="140">
        <f t="shared" si="17"/>
        <v>3268961.09269646</v>
      </c>
      <c r="N83" s="140">
        <f t="shared" si="18"/>
        <v>331376440.94604975</v>
      </c>
    </row>
    <row r="84" spans="1:14" ht="18.75">
      <c r="A84" s="195">
        <v>7</v>
      </c>
      <c r="B84" s="199">
        <f t="shared" si="19"/>
        <v>10596443.61591788</v>
      </c>
      <c r="C84" s="199">
        <f t="shared" si="20"/>
        <v>233000</v>
      </c>
      <c r="D84" s="197">
        <f t="shared" si="12"/>
        <v>7025180.5480562551</v>
      </c>
      <c r="E84" s="197">
        <f t="shared" si="13"/>
        <v>7258180.5480562551</v>
      </c>
      <c r="F84" s="197">
        <f t="shared" si="14"/>
        <v>3338263.067861625</v>
      </c>
      <c r="G84" s="198">
        <f t="shared" si="15"/>
        <v>328038177.87818813</v>
      </c>
      <c r="I84" s="139">
        <v>7</v>
      </c>
      <c r="J84" s="141">
        <f t="shared" si="21"/>
        <v>10823443.61591788</v>
      </c>
      <c r="K84" s="141">
        <f t="shared" si="22"/>
        <v>460000</v>
      </c>
      <c r="L84" s="140">
        <f t="shared" si="16"/>
        <v>7025180.5480562551</v>
      </c>
      <c r="M84" s="140">
        <f t="shared" si="17"/>
        <v>3338263.067861625</v>
      </c>
      <c r="N84" s="140">
        <f t="shared" si="18"/>
        <v>328038177.87818813</v>
      </c>
    </row>
    <row r="85" spans="1:14" ht="18.75">
      <c r="A85" s="195">
        <v>8</v>
      </c>
      <c r="B85" s="199">
        <f t="shared" si="19"/>
        <v>10596443.61591788</v>
      </c>
      <c r="C85" s="199">
        <f t="shared" si="20"/>
        <v>233000</v>
      </c>
      <c r="D85" s="197">
        <f t="shared" si="12"/>
        <v>6954409.3710175883</v>
      </c>
      <c r="E85" s="197">
        <f t="shared" si="13"/>
        <v>7187409.3710175883</v>
      </c>
      <c r="F85" s="197">
        <f t="shared" si="14"/>
        <v>3409034.2449002918</v>
      </c>
      <c r="G85" s="198">
        <f t="shared" si="15"/>
        <v>324629143.63328785</v>
      </c>
      <c r="I85" s="139">
        <v>8</v>
      </c>
      <c r="J85" s="141">
        <f t="shared" si="21"/>
        <v>10823443.61591788</v>
      </c>
      <c r="K85" s="141">
        <f t="shared" si="22"/>
        <v>460000</v>
      </c>
      <c r="L85" s="140">
        <f t="shared" si="16"/>
        <v>6954409.3710175883</v>
      </c>
      <c r="M85" s="140">
        <f t="shared" si="17"/>
        <v>3409034.2449002918</v>
      </c>
      <c r="N85" s="140">
        <f t="shared" si="18"/>
        <v>324629143.63328785</v>
      </c>
    </row>
    <row r="86" spans="1:14" ht="18.75">
      <c r="A86" s="195">
        <v>9</v>
      </c>
      <c r="B86" s="199">
        <f t="shared" si="19"/>
        <v>10596443.61591788</v>
      </c>
      <c r="C86" s="199">
        <f t="shared" si="20"/>
        <v>233000</v>
      </c>
      <c r="D86" s="197">
        <f t="shared" si="12"/>
        <v>6882137.8450257024</v>
      </c>
      <c r="E86" s="197">
        <f t="shared" si="13"/>
        <v>7115137.8450257024</v>
      </c>
      <c r="F86" s="197">
        <f t="shared" si="14"/>
        <v>3481305.7708921777</v>
      </c>
      <c r="G86" s="198">
        <f t="shared" si="15"/>
        <v>321147837.86239564</v>
      </c>
      <c r="I86" s="139">
        <v>9</v>
      </c>
      <c r="J86" s="141">
        <f t="shared" si="21"/>
        <v>10823443.61591788</v>
      </c>
      <c r="K86" s="141">
        <f t="shared" si="22"/>
        <v>460000</v>
      </c>
      <c r="L86" s="140">
        <f t="shared" si="16"/>
        <v>6882137.8450257024</v>
      </c>
      <c r="M86" s="140">
        <f t="shared" si="17"/>
        <v>3481305.7708921777</v>
      </c>
      <c r="N86" s="140">
        <f t="shared" si="18"/>
        <v>321147837.86239564</v>
      </c>
    </row>
    <row r="87" spans="1:14" ht="18.75">
      <c r="A87" s="195">
        <v>10</v>
      </c>
      <c r="B87" s="199">
        <f t="shared" si="19"/>
        <v>10596443.61591788</v>
      </c>
      <c r="C87" s="199">
        <f t="shared" si="20"/>
        <v>233000</v>
      </c>
      <c r="D87" s="197">
        <f t="shared" si="12"/>
        <v>6808334.1626827875</v>
      </c>
      <c r="E87" s="197">
        <f t="shared" si="13"/>
        <v>7041334.1626827875</v>
      </c>
      <c r="F87" s="197">
        <f t="shared" si="14"/>
        <v>3555109.4532350926</v>
      </c>
      <c r="G87" s="198">
        <f t="shared" si="15"/>
        <v>317592728.40916055</v>
      </c>
      <c r="I87" s="139">
        <v>10</v>
      </c>
      <c r="J87" s="141">
        <f t="shared" si="21"/>
        <v>10823443.61591788</v>
      </c>
      <c r="K87" s="141">
        <f t="shared" si="22"/>
        <v>460000</v>
      </c>
      <c r="L87" s="140">
        <f t="shared" si="16"/>
        <v>6808334.1626827875</v>
      </c>
      <c r="M87" s="140">
        <f t="shared" si="17"/>
        <v>3555109.4532350926</v>
      </c>
      <c r="N87" s="140">
        <f t="shared" si="18"/>
        <v>317592728.40916055</v>
      </c>
    </row>
    <row r="88" spans="1:14" ht="18.75">
      <c r="A88" s="195">
        <v>11</v>
      </c>
      <c r="B88" s="199">
        <f t="shared" si="19"/>
        <v>10596443.61591788</v>
      </c>
      <c r="C88" s="199">
        <f t="shared" si="20"/>
        <v>233000</v>
      </c>
      <c r="D88" s="197">
        <f t="shared" si="12"/>
        <v>6732965.8422742039</v>
      </c>
      <c r="E88" s="197">
        <f t="shared" si="13"/>
        <v>6965965.8422742039</v>
      </c>
      <c r="F88" s="197">
        <f t="shared" si="14"/>
        <v>3630477.7736436762</v>
      </c>
      <c r="G88" s="198">
        <f t="shared" si="15"/>
        <v>313962250.63551688</v>
      </c>
      <c r="I88" s="139">
        <v>11</v>
      </c>
      <c r="J88" s="141">
        <f t="shared" si="21"/>
        <v>10823443.61591788</v>
      </c>
      <c r="K88" s="141">
        <f t="shared" si="22"/>
        <v>460000</v>
      </c>
      <c r="L88" s="140">
        <f t="shared" si="16"/>
        <v>6732965.8422742039</v>
      </c>
      <c r="M88" s="140">
        <f t="shared" si="17"/>
        <v>3630477.7736436762</v>
      </c>
      <c r="N88" s="140">
        <f t="shared" si="18"/>
        <v>313962250.63551688</v>
      </c>
    </row>
    <row r="89" spans="1:14" ht="18.75">
      <c r="A89" s="195">
        <v>12</v>
      </c>
      <c r="B89" s="199">
        <f t="shared" si="19"/>
        <v>10596443.61591788</v>
      </c>
      <c r="C89" s="199">
        <f t="shared" si="20"/>
        <v>233000</v>
      </c>
      <c r="D89" s="197">
        <f t="shared" si="12"/>
        <v>6655999.7134729577</v>
      </c>
      <c r="E89" s="197">
        <f t="shared" si="13"/>
        <v>6888999.7134729577</v>
      </c>
      <c r="F89" s="197">
        <f t="shared" si="14"/>
        <v>3707443.9024449224</v>
      </c>
      <c r="G89" s="198">
        <f t="shared" si="15"/>
        <v>310254806.73307198</v>
      </c>
      <c r="I89" s="139">
        <v>12</v>
      </c>
      <c r="J89" s="141">
        <f t="shared" si="21"/>
        <v>10823443.61591788</v>
      </c>
      <c r="K89" s="141">
        <f t="shared" si="22"/>
        <v>460000</v>
      </c>
      <c r="L89" s="140">
        <f t="shared" si="16"/>
        <v>6655999.7134729577</v>
      </c>
      <c r="M89" s="140">
        <f t="shared" si="17"/>
        <v>3707443.9024449224</v>
      </c>
      <c r="N89" s="140">
        <f t="shared" si="18"/>
        <v>310254806.73307198</v>
      </c>
    </row>
    <row r="90" spans="1:14" ht="18.75">
      <c r="A90" s="195">
        <v>13</v>
      </c>
      <c r="B90" s="199">
        <f t="shared" si="19"/>
        <v>10596443.61591788</v>
      </c>
      <c r="C90" s="199">
        <f t="shared" si="20"/>
        <v>233000</v>
      </c>
      <c r="D90" s="197">
        <f t="shared" si="12"/>
        <v>6577401.9027411258</v>
      </c>
      <c r="E90" s="197">
        <f t="shared" si="13"/>
        <v>6810401.9027411258</v>
      </c>
      <c r="F90" s="197">
        <f t="shared" si="14"/>
        <v>3786041.7131767543</v>
      </c>
      <c r="G90" s="198">
        <f t="shared" si="15"/>
        <v>306468765.01989526</v>
      </c>
      <c r="I90" s="139">
        <v>13</v>
      </c>
      <c r="J90" s="141">
        <f t="shared" si="21"/>
        <v>10823443.61591788</v>
      </c>
      <c r="K90" s="141">
        <f t="shared" si="22"/>
        <v>460000</v>
      </c>
      <c r="L90" s="140">
        <f t="shared" si="16"/>
        <v>6577401.9027411258</v>
      </c>
      <c r="M90" s="140">
        <f t="shared" si="17"/>
        <v>3786041.7131767543</v>
      </c>
      <c r="N90" s="140">
        <f t="shared" si="18"/>
        <v>306468765.01989526</v>
      </c>
    </row>
    <row r="91" spans="1:14" ht="18.75">
      <c r="A91" s="195">
        <v>14</v>
      </c>
      <c r="B91" s="199">
        <f t="shared" si="19"/>
        <v>10596443.61591788</v>
      </c>
      <c r="C91" s="199">
        <f t="shared" si="20"/>
        <v>233000</v>
      </c>
      <c r="D91" s="197">
        <f t="shared" si="12"/>
        <v>6497137.8184217792</v>
      </c>
      <c r="E91" s="197">
        <f t="shared" si="13"/>
        <v>6730137.8184217792</v>
      </c>
      <c r="F91" s="197">
        <f t="shared" si="14"/>
        <v>3866305.7974961009</v>
      </c>
      <c r="G91" s="198">
        <f t="shared" si="15"/>
        <v>302602459.22239918</v>
      </c>
      <c r="I91" s="139">
        <v>14</v>
      </c>
      <c r="J91" s="141">
        <f t="shared" si="21"/>
        <v>10823443.61591788</v>
      </c>
      <c r="K91" s="141">
        <f t="shared" si="22"/>
        <v>460000</v>
      </c>
      <c r="L91" s="140">
        <f t="shared" si="16"/>
        <v>6497137.8184217792</v>
      </c>
      <c r="M91" s="140">
        <f t="shared" si="17"/>
        <v>3866305.7974961009</v>
      </c>
      <c r="N91" s="140">
        <f t="shared" si="18"/>
        <v>302602459.22239918</v>
      </c>
    </row>
    <row r="92" spans="1:14" ht="18.75">
      <c r="A92" s="195">
        <v>15</v>
      </c>
      <c r="B92" s="199">
        <f t="shared" si="19"/>
        <v>10596443.61591788</v>
      </c>
      <c r="C92" s="199">
        <f t="shared" si="20"/>
        <v>233000</v>
      </c>
      <c r="D92" s="197">
        <f t="shared" si="12"/>
        <v>6415172.1355148628</v>
      </c>
      <c r="E92" s="197">
        <f t="shared" si="13"/>
        <v>6648172.1355148628</v>
      </c>
      <c r="F92" s="197">
        <f t="shared" si="14"/>
        <v>3948271.4804030173</v>
      </c>
      <c r="G92" s="198">
        <f t="shared" si="15"/>
        <v>298654187.74199617</v>
      </c>
      <c r="I92" s="139">
        <v>15</v>
      </c>
      <c r="J92" s="141">
        <f t="shared" si="21"/>
        <v>10823443.61591788</v>
      </c>
      <c r="K92" s="141">
        <f t="shared" si="22"/>
        <v>460000</v>
      </c>
      <c r="L92" s="140">
        <f t="shared" si="16"/>
        <v>6415172.1355148628</v>
      </c>
      <c r="M92" s="140">
        <f t="shared" si="17"/>
        <v>3948271.4804030173</v>
      </c>
      <c r="N92" s="140">
        <f t="shared" si="18"/>
        <v>298654187.74199617</v>
      </c>
    </row>
    <row r="93" spans="1:14" ht="18.75">
      <c r="A93" s="195">
        <v>16</v>
      </c>
      <c r="B93" s="199">
        <f t="shared" si="19"/>
        <v>10596443.61591788</v>
      </c>
      <c r="C93" s="199">
        <f t="shared" si="20"/>
        <v>233000</v>
      </c>
      <c r="D93" s="197">
        <f t="shared" si="12"/>
        <v>6331468.7801303184</v>
      </c>
      <c r="E93" s="197">
        <f t="shared" si="13"/>
        <v>6564468.7801303184</v>
      </c>
      <c r="F93" s="197">
        <f t="shared" si="14"/>
        <v>4031974.8357875617</v>
      </c>
      <c r="G93" s="198">
        <f t="shared" si="15"/>
        <v>294622212.90620863</v>
      </c>
      <c r="I93" s="139">
        <v>16</v>
      </c>
      <c r="J93" s="141">
        <f t="shared" si="21"/>
        <v>10823443.61591788</v>
      </c>
      <c r="K93" s="141">
        <f t="shared" si="22"/>
        <v>460000</v>
      </c>
      <c r="L93" s="140">
        <f t="shared" si="16"/>
        <v>6331468.7801303184</v>
      </c>
      <c r="M93" s="140">
        <f t="shared" si="17"/>
        <v>4031974.8357875617</v>
      </c>
      <c r="N93" s="140">
        <f t="shared" si="18"/>
        <v>294622212.90620863</v>
      </c>
    </row>
    <row r="94" spans="1:14" ht="18.75">
      <c r="A94" s="195">
        <v>17</v>
      </c>
      <c r="B94" s="199">
        <f t="shared" si="19"/>
        <v>10596443.61591788</v>
      </c>
      <c r="C94" s="199">
        <f t="shared" si="20"/>
        <v>233000</v>
      </c>
      <c r="D94" s="197">
        <f t="shared" si="12"/>
        <v>6245990.9136116235</v>
      </c>
      <c r="E94" s="197">
        <f t="shared" si="13"/>
        <v>6478990.9136116235</v>
      </c>
      <c r="F94" s="197">
        <f t="shared" si="14"/>
        <v>4117452.7023062566</v>
      </c>
      <c r="G94" s="198">
        <f t="shared" si="15"/>
        <v>290504760.20390236</v>
      </c>
      <c r="I94" s="139">
        <v>17</v>
      </c>
      <c r="J94" s="141">
        <f t="shared" si="21"/>
        <v>10823443.61591788</v>
      </c>
      <c r="K94" s="141">
        <f t="shared" si="22"/>
        <v>460000</v>
      </c>
      <c r="L94" s="140">
        <f t="shared" si="16"/>
        <v>6245990.9136116235</v>
      </c>
      <c r="M94" s="140">
        <f t="shared" si="17"/>
        <v>4117452.7023062566</v>
      </c>
      <c r="N94" s="140">
        <f t="shared" si="18"/>
        <v>290504760.20390236</v>
      </c>
    </row>
    <row r="95" spans="1:14" ht="18.75">
      <c r="A95" s="195">
        <v>18</v>
      </c>
      <c r="B95" s="199">
        <f t="shared" si="19"/>
        <v>10596443.61591788</v>
      </c>
      <c r="C95" s="199">
        <f t="shared" si="20"/>
        <v>233000</v>
      </c>
      <c r="D95" s="197">
        <f t="shared" si="12"/>
        <v>6158700.9163227305</v>
      </c>
      <c r="E95" s="197">
        <f t="shared" si="13"/>
        <v>6391700.9163227305</v>
      </c>
      <c r="F95" s="197">
        <f t="shared" si="14"/>
        <v>4204742.6995951496</v>
      </c>
      <c r="G95" s="198">
        <f t="shared" si="15"/>
        <v>286300017.50430721</v>
      </c>
      <c r="I95" s="139">
        <v>18</v>
      </c>
      <c r="J95" s="141">
        <f t="shared" si="21"/>
        <v>10823443.61591788</v>
      </c>
      <c r="K95" s="141">
        <f t="shared" si="22"/>
        <v>460000</v>
      </c>
      <c r="L95" s="140">
        <f t="shared" si="16"/>
        <v>6158700.9163227305</v>
      </c>
      <c r="M95" s="140">
        <f t="shared" si="17"/>
        <v>4204742.6995951496</v>
      </c>
      <c r="N95" s="140">
        <f t="shared" si="18"/>
        <v>286300017.50430721</v>
      </c>
    </row>
    <row r="96" spans="1:14" ht="18.75">
      <c r="A96" s="195">
        <v>19</v>
      </c>
      <c r="B96" s="199">
        <f t="shared" si="19"/>
        <v>10596443.61591788</v>
      </c>
      <c r="C96" s="199">
        <f t="shared" si="20"/>
        <v>233000</v>
      </c>
      <c r="D96" s="197">
        <f t="shared" si="12"/>
        <v>6069560.3710913127</v>
      </c>
      <c r="E96" s="197">
        <f t="shared" si="13"/>
        <v>6302560.3710913127</v>
      </c>
      <c r="F96" s="197">
        <f t="shared" si="14"/>
        <v>4293883.2448265674</v>
      </c>
      <c r="G96" s="198">
        <f t="shared" si="15"/>
        <v>282006134.25948066</v>
      </c>
      <c r="I96" s="139">
        <v>19</v>
      </c>
      <c r="J96" s="141">
        <f t="shared" si="21"/>
        <v>10823443.61591788</v>
      </c>
      <c r="K96" s="141">
        <f t="shared" si="22"/>
        <v>460000</v>
      </c>
      <c r="L96" s="140">
        <f t="shared" si="16"/>
        <v>6069560.3710913127</v>
      </c>
      <c r="M96" s="140">
        <f t="shared" si="17"/>
        <v>4293883.2448265674</v>
      </c>
      <c r="N96" s="140">
        <f t="shared" si="18"/>
        <v>282006134.25948066</v>
      </c>
    </row>
    <row r="97" spans="1:14" ht="18.75">
      <c r="A97" s="195">
        <v>20</v>
      </c>
      <c r="B97" s="199">
        <f t="shared" si="19"/>
        <v>10596443.61591788</v>
      </c>
      <c r="C97" s="199">
        <f t="shared" si="20"/>
        <v>233000</v>
      </c>
      <c r="D97" s="197">
        <f t="shared" si="12"/>
        <v>5978530.0463009896</v>
      </c>
      <c r="E97" s="197">
        <f t="shared" si="13"/>
        <v>6211530.0463009896</v>
      </c>
      <c r="F97" s="197">
        <f t="shared" si="14"/>
        <v>4384913.5696168905</v>
      </c>
      <c r="G97" s="198">
        <f t="shared" si="15"/>
        <v>277621220.68986374</v>
      </c>
      <c r="I97" s="139">
        <v>20</v>
      </c>
      <c r="J97" s="141">
        <f t="shared" si="21"/>
        <v>10823443.61591788</v>
      </c>
      <c r="K97" s="141">
        <f t="shared" si="22"/>
        <v>460000</v>
      </c>
      <c r="L97" s="140">
        <f t="shared" si="16"/>
        <v>5978530.0463009896</v>
      </c>
      <c r="M97" s="140">
        <f t="shared" si="17"/>
        <v>4384913.5696168905</v>
      </c>
      <c r="N97" s="140">
        <f t="shared" si="18"/>
        <v>277621220.68986374</v>
      </c>
    </row>
    <row r="98" spans="1:14" ht="18.75">
      <c r="A98" s="195">
        <v>21</v>
      </c>
      <c r="B98" s="199">
        <f t="shared" si="19"/>
        <v>10596443.61591788</v>
      </c>
      <c r="C98" s="199">
        <f t="shared" si="20"/>
        <v>233000</v>
      </c>
      <c r="D98" s="197">
        <f t="shared" si="12"/>
        <v>5885569.8786251117</v>
      </c>
      <c r="E98" s="197">
        <f t="shared" si="13"/>
        <v>6118569.8786251117</v>
      </c>
      <c r="F98" s="197">
        <f t="shared" si="14"/>
        <v>4477873.7372927684</v>
      </c>
      <c r="G98" s="198">
        <f t="shared" si="15"/>
        <v>273143346.95257097</v>
      </c>
      <c r="I98" s="139">
        <v>21</v>
      </c>
      <c r="J98" s="141">
        <f t="shared" si="21"/>
        <v>10823443.61591788</v>
      </c>
      <c r="K98" s="141">
        <f t="shared" si="22"/>
        <v>460000</v>
      </c>
      <c r="L98" s="140">
        <f t="shared" si="16"/>
        <v>5885569.8786251117</v>
      </c>
      <c r="M98" s="140">
        <f t="shared" si="17"/>
        <v>4477873.7372927684</v>
      </c>
      <c r="N98" s="140">
        <f t="shared" si="18"/>
        <v>273143346.95257097</v>
      </c>
    </row>
    <row r="99" spans="1:14" ht="18.75">
      <c r="A99" s="195">
        <v>22</v>
      </c>
      <c r="B99" s="199">
        <f t="shared" si="19"/>
        <v>10596443.61591788</v>
      </c>
      <c r="C99" s="199">
        <f t="shared" si="20"/>
        <v>233000</v>
      </c>
      <c r="D99" s="197">
        <f t="shared" si="12"/>
        <v>5790638.9553945046</v>
      </c>
      <c r="E99" s="197">
        <f t="shared" si="13"/>
        <v>6023638.9553945046</v>
      </c>
      <c r="F99" s="197">
        <f t="shared" si="14"/>
        <v>4572804.6605233755</v>
      </c>
      <c r="G99" s="198">
        <f t="shared" si="15"/>
        <v>268570542.29204762</v>
      </c>
      <c r="I99" s="139">
        <v>22</v>
      </c>
      <c r="J99" s="141">
        <f t="shared" si="21"/>
        <v>10823443.61591788</v>
      </c>
      <c r="K99" s="141">
        <f t="shared" si="22"/>
        <v>460000</v>
      </c>
      <c r="L99" s="140">
        <f t="shared" si="16"/>
        <v>5790638.9553945046</v>
      </c>
      <c r="M99" s="140">
        <f t="shared" si="17"/>
        <v>4572804.6605233755</v>
      </c>
      <c r="N99" s="140">
        <f t="shared" si="18"/>
        <v>268570542.29204762</v>
      </c>
    </row>
    <row r="100" spans="1:14" ht="18.75">
      <c r="A100" s="195">
        <v>23</v>
      </c>
      <c r="B100" s="199">
        <f t="shared" si="19"/>
        <v>10596443.61591788</v>
      </c>
      <c r="C100" s="199">
        <f t="shared" si="20"/>
        <v>233000</v>
      </c>
      <c r="D100" s="197">
        <f t="shared" si="12"/>
        <v>5693695.4965914097</v>
      </c>
      <c r="E100" s="197">
        <f t="shared" si="13"/>
        <v>5926695.4965914097</v>
      </c>
      <c r="F100" s="197">
        <f t="shared" si="14"/>
        <v>4669748.1193264704</v>
      </c>
      <c r="G100" s="198">
        <f t="shared" si="15"/>
        <v>263900794.17272115</v>
      </c>
      <c r="I100" s="139">
        <v>23</v>
      </c>
      <c r="J100" s="141">
        <f t="shared" si="21"/>
        <v>10823443.61591788</v>
      </c>
      <c r="K100" s="141">
        <f t="shared" si="22"/>
        <v>460000</v>
      </c>
      <c r="L100" s="140">
        <f t="shared" si="16"/>
        <v>5693695.4965914097</v>
      </c>
      <c r="M100" s="140">
        <f t="shared" si="17"/>
        <v>4669748.1193264704</v>
      </c>
      <c r="N100" s="140">
        <f t="shared" si="18"/>
        <v>263900794.17272115</v>
      </c>
    </row>
    <row r="101" spans="1:14" ht="18.75">
      <c r="A101" s="195">
        <v>24</v>
      </c>
      <c r="B101" s="199">
        <f t="shared" si="19"/>
        <v>10596443.61591788</v>
      </c>
      <c r="C101" s="199">
        <f t="shared" si="20"/>
        <v>233000</v>
      </c>
      <c r="D101" s="197">
        <f t="shared" si="12"/>
        <v>5594696.8364616884</v>
      </c>
      <c r="E101" s="197">
        <f t="shared" si="13"/>
        <v>5827696.8364616884</v>
      </c>
      <c r="F101" s="197">
        <f t="shared" si="14"/>
        <v>4768746.7794561917</v>
      </c>
      <c r="G101" s="198">
        <f t="shared" si="15"/>
        <v>259132047.39326495</v>
      </c>
      <c r="I101" s="139">
        <v>24</v>
      </c>
      <c r="J101" s="141">
        <f t="shared" si="21"/>
        <v>10823443.61591788</v>
      </c>
      <c r="K101" s="141">
        <f t="shared" si="22"/>
        <v>460000</v>
      </c>
      <c r="L101" s="140">
        <f t="shared" si="16"/>
        <v>5594696.8364616884</v>
      </c>
      <c r="M101" s="140">
        <f t="shared" si="17"/>
        <v>4768746.7794561917</v>
      </c>
      <c r="N101" s="140">
        <f t="shared" si="18"/>
        <v>259132047.39326495</v>
      </c>
    </row>
    <row r="102" spans="1:14" ht="18.75">
      <c r="A102" s="195">
        <v>25</v>
      </c>
      <c r="B102" s="199">
        <f t="shared" si="19"/>
        <v>10596443.61591788</v>
      </c>
      <c r="C102" s="199">
        <f t="shared" si="20"/>
        <v>233000</v>
      </c>
      <c r="D102" s="197">
        <f t="shared" si="12"/>
        <v>5493599.4047372174</v>
      </c>
      <c r="E102" s="197">
        <f t="shared" si="13"/>
        <v>5726599.4047372174</v>
      </c>
      <c r="F102" s="197">
        <f t="shared" si="14"/>
        <v>4869844.2111806627</v>
      </c>
      <c r="G102" s="198">
        <f t="shared" si="15"/>
        <v>254262203.18208429</v>
      </c>
      <c r="I102" s="139">
        <v>25</v>
      </c>
      <c r="J102" s="141">
        <f t="shared" si="21"/>
        <v>10823443.61591788</v>
      </c>
      <c r="K102" s="141">
        <f t="shared" si="22"/>
        <v>460000</v>
      </c>
      <c r="L102" s="140">
        <f t="shared" si="16"/>
        <v>5493599.4047372174</v>
      </c>
      <c r="M102" s="140">
        <f t="shared" si="17"/>
        <v>4869844.2111806627</v>
      </c>
      <c r="N102" s="140">
        <f t="shared" si="18"/>
        <v>254262203.18208429</v>
      </c>
    </row>
    <row r="103" spans="1:14" ht="18.75">
      <c r="A103" s="195">
        <v>26</v>
      </c>
      <c r="B103" s="199">
        <f t="shared" si="19"/>
        <v>10596443.61591788</v>
      </c>
      <c r="C103" s="199">
        <f t="shared" si="20"/>
        <v>233000</v>
      </c>
      <c r="D103" s="197">
        <f t="shared" si="12"/>
        <v>5390358.7074601874</v>
      </c>
      <c r="E103" s="197">
        <f t="shared" si="13"/>
        <v>5623358.7074601874</v>
      </c>
      <c r="F103" s="197">
        <f t="shared" si="14"/>
        <v>4973084.9084576927</v>
      </c>
      <c r="G103" s="198">
        <f t="shared" si="15"/>
        <v>249289118.2736266</v>
      </c>
      <c r="I103" s="139">
        <v>26</v>
      </c>
      <c r="J103" s="141">
        <f t="shared" si="21"/>
        <v>10823443.61591788</v>
      </c>
      <c r="K103" s="141">
        <f t="shared" si="22"/>
        <v>460000</v>
      </c>
      <c r="L103" s="140">
        <f t="shared" si="16"/>
        <v>5390358.7074601874</v>
      </c>
      <c r="M103" s="140">
        <f t="shared" si="17"/>
        <v>4973084.9084576927</v>
      </c>
      <c r="N103" s="140">
        <f t="shared" si="18"/>
        <v>249289118.2736266</v>
      </c>
    </row>
    <row r="104" spans="1:14" ht="18.75">
      <c r="A104" s="195">
        <v>27</v>
      </c>
      <c r="B104" s="199">
        <f t="shared" si="19"/>
        <v>10596443.61591788</v>
      </c>
      <c r="C104" s="199">
        <f t="shared" si="20"/>
        <v>233000</v>
      </c>
      <c r="D104" s="197">
        <f t="shared" si="12"/>
        <v>5284929.3074008841</v>
      </c>
      <c r="E104" s="197">
        <f t="shared" si="13"/>
        <v>5517929.3074008841</v>
      </c>
      <c r="F104" s="197">
        <f t="shared" si="14"/>
        <v>5078514.308516996</v>
      </c>
      <c r="G104" s="198">
        <f t="shared" si="15"/>
        <v>244210603.96510959</v>
      </c>
      <c r="I104" s="139">
        <v>27</v>
      </c>
      <c r="J104" s="141">
        <f t="shared" si="21"/>
        <v>10823443.61591788</v>
      </c>
      <c r="K104" s="141">
        <f t="shared" si="22"/>
        <v>460000</v>
      </c>
      <c r="L104" s="140">
        <f t="shared" si="16"/>
        <v>5284929.3074008841</v>
      </c>
      <c r="M104" s="140">
        <f t="shared" si="17"/>
        <v>5078514.308516996</v>
      </c>
      <c r="N104" s="140">
        <f t="shared" si="18"/>
        <v>244210603.96510959</v>
      </c>
    </row>
    <row r="105" spans="1:14" ht="18.75">
      <c r="A105" s="195">
        <v>28</v>
      </c>
      <c r="B105" s="199">
        <f t="shared" si="19"/>
        <v>10596443.61591788</v>
      </c>
      <c r="C105" s="199">
        <f t="shared" si="20"/>
        <v>233000</v>
      </c>
      <c r="D105" s="197">
        <f t="shared" si="12"/>
        <v>5177264.8040603232</v>
      </c>
      <c r="E105" s="197">
        <f t="shared" si="13"/>
        <v>5410264.8040603232</v>
      </c>
      <c r="F105" s="197">
        <f t="shared" si="14"/>
        <v>5186178.8118575569</v>
      </c>
      <c r="G105" s="198">
        <f t="shared" si="15"/>
        <v>239024425.15325204</v>
      </c>
      <c r="I105" s="139">
        <v>28</v>
      </c>
      <c r="J105" s="141">
        <f t="shared" si="21"/>
        <v>10823443.61591788</v>
      </c>
      <c r="K105" s="141">
        <f t="shared" si="22"/>
        <v>460000</v>
      </c>
      <c r="L105" s="140">
        <f t="shared" si="16"/>
        <v>5177264.8040603232</v>
      </c>
      <c r="M105" s="140">
        <f t="shared" si="17"/>
        <v>5186178.8118575569</v>
      </c>
      <c r="N105" s="140">
        <f t="shared" si="18"/>
        <v>239024425.15325204</v>
      </c>
    </row>
    <row r="106" spans="1:14" ht="18.75">
      <c r="A106" s="195">
        <v>29</v>
      </c>
      <c r="B106" s="199">
        <f t="shared" si="19"/>
        <v>10596443.61591788</v>
      </c>
      <c r="C106" s="199">
        <f t="shared" si="20"/>
        <v>233000</v>
      </c>
      <c r="D106" s="197">
        <f t="shared" si="12"/>
        <v>5067317.8132489435</v>
      </c>
      <c r="E106" s="197">
        <f t="shared" si="13"/>
        <v>5300317.8132489435</v>
      </c>
      <c r="F106" s="197">
        <f t="shared" si="14"/>
        <v>5296125.8026689366</v>
      </c>
      <c r="G106" s="198">
        <f t="shared" si="15"/>
        <v>233728299.35058311</v>
      </c>
      <c r="I106" s="139">
        <v>29</v>
      </c>
      <c r="J106" s="141">
        <f t="shared" si="21"/>
        <v>10823443.61591788</v>
      </c>
      <c r="K106" s="141">
        <f t="shared" si="22"/>
        <v>460000</v>
      </c>
      <c r="L106" s="140">
        <f t="shared" si="16"/>
        <v>5067317.8132489435</v>
      </c>
      <c r="M106" s="140">
        <f t="shared" si="17"/>
        <v>5296125.8026689366</v>
      </c>
      <c r="N106" s="140">
        <f t="shared" si="18"/>
        <v>233728299.35058311</v>
      </c>
    </row>
    <row r="107" spans="1:14" ht="18.75">
      <c r="A107" s="195">
        <v>30</v>
      </c>
      <c r="B107" s="199">
        <f t="shared" si="19"/>
        <v>10596443.61591788</v>
      </c>
      <c r="C107" s="199">
        <f t="shared" si="20"/>
        <v>233000</v>
      </c>
      <c r="D107" s="197">
        <f t="shared" si="12"/>
        <v>4955039.9462323617</v>
      </c>
      <c r="E107" s="197">
        <f t="shared" si="13"/>
        <v>5188039.9462323617</v>
      </c>
      <c r="F107" s="197">
        <f t="shared" si="14"/>
        <v>5408403.6696855184</v>
      </c>
      <c r="G107" s="198">
        <f t="shared" si="15"/>
        <v>228319895.68089759</v>
      </c>
      <c r="I107" s="139">
        <v>30</v>
      </c>
      <c r="J107" s="141">
        <f t="shared" si="21"/>
        <v>10823443.61591788</v>
      </c>
      <c r="K107" s="141">
        <f t="shared" si="22"/>
        <v>460000</v>
      </c>
      <c r="L107" s="140">
        <f t="shared" si="16"/>
        <v>4955039.9462323617</v>
      </c>
      <c r="M107" s="140">
        <f t="shared" si="17"/>
        <v>5408403.6696855184</v>
      </c>
      <c r="N107" s="140">
        <f t="shared" si="18"/>
        <v>228319895.68089759</v>
      </c>
    </row>
    <row r="108" spans="1:14" ht="18.75">
      <c r="A108" s="195">
        <v>31</v>
      </c>
      <c r="B108" s="199">
        <f t="shared" si="19"/>
        <v>10596443.61591788</v>
      </c>
      <c r="C108" s="199">
        <f t="shared" si="20"/>
        <v>233000</v>
      </c>
      <c r="D108" s="197">
        <f t="shared" si="12"/>
        <v>4840381.7884350289</v>
      </c>
      <c r="E108" s="197">
        <f t="shared" si="13"/>
        <v>5073381.7884350289</v>
      </c>
      <c r="F108" s="197">
        <f t="shared" si="14"/>
        <v>5523061.8274828512</v>
      </c>
      <c r="G108" s="198">
        <f t="shared" si="15"/>
        <v>222796833.85341474</v>
      </c>
      <c r="I108" s="139">
        <v>31</v>
      </c>
      <c r="J108" s="141">
        <f t="shared" si="21"/>
        <v>10823443.61591788</v>
      </c>
      <c r="K108" s="141">
        <f t="shared" si="22"/>
        <v>460000</v>
      </c>
      <c r="L108" s="140">
        <f t="shared" si="16"/>
        <v>4840381.7884350289</v>
      </c>
      <c r="M108" s="140">
        <f t="shared" si="17"/>
        <v>5523061.8274828512</v>
      </c>
      <c r="N108" s="140">
        <f t="shared" si="18"/>
        <v>222796833.85341474</v>
      </c>
    </row>
    <row r="109" spans="1:14" ht="18.75">
      <c r="A109" s="195">
        <v>32</v>
      </c>
      <c r="B109" s="199">
        <f t="shared" si="19"/>
        <v>10596443.61591788</v>
      </c>
      <c r="C109" s="199">
        <f t="shared" si="20"/>
        <v>233000</v>
      </c>
      <c r="D109" s="197">
        <f t="shared" si="12"/>
        <v>4723292.877692393</v>
      </c>
      <c r="E109" s="197">
        <f t="shared" si="13"/>
        <v>4956292.877692393</v>
      </c>
      <c r="F109" s="197">
        <f t="shared" si="14"/>
        <v>5640150.7382254871</v>
      </c>
      <c r="G109" s="198">
        <f t="shared" si="15"/>
        <v>217156683.11518925</v>
      </c>
      <c r="I109" s="139">
        <v>32</v>
      </c>
      <c r="J109" s="141">
        <f t="shared" si="21"/>
        <v>10823443.61591788</v>
      </c>
      <c r="K109" s="141">
        <f t="shared" si="22"/>
        <v>460000</v>
      </c>
      <c r="L109" s="140">
        <f t="shared" si="16"/>
        <v>4723292.877692393</v>
      </c>
      <c r="M109" s="140">
        <f t="shared" si="17"/>
        <v>5640150.7382254871</v>
      </c>
      <c r="N109" s="140">
        <f t="shared" si="18"/>
        <v>217156683.11518925</v>
      </c>
    </row>
    <row r="110" spans="1:14" ht="18.75">
      <c r="A110" s="195">
        <v>33</v>
      </c>
      <c r="B110" s="199">
        <f t="shared" si="19"/>
        <v>10596443.61591788</v>
      </c>
      <c r="C110" s="199">
        <f t="shared" si="20"/>
        <v>233000</v>
      </c>
      <c r="D110" s="197">
        <f t="shared" si="12"/>
        <v>4603721.682042012</v>
      </c>
      <c r="E110" s="197">
        <f t="shared" si="13"/>
        <v>4836721.682042012</v>
      </c>
      <c r="F110" s="197">
        <f t="shared" si="14"/>
        <v>5759721.9338758681</v>
      </c>
      <c r="G110" s="198">
        <f t="shared" si="15"/>
        <v>211396961.1813134</v>
      </c>
      <c r="I110" s="139">
        <v>33</v>
      </c>
      <c r="J110" s="141">
        <f t="shared" si="21"/>
        <v>10823443.61591788</v>
      </c>
      <c r="K110" s="141">
        <f t="shared" si="22"/>
        <v>460000</v>
      </c>
      <c r="L110" s="140">
        <f t="shared" si="16"/>
        <v>4603721.682042012</v>
      </c>
      <c r="M110" s="140">
        <f t="shared" si="17"/>
        <v>5759721.9338758681</v>
      </c>
      <c r="N110" s="140">
        <f t="shared" si="18"/>
        <v>211396961.1813134</v>
      </c>
    </row>
    <row r="111" spans="1:14" ht="18.75">
      <c r="A111" s="195">
        <v>34</v>
      </c>
      <c r="B111" s="199">
        <f t="shared" si="19"/>
        <v>10596443.61591788</v>
      </c>
      <c r="C111" s="199">
        <f t="shared" si="20"/>
        <v>233000</v>
      </c>
      <c r="D111" s="197">
        <f t="shared" si="12"/>
        <v>4481615.5770438444</v>
      </c>
      <c r="E111" s="197">
        <f t="shared" si="13"/>
        <v>4714615.5770438444</v>
      </c>
      <c r="F111" s="197">
        <f t="shared" si="14"/>
        <v>5881828.0388740357</v>
      </c>
      <c r="G111" s="198">
        <f t="shared" si="15"/>
        <v>205515133.14243937</v>
      </c>
      <c r="I111" s="139">
        <v>34</v>
      </c>
      <c r="J111" s="141">
        <f t="shared" si="21"/>
        <v>10823443.61591788</v>
      </c>
      <c r="K111" s="141">
        <f t="shared" si="22"/>
        <v>460000</v>
      </c>
      <c r="L111" s="140">
        <f t="shared" si="16"/>
        <v>4481615.5770438444</v>
      </c>
      <c r="M111" s="140">
        <f t="shared" si="17"/>
        <v>5881828.0388740357</v>
      </c>
      <c r="N111" s="140">
        <f t="shared" si="18"/>
        <v>205515133.14243937</v>
      </c>
    </row>
    <row r="112" spans="1:14" ht="18.75">
      <c r="A112" s="195">
        <v>35</v>
      </c>
      <c r="B112" s="199">
        <f t="shared" si="19"/>
        <v>10596443.61591788</v>
      </c>
      <c r="C112" s="199">
        <f t="shared" si="20"/>
        <v>233000</v>
      </c>
      <c r="D112" s="197">
        <f t="shared" si="12"/>
        <v>4356920.8226197148</v>
      </c>
      <c r="E112" s="197">
        <f t="shared" si="13"/>
        <v>4589920.8226197148</v>
      </c>
      <c r="F112" s="197">
        <f t="shared" si="14"/>
        <v>6006522.7932981653</v>
      </c>
      <c r="G112" s="198">
        <f t="shared" si="15"/>
        <v>199508610.34914121</v>
      </c>
      <c r="I112" s="139">
        <v>35</v>
      </c>
      <c r="J112" s="141">
        <f t="shared" si="21"/>
        <v>10823443.61591788</v>
      </c>
      <c r="K112" s="141">
        <f t="shared" si="22"/>
        <v>460000</v>
      </c>
      <c r="L112" s="140">
        <f t="shared" si="16"/>
        <v>4356920.8226197148</v>
      </c>
      <c r="M112" s="140">
        <f t="shared" si="17"/>
        <v>6006522.7932981653</v>
      </c>
      <c r="N112" s="140">
        <f t="shared" si="18"/>
        <v>199508610.34914121</v>
      </c>
    </row>
    <row r="113" spans="1:14" ht="18.75">
      <c r="A113" s="195">
        <v>36</v>
      </c>
      <c r="B113" s="199">
        <f t="shared" si="19"/>
        <v>10596443.61591788</v>
      </c>
      <c r="C113" s="199">
        <f t="shared" si="20"/>
        <v>233000</v>
      </c>
      <c r="D113" s="197">
        <f t="shared" si="12"/>
        <v>4229582.5394017939</v>
      </c>
      <c r="E113" s="197">
        <f t="shared" si="13"/>
        <v>4462582.5394017939</v>
      </c>
      <c r="F113" s="197">
        <f t="shared" si="14"/>
        <v>6133861.0765160862</v>
      </c>
      <c r="G113" s="198">
        <f t="shared" si="15"/>
        <v>193374749.27262512</v>
      </c>
      <c r="I113" s="139">
        <v>36</v>
      </c>
      <c r="J113" s="141">
        <f t="shared" si="21"/>
        <v>10823443.61591788</v>
      </c>
      <c r="K113" s="141">
        <f t="shared" si="22"/>
        <v>460000</v>
      </c>
      <c r="L113" s="140">
        <f t="shared" si="16"/>
        <v>4229582.5394017939</v>
      </c>
      <c r="M113" s="140">
        <f t="shared" si="17"/>
        <v>6133861.0765160862</v>
      </c>
      <c r="N113" s="140">
        <f t="shared" si="18"/>
        <v>193374749.27262512</v>
      </c>
    </row>
    <row r="114" spans="1:14" ht="18.75">
      <c r="A114" s="195">
        <v>37</v>
      </c>
      <c r="B114" s="199">
        <f t="shared" si="19"/>
        <v>10596443.61591788</v>
      </c>
      <c r="C114" s="199">
        <f t="shared" si="20"/>
        <v>233000</v>
      </c>
      <c r="D114" s="197">
        <f t="shared" si="12"/>
        <v>4099544.6845796527</v>
      </c>
      <c r="E114" s="197">
        <f t="shared" si="13"/>
        <v>4332544.6845796527</v>
      </c>
      <c r="F114" s="197">
        <f t="shared" si="14"/>
        <v>6263898.9313382274</v>
      </c>
      <c r="G114" s="198">
        <f t="shared" si="15"/>
        <v>187110850.3412869</v>
      </c>
      <c r="I114" s="139">
        <v>37</v>
      </c>
      <c r="J114" s="141">
        <f t="shared" si="21"/>
        <v>10823443.61591788</v>
      </c>
      <c r="K114" s="141">
        <f t="shared" si="22"/>
        <v>460000</v>
      </c>
      <c r="L114" s="140">
        <f t="shared" si="16"/>
        <v>4099544.6845796527</v>
      </c>
      <c r="M114" s="140">
        <f t="shared" si="17"/>
        <v>6263898.9313382274</v>
      </c>
      <c r="N114" s="140">
        <f t="shared" si="18"/>
        <v>187110850.3412869</v>
      </c>
    </row>
    <row r="115" spans="1:14" ht="18.75">
      <c r="A115" s="195">
        <v>38</v>
      </c>
      <c r="B115" s="199">
        <f t="shared" si="19"/>
        <v>10596443.61591788</v>
      </c>
      <c r="C115" s="199">
        <f t="shared" si="20"/>
        <v>233000</v>
      </c>
      <c r="D115" s="197">
        <f t="shared" si="12"/>
        <v>3966750.0272352821</v>
      </c>
      <c r="E115" s="197">
        <f t="shared" si="13"/>
        <v>4199750.0272352826</v>
      </c>
      <c r="F115" s="197">
        <f t="shared" si="14"/>
        <v>6396693.5886825975</v>
      </c>
      <c r="G115" s="198">
        <f t="shared" si="15"/>
        <v>180714156.75260431</v>
      </c>
      <c r="I115" s="139">
        <v>38</v>
      </c>
      <c r="J115" s="141">
        <f t="shared" si="21"/>
        <v>10823443.61591788</v>
      </c>
      <c r="K115" s="141">
        <f t="shared" si="22"/>
        <v>460000</v>
      </c>
      <c r="L115" s="140">
        <f t="shared" si="16"/>
        <v>3966750.0272352821</v>
      </c>
      <c r="M115" s="140">
        <f t="shared" si="17"/>
        <v>6396693.5886825975</v>
      </c>
      <c r="N115" s="140">
        <f t="shared" si="18"/>
        <v>180714156.75260431</v>
      </c>
    </row>
    <row r="116" spans="1:14" ht="18.75">
      <c r="A116" s="195">
        <v>39</v>
      </c>
      <c r="B116" s="199">
        <f t="shared" si="19"/>
        <v>10596443.61591788</v>
      </c>
      <c r="C116" s="199">
        <f t="shared" si="20"/>
        <v>233000</v>
      </c>
      <c r="D116" s="197">
        <f t="shared" si="12"/>
        <v>3831140.1231552111</v>
      </c>
      <c r="E116" s="197">
        <f t="shared" si="13"/>
        <v>4064140.1231552111</v>
      </c>
      <c r="F116" s="197">
        <f t="shared" si="14"/>
        <v>6532303.492762669</v>
      </c>
      <c r="G116" s="198">
        <f t="shared" si="15"/>
        <v>174181853.25984165</v>
      </c>
      <c r="I116" s="139">
        <v>39</v>
      </c>
      <c r="J116" s="141">
        <f t="shared" si="21"/>
        <v>10823443.61591788</v>
      </c>
      <c r="K116" s="141">
        <f t="shared" si="22"/>
        <v>460000</v>
      </c>
      <c r="L116" s="140">
        <f t="shared" si="16"/>
        <v>3831140.1231552111</v>
      </c>
      <c r="M116" s="140">
        <f t="shared" si="17"/>
        <v>6532303.492762669</v>
      </c>
      <c r="N116" s="140">
        <f t="shared" si="18"/>
        <v>174181853.25984165</v>
      </c>
    </row>
    <row r="117" spans="1:14" ht="18.75">
      <c r="A117" s="195">
        <v>40</v>
      </c>
      <c r="B117" s="199">
        <f t="shared" si="19"/>
        <v>10596443.61591788</v>
      </c>
      <c r="C117" s="199">
        <f t="shared" si="20"/>
        <v>233000</v>
      </c>
      <c r="D117" s="197">
        <f t="shared" si="12"/>
        <v>3692655.2891086428</v>
      </c>
      <c r="E117" s="197">
        <f t="shared" si="13"/>
        <v>3925655.2891086428</v>
      </c>
      <c r="F117" s="197">
        <f t="shared" si="14"/>
        <v>6670788.3268092368</v>
      </c>
      <c r="G117" s="198">
        <f t="shared" si="15"/>
        <v>167511064.93303242</v>
      </c>
      <c r="I117" s="139">
        <v>40</v>
      </c>
      <c r="J117" s="141">
        <f t="shared" si="21"/>
        <v>10823443.61591788</v>
      </c>
      <c r="K117" s="141">
        <f t="shared" si="22"/>
        <v>460000</v>
      </c>
      <c r="L117" s="140">
        <f t="shared" si="16"/>
        <v>3692655.2891086428</v>
      </c>
      <c r="M117" s="140">
        <f t="shared" si="17"/>
        <v>6670788.3268092368</v>
      </c>
      <c r="N117" s="140">
        <f t="shared" si="18"/>
        <v>167511064.93303242</v>
      </c>
    </row>
    <row r="118" spans="1:14" ht="18.75">
      <c r="A118" s="195">
        <v>41</v>
      </c>
      <c r="B118" s="199">
        <f t="shared" si="19"/>
        <v>10596443.61591788</v>
      </c>
      <c r="C118" s="199">
        <f t="shared" si="20"/>
        <v>233000</v>
      </c>
      <c r="D118" s="197">
        <f t="shared" si="12"/>
        <v>3551234.5765802874</v>
      </c>
      <c r="E118" s="197">
        <f t="shared" si="13"/>
        <v>3784234.5765802874</v>
      </c>
      <c r="F118" s="197">
        <f t="shared" si="14"/>
        <v>6812209.0393375922</v>
      </c>
      <c r="G118" s="198">
        <f t="shared" si="15"/>
        <v>160698855.89369482</v>
      </c>
      <c r="I118" s="139">
        <v>41</v>
      </c>
      <c r="J118" s="141">
        <f t="shared" si="21"/>
        <v>10823443.61591788</v>
      </c>
      <c r="K118" s="141">
        <f t="shared" si="22"/>
        <v>460000</v>
      </c>
      <c r="L118" s="140">
        <f t="shared" si="16"/>
        <v>3551234.5765802874</v>
      </c>
      <c r="M118" s="140">
        <f t="shared" si="17"/>
        <v>6812209.0393375922</v>
      </c>
      <c r="N118" s="140">
        <f t="shared" si="18"/>
        <v>160698855.89369482</v>
      </c>
    </row>
    <row r="119" spans="1:14" ht="18.75">
      <c r="A119" s="195">
        <v>42</v>
      </c>
      <c r="B119" s="199">
        <f t="shared" si="19"/>
        <v>10596443.61591788</v>
      </c>
      <c r="C119" s="199">
        <f t="shared" si="20"/>
        <v>233000</v>
      </c>
      <c r="D119" s="197">
        <f t="shared" si="12"/>
        <v>3406815.7449463303</v>
      </c>
      <c r="E119" s="197">
        <f t="shared" si="13"/>
        <v>3639815.7449463303</v>
      </c>
      <c r="F119" s="197">
        <f t="shared" si="14"/>
        <v>6956627.8709715493</v>
      </c>
      <c r="G119" s="198">
        <f t="shared" si="15"/>
        <v>153742228.02272326</v>
      </c>
      <c r="I119" s="139">
        <v>42</v>
      </c>
      <c r="J119" s="141">
        <f t="shared" si="21"/>
        <v>10823443.61591788</v>
      </c>
      <c r="K119" s="141">
        <f t="shared" si="22"/>
        <v>460000</v>
      </c>
      <c r="L119" s="140">
        <f t="shared" si="16"/>
        <v>3406815.7449463303</v>
      </c>
      <c r="M119" s="140">
        <f t="shared" si="17"/>
        <v>6956627.8709715493</v>
      </c>
      <c r="N119" s="140">
        <f t="shared" si="18"/>
        <v>153742228.02272326</v>
      </c>
    </row>
    <row r="120" spans="1:14" ht="18.75">
      <c r="A120" s="195">
        <v>43</v>
      </c>
      <c r="B120" s="199">
        <f t="shared" si="19"/>
        <v>10596443.61591788</v>
      </c>
      <c r="C120" s="199">
        <f t="shared" si="20"/>
        <v>233000</v>
      </c>
      <c r="D120" s="197">
        <f t="shared" si="12"/>
        <v>3259335.234081733</v>
      </c>
      <c r="E120" s="197">
        <f t="shared" si="13"/>
        <v>3492335.234081733</v>
      </c>
      <c r="F120" s="197">
        <f t="shared" si="14"/>
        <v>7104108.381836147</v>
      </c>
      <c r="G120" s="198">
        <f t="shared" si="15"/>
        <v>146638119.64088711</v>
      </c>
      <c r="I120" s="139">
        <v>43</v>
      </c>
      <c r="J120" s="141">
        <f t="shared" si="21"/>
        <v>10823443.61591788</v>
      </c>
      <c r="K120" s="141">
        <f t="shared" si="22"/>
        <v>460000</v>
      </c>
      <c r="L120" s="140">
        <f t="shared" si="16"/>
        <v>3259335.234081733</v>
      </c>
      <c r="M120" s="140">
        <f t="shared" si="17"/>
        <v>7104108.381836147</v>
      </c>
      <c r="N120" s="140">
        <f t="shared" si="18"/>
        <v>146638119.64088711</v>
      </c>
    </row>
    <row r="121" spans="1:14" ht="18.75">
      <c r="A121" s="195">
        <v>44</v>
      </c>
      <c r="B121" s="199">
        <f t="shared" si="19"/>
        <v>10596443.61591788</v>
      </c>
      <c r="C121" s="199">
        <f t="shared" si="20"/>
        <v>233000</v>
      </c>
      <c r="D121" s="197">
        <f t="shared" si="12"/>
        <v>3108728.1363868066</v>
      </c>
      <c r="E121" s="197">
        <f t="shared" si="13"/>
        <v>3341728.1363868066</v>
      </c>
      <c r="F121" s="197">
        <f t="shared" si="14"/>
        <v>7254715.4795310739</v>
      </c>
      <c r="G121" s="198">
        <f t="shared" si="15"/>
        <v>139383404.16135603</v>
      </c>
      <c r="I121" s="139">
        <v>44</v>
      </c>
      <c r="J121" s="141">
        <f t="shared" si="21"/>
        <v>10823443.61591788</v>
      </c>
      <c r="K121" s="141">
        <f t="shared" si="22"/>
        <v>460000</v>
      </c>
      <c r="L121" s="140">
        <f t="shared" si="16"/>
        <v>3108728.1363868066</v>
      </c>
      <c r="M121" s="140">
        <f t="shared" si="17"/>
        <v>7254715.4795310739</v>
      </c>
      <c r="N121" s="140">
        <f t="shared" si="18"/>
        <v>139383404.16135603</v>
      </c>
    </row>
    <row r="122" spans="1:14" ht="18.75">
      <c r="A122" s="195">
        <v>45</v>
      </c>
      <c r="B122" s="199">
        <f t="shared" si="19"/>
        <v>10596443.61591788</v>
      </c>
      <c r="C122" s="199">
        <f t="shared" si="20"/>
        <v>233000</v>
      </c>
      <c r="D122" s="197">
        <f t="shared" si="12"/>
        <v>2954928.1682207477</v>
      </c>
      <c r="E122" s="197">
        <f t="shared" si="13"/>
        <v>3187928.1682207477</v>
      </c>
      <c r="F122" s="197">
        <f t="shared" si="14"/>
        <v>7408515.4476971328</v>
      </c>
      <c r="G122" s="198">
        <f t="shared" si="15"/>
        <v>131974888.7136589</v>
      </c>
      <c r="I122" s="139">
        <v>45</v>
      </c>
      <c r="J122" s="141">
        <f t="shared" si="21"/>
        <v>10823443.61591788</v>
      </c>
      <c r="K122" s="141">
        <f t="shared" si="22"/>
        <v>460000</v>
      </c>
      <c r="L122" s="140">
        <f t="shared" si="16"/>
        <v>2954928.1682207477</v>
      </c>
      <c r="M122" s="140">
        <f t="shared" si="17"/>
        <v>7408515.4476971328</v>
      </c>
      <c r="N122" s="140">
        <f t="shared" si="18"/>
        <v>131974888.7136589</v>
      </c>
    </row>
    <row r="123" spans="1:14" ht="18.75">
      <c r="A123" s="195">
        <v>46</v>
      </c>
      <c r="B123" s="199">
        <f t="shared" si="19"/>
        <v>10596443.61591788</v>
      </c>
      <c r="C123" s="199">
        <f t="shared" si="20"/>
        <v>233000</v>
      </c>
      <c r="D123" s="197">
        <f t="shared" si="12"/>
        <v>2797867.6407295689</v>
      </c>
      <c r="E123" s="197">
        <f t="shared" si="13"/>
        <v>3030867.6407295689</v>
      </c>
      <c r="F123" s="197">
        <f t="shared" si="14"/>
        <v>7565575.9751883112</v>
      </c>
      <c r="G123" s="198">
        <f t="shared" si="15"/>
        <v>124409312.73847058</v>
      </c>
      <c r="I123" s="139">
        <v>46</v>
      </c>
      <c r="J123" s="141">
        <f t="shared" si="21"/>
        <v>10823443.61591788</v>
      </c>
      <c r="K123" s="141">
        <f t="shared" si="22"/>
        <v>460000</v>
      </c>
      <c r="L123" s="140">
        <f t="shared" si="16"/>
        <v>2797867.6407295689</v>
      </c>
      <c r="M123" s="140">
        <f t="shared" si="17"/>
        <v>7565575.9751883112</v>
      </c>
      <c r="N123" s="140">
        <f t="shared" si="18"/>
        <v>124409312.73847058</v>
      </c>
    </row>
    <row r="124" spans="1:14" ht="18.75">
      <c r="A124" s="195">
        <v>47</v>
      </c>
      <c r="B124" s="199">
        <f t="shared" si="19"/>
        <v>10596443.61591788</v>
      </c>
      <c r="C124" s="199">
        <f t="shared" si="20"/>
        <v>233000</v>
      </c>
      <c r="D124" s="197">
        <f t="shared" si="12"/>
        <v>2637477.4300555764</v>
      </c>
      <c r="E124" s="197">
        <f t="shared" si="13"/>
        <v>2870477.4300555764</v>
      </c>
      <c r="F124" s="197">
        <f t="shared" si="14"/>
        <v>7725966.1858623037</v>
      </c>
      <c r="G124" s="198">
        <f t="shared" si="15"/>
        <v>116683346.55260828</v>
      </c>
      <c r="I124" s="139">
        <v>47</v>
      </c>
      <c r="J124" s="141">
        <f t="shared" si="21"/>
        <v>10823443.61591788</v>
      </c>
      <c r="K124" s="141">
        <f t="shared" si="22"/>
        <v>460000</v>
      </c>
      <c r="L124" s="140">
        <f t="shared" si="16"/>
        <v>2637477.4300555764</v>
      </c>
      <c r="M124" s="140">
        <f t="shared" si="17"/>
        <v>7725966.1858623037</v>
      </c>
      <c r="N124" s="140">
        <f t="shared" si="18"/>
        <v>116683346.55260828</v>
      </c>
    </row>
    <row r="125" spans="1:14" ht="18.75">
      <c r="A125" s="195">
        <v>48</v>
      </c>
      <c r="B125" s="199">
        <f t="shared" si="19"/>
        <v>10596443.61591788</v>
      </c>
      <c r="C125" s="199">
        <f t="shared" si="20"/>
        <v>233000</v>
      </c>
      <c r="D125" s="197">
        <f t="shared" si="12"/>
        <v>2473686.9469152954</v>
      </c>
      <c r="E125" s="197">
        <f t="shared" si="13"/>
        <v>2706686.9469152954</v>
      </c>
      <c r="F125" s="197">
        <f t="shared" si="14"/>
        <v>7889756.6690025851</v>
      </c>
      <c r="G125" s="198">
        <f t="shared" si="15"/>
        <v>108793589.88360569</v>
      </c>
      <c r="I125" s="139">
        <v>48</v>
      </c>
      <c r="J125" s="141">
        <f t="shared" si="21"/>
        <v>10823443.61591788</v>
      </c>
      <c r="K125" s="141">
        <f t="shared" si="22"/>
        <v>460000</v>
      </c>
      <c r="L125" s="140">
        <f t="shared" si="16"/>
        <v>2473686.9469152954</v>
      </c>
      <c r="M125" s="140">
        <f t="shared" si="17"/>
        <v>7889756.6690025851</v>
      </c>
      <c r="N125" s="140">
        <f t="shared" si="18"/>
        <v>108793589.88360569</v>
      </c>
    </row>
    <row r="126" spans="1:14" ht="18.75">
      <c r="A126" s="195">
        <v>49</v>
      </c>
      <c r="B126" s="199">
        <f t="shared" si="19"/>
        <v>10596443.61591788</v>
      </c>
      <c r="C126" s="199">
        <f t="shared" si="20"/>
        <v>233000</v>
      </c>
      <c r="D126" s="197">
        <f t="shared" si="12"/>
        <v>2306424.1055324408</v>
      </c>
      <c r="E126" s="197">
        <f t="shared" si="13"/>
        <v>2539424.1055324408</v>
      </c>
      <c r="F126" s="197">
        <f t="shared" si="14"/>
        <v>8057019.5103854388</v>
      </c>
      <c r="G126" s="198">
        <f t="shared" si="15"/>
        <v>100736570.37322025</v>
      </c>
      <c r="I126" s="139">
        <v>49</v>
      </c>
      <c r="J126" s="141">
        <f t="shared" si="21"/>
        <v>10823443.61591788</v>
      </c>
      <c r="K126" s="141">
        <f t="shared" si="22"/>
        <v>460000</v>
      </c>
      <c r="L126" s="140">
        <f t="shared" si="16"/>
        <v>2306424.1055324408</v>
      </c>
      <c r="M126" s="140">
        <f t="shared" si="17"/>
        <v>8057019.5103854388</v>
      </c>
      <c r="N126" s="140">
        <f t="shared" si="18"/>
        <v>100736570.37322025</v>
      </c>
    </row>
    <row r="127" spans="1:14" ht="18.75">
      <c r="A127" s="195">
        <v>50</v>
      </c>
      <c r="B127" s="199">
        <f t="shared" si="19"/>
        <v>10596443.61591788</v>
      </c>
      <c r="C127" s="199">
        <f t="shared" si="20"/>
        <v>233000</v>
      </c>
      <c r="D127" s="197">
        <f t="shared" si="12"/>
        <v>2135615.2919122693</v>
      </c>
      <c r="E127" s="197">
        <f t="shared" si="13"/>
        <v>2368615.2919122693</v>
      </c>
      <c r="F127" s="197">
        <f t="shared" si="14"/>
        <v>8227828.3240056112</v>
      </c>
      <c r="G127" s="198">
        <f t="shared" si="15"/>
        <v>92508742.049214631</v>
      </c>
      <c r="I127" s="139">
        <v>50</v>
      </c>
      <c r="J127" s="141">
        <f t="shared" si="21"/>
        <v>10823443.61591788</v>
      </c>
      <c r="K127" s="141">
        <f t="shared" si="22"/>
        <v>460000</v>
      </c>
      <c r="L127" s="140">
        <f t="shared" si="16"/>
        <v>2135615.2919122693</v>
      </c>
      <c r="M127" s="140">
        <f t="shared" si="17"/>
        <v>8227828.3240056112</v>
      </c>
      <c r="N127" s="140">
        <f t="shared" si="18"/>
        <v>92508742.049214631</v>
      </c>
    </row>
    <row r="128" spans="1:14" ht="18.75">
      <c r="A128" s="195">
        <v>51</v>
      </c>
      <c r="B128" s="199">
        <f t="shared" si="19"/>
        <v>10596443.61591788</v>
      </c>
      <c r="C128" s="199">
        <f t="shared" si="20"/>
        <v>233000</v>
      </c>
      <c r="D128" s="197">
        <f t="shared" si="12"/>
        <v>1961185.3314433503</v>
      </c>
      <c r="E128" s="197">
        <f t="shared" si="13"/>
        <v>2194185.3314433503</v>
      </c>
      <c r="F128" s="197">
        <f t="shared" si="14"/>
        <v>8402258.2844745293</v>
      </c>
      <c r="G128" s="198">
        <f t="shared" si="15"/>
        <v>84106483.764740109</v>
      </c>
      <c r="I128" s="139">
        <v>51</v>
      </c>
      <c r="J128" s="141">
        <f t="shared" si="21"/>
        <v>10823443.61591788</v>
      </c>
      <c r="K128" s="141">
        <f t="shared" si="22"/>
        <v>460000</v>
      </c>
      <c r="L128" s="140">
        <f t="shared" si="16"/>
        <v>1961185.3314433503</v>
      </c>
      <c r="M128" s="140">
        <f t="shared" si="17"/>
        <v>8402258.2844745293</v>
      </c>
      <c r="N128" s="140">
        <f t="shared" si="18"/>
        <v>84106483.764740109</v>
      </c>
    </row>
    <row r="129" spans="1:14" ht="18.75">
      <c r="A129" s="195">
        <v>52</v>
      </c>
      <c r="B129" s="199">
        <f t="shared" si="19"/>
        <v>10596443.61591788</v>
      </c>
      <c r="C129" s="199">
        <f t="shared" si="20"/>
        <v>233000</v>
      </c>
      <c r="D129" s="197">
        <f t="shared" si="12"/>
        <v>1783057.4558124903</v>
      </c>
      <c r="E129" s="197">
        <f t="shared" si="13"/>
        <v>2016057.4558124903</v>
      </c>
      <c r="F129" s="197">
        <f t="shared" si="14"/>
        <v>8580386.1601053905</v>
      </c>
      <c r="G129" s="198">
        <f t="shared" si="15"/>
        <v>75526097.604634717</v>
      </c>
      <c r="I129" s="139">
        <v>52</v>
      </c>
      <c r="J129" s="141">
        <f t="shared" si="21"/>
        <v>10823443.61591788</v>
      </c>
      <c r="K129" s="141">
        <f t="shared" si="22"/>
        <v>460000</v>
      </c>
      <c r="L129" s="140">
        <f t="shared" si="16"/>
        <v>1783057.4558124903</v>
      </c>
      <c r="M129" s="140">
        <f t="shared" si="17"/>
        <v>8580386.1601053905</v>
      </c>
      <c r="N129" s="140">
        <f t="shared" si="18"/>
        <v>75526097.604634717</v>
      </c>
    </row>
    <row r="130" spans="1:14" ht="18.75">
      <c r="A130" s="195">
        <v>53</v>
      </c>
      <c r="B130" s="199">
        <f t="shared" si="19"/>
        <v>10596443.61591788</v>
      </c>
      <c r="C130" s="199">
        <f t="shared" si="20"/>
        <v>233000</v>
      </c>
      <c r="D130" s="197">
        <f t="shared" si="12"/>
        <v>1601153.269218256</v>
      </c>
      <c r="E130" s="197">
        <f t="shared" si="13"/>
        <v>1834153.269218256</v>
      </c>
      <c r="F130" s="197">
        <f t="shared" si="14"/>
        <v>8762290.3466996234</v>
      </c>
      <c r="G130" s="198">
        <f t="shared" si="15"/>
        <v>66763807.257935092</v>
      </c>
      <c r="I130" s="139">
        <v>53</v>
      </c>
      <c r="J130" s="141">
        <f t="shared" si="21"/>
        <v>10823443.61591788</v>
      </c>
      <c r="K130" s="141">
        <f t="shared" si="22"/>
        <v>460000</v>
      </c>
      <c r="L130" s="140">
        <f t="shared" si="16"/>
        <v>1601153.269218256</v>
      </c>
      <c r="M130" s="140">
        <f t="shared" si="17"/>
        <v>8762290.3466996234</v>
      </c>
      <c r="N130" s="140">
        <f t="shared" si="18"/>
        <v>66763807.257935092</v>
      </c>
    </row>
    <row r="131" spans="1:14" ht="18.75">
      <c r="A131" s="195">
        <v>54</v>
      </c>
      <c r="B131" s="199">
        <f t="shared" si="19"/>
        <v>10596443.61591788</v>
      </c>
      <c r="C131" s="199">
        <f t="shared" si="20"/>
        <v>233000</v>
      </c>
      <c r="D131" s="197">
        <f t="shared" si="12"/>
        <v>1415392.7138682241</v>
      </c>
      <c r="E131" s="197">
        <f t="shared" si="13"/>
        <v>1648392.7138682241</v>
      </c>
      <c r="F131" s="197">
        <f t="shared" si="14"/>
        <v>8948050.902049657</v>
      </c>
      <c r="G131" s="198">
        <f t="shared" si="15"/>
        <v>57815756.355885431</v>
      </c>
      <c r="I131" s="139">
        <v>54</v>
      </c>
      <c r="J131" s="141">
        <f t="shared" si="21"/>
        <v>10823443.61591788</v>
      </c>
      <c r="K131" s="141">
        <f t="shared" si="22"/>
        <v>460000</v>
      </c>
      <c r="L131" s="140">
        <f t="shared" si="16"/>
        <v>1415392.7138682241</v>
      </c>
      <c r="M131" s="140">
        <f t="shared" si="17"/>
        <v>8948050.902049657</v>
      </c>
      <c r="N131" s="140">
        <f t="shared" si="18"/>
        <v>57815756.355885431</v>
      </c>
    </row>
    <row r="132" spans="1:14" ht="18.75">
      <c r="A132" s="195">
        <v>55</v>
      </c>
      <c r="B132" s="199">
        <f t="shared" si="19"/>
        <v>10596443.61591788</v>
      </c>
      <c r="C132" s="199">
        <f t="shared" si="20"/>
        <v>233000</v>
      </c>
      <c r="D132" s="197">
        <f t="shared" si="12"/>
        <v>1225694.0347447712</v>
      </c>
      <c r="E132" s="197">
        <f t="shared" si="13"/>
        <v>1458694.0347447712</v>
      </c>
      <c r="F132" s="197">
        <f t="shared" si="14"/>
        <v>9137749.5811731089</v>
      </c>
      <c r="G132" s="198">
        <f t="shared" si="15"/>
        <v>48678006.774712324</v>
      </c>
      <c r="I132" s="139">
        <v>55</v>
      </c>
      <c r="J132" s="141">
        <f t="shared" si="21"/>
        <v>10823443.61591788</v>
      </c>
      <c r="K132" s="141">
        <f t="shared" si="22"/>
        <v>460000</v>
      </c>
      <c r="L132" s="140">
        <f t="shared" si="16"/>
        <v>1225694.0347447712</v>
      </c>
      <c r="M132" s="140">
        <f t="shared" si="17"/>
        <v>9137749.5811731089</v>
      </c>
      <c r="N132" s="140">
        <f t="shared" si="18"/>
        <v>48678006.774712324</v>
      </c>
    </row>
    <row r="133" spans="1:14" ht="18.75">
      <c r="A133" s="195">
        <v>56</v>
      </c>
      <c r="B133" s="199">
        <f t="shared" si="19"/>
        <v>10596443.61591788</v>
      </c>
      <c r="C133" s="199">
        <f t="shared" si="20"/>
        <v>233000</v>
      </c>
      <c r="D133" s="197">
        <f t="shared" si="12"/>
        <v>1031973.7436239013</v>
      </c>
      <c r="E133" s="197">
        <f t="shared" si="13"/>
        <v>1264973.7436239012</v>
      </c>
      <c r="F133" s="197">
        <f t="shared" si="14"/>
        <v>9331469.8722939789</v>
      </c>
      <c r="G133" s="198">
        <f t="shared" si="15"/>
        <v>39346536.902418345</v>
      </c>
      <c r="I133" s="139">
        <v>56</v>
      </c>
      <c r="J133" s="141">
        <f t="shared" si="21"/>
        <v>10823443.61591788</v>
      </c>
      <c r="K133" s="141">
        <f t="shared" si="22"/>
        <v>460000</v>
      </c>
      <c r="L133" s="140">
        <f t="shared" si="16"/>
        <v>1031973.7436239013</v>
      </c>
      <c r="M133" s="140">
        <f t="shared" si="17"/>
        <v>9331469.8722939789</v>
      </c>
      <c r="N133" s="140">
        <f t="shared" si="18"/>
        <v>39346536.902418345</v>
      </c>
    </row>
    <row r="134" spans="1:14" ht="18.75">
      <c r="A134" s="195">
        <v>57</v>
      </c>
      <c r="B134" s="199">
        <f t="shared" si="19"/>
        <v>10596443.61591788</v>
      </c>
      <c r="C134" s="199">
        <f t="shared" si="20"/>
        <v>233000</v>
      </c>
      <c r="D134" s="197">
        <f t="shared" si="12"/>
        <v>834146.58233126893</v>
      </c>
      <c r="E134" s="197">
        <f t="shared" si="13"/>
        <v>1067146.582331269</v>
      </c>
      <c r="F134" s="197">
        <f t="shared" si="14"/>
        <v>9529297.033586612</v>
      </c>
      <c r="G134" s="198">
        <f t="shared" si="15"/>
        <v>29817239.868831731</v>
      </c>
      <c r="I134" s="139">
        <v>57</v>
      </c>
      <c r="J134" s="141">
        <f t="shared" si="21"/>
        <v>10823443.61591788</v>
      </c>
      <c r="K134" s="141">
        <f t="shared" si="22"/>
        <v>460000</v>
      </c>
      <c r="L134" s="140">
        <f t="shared" si="16"/>
        <v>834146.58233126893</v>
      </c>
      <c r="M134" s="140">
        <f t="shared" si="17"/>
        <v>9529297.033586612</v>
      </c>
      <c r="N134" s="140">
        <f t="shared" si="18"/>
        <v>29817239.868831731</v>
      </c>
    </row>
    <row r="135" spans="1:14" ht="18.75">
      <c r="A135" s="195">
        <v>58</v>
      </c>
      <c r="B135" s="199">
        <f t="shared" si="19"/>
        <v>10596443.61591788</v>
      </c>
      <c r="C135" s="199">
        <f t="shared" si="20"/>
        <v>233000</v>
      </c>
      <c r="D135" s="197">
        <f t="shared" si="12"/>
        <v>632125.48521923274</v>
      </c>
      <c r="E135" s="197">
        <f t="shared" si="13"/>
        <v>865125.48521923274</v>
      </c>
      <c r="F135" s="197">
        <f t="shared" si="14"/>
        <v>9731318.1306986474</v>
      </c>
      <c r="G135" s="198">
        <f t="shared" si="15"/>
        <v>20085921.738133084</v>
      </c>
      <c r="I135" s="139">
        <v>58</v>
      </c>
      <c r="J135" s="141">
        <f t="shared" si="21"/>
        <v>10823443.61591788</v>
      </c>
      <c r="K135" s="141">
        <f t="shared" si="22"/>
        <v>460000</v>
      </c>
      <c r="L135" s="140">
        <f t="shared" si="16"/>
        <v>632125.48521923274</v>
      </c>
      <c r="M135" s="140">
        <f t="shared" si="17"/>
        <v>9731318.1306986474</v>
      </c>
      <c r="N135" s="140">
        <f t="shared" si="18"/>
        <v>20085921.738133084</v>
      </c>
    </row>
    <row r="136" spans="1:14" ht="18.75">
      <c r="A136" s="195">
        <v>59</v>
      </c>
      <c r="B136" s="199">
        <f t="shared" si="19"/>
        <v>10596443.61591788</v>
      </c>
      <c r="C136" s="199">
        <f t="shared" si="20"/>
        <v>233000</v>
      </c>
      <c r="D136" s="197">
        <f t="shared" si="12"/>
        <v>425821.5408484214</v>
      </c>
      <c r="E136" s="197">
        <f t="shared" si="13"/>
        <v>658821.5408484214</v>
      </c>
      <c r="F136" s="197">
        <f t="shared" si="14"/>
        <v>9937622.0750694592</v>
      </c>
      <c r="G136" s="198">
        <f t="shared" si="15"/>
        <v>10148299.663063625</v>
      </c>
      <c r="I136" s="139">
        <v>59</v>
      </c>
      <c r="J136" s="141">
        <f t="shared" si="21"/>
        <v>10823443.61591788</v>
      </c>
      <c r="K136" s="141">
        <f t="shared" si="22"/>
        <v>460000</v>
      </c>
      <c r="L136" s="140">
        <f t="shared" si="16"/>
        <v>425821.5408484214</v>
      </c>
      <c r="M136" s="140">
        <f t="shared" si="17"/>
        <v>9937622.0750694592</v>
      </c>
      <c r="N136" s="140">
        <f t="shared" si="18"/>
        <v>10148299.663063625</v>
      </c>
    </row>
    <row r="137" spans="1:14" ht="18.75">
      <c r="A137" s="195">
        <v>60</v>
      </c>
      <c r="B137" s="199">
        <f t="shared" si="19"/>
        <v>10596443.61591788</v>
      </c>
      <c r="C137" s="199">
        <f t="shared" si="20"/>
        <v>233000</v>
      </c>
      <c r="D137" s="197">
        <f t="shared" si="12"/>
        <v>215143.95285694886</v>
      </c>
      <c r="E137" s="197">
        <f t="shared" si="13"/>
        <v>448143.95285694883</v>
      </c>
      <c r="F137" s="197">
        <f t="shared" si="14"/>
        <v>10148299.663060931</v>
      </c>
      <c r="G137" s="198">
        <f t="shared" si="15"/>
        <v>2.6933848857879639E-6</v>
      </c>
      <c r="I137" s="139">
        <v>60</v>
      </c>
      <c r="J137" s="141">
        <f t="shared" si="21"/>
        <v>10823443.61591788</v>
      </c>
      <c r="K137" s="141">
        <f t="shared" si="22"/>
        <v>460000</v>
      </c>
      <c r="L137" s="140">
        <f t="shared" si="16"/>
        <v>215143.95285694886</v>
      </c>
      <c r="M137" s="140">
        <f t="shared" si="17"/>
        <v>10148299.663060931</v>
      </c>
      <c r="N137" s="140">
        <f t="shared" si="18"/>
        <v>2.6933848857879639E-6</v>
      </c>
    </row>
    <row r="138" spans="1:14" ht="15.75">
      <c r="A138" s="200" t="s">
        <v>29</v>
      </c>
      <c r="B138" s="149"/>
      <c r="C138" s="150">
        <f>+SUM(C78:C137)</f>
        <v>13980000</v>
      </c>
      <c r="D138" s="150">
        <f>+SUM(D78:D137)</f>
        <v>271806616.95507538</v>
      </c>
      <c r="E138" s="201"/>
      <c r="G138" s="202"/>
      <c r="I138" s="21" t="s">
        <v>29</v>
      </c>
      <c r="J138" s="149"/>
      <c r="K138" s="150">
        <f>+SUM(K78:K137)</f>
        <v>27600000</v>
      </c>
      <c r="L138" s="150">
        <f>+SUM(L78:L137)</f>
        <v>271806616.95507538</v>
      </c>
    </row>
    <row r="139" spans="1:14" ht="16.5" thickBot="1">
      <c r="A139" s="203" t="s">
        <v>217</v>
      </c>
      <c r="B139" s="204"/>
      <c r="C139" s="205"/>
      <c r="D139" s="205">
        <f>+D138+C138+G72</f>
        <v>635786616.95507538</v>
      </c>
      <c r="E139" s="206"/>
      <c r="F139" s="207"/>
      <c r="G139" s="208"/>
      <c r="I139" s="143" t="s">
        <v>217</v>
      </c>
      <c r="J139" s="144"/>
      <c r="K139" s="151"/>
      <c r="L139" s="151">
        <f>+L138+K138+N72</f>
        <v>649406616.95507538</v>
      </c>
    </row>
    <row r="143" spans="1:14">
      <c r="B143" s="471" t="s">
        <v>220</v>
      </c>
      <c r="C143" s="471"/>
    </row>
    <row r="144" spans="1:14">
      <c r="B144" s="33" t="s">
        <v>221</v>
      </c>
      <c r="C144" s="33" t="s">
        <v>222</v>
      </c>
    </row>
    <row r="145" spans="2:6">
      <c r="B145" s="376" t="s">
        <v>201</v>
      </c>
      <c r="C145" s="417">
        <f>+D69</f>
        <v>599471506.55004668</v>
      </c>
    </row>
    <row r="146" spans="2:6">
      <c r="B146" s="33" t="s">
        <v>205</v>
      </c>
      <c r="C146" s="209">
        <f>+L69</f>
        <v>639062912.55807579</v>
      </c>
      <c r="E146" s="104"/>
    </row>
    <row r="147" spans="2:6">
      <c r="B147" s="33" t="s">
        <v>218</v>
      </c>
      <c r="C147" s="209">
        <f>+D139</f>
        <v>635786616.95507538</v>
      </c>
      <c r="E147" s="172"/>
    </row>
    <row r="148" spans="2:6">
      <c r="B148" s="33" t="s">
        <v>219</v>
      </c>
      <c r="C148" s="209">
        <f>+L139</f>
        <v>649406616.95507538</v>
      </c>
      <c r="E148" s="172"/>
    </row>
    <row r="149" spans="2:6">
      <c r="E149" s="173"/>
    </row>
    <row r="151" spans="2:6">
      <c r="B151" s="33" t="s">
        <v>223</v>
      </c>
      <c r="C151" s="137">
        <v>7.0000000000000007E-2</v>
      </c>
      <c r="D151" s="128" t="s">
        <v>224</v>
      </c>
      <c r="E151" s="28" t="s">
        <v>225</v>
      </c>
      <c r="F151" s="28" t="s">
        <v>226</v>
      </c>
    </row>
    <row r="152" spans="2:6">
      <c r="B152" s="33" t="s">
        <v>227</v>
      </c>
      <c r="C152" s="78">
        <v>0.05</v>
      </c>
      <c r="D152" s="125" t="s">
        <v>228</v>
      </c>
      <c r="E152" s="156">
        <f>+G2</f>
        <v>350000000</v>
      </c>
      <c r="F152" s="158">
        <f>+E152/$E$154</f>
        <v>0.41567607473346385</v>
      </c>
    </row>
    <row r="153" spans="2:6">
      <c r="B153" s="33" t="s">
        <v>229</v>
      </c>
      <c r="C153" s="33">
        <v>0.91</v>
      </c>
      <c r="D153" s="124" t="s">
        <v>230</v>
      </c>
      <c r="E153" s="157">
        <f>+'COSTO CAPITAL DE TRABAJO'!G17-AMORTIZACIONES!E152</f>
        <v>492001792.44000006</v>
      </c>
      <c r="F153" s="158">
        <f>+E153/$E$154</f>
        <v>0.58432392526653609</v>
      </c>
    </row>
    <row r="154" spans="2:6">
      <c r="D154" s="28" t="s">
        <v>231</v>
      </c>
      <c r="E154" s="159">
        <f>SUM(E152:E153)</f>
        <v>842001792.44000006</v>
      </c>
      <c r="F154" s="160">
        <f>SUM(F152:F153)</f>
        <v>1</v>
      </c>
    </row>
    <row r="155" spans="2:6">
      <c r="E155" s="188">
        <f>E153/3</f>
        <v>164000597.48000002</v>
      </c>
    </row>
    <row r="159" spans="2:6">
      <c r="E159" s="188"/>
    </row>
  </sheetData>
  <mergeCells count="9">
    <mergeCell ref="B143:C143"/>
    <mergeCell ref="I1:N1"/>
    <mergeCell ref="I2:I3"/>
    <mergeCell ref="A71:G71"/>
    <mergeCell ref="A72:A73"/>
    <mergeCell ref="I71:N71"/>
    <mergeCell ref="I72:I73"/>
    <mergeCell ref="A2:A3"/>
    <mergeCell ref="A1:G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5E6C-D64B-45DF-8951-3BB9CE16EE39}">
  <dimension ref="B1:N42"/>
  <sheetViews>
    <sheetView topLeftCell="A19" workbookViewId="0">
      <selection activeCell="F10" sqref="F10"/>
    </sheetView>
  </sheetViews>
  <sheetFormatPr defaultColWidth="11.42578125" defaultRowHeight="15"/>
  <cols>
    <col min="2" max="2" width="24.140625" customWidth="1"/>
    <col min="3" max="3" width="19.85546875" customWidth="1"/>
    <col min="4" max="4" width="16.42578125" customWidth="1"/>
    <col min="5" max="5" width="17.5703125" bestFit="1" customWidth="1"/>
    <col min="6" max="6" width="19.7109375" customWidth="1"/>
    <col min="7" max="7" width="22.140625" customWidth="1"/>
    <col min="8" max="8" width="13.42578125" bestFit="1" customWidth="1"/>
    <col min="9" max="9" width="14" bestFit="1" customWidth="1"/>
    <col min="10" max="14" width="15.42578125" bestFit="1" customWidth="1"/>
  </cols>
  <sheetData>
    <row r="1" spans="2:8">
      <c r="C1" s="352"/>
      <c r="D1" s="481"/>
      <c r="E1" s="481"/>
      <c r="F1" s="353"/>
    </row>
    <row r="2" spans="2:8">
      <c r="B2" s="483" t="s">
        <v>194</v>
      </c>
      <c r="C2" s="483"/>
      <c r="D2" s="483"/>
      <c r="E2" s="581"/>
      <c r="F2" s="484"/>
    </row>
    <row r="3" spans="2:8">
      <c r="B3" s="131" t="s">
        <v>44</v>
      </c>
      <c r="C3" s="127" t="s">
        <v>195</v>
      </c>
      <c r="D3" s="354" t="s">
        <v>196</v>
      </c>
      <c r="E3" s="579" t="s">
        <v>197</v>
      </c>
      <c r="F3" s="261"/>
      <c r="G3" s="469" t="s">
        <v>232</v>
      </c>
      <c r="H3" s="469"/>
    </row>
    <row r="4" spans="2:8">
      <c r="B4" s="163" t="s">
        <v>176</v>
      </c>
      <c r="C4" s="130">
        <f>+'COSTO CAPITAL DE TRABAJO'!D23</f>
        <v>547359899.19999993</v>
      </c>
      <c r="D4" s="355">
        <f>+C4</f>
        <v>547359899.19999993</v>
      </c>
      <c r="E4" s="411"/>
      <c r="F4" s="357"/>
      <c r="G4" s="127" t="s">
        <v>233</v>
      </c>
      <c r="H4" s="175" t="s">
        <v>234</v>
      </c>
    </row>
    <row r="5" spans="2:8">
      <c r="B5" s="163" t="s">
        <v>178</v>
      </c>
      <c r="C5" s="130">
        <f>+'COSTO CAPITAL DE TRABAJO'!D24</f>
        <v>37806100</v>
      </c>
      <c r="D5" s="355">
        <f>+C5</f>
        <v>37806100</v>
      </c>
      <c r="E5" s="411"/>
      <c r="F5" s="357"/>
      <c r="G5" s="135" t="s">
        <v>235</v>
      </c>
      <c r="H5" s="403">
        <f>+(C10/12)/72</f>
        <v>1442265.5915162144</v>
      </c>
    </row>
    <row r="6" spans="2:8">
      <c r="B6" s="163" t="s">
        <v>179</v>
      </c>
      <c r="C6" s="130">
        <f>+'COSTO CAPITAL DE TRABAJO'!D25</f>
        <v>43707874.560000002</v>
      </c>
      <c r="D6" s="355">
        <f>+C6</f>
        <v>43707874.560000002</v>
      </c>
      <c r="E6" s="411"/>
      <c r="F6" s="357"/>
      <c r="G6" s="126" t="s">
        <v>236</v>
      </c>
      <c r="H6" s="251">
        <v>0.05</v>
      </c>
    </row>
    <row r="7" spans="2:8">
      <c r="B7" s="163" t="s">
        <v>164</v>
      </c>
      <c r="C7" s="130">
        <f>+'COSTO CAPITAL DE TRABAJO'!D26</f>
        <v>53269296</v>
      </c>
      <c r="D7" s="355">
        <f>+C7</f>
        <v>53269296</v>
      </c>
      <c r="E7" s="411"/>
      <c r="F7" s="357"/>
      <c r="G7" s="126" t="s">
        <v>232</v>
      </c>
      <c r="H7" s="403">
        <f>+H5*(1+H6)</f>
        <v>1514378.8710920252</v>
      </c>
    </row>
    <row r="8" spans="2:8">
      <c r="B8" s="163" t="s">
        <v>180</v>
      </c>
      <c r="C8" s="130">
        <f>+'COSTO CAPITAL DE TRABAJO'!D27</f>
        <v>514080000</v>
      </c>
      <c r="D8" s="322"/>
      <c r="E8" s="420">
        <f>+C8</f>
        <v>514080000</v>
      </c>
      <c r="F8" s="357"/>
      <c r="G8" s="357"/>
    </row>
    <row r="9" spans="2:8">
      <c r="B9" s="163" t="s">
        <v>198</v>
      </c>
      <c r="C9" s="130">
        <f>+'COSTO CAPITAL DE TRABAJO'!D28</f>
        <v>49894301.310009338</v>
      </c>
      <c r="D9" s="355">
        <f>+C9</f>
        <v>49894301.310009338</v>
      </c>
      <c r="E9" s="420"/>
      <c r="F9" s="357"/>
      <c r="G9" s="357"/>
    </row>
    <row r="10" spans="2:8">
      <c r="B10" s="162" t="s">
        <v>199</v>
      </c>
      <c r="C10" s="129">
        <f>SUM(C4:C9)</f>
        <v>1246117471.0700092</v>
      </c>
      <c r="D10" s="356">
        <f>SUM(D4:D9)</f>
        <v>732037471.07000935</v>
      </c>
      <c r="E10" s="580">
        <f>SUM(E4:E9)</f>
        <v>514080000</v>
      </c>
      <c r="F10" s="357"/>
      <c r="G10" s="357"/>
    </row>
    <row r="11" spans="2:8">
      <c r="C11" s="119"/>
      <c r="F11" s="235"/>
      <c r="G11" s="235"/>
    </row>
    <row r="12" spans="2:8">
      <c r="C12" s="119"/>
    </row>
    <row r="14" spans="2:8">
      <c r="B14" s="576" t="s">
        <v>237</v>
      </c>
      <c r="C14" s="572"/>
      <c r="D14" s="573"/>
      <c r="E14" s="570"/>
      <c r="F14" s="570"/>
      <c r="G14" s="569"/>
    </row>
    <row r="15" spans="2:8" ht="24.75">
      <c r="B15" s="577" t="s">
        <v>238</v>
      </c>
      <c r="C15" s="577" t="s">
        <v>239</v>
      </c>
      <c r="D15" s="578" t="s">
        <v>240</v>
      </c>
    </row>
    <row r="16" spans="2:8">
      <c r="B16" s="165" t="s">
        <v>241</v>
      </c>
      <c r="C16" s="161">
        <v>1515000</v>
      </c>
      <c r="D16" s="166">
        <f>+C16*72</f>
        <v>109080000</v>
      </c>
    </row>
    <row r="17" spans="2:14">
      <c r="B17" s="165" t="s">
        <v>242</v>
      </c>
      <c r="C17" s="161">
        <v>1600000</v>
      </c>
      <c r="D17" s="166">
        <f t="shared" ref="D17:D21" si="0">+C17*72</f>
        <v>115200000</v>
      </c>
    </row>
    <row r="18" spans="2:14">
      <c r="B18" s="165" t="s">
        <v>243</v>
      </c>
      <c r="C18" s="161">
        <v>1750000</v>
      </c>
      <c r="D18" s="166">
        <f t="shared" si="0"/>
        <v>126000000</v>
      </c>
    </row>
    <row r="19" spans="2:14" ht="25.5">
      <c r="B19" s="165" t="s">
        <v>244</v>
      </c>
      <c r="C19" s="161">
        <v>1650000</v>
      </c>
      <c r="D19" s="166">
        <f t="shared" si="0"/>
        <v>118800000</v>
      </c>
    </row>
    <row r="20" spans="2:14" ht="25.5">
      <c r="B20" s="165" t="s">
        <v>245</v>
      </c>
      <c r="C20" s="161">
        <v>1550000</v>
      </c>
      <c r="D20" s="166">
        <f t="shared" si="0"/>
        <v>111600000</v>
      </c>
    </row>
    <row r="21" spans="2:14" ht="25.5">
      <c r="B21" s="165" t="s">
        <v>246</v>
      </c>
      <c r="C21" s="161">
        <v>1550000</v>
      </c>
      <c r="D21" s="166">
        <f t="shared" si="0"/>
        <v>111600000</v>
      </c>
    </row>
    <row r="23" spans="2:14">
      <c r="J23" t="s">
        <v>247</v>
      </c>
      <c r="K23" s="171">
        <v>0.05</v>
      </c>
    </row>
    <row r="24" spans="2:14">
      <c r="B24" s="135" t="s">
        <v>248</v>
      </c>
      <c r="C24" s="167">
        <f>+D16</f>
        <v>109080000</v>
      </c>
      <c r="J24" t="s">
        <v>249</v>
      </c>
      <c r="K24" s="278">
        <v>4.2999999999999997E-2</v>
      </c>
    </row>
    <row r="25" spans="2:14" ht="30">
      <c r="B25" s="135"/>
      <c r="C25" s="135" t="s">
        <v>250</v>
      </c>
      <c r="D25" s="168" t="s">
        <v>251</v>
      </c>
      <c r="E25" s="135" t="s">
        <v>252</v>
      </c>
      <c r="F25" s="135" t="s">
        <v>253</v>
      </c>
    </row>
    <row r="26" spans="2:14">
      <c r="B26" s="135" t="s">
        <v>254</v>
      </c>
      <c r="C26" s="135">
        <v>1</v>
      </c>
      <c r="D26" s="161">
        <f>+D16</f>
        <v>109080000</v>
      </c>
      <c r="E26" s="136">
        <f>+D26*C26</f>
        <v>109080000</v>
      </c>
      <c r="F26" s="136">
        <f>+E26*12</f>
        <v>1308960000</v>
      </c>
    </row>
    <row r="27" spans="2:14">
      <c r="B27" s="135"/>
      <c r="C27" s="135"/>
      <c r="D27" s="135"/>
      <c r="E27" s="164">
        <f>SUM(E26:E26)</f>
        <v>109080000</v>
      </c>
      <c r="F27" s="164">
        <f>SUM(F26:F26)</f>
        <v>1308960000</v>
      </c>
      <c r="I27" s="466" t="s">
        <v>255</v>
      </c>
      <c r="J27" s="466"/>
      <c r="K27" s="466"/>
      <c r="L27" s="466"/>
      <c r="M27" s="466"/>
      <c r="N27" s="466"/>
    </row>
    <row r="28" spans="2:14">
      <c r="I28" s="135"/>
      <c r="J28" s="124" t="s">
        <v>256</v>
      </c>
      <c r="K28" s="124" t="s">
        <v>257</v>
      </c>
      <c r="L28" s="124" t="s">
        <v>258</v>
      </c>
      <c r="M28" s="124" t="s">
        <v>259</v>
      </c>
      <c r="N28" s="124" t="s">
        <v>260</v>
      </c>
    </row>
    <row r="29" spans="2:14">
      <c r="D29" s="170"/>
      <c r="I29" s="135" t="s">
        <v>261</v>
      </c>
      <c r="J29" s="358">
        <f>+D26</f>
        <v>109080000</v>
      </c>
      <c r="K29" s="358">
        <f>J29*(1+$K$24)</f>
        <v>113770439.99999999</v>
      </c>
      <c r="L29" s="358">
        <f t="shared" ref="K29:N30" si="1">K29*(1+$K$24)</f>
        <v>118662568.91999997</v>
      </c>
      <c r="M29" s="358">
        <f t="shared" si="1"/>
        <v>123765059.38355996</v>
      </c>
      <c r="N29" s="358">
        <f t="shared" si="1"/>
        <v>129086956.93705302</v>
      </c>
    </row>
    <row r="30" spans="2:14">
      <c r="B30" s="175" t="s">
        <v>262</v>
      </c>
      <c r="C30" s="135"/>
      <c r="D30" s="135" t="s">
        <v>170</v>
      </c>
      <c r="E30" s="135" t="s">
        <v>263</v>
      </c>
      <c r="I30" s="135" t="s">
        <v>151</v>
      </c>
      <c r="J30" s="161">
        <f>SUM(J29:J29)</f>
        <v>109080000</v>
      </c>
      <c r="K30" s="358">
        <f t="shared" si="1"/>
        <v>113770439.99999999</v>
      </c>
      <c r="L30" s="358">
        <f t="shared" si="1"/>
        <v>118662568.91999997</v>
      </c>
      <c r="M30" s="358">
        <f t="shared" si="1"/>
        <v>123765059.38355996</v>
      </c>
      <c r="N30" s="358">
        <f t="shared" si="1"/>
        <v>129086956.93705302</v>
      </c>
    </row>
    <row r="31" spans="2:14">
      <c r="B31" s="135" t="s">
        <v>264</v>
      </c>
      <c r="C31" s="136">
        <v>70000</v>
      </c>
      <c r="D31" s="174">
        <f>+C31*30</f>
        <v>2100000</v>
      </c>
      <c r="E31" s="174">
        <f>+D31*12</f>
        <v>25200000</v>
      </c>
      <c r="G31" s="119"/>
    </row>
    <row r="32" spans="2:14">
      <c r="B32" s="135" t="s">
        <v>265</v>
      </c>
      <c r="C32" s="136">
        <v>120000</v>
      </c>
      <c r="D32" s="174">
        <f>+C32*40</f>
        <v>4800000</v>
      </c>
      <c r="E32" s="174">
        <f>+D32*12</f>
        <v>57600000</v>
      </c>
    </row>
    <row r="33" spans="2:14">
      <c r="B33" s="322" t="s">
        <v>151</v>
      </c>
      <c r="C33" s="371"/>
      <c r="D33" s="161">
        <f>SUM(D31:D32)</f>
        <v>6900000</v>
      </c>
      <c r="E33" s="161">
        <f>SUM(E31:E32)</f>
        <v>82800000</v>
      </c>
    </row>
    <row r="34" spans="2:14">
      <c r="I34" s="482" t="s">
        <v>266</v>
      </c>
      <c r="J34" s="482"/>
      <c r="K34" s="482"/>
      <c r="L34" s="482"/>
      <c r="M34" s="482"/>
      <c r="N34" s="482"/>
    </row>
    <row r="35" spans="2:14">
      <c r="D35" s="233"/>
      <c r="J35" s="124" t="s">
        <v>256</v>
      </c>
      <c r="K35" s="124" t="s">
        <v>257</v>
      </c>
      <c r="L35" s="124" t="s">
        <v>258</v>
      </c>
      <c r="M35" s="124" t="s">
        <v>259</v>
      </c>
      <c r="N35" s="124" t="s">
        <v>260</v>
      </c>
    </row>
    <row r="36" spans="2:14">
      <c r="B36" s="175" t="s">
        <v>262</v>
      </c>
      <c r="C36" s="124" t="s">
        <v>256</v>
      </c>
      <c r="D36" s="124" t="s">
        <v>257</v>
      </c>
      <c r="E36" s="124" t="s">
        <v>258</v>
      </c>
      <c r="F36" s="124" t="s">
        <v>259</v>
      </c>
      <c r="G36" s="124" t="s">
        <v>260</v>
      </c>
      <c r="I36" s="135" t="s">
        <v>261</v>
      </c>
      <c r="J36" s="359">
        <f>+C26*12</f>
        <v>12</v>
      </c>
      <c r="K36" s="359">
        <f t="shared" ref="K36:N37" si="2">ROUNDUP(J36*(1+$K$23),0)</f>
        <v>13</v>
      </c>
      <c r="L36" s="359">
        <f t="shared" si="2"/>
        <v>14</v>
      </c>
      <c r="M36" s="359">
        <f t="shared" si="2"/>
        <v>15</v>
      </c>
      <c r="N36" s="359">
        <f t="shared" si="2"/>
        <v>16</v>
      </c>
    </row>
    <row r="37" spans="2:14">
      <c r="B37" s="135" t="s">
        <v>264</v>
      </c>
      <c r="C37" s="174">
        <f>+E31</f>
        <v>25200000</v>
      </c>
      <c r="D37" s="174">
        <f t="shared" ref="D37:D38" si="3">C37*(1+5%)</f>
        <v>26460000</v>
      </c>
      <c r="E37" s="174">
        <f t="shared" ref="E37:F37" si="4">D37*(1+5%)</f>
        <v>27783000</v>
      </c>
      <c r="F37" s="174">
        <f t="shared" si="4"/>
        <v>29172150</v>
      </c>
      <c r="G37" s="174">
        <f>F37*(1+5%)</f>
        <v>30630757.5</v>
      </c>
      <c r="I37" s="135" t="s">
        <v>151</v>
      </c>
      <c r="J37" s="124">
        <f>SUM(J36:J36)</f>
        <v>12</v>
      </c>
      <c r="K37" s="124">
        <f t="shared" si="2"/>
        <v>13</v>
      </c>
      <c r="L37" s="124">
        <f t="shared" si="2"/>
        <v>14</v>
      </c>
      <c r="M37" s="124">
        <f t="shared" si="2"/>
        <v>15</v>
      </c>
      <c r="N37" s="124">
        <f t="shared" si="2"/>
        <v>16</v>
      </c>
    </row>
    <row r="38" spans="2:14">
      <c r="B38" s="135" t="s">
        <v>265</v>
      </c>
      <c r="C38" s="174">
        <f>+E32</f>
        <v>57600000</v>
      </c>
      <c r="D38" s="174">
        <f t="shared" si="3"/>
        <v>60480000</v>
      </c>
      <c r="E38" s="174">
        <f t="shared" ref="E38:F38" si="5">D38*(1+5%)</f>
        <v>63504000</v>
      </c>
      <c r="F38" s="174">
        <f t="shared" si="5"/>
        <v>66679200</v>
      </c>
      <c r="G38" s="174">
        <f>F38*(1+5%)</f>
        <v>70013160</v>
      </c>
    </row>
    <row r="39" spans="2:14">
      <c r="B39" s="135" t="s">
        <v>151</v>
      </c>
      <c r="C39" s="174">
        <f>SUM(C37:C38)</f>
        <v>82800000</v>
      </c>
      <c r="D39" s="174">
        <f>SUM(D37:D38)</f>
        <v>86940000</v>
      </c>
      <c r="E39" s="174">
        <f>SUM(E37:E38)</f>
        <v>91287000</v>
      </c>
      <c r="F39" s="174">
        <f>SUM(F37:F38)</f>
        <v>95851350</v>
      </c>
      <c r="G39" s="174">
        <f>SUM(G37:G38)</f>
        <v>100643917.5</v>
      </c>
      <c r="J39" s="241" t="s">
        <v>267</v>
      </c>
      <c r="K39" s="364"/>
      <c r="L39" s="364"/>
      <c r="M39" s="364"/>
      <c r="N39" s="364"/>
    </row>
    <row r="40" spans="2:14">
      <c r="I40" s="135"/>
      <c r="J40" s="124" t="s">
        <v>256</v>
      </c>
      <c r="K40" s="124" t="s">
        <v>257</v>
      </c>
      <c r="L40" s="124" t="s">
        <v>258</v>
      </c>
      <c r="M40" s="124" t="s">
        <v>259</v>
      </c>
      <c r="N40" s="124" t="s">
        <v>260</v>
      </c>
    </row>
    <row r="41" spans="2:14">
      <c r="I41" s="135" t="s">
        <v>261</v>
      </c>
      <c r="J41" s="161">
        <f>J36*J29</f>
        <v>1308960000</v>
      </c>
      <c r="K41" s="161">
        <f>K36*K29</f>
        <v>1479015719.9999998</v>
      </c>
      <c r="L41" s="161">
        <f>L36*L29</f>
        <v>1661275964.8799996</v>
      </c>
      <c r="M41" s="161">
        <f>M36*M29</f>
        <v>1856475890.7533994</v>
      </c>
      <c r="N41" s="161">
        <f>N36*N29</f>
        <v>2065391310.9928484</v>
      </c>
    </row>
    <row r="42" spans="2:14">
      <c r="I42" s="135" t="s">
        <v>151</v>
      </c>
      <c r="J42" s="161">
        <f>SUM(J41:J41)</f>
        <v>1308960000</v>
      </c>
      <c r="K42" s="161">
        <f>SUM(K41:K41)</f>
        <v>1479015719.9999998</v>
      </c>
      <c r="L42" s="161">
        <f>SUM(L41:L41)</f>
        <v>1661275964.8799996</v>
      </c>
      <c r="M42" s="161">
        <f>SUM(M41:M41)</f>
        <v>1856475890.7533994</v>
      </c>
      <c r="N42" s="161">
        <f>SUM(N41:N41)</f>
        <v>2065391310.9928484</v>
      </c>
    </row>
  </sheetData>
  <mergeCells count="6">
    <mergeCell ref="D1:E1"/>
    <mergeCell ref="B2:F2"/>
    <mergeCell ref="I34:N34"/>
    <mergeCell ref="I27:N27"/>
    <mergeCell ref="G3:H3"/>
    <mergeCell ref="B14:D1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7868-8A97-4261-9119-768F98033E59}">
  <dimension ref="A1:P56"/>
  <sheetViews>
    <sheetView topLeftCell="A25" workbookViewId="0">
      <selection activeCell="C22" sqref="C22"/>
    </sheetView>
  </sheetViews>
  <sheetFormatPr defaultColWidth="11.42578125" defaultRowHeight="15"/>
  <cols>
    <col min="1" max="1" width="11.42578125" style="182"/>
    <col min="2" max="2" width="22" style="187" bestFit="1" customWidth="1"/>
    <col min="3" max="3" width="22" style="187" customWidth="1"/>
    <col min="4" max="8" width="17.85546875" style="187" customWidth="1"/>
    <col min="9" max="9" width="28.140625" style="187" customWidth="1"/>
    <col min="10" max="10" width="22.42578125" style="187" customWidth="1"/>
    <col min="11" max="15" width="17.85546875" style="18" customWidth="1"/>
    <col min="16" max="16" width="15.42578125" bestFit="1" customWidth="1"/>
  </cols>
  <sheetData>
    <row r="1" spans="2:16">
      <c r="B1" s="485" t="s">
        <v>268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</row>
    <row r="2" spans="2:16">
      <c r="B2" s="183"/>
      <c r="C2" s="308">
        <v>0</v>
      </c>
      <c r="D2" s="308">
        <v>1</v>
      </c>
      <c r="E2" s="308">
        <v>2</v>
      </c>
      <c r="F2" s="308">
        <v>3</v>
      </c>
      <c r="G2" s="308">
        <v>4</v>
      </c>
      <c r="H2" s="308">
        <v>5</v>
      </c>
      <c r="I2" s="184"/>
      <c r="J2" s="308">
        <v>0</v>
      </c>
      <c r="K2" s="308">
        <v>1</v>
      </c>
      <c r="L2" s="308">
        <v>2</v>
      </c>
      <c r="M2" s="308">
        <v>3</v>
      </c>
      <c r="N2" s="308">
        <v>4</v>
      </c>
      <c r="O2" s="308">
        <v>5</v>
      </c>
    </row>
    <row r="3" spans="2:16">
      <c r="B3" s="185" t="s">
        <v>269</v>
      </c>
      <c r="C3" s="185"/>
      <c r="D3" s="180"/>
      <c r="E3" s="180"/>
      <c r="F3" s="178"/>
      <c r="G3" s="178"/>
      <c r="H3" s="178"/>
      <c r="I3" s="185" t="s">
        <v>270</v>
      </c>
      <c r="J3" s="185"/>
      <c r="K3" s="176"/>
      <c r="L3" s="120"/>
      <c r="M3" s="176"/>
      <c r="N3" s="120"/>
      <c r="O3" s="176"/>
    </row>
    <row r="4" spans="2:16">
      <c r="B4" s="185" t="s">
        <v>271</v>
      </c>
      <c r="C4" s="185">
        <f>'COSTO CAPITAL DE TRABAJO'!H8</f>
        <v>299055792.44</v>
      </c>
      <c r="D4" s="178">
        <f>C4*(1+5%)</f>
        <v>314008582.06200004</v>
      </c>
      <c r="E4" s="178">
        <f>D4*(1+5%)</f>
        <v>329709011.16510004</v>
      </c>
      <c r="F4" s="178">
        <f>E4*(1+5%)</f>
        <v>346194461.72335505</v>
      </c>
      <c r="G4" s="178">
        <f>F4*(1+5%)</f>
        <v>363504184.80952281</v>
      </c>
      <c r="H4" s="178">
        <f>G4*(1+5%)</f>
        <v>381679394.04999894</v>
      </c>
      <c r="I4" s="185" t="s">
        <v>272</v>
      </c>
      <c r="J4" s="185">
        <v>0</v>
      </c>
      <c r="K4" s="178">
        <v>0</v>
      </c>
      <c r="L4" s="178">
        <v>0</v>
      </c>
      <c r="M4" s="178">
        <v>0</v>
      </c>
      <c r="N4" s="178">
        <v>0</v>
      </c>
      <c r="O4" s="178">
        <v>0</v>
      </c>
    </row>
    <row r="5" spans="2:16">
      <c r="B5" s="185" t="s">
        <v>273</v>
      </c>
      <c r="C5" s="185"/>
      <c r="D5" s="178"/>
      <c r="E5" s="178"/>
      <c r="F5" s="178"/>
      <c r="G5" s="178"/>
      <c r="H5" s="178"/>
      <c r="I5" s="185" t="s">
        <v>274</v>
      </c>
      <c r="J5" s="185">
        <v>0</v>
      </c>
      <c r="K5" s="178"/>
      <c r="L5" s="178"/>
      <c r="M5" s="178"/>
      <c r="N5" s="178"/>
      <c r="O5" s="178"/>
    </row>
    <row r="6" spans="2:16">
      <c r="B6" s="185" t="s">
        <v>275</v>
      </c>
      <c r="C6" s="185"/>
      <c r="D6" s="178"/>
      <c r="E6" s="178"/>
      <c r="F6" s="178"/>
      <c r="G6" s="178"/>
      <c r="H6" s="178"/>
      <c r="I6" s="185" t="s">
        <v>276</v>
      </c>
      <c r="J6" s="185">
        <v>0</v>
      </c>
      <c r="K6" s="178">
        <v>0</v>
      </c>
      <c r="L6" s="178">
        <v>0</v>
      </c>
      <c r="M6" s="178">
        <v>0</v>
      </c>
      <c r="N6" s="178">
        <v>0</v>
      </c>
      <c r="O6" s="178">
        <v>0</v>
      </c>
      <c r="P6" s="170"/>
    </row>
    <row r="7" spans="2:16">
      <c r="B7" s="183" t="s">
        <v>277</v>
      </c>
      <c r="C7" s="179">
        <f t="shared" ref="C7:H7" si="0">+C4+C5+C6</f>
        <v>299055792.44</v>
      </c>
      <c r="D7" s="179">
        <f>+D4+D5+D6</f>
        <v>314008582.06200004</v>
      </c>
      <c r="E7" s="179">
        <f t="shared" si="0"/>
        <v>329709011.16510004</v>
      </c>
      <c r="F7" s="179">
        <f t="shared" si="0"/>
        <v>346194461.72335505</v>
      </c>
      <c r="G7" s="179">
        <f t="shared" si="0"/>
        <v>363504184.80952281</v>
      </c>
      <c r="H7" s="179">
        <f t="shared" si="0"/>
        <v>381679394.04999894</v>
      </c>
      <c r="I7" s="183" t="s">
        <v>278</v>
      </c>
      <c r="J7" s="183">
        <v>0</v>
      </c>
      <c r="K7" s="179">
        <f>SUM(K4:K6)</f>
        <v>0</v>
      </c>
      <c r="L7" s="179">
        <f>SUM(L4:L6)</f>
        <v>0</v>
      </c>
      <c r="M7" s="179">
        <f>SUM(M4:M6)</f>
        <v>0</v>
      </c>
      <c r="N7" s="179">
        <f>SUM(N4:N6)</f>
        <v>0</v>
      </c>
      <c r="O7" s="179">
        <f t="shared" ref="O7" si="1">SUM(O4:O6)</f>
        <v>0</v>
      </c>
    </row>
    <row r="8" spans="2:16">
      <c r="B8" s="185"/>
      <c r="C8" s="185"/>
      <c r="D8" s="180"/>
      <c r="E8" s="180"/>
      <c r="F8" s="180"/>
      <c r="G8" s="180"/>
      <c r="H8" s="180"/>
      <c r="I8" s="185"/>
      <c r="J8" s="185"/>
      <c r="K8" s="180"/>
      <c r="L8" s="180"/>
      <c r="M8" s="180"/>
      <c r="N8" s="180"/>
      <c r="O8" s="180"/>
    </row>
    <row r="9" spans="2:16">
      <c r="B9" s="186" t="s">
        <v>279</v>
      </c>
      <c r="C9" s="178">
        <f>D9</f>
        <v>90000000</v>
      </c>
      <c r="D9" s="178">
        <f>+'INVERSIÓN TOTAL'!C5</f>
        <v>90000000</v>
      </c>
      <c r="E9" s="178">
        <f t="shared" ref="E9:H10" si="2">+$D9</f>
        <v>90000000</v>
      </c>
      <c r="F9" s="178">
        <f t="shared" si="2"/>
        <v>90000000</v>
      </c>
      <c r="G9" s="178">
        <f t="shared" si="2"/>
        <v>90000000</v>
      </c>
      <c r="H9" s="178">
        <f t="shared" si="2"/>
        <v>90000000</v>
      </c>
      <c r="I9" s="185" t="s">
        <v>280</v>
      </c>
      <c r="J9" s="185">
        <v>0</v>
      </c>
      <c r="K9" s="178">
        <v>0</v>
      </c>
      <c r="L9" s="178">
        <v>0</v>
      </c>
      <c r="M9" s="178">
        <v>0</v>
      </c>
      <c r="N9" s="178">
        <v>0</v>
      </c>
      <c r="O9" s="178">
        <v>0</v>
      </c>
    </row>
    <row r="10" spans="2:16">
      <c r="B10" s="186" t="str">
        <f>+'INVERSIÓN TOTAL'!B15</f>
        <v>Construcción de la planta</v>
      </c>
      <c r="C10" s="178">
        <f t="shared" ref="C10:C13" si="3">D10</f>
        <v>102240000</v>
      </c>
      <c r="D10" s="178">
        <f>+'INVERSIÓN TOTAL'!C15</f>
        <v>102240000</v>
      </c>
      <c r="E10" s="178">
        <f t="shared" si="2"/>
        <v>102240000</v>
      </c>
      <c r="F10" s="178">
        <f t="shared" si="2"/>
        <v>102240000</v>
      </c>
      <c r="G10" s="178">
        <f t="shared" si="2"/>
        <v>102240000</v>
      </c>
      <c r="H10" s="178">
        <f t="shared" si="2"/>
        <v>102240000</v>
      </c>
      <c r="I10" s="185" t="s">
        <v>281</v>
      </c>
      <c r="J10" s="185">
        <f>AMORTIZACIONES!G7</f>
        <v>350000000</v>
      </c>
      <c r="K10" s="178">
        <f>AMORTIZACIONES!G19</f>
        <v>306155263.10476142</v>
      </c>
      <c r="L10" s="178">
        <f>AMORTIZACIONES!G31</f>
        <v>251971791.58154607</v>
      </c>
      <c r="M10" s="178">
        <f>AMORTIZACIONES!G43</f>
        <v>185011677.45605996</v>
      </c>
      <c r="N10" s="178">
        <f>AMORTIZACIONES!G55</f>
        <v>102262145.95405816</v>
      </c>
      <c r="O10" s="178">
        <f>AMORTIZACIONES!G67</f>
        <v>8.5122883319854736E-7</v>
      </c>
    </row>
    <row r="11" spans="2:16">
      <c r="B11" s="186" t="str">
        <f>+'INVERSIÓN TOTAL'!B16</f>
        <v>Maquinaria y equipo</v>
      </c>
      <c r="C11" s="178">
        <f t="shared" si="3"/>
        <v>330000000</v>
      </c>
      <c r="D11" s="178">
        <f>+'INVERSIÓN TOTAL'!C16</f>
        <v>330000000</v>
      </c>
      <c r="E11" s="178">
        <f t="shared" ref="E11:F13" si="4">+$D11</f>
        <v>330000000</v>
      </c>
      <c r="F11" s="178">
        <f t="shared" si="4"/>
        <v>330000000</v>
      </c>
      <c r="G11" s="178">
        <f t="shared" ref="G11:H13" si="5">+$D11</f>
        <v>330000000</v>
      </c>
      <c r="H11" s="178">
        <f t="shared" si="5"/>
        <v>330000000</v>
      </c>
      <c r="I11" s="183" t="s">
        <v>282</v>
      </c>
      <c r="J11" s="179">
        <f t="shared" ref="J11:O11" si="6">SUM(J9:J10)</f>
        <v>350000000</v>
      </c>
      <c r="K11" s="179">
        <f t="shared" si="6"/>
        <v>306155263.10476142</v>
      </c>
      <c r="L11" s="179">
        <f t="shared" si="6"/>
        <v>251971791.58154607</v>
      </c>
      <c r="M11" s="179">
        <f t="shared" si="6"/>
        <v>185011677.45605996</v>
      </c>
      <c r="N11" s="179">
        <f t="shared" si="6"/>
        <v>102262145.95405816</v>
      </c>
      <c r="O11" s="179">
        <f t="shared" si="6"/>
        <v>8.5122883319854736E-7</v>
      </c>
    </row>
    <row r="12" spans="2:16">
      <c r="B12" s="186" t="str">
        <f>+'INVERSIÓN TOTAL'!B17</f>
        <v>Muebles y enseres</v>
      </c>
      <c r="C12" s="178">
        <f t="shared" si="3"/>
        <v>9251000</v>
      </c>
      <c r="D12" s="178">
        <f>+'INVERSIÓN TOTAL'!C17</f>
        <v>9251000</v>
      </c>
      <c r="E12" s="178">
        <f t="shared" si="4"/>
        <v>9251000</v>
      </c>
      <c r="F12" s="178">
        <f t="shared" si="4"/>
        <v>9251000</v>
      </c>
      <c r="G12" s="178">
        <f t="shared" si="5"/>
        <v>9251000</v>
      </c>
      <c r="H12" s="178">
        <f t="shared" si="5"/>
        <v>9251000</v>
      </c>
      <c r="I12" s="183" t="s">
        <v>283</v>
      </c>
      <c r="J12" s="181">
        <f t="shared" ref="J12:O12" si="7">+J7+J11</f>
        <v>350000000</v>
      </c>
      <c r="K12" s="181">
        <f t="shared" si="7"/>
        <v>306155263.10476142</v>
      </c>
      <c r="L12" s="181">
        <f t="shared" si="7"/>
        <v>251971791.58154607</v>
      </c>
      <c r="M12" s="181">
        <f t="shared" si="7"/>
        <v>185011677.45605996</v>
      </c>
      <c r="N12" s="181">
        <f t="shared" si="7"/>
        <v>102262145.95405816</v>
      </c>
      <c r="O12" s="181">
        <f t="shared" si="7"/>
        <v>8.5122883319854736E-7</v>
      </c>
    </row>
    <row r="13" spans="2:16">
      <c r="B13" s="186" t="str">
        <f>+'INVERSIÓN TOTAL'!B18</f>
        <v>Equipo de oficinas</v>
      </c>
      <c r="C13" s="178">
        <f t="shared" si="3"/>
        <v>8045000</v>
      </c>
      <c r="D13" s="178">
        <f>+'INVERSIÓN TOTAL'!C18</f>
        <v>8045000</v>
      </c>
      <c r="E13" s="178">
        <f t="shared" si="4"/>
        <v>8045000</v>
      </c>
      <c r="F13" s="178">
        <f t="shared" si="4"/>
        <v>8045000</v>
      </c>
      <c r="G13" s="178">
        <f t="shared" si="5"/>
        <v>8045000</v>
      </c>
      <c r="H13" s="178">
        <f t="shared" si="5"/>
        <v>8045000</v>
      </c>
      <c r="I13" s="185" t="s">
        <v>284</v>
      </c>
      <c r="J13" s="185"/>
      <c r="K13" s="180"/>
      <c r="L13" s="180"/>
      <c r="M13" s="180"/>
      <c r="N13" s="180"/>
      <c r="O13" s="180"/>
    </row>
    <row r="14" spans="2:16">
      <c r="B14" s="185" t="s">
        <v>120</v>
      </c>
      <c r="C14" s="185">
        <v>0</v>
      </c>
      <c r="D14" s="178">
        <f>+DEPRECIACIÓN!$D$52</f>
        <v>37806100</v>
      </c>
      <c r="E14" s="178">
        <f>+D14+DEPRECIACIÓN!$D$52</f>
        <v>75612200</v>
      </c>
      <c r="F14" s="178">
        <f>+E14+DEPRECIACIÓN!$D$52</f>
        <v>113418300</v>
      </c>
      <c r="G14" s="178">
        <f>+F14+DEPRECIACIÓN!$D$52</f>
        <v>151224400</v>
      </c>
      <c r="H14" s="178">
        <f>+G14+DEPRECIACIÓN!$D$52</f>
        <v>189030500</v>
      </c>
      <c r="I14" s="185" t="s">
        <v>285</v>
      </c>
      <c r="J14" s="178">
        <f>-1*'ESTADO DE RESULTADOS Y FLUJO DE'!$C$36</f>
        <v>492001792.44000006</v>
      </c>
      <c r="K14" s="178">
        <f>-1*'ESTADO DE RESULTADOS Y FLUJO DE'!$C$36</f>
        <v>492001792.44000006</v>
      </c>
      <c r="L14" s="178">
        <f>-1*'ESTADO DE RESULTADOS Y FLUJO DE'!$C$36</f>
        <v>492001792.44000006</v>
      </c>
      <c r="M14" s="178">
        <f>-1*'ESTADO DE RESULTADOS Y FLUJO DE'!$C$36</f>
        <v>492001792.44000006</v>
      </c>
      <c r="N14" s="178">
        <f>-1*'ESTADO DE RESULTADOS Y FLUJO DE'!$C$36</f>
        <v>492001792.44000006</v>
      </c>
      <c r="O14" s="178">
        <f>-1*'ESTADO DE RESULTADOS Y FLUJO DE'!$C$36</f>
        <v>492001792.44000006</v>
      </c>
    </row>
    <row r="15" spans="2:16">
      <c r="B15" s="183" t="s">
        <v>286</v>
      </c>
      <c r="C15" s="179">
        <f t="shared" ref="C15:G15" si="8">+SUM(C9:C13)-C14</f>
        <v>539536000</v>
      </c>
      <c r="D15" s="179">
        <f t="shared" si="8"/>
        <v>501729900</v>
      </c>
      <c r="E15" s="179">
        <f t="shared" si="8"/>
        <v>463923800</v>
      </c>
      <c r="F15" s="179">
        <f t="shared" si="8"/>
        <v>426117700</v>
      </c>
      <c r="G15" s="179">
        <f t="shared" si="8"/>
        <v>388311600</v>
      </c>
      <c r="H15" s="179">
        <f>+SUM(H9:H13)-H14</f>
        <v>350505500</v>
      </c>
      <c r="I15" s="185" t="s">
        <v>287</v>
      </c>
      <c r="J15" s="185"/>
      <c r="K15" s="309"/>
      <c r="L15" s="309"/>
      <c r="M15" s="309"/>
      <c r="N15" s="309"/>
      <c r="O15" s="309"/>
    </row>
    <row r="16" spans="2:16">
      <c r="B16" s="183"/>
      <c r="C16" s="179"/>
      <c r="D16" s="179"/>
      <c r="E16" s="179"/>
      <c r="F16" s="179"/>
      <c r="G16" s="179"/>
      <c r="H16" s="179"/>
      <c r="I16" s="185" t="s">
        <v>288</v>
      </c>
      <c r="J16" s="185">
        <v>0</v>
      </c>
      <c r="K16" s="309">
        <f>J16+'ESTADO DE RESULTADOS Y FLUJO DE'!D22-'ESTADO DE RESULTADOS Y FLUJO DE'!D29</f>
        <v>20309426.517238572</v>
      </c>
      <c r="L16" s="309">
        <f>K16+'ESTADO DE RESULTADOS Y FLUJO DE'!E22-'ESTADO DE RESULTADOS Y FLUJO DE'!E29</f>
        <v>51705227.143553868</v>
      </c>
      <c r="M16" s="309">
        <f>L16+'ESTADO DE RESULTADOS Y FLUJO DE'!F22-'ESTADO DE RESULTADOS Y FLUJO DE'!F29</f>
        <v>96662691.827295065</v>
      </c>
      <c r="N16" s="309">
        <f>M16+'ESTADO DE RESULTADOS Y FLUJO DE'!G22-'ESTADO DE RESULTADOS Y FLUJO DE'!G29</f>
        <v>158233846.41546464</v>
      </c>
      <c r="O16" s="309">
        <f>N16+'ESTADO DE RESULTADOS Y FLUJO DE'!H22-'ESTADO DE RESULTADOS Y FLUJO DE'!H29</f>
        <v>240183101.60999811</v>
      </c>
    </row>
    <row r="17" spans="2:15">
      <c r="B17" s="185"/>
      <c r="C17" s="185"/>
      <c r="D17" s="178"/>
      <c r="E17" s="178"/>
      <c r="F17" s="178"/>
      <c r="G17" s="178"/>
      <c r="H17" s="178"/>
      <c r="I17" s="183" t="s">
        <v>289</v>
      </c>
      <c r="J17" s="179">
        <f>SUM(J14:J16)</f>
        <v>492001792.44000006</v>
      </c>
      <c r="K17" s="179">
        <f>SUM(K14:K16)</f>
        <v>512311218.95723861</v>
      </c>
      <c r="L17" s="179">
        <f t="shared" ref="L17:N17" si="9">SUM(L14:L16)</f>
        <v>543707019.58355391</v>
      </c>
      <c r="M17" s="179">
        <f t="shared" si="9"/>
        <v>588664484.26729512</v>
      </c>
      <c r="N17" s="179">
        <f t="shared" si="9"/>
        <v>650235638.8554647</v>
      </c>
      <c r="O17" s="179">
        <f>SUM(O14:O16)</f>
        <v>732184894.04999816</v>
      </c>
    </row>
    <row r="18" spans="2:15">
      <c r="B18" s="185" t="s">
        <v>290</v>
      </c>
      <c r="C18" s="179">
        <f>'COSTO CAPITAL DE TRABAJO'!$D$17</f>
        <v>3410000</v>
      </c>
      <c r="D18" s="179">
        <f>'COSTO CAPITAL DE TRABAJO'!$D$17</f>
        <v>3410000</v>
      </c>
      <c r="E18" s="179">
        <f>'COSTO CAPITAL DE TRABAJO'!$D$17</f>
        <v>3410000</v>
      </c>
      <c r="F18" s="179">
        <f>'COSTO CAPITAL DE TRABAJO'!$D$17</f>
        <v>3410000</v>
      </c>
      <c r="G18" s="179">
        <f>'COSTO CAPITAL DE TRABAJO'!$D$17</f>
        <v>3410000</v>
      </c>
      <c r="H18" s="179">
        <f>'COSTO CAPITAL DE TRABAJO'!$D$17</f>
        <v>3410000</v>
      </c>
      <c r="I18" s="183"/>
      <c r="J18" s="183"/>
      <c r="K18" s="179"/>
      <c r="L18" s="179"/>
      <c r="M18" s="179"/>
      <c r="N18" s="179"/>
      <c r="O18" s="179"/>
    </row>
    <row r="19" spans="2:15">
      <c r="B19" s="185" t="s">
        <v>120</v>
      </c>
      <c r="C19" s="185"/>
      <c r="D19" s="178">
        <f>+D18/5</f>
        <v>682000</v>
      </c>
      <c r="E19" s="178">
        <f>+D19+E18/5</f>
        <v>1364000</v>
      </c>
      <c r="F19" s="178">
        <f>+E19+F18/5</f>
        <v>2046000</v>
      </c>
      <c r="G19" s="178">
        <f>+F19+G18/5</f>
        <v>2728000</v>
      </c>
      <c r="H19" s="178">
        <f>+G19+H18/5</f>
        <v>3410000</v>
      </c>
      <c r="I19" s="183"/>
      <c r="J19" s="183"/>
      <c r="K19" s="179"/>
      <c r="L19" s="179"/>
      <c r="M19" s="179"/>
      <c r="N19" s="179"/>
      <c r="O19" s="179"/>
    </row>
    <row r="20" spans="2:15">
      <c r="B20" s="183" t="s">
        <v>291</v>
      </c>
      <c r="C20" s="287">
        <f t="shared" ref="C20:H20" si="10">+C18-C19</f>
        <v>3410000</v>
      </c>
      <c r="D20" s="287">
        <f t="shared" si="10"/>
        <v>2728000</v>
      </c>
      <c r="E20" s="287">
        <f t="shared" si="10"/>
        <v>2046000</v>
      </c>
      <c r="F20" s="287">
        <f t="shared" si="10"/>
        <v>1364000</v>
      </c>
      <c r="G20" s="287">
        <f>+G18-G19</f>
        <v>682000</v>
      </c>
      <c r="H20" s="287">
        <f t="shared" si="10"/>
        <v>0</v>
      </c>
      <c r="I20" s="185"/>
      <c r="J20" s="185"/>
      <c r="K20" s="180"/>
      <c r="L20" s="180"/>
      <c r="M20" s="180"/>
      <c r="N20" s="180"/>
      <c r="O20" s="180"/>
    </row>
    <row r="21" spans="2:15">
      <c r="B21" s="185"/>
      <c r="C21" s="185"/>
      <c r="D21" s="178"/>
      <c r="E21" s="178"/>
      <c r="F21" s="178"/>
      <c r="G21" s="178"/>
      <c r="H21" s="178"/>
      <c r="I21" s="185"/>
      <c r="J21" s="185"/>
      <c r="K21" s="178"/>
      <c r="L21" s="178"/>
      <c r="M21" s="178"/>
      <c r="N21" s="178"/>
      <c r="O21" s="178"/>
    </row>
    <row r="22" spans="2:15">
      <c r="B22" s="183" t="s">
        <v>292</v>
      </c>
      <c r="C22" s="179">
        <f t="shared" ref="C22:H22" si="11">+C7+C15+C20</f>
        <v>842001792.44000006</v>
      </c>
      <c r="D22" s="179">
        <f t="shared" si="11"/>
        <v>818466482.06200004</v>
      </c>
      <c r="E22" s="179">
        <f t="shared" si="11"/>
        <v>795678811.1651001</v>
      </c>
      <c r="F22" s="179">
        <f t="shared" si="11"/>
        <v>773676161.72335505</v>
      </c>
      <c r="G22" s="179">
        <f t="shared" si="11"/>
        <v>752497784.80952287</v>
      </c>
      <c r="H22" s="179">
        <f t="shared" si="11"/>
        <v>732184894.049999</v>
      </c>
      <c r="I22" s="183" t="s">
        <v>293</v>
      </c>
      <c r="J22" s="179">
        <f t="shared" ref="J22:N22" si="12">+J12+J17</f>
        <v>842001792.44000006</v>
      </c>
      <c r="K22" s="179">
        <f t="shared" si="12"/>
        <v>818466482.06200004</v>
      </c>
      <c r="L22" s="179">
        <f t="shared" si="12"/>
        <v>795678811.16509998</v>
      </c>
      <c r="M22" s="179">
        <f t="shared" si="12"/>
        <v>773676161.72335505</v>
      </c>
      <c r="N22" s="179">
        <f t="shared" si="12"/>
        <v>752497784.80952287</v>
      </c>
      <c r="O22" s="179">
        <f>+O12+O17</f>
        <v>732184894.049999</v>
      </c>
    </row>
    <row r="24" spans="2:15">
      <c r="J24" s="188">
        <f t="shared" ref="J24:O24" si="13">+C22-J22</f>
        <v>0</v>
      </c>
      <c r="K24" s="188">
        <f t="shared" si="13"/>
        <v>0</v>
      </c>
      <c r="L24" s="188">
        <f t="shared" si="13"/>
        <v>0</v>
      </c>
      <c r="M24" s="188">
        <f t="shared" si="13"/>
        <v>0</v>
      </c>
      <c r="N24" s="188">
        <f t="shared" si="13"/>
        <v>0</v>
      </c>
      <c r="O24" s="188">
        <f t="shared" si="13"/>
        <v>0</v>
      </c>
    </row>
    <row r="26" spans="2:15">
      <c r="F26" s="240"/>
    </row>
    <row r="28" spans="2:15" ht="15.75" thickBot="1"/>
    <row r="29" spans="2:15" ht="15.75" thickBot="1">
      <c r="B29" s="486" t="s">
        <v>294</v>
      </c>
      <c r="C29" s="487"/>
      <c r="D29" s="488"/>
      <c r="E29" s="488"/>
      <c r="F29" s="488"/>
      <c r="G29" s="488"/>
      <c r="H29" s="488"/>
      <c r="I29" s="489"/>
      <c r="J29" s="231"/>
      <c r="K29" s="188"/>
      <c r="L29" s="188"/>
      <c r="M29" s="188"/>
      <c r="N29" s="188"/>
    </row>
    <row r="30" spans="2:15" ht="15.75">
      <c r="B30" s="222" t="s">
        <v>295</v>
      </c>
      <c r="C30" s="236"/>
      <c r="D30" s="223"/>
      <c r="E30" s="230">
        <f>+D2</f>
        <v>1</v>
      </c>
      <c r="F30" s="230">
        <f>+E2</f>
        <v>2</v>
      </c>
      <c r="G30" s="230">
        <f>+F2</f>
        <v>3</v>
      </c>
      <c r="H30" s="230">
        <f>+G2</f>
        <v>4</v>
      </c>
      <c r="I30" s="230">
        <f>+H2</f>
        <v>5</v>
      </c>
      <c r="J30" s="232"/>
      <c r="K30" s="188"/>
      <c r="L30" s="188"/>
      <c r="M30" s="188"/>
      <c r="N30" s="188"/>
    </row>
    <row r="31" spans="2:15">
      <c r="B31" s="224" t="s">
        <v>296</v>
      </c>
      <c r="C31" s="237"/>
      <c r="D31" s="135"/>
      <c r="E31" s="225">
        <f>+D4-C4</f>
        <v>14952789.622000039</v>
      </c>
      <c r="F31" s="225">
        <f>+E4-D4</f>
        <v>15700429.103100002</v>
      </c>
      <c r="G31" s="225">
        <f>+F4-E4</f>
        <v>16485450.558255017</v>
      </c>
      <c r="H31" s="225">
        <f>+G4-F4</f>
        <v>17309723.086167753</v>
      </c>
      <c r="I31" s="225">
        <f>+H4-G4</f>
        <v>18175209.240476131</v>
      </c>
      <c r="J31" s="233"/>
    </row>
    <row r="32" spans="2:15">
      <c r="B32" s="224" t="s">
        <v>297</v>
      </c>
      <c r="C32" s="237"/>
      <c r="D32" s="135"/>
      <c r="E32" s="225">
        <v>0</v>
      </c>
      <c r="F32" s="225">
        <v>0</v>
      </c>
      <c r="G32" s="225">
        <v>0</v>
      </c>
      <c r="H32" s="225">
        <v>0</v>
      </c>
      <c r="I32" s="225">
        <v>0</v>
      </c>
      <c r="J32" s="233"/>
    </row>
    <row r="33" spans="1:10" ht="15.75">
      <c r="B33" s="226" t="s">
        <v>298</v>
      </c>
      <c r="C33" s="238"/>
      <c r="D33" s="14"/>
      <c r="E33" s="227">
        <v>0</v>
      </c>
      <c r="F33" s="227">
        <v>0</v>
      </c>
      <c r="G33" s="227">
        <v>0</v>
      </c>
      <c r="H33" s="227">
        <v>0</v>
      </c>
      <c r="I33" s="227">
        <v>0</v>
      </c>
      <c r="J33" s="234"/>
    </row>
    <row r="34" spans="1:10" ht="15.75" thickBot="1">
      <c r="B34" s="219" t="s">
        <v>299</v>
      </c>
      <c r="C34" s="239"/>
      <c r="D34" s="228"/>
      <c r="E34" s="229">
        <f>+E31+E32-E33</f>
        <v>14952789.622000039</v>
      </c>
      <c r="F34" s="229">
        <f>+F31+F32-F33</f>
        <v>15700429.103100002</v>
      </c>
      <c r="G34" s="229">
        <f>+G31+G32-G33</f>
        <v>16485450.558255017</v>
      </c>
      <c r="H34" s="229">
        <f>+H31+H32-H33</f>
        <v>17309723.086167753</v>
      </c>
      <c r="I34" s="229">
        <f>+I31+I32-I33</f>
        <v>18175209.240476131</v>
      </c>
      <c r="J34" s="235"/>
    </row>
    <row r="37" spans="1:10" ht="15.75">
      <c r="A37" s="3"/>
      <c r="B37" s="310"/>
      <c r="C37" s="315">
        <v>0</v>
      </c>
      <c r="D37" s="315">
        <v>1</v>
      </c>
      <c r="E37" s="315">
        <v>2</v>
      </c>
      <c r="F37" s="315">
        <v>3</v>
      </c>
      <c r="G37" s="315">
        <v>4</v>
      </c>
      <c r="H37" s="315">
        <v>5</v>
      </c>
      <c r="I37" s="3"/>
    </row>
    <row r="38" spans="1:10" ht="15.75">
      <c r="A38" s="3"/>
      <c r="B38" s="311" t="s">
        <v>300</v>
      </c>
      <c r="C38" s="311"/>
      <c r="D38" s="313">
        <f>+J10/(J10+J17)</f>
        <v>0.41567607473346385</v>
      </c>
      <c r="E38" s="313">
        <f>+K10/(K10+K17)</f>
        <v>0.37405962225044387</v>
      </c>
      <c r="F38" s="313">
        <f>+L10/(L10+L17)</f>
        <v>0.31667525645503586</v>
      </c>
      <c r="G38" s="313">
        <f>+M10/(M10+M17)</f>
        <v>0.2391332273233655</v>
      </c>
      <c r="H38" s="313">
        <f>+N10/(N10+N17)</f>
        <v>0.1358969395238066</v>
      </c>
      <c r="I38" s="3"/>
    </row>
    <row r="39" spans="1:10" ht="15.75">
      <c r="A39" s="3"/>
      <c r="B39" s="311" t="s">
        <v>284</v>
      </c>
      <c r="C39" s="311"/>
      <c r="D39" s="313">
        <f>J17/(J10+J17)</f>
        <v>0.58432392526653609</v>
      </c>
      <c r="E39" s="313">
        <f>K17/(K10+K17)</f>
        <v>0.62594037774955613</v>
      </c>
      <c r="F39" s="313">
        <f>L17/(L10+L17)</f>
        <v>0.6833247435449642</v>
      </c>
      <c r="G39" s="313">
        <f>M17/(M10+M17)</f>
        <v>0.7608667726766345</v>
      </c>
      <c r="H39" s="313">
        <f>N17/(N10+N17)</f>
        <v>0.86410306047619334</v>
      </c>
      <c r="I39" s="3"/>
    </row>
    <row r="40" spans="1:10" ht="15.75">
      <c r="A40" s="3"/>
      <c r="B40" s="310"/>
      <c r="C40" s="310"/>
      <c r="D40" s="312"/>
      <c r="E40" s="312"/>
      <c r="F40" s="312"/>
      <c r="G40" s="312"/>
      <c r="H40" s="312"/>
      <c r="I40" s="3"/>
    </row>
    <row r="41" spans="1:10" ht="15.75">
      <c r="A41" s="3"/>
      <c r="B41" s="310"/>
      <c r="C41" s="315">
        <v>0</v>
      </c>
      <c r="D41" s="315">
        <v>1</v>
      </c>
      <c r="E41" s="315">
        <v>2</v>
      </c>
      <c r="F41" s="315">
        <v>3</v>
      </c>
      <c r="G41" s="315">
        <v>4</v>
      </c>
      <c r="H41" s="315">
        <v>5</v>
      </c>
      <c r="I41" s="3"/>
    </row>
    <row r="42" spans="1:10" ht="15.75">
      <c r="A42" s="3"/>
      <c r="B42" s="311" t="s">
        <v>301</v>
      </c>
      <c r="C42" s="313">
        <f>AMORTIZACIONES!D3</f>
        <v>0.23580332236181256</v>
      </c>
      <c r="D42" s="320">
        <f>$C$42*D38*(1-AMORTIZACIONES!$E$2)</f>
        <v>6.3711569641504109E-2</v>
      </c>
      <c r="E42" s="320">
        <f>$C$42*E38*(1-AMORTIZACIONES!$E$2)</f>
        <v>5.7332926097238515E-2</v>
      </c>
      <c r="F42" s="320">
        <f>$C$42*F38*(1-AMORTIZACIONES!$E$2)</f>
        <v>4.8537500428219714E-2</v>
      </c>
      <c r="G42" s="320">
        <f>$C$42*G38*(1-AMORTIZACIONES!$E$2)</f>
        <v>3.6652466168468907E-2</v>
      </c>
      <c r="H42" s="320">
        <f>$C$42*H38*(1-AMORTIZACIONES!$E$2)</f>
        <v>2.0829217395035345E-2</v>
      </c>
      <c r="I42" s="3"/>
    </row>
    <row r="43" spans="1:10" ht="15.75">
      <c r="A43" s="3"/>
      <c r="B43" s="311" t="s">
        <v>302</v>
      </c>
      <c r="C43" s="314">
        <f>AMORTIZACIONES!C4</f>
        <v>0.11550000000000002</v>
      </c>
      <c r="D43" s="320">
        <f>$C$43*D39</f>
        <v>6.7489413368284928E-2</v>
      </c>
      <c r="E43" s="320">
        <f>$C$43*E39</f>
        <v>7.2296113630073738E-2</v>
      </c>
      <c r="F43" s="320">
        <f>$C$43*F39</f>
        <v>7.8924007879443384E-2</v>
      </c>
      <c r="G43" s="320">
        <f>$C$43*G39</f>
        <v>8.7880112244151293E-2</v>
      </c>
      <c r="H43" s="320">
        <f>$C$43*H39</f>
        <v>9.9803903485000345E-2</v>
      </c>
      <c r="I43" s="3"/>
    </row>
    <row r="44" spans="1:10" ht="15.75">
      <c r="A44" s="3"/>
      <c r="B44" s="115"/>
      <c r="C44" s="316" t="s">
        <v>303</v>
      </c>
      <c r="D44" s="314">
        <f>SUM(D42:D43)</f>
        <v>0.13120098300978905</v>
      </c>
      <c r="E44" s="314">
        <f>SUM(E42:E43)</f>
        <v>0.12962903972731227</v>
      </c>
      <c r="F44" s="314">
        <f>SUM(F42:F43)</f>
        <v>0.12746150830766309</v>
      </c>
      <c r="G44" s="314">
        <f>SUM(G42:G43)</f>
        <v>0.12453257841262019</v>
      </c>
      <c r="H44" s="314">
        <f>SUM(H42:H43)</f>
        <v>0.12063312088003569</v>
      </c>
      <c r="I44" s="3"/>
    </row>
    <row r="45" spans="1:10" ht="15.75">
      <c r="A45" s="3"/>
      <c r="B45" s="3"/>
      <c r="C45" s="3"/>
      <c r="D45" s="3"/>
      <c r="E45" s="3"/>
      <c r="F45" s="3"/>
      <c r="G45" s="3"/>
      <c r="H45" s="3"/>
      <c r="I45" s="3"/>
    </row>
    <row r="46" spans="1:10" ht="15.75">
      <c r="A46" s="3"/>
      <c r="B46" s="3"/>
      <c r="C46" s="3"/>
      <c r="D46" s="3"/>
      <c r="E46" s="3"/>
      <c r="F46" s="3"/>
      <c r="G46" s="3"/>
      <c r="H46" s="3"/>
      <c r="I46" s="3"/>
    </row>
    <row r="48" spans="1:10">
      <c r="C48" s="318"/>
    </row>
    <row r="51" spans="2:10">
      <c r="B51" s="303"/>
      <c r="C51" s="303"/>
      <c r="D51" s="303"/>
      <c r="E51" s="303"/>
      <c r="F51" s="303"/>
      <c r="G51" s="303"/>
      <c r="H51" s="303"/>
      <c r="I51" s="303"/>
      <c r="J51" s="303"/>
    </row>
    <row r="52" spans="2:10">
      <c r="B52" s="303"/>
      <c r="C52" s="304"/>
      <c r="D52" s="305"/>
      <c r="E52" s="305"/>
      <c r="F52" s="305"/>
      <c r="G52" s="305"/>
      <c r="H52" s="305"/>
      <c r="I52" s="305"/>
      <c r="J52" s="303"/>
    </row>
    <row r="53" spans="2:10">
      <c r="B53" s="303"/>
      <c r="C53" s="306"/>
      <c r="D53" s="307"/>
      <c r="E53" s="307"/>
      <c r="F53" s="307"/>
      <c r="G53" s="307"/>
      <c r="H53" s="307"/>
      <c r="I53" s="307"/>
      <c r="J53" s="303"/>
    </row>
    <row r="54" spans="2:10">
      <c r="B54" s="303"/>
      <c r="C54" s="304"/>
      <c r="D54" s="304"/>
      <c r="E54" s="304"/>
      <c r="F54" s="304"/>
      <c r="G54" s="304"/>
      <c r="H54" s="304"/>
      <c r="I54" s="304"/>
      <c r="J54" s="303"/>
    </row>
    <row r="55" spans="2:10">
      <c r="B55" s="303"/>
      <c r="C55" s="306"/>
      <c r="D55" s="307"/>
      <c r="E55" s="307"/>
      <c r="F55" s="307"/>
      <c r="G55" s="307"/>
      <c r="H55" s="307"/>
      <c r="I55" s="307"/>
      <c r="J55" s="303"/>
    </row>
    <row r="56" spans="2:10">
      <c r="B56" s="303"/>
      <c r="C56" s="303"/>
      <c r="D56" s="303"/>
      <c r="E56" s="303"/>
      <c r="F56" s="303"/>
      <c r="G56" s="303"/>
      <c r="H56" s="303"/>
      <c r="I56" s="303"/>
      <c r="J56" s="303"/>
    </row>
  </sheetData>
  <mergeCells count="2">
    <mergeCell ref="B1:O1"/>
    <mergeCell ref="B29:I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2DD1939B175D4193234CE6FF8B6EE8" ma:contentTypeVersion="5" ma:contentTypeDescription="Create a new document." ma:contentTypeScope="" ma:versionID="e5d1736f6423e8052811efba104f689a">
  <xsd:schema xmlns:xsd="http://www.w3.org/2001/XMLSchema" xmlns:xs="http://www.w3.org/2001/XMLSchema" xmlns:p="http://schemas.microsoft.com/office/2006/metadata/properties" xmlns:ns3="acbc9dea-5fad-441f-92cb-daa3a20721c8" targetNamespace="http://schemas.microsoft.com/office/2006/metadata/properties" ma:root="true" ma:fieldsID="c56a238ca7c31260f80d0f167b45185f" ns3:_="">
    <xsd:import namespace="acbc9dea-5fad-441f-92cb-daa3a20721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c9dea-5fad-441f-92cb-daa3a2072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bc9dea-5fad-441f-92cb-daa3a20721c8" xsi:nil="true"/>
  </documentManagement>
</p:properties>
</file>

<file path=customXml/itemProps1.xml><?xml version="1.0" encoding="utf-8"?>
<ds:datastoreItem xmlns:ds="http://schemas.openxmlformats.org/officeDocument/2006/customXml" ds:itemID="{49EE5CB7-5399-4528-91A8-4FCEAA842B02}"/>
</file>

<file path=customXml/itemProps2.xml><?xml version="1.0" encoding="utf-8"?>
<ds:datastoreItem xmlns:ds="http://schemas.openxmlformats.org/officeDocument/2006/customXml" ds:itemID="{51581669-DCA6-4A2C-84E5-E3412103CD20}"/>
</file>

<file path=customXml/itemProps3.xml><?xml version="1.0" encoding="utf-8"?>
<ds:datastoreItem xmlns:ds="http://schemas.openxmlformats.org/officeDocument/2006/customXml" ds:itemID="{E45705D7-BA0C-460A-9FFC-110E5F8E8B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Jose</dc:creator>
  <cp:keywords/>
  <dc:description/>
  <cp:lastModifiedBy>Usuario invitado</cp:lastModifiedBy>
  <cp:revision/>
  <dcterms:created xsi:type="dcterms:W3CDTF">2023-03-12T21:07:13Z</dcterms:created>
  <dcterms:modified xsi:type="dcterms:W3CDTF">2024-09-18T01:55:58Z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0x010100042DD1939B175D4193234CE6FF8B6EE8</vt:lpwstr>
  </property>
</Properties>
</file>