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LENOVO\Desktop\CANCHA ESPERANZA\Nueva carpeta\"/>
    </mc:Choice>
  </mc:AlternateContent>
  <xr:revisionPtr revIDLastSave="0" documentId="8_{734B2F3E-3654-4C99-9F03-E195C7B8FCEF}" xr6:coauthVersionLast="47" xr6:coauthVersionMax="47" xr10:uidLastSave="{00000000-0000-0000-0000-000000000000}"/>
  <bookViews>
    <workbookView xWindow="-120" yWindow="-120" windowWidth="20730" windowHeight="11160" tabRatio="333" firstSheet="4" activeTab="5" xr2:uid="{00000000-000D-0000-FFFF-FFFF00000000}"/>
  </bookViews>
  <sheets>
    <sheet name="4.1 Huella graderia " sheetId="14" r:id="rId1"/>
    <sheet name="4.2 Viga longitudinal" sheetId="12" r:id="rId2"/>
    <sheet name="4.3 Mamposteria" sheetId="15" r:id="rId3"/>
    <sheet name="Cartera de cantidades" sheetId="4" r:id="rId4"/>
    <sheet name="Oficial" sheetId="2" r:id="rId5"/>
    <sheet name="Ayudante" sheetId="3" r:id="rId6"/>
    <sheet name="Costos de cuadrilas" sheetId="5" r:id="rId7"/>
    <sheet name="Ruta Critica" sheetId="18" r:id="rId8"/>
    <sheet name="Hoja1" sheetId="19" r:id="rId9"/>
  </sheets>
  <externalReferences>
    <externalReference r:id="rId10"/>
  </externalReferences>
  <definedNames>
    <definedName name="AUX._TRANSP." localSheetId="5">Ayudante!$B$5</definedName>
    <definedName name="AUX._TRANSP." localSheetId="4">Oficial!$B$5</definedName>
    <definedName name="Periodo_Analisis" localSheetId="5">Ayudante!$D$7</definedName>
    <definedName name="Periodo_Analisis" localSheetId="4">Oficial!$D$7</definedName>
    <definedName name="SMMLV" localSheetId="5">Ayudante!$B$4</definedName>
    <definedName name="SMMLV" localSheetId="4">Oficial!$B$4</definedName>
  </definedNames>
  <calcPr calcId="18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9" i="14" l="1"/>
  <c r="O13" i="14"/>
  <c r="O33" i="14"/>
  <c r="O34" i="14"/>
  <c r="O28" i="14"/>
  <c r="O29" i="14"/>
  <c r="O21" i="14"/>
  <c r="Y14" i="14"/>
  <c r="Y14" i="12"/>
  <c r="O21" i="12"/>
  <c r="AB18" i="12"/>
  <c r="AB18" i="14"/>
  <c r="AF32" i="14"/>
  <c r="O12" i="14" s="1"/>
  <c r="AA30" i="4"/>
  <c r="AA29" i="4"/>
  <c r="Z29" i="4"/>
  <c r="Y29" i="4"/>
  <c r="X29" i="4"/>
  <c r="W29" i="4"/>
  <c r="M9" i="18"/>
  <c r="Q15" i="18"/>
  <c r="Q11" i="18" s="1"/>
  <c r="O11" i="18" s="1"/>
  <c r="O18" i="18"/>
  <c r="O15" i="18" s="1"/>
  <c r="M15" i="18" s="1"/>
  <c r="J22" i="18"/>
  <c r="O22" i="18"/>
  <c r="L26" i="18"/>
  <c r="O30" i="18"/>
  <c r="J30" i="18"/>
  <c r="AL20" i="15" l="1"/>
  <c r="AH20" i="15"/>
  <c r="F30" i="15"/>
  <c r="F29" i="15"/>
  <c r="F28" i="15"/>
  <c r="AB35" i="15"/>
  <c r="AB34" i="15"/>
  <c r="F22" i="15"/>
  <c r="F21" i="15"/>
  <c r="O11" i="15"/>
  <c r="O9" i="15"/>
  <c r="O10" i="15"/>
  <c r="F11" i="15"/>
  <c r="F10" i="15"/>
  <c r="F9" i="15"/>
  <c r="AF28" i="15"/>
  <c r="Z32" i="15"/>
  <c r="AF27" i="15"/>
  <c r="AG27" i="15"/>
  <c r="Q42" i="15"/>
  <c r="Q41" i="15"/>
  <c r="Q40" i="15"/>
  <c r="Q39" i="15"/>
  <c r="Q43" i="15" s="1"/>
  <c r="AC37" i="15"/>
  <c r="AD37" i="15" s="1"/>
  <c r="AN20" i="15"/>
  <c r="AE20" i="15"/>
  <c r="S20" i="15"/>
  <c r="G20" i="15"/>
  <c r="F20" i="15"/>
  <c r="AB19" i="15"/>
  <c r="AB18" i="15"/>
  <c r="AN17" i="15"/>
  <c r="AL15" i="15"/>
  <c r="AN14" i="15"/>
  <c r="AL14" i="15"/>
  <c r="AE14" i="15"/>
  <c r="Y14" i="15"/>
  <c r="AE13" i="15"/>
  <c r="AH13" i="15" s="1"/>
  <c r="AH11" i="15"/>
  <c r="AH10" i="15"/>
  <c r="Q10" i="15"/>
  <c r="AH9" i="15"/>
  <c r="Q9" i="15"/>
  <c r="AN8" i="15"/>
  <c r="AN6" i="15"/>
  <c r="AL6" i="15"/>
  <c r="AH6" i="15"/>
  <c r="AE6" i="15"/>
  <c r="O29" i="12"/>
  <c r="O28" i="12"/>
  <c r="O30" i="12"/>
  <c r="Q14" i="12"/>
  <c r="D10" i="2"/>
  <c r="X19" i="4"/>
  <c r="AG27" i="12"/>
  <c r="AF32" i="12"/>
  <c r="AF29" i="12"/>
  <c r="AF30" i="12"/>
  <c r="AF31" i="12"/>
  <c r="O12" i="12"/>
  <c r="AG29" i="12"/>
  <c r="O13" i="12" s="1"/>
  <c r="AF27" i="12"/>
  <c r="AF33" i="12" s="1"/>
  <c r="AD37" i="12"/>
  <c r="Q11" i="15" l="1"/>
  <c r="O11" i="12"/>
  <c r="Q11" i="12" s="1"/>
  <c r="O9" i="12"/>
  <c r="Q9" i="12" s="1"/>
  <c r="M10" i="12"/>
  <c r="M9" i="12"/>
  <c r="Q42" i="14"/>
  <c r="Q41" i="14"/>
  <c r="Q40" i="14"/>
  <c r="Q39" i="14"/>
  <c r="Q43" i="14" s="1"/>
  <c r="AB35" i="14"/>
  <c r="F34" i="14"/>
  <c r="B33" i="14"/>
  <c r="AB32" i="14"/>
  <c r="O32" i="14"/>
  <c r="F32" i="14"/>
  <c r="AF31" i="14"/>
  <c r="AB31" i="14"/>
  <c r="O31" i="14"/>
  <c r="F31" i="14"/>
  <c r="AB30" i="14"/>
  <c r="O30" i="14"/>
  <c r="F30" i="14"/>
  <c r="AF29" i="14"/>
  <c r="Q13" i="14" s="1"/>
  <c r="AB29" i="14"/>
  <c r="F29" i="14"/>
  <c r="AB28" i="14"/>
  <c r="AB36" i="14" s="1"/>
  <c r="AB37" i="14" s="1"/>
  <c r="AC37" i="14" s="1"/>
  <c r="AD37" i="14" s="1"/>
  <c r="P22" i="14" s="1"/>
  <c r="Q22" i="14" s="1"/>
  <c r="F28" i="14"/>
  <c r="AB27" i="14"/>
  <c r="F22" i="14"/>
  <c r="F21" i="14"/>
  <c r="B21" i="14"/>
  <c r="AZ20" i="14"/>
  <c r="AV20" i="14"/>
  <c r="AR20" i="14"/>
  <c r="AN20" i="14"/>
  <c r="AL20" i="14"/>
  <c r="AH20" i="14"/>
  <c r="AE20" i="14"/>
  <c r="S20" i="14"/>
  <c r="G20" i="14"/>
  <c r="F20" i="14"/>
  <c r="AB19" i="14"/>
  <c r="Q21" i="14"/>
  <c r="AZ17" i="14"/>
  <c r="AV17" i="14"/>
  <c r="AR17" i="14"/>
  <c r="AN17" i="14"/>
  <c r="AZ15" i="14"/>
  <c r="AR15" i="14"/>
  <c r="AL15" i="14"/>
  <c r="AZ14" i="14"/>
  <c r="AV14" i="14"/>
  <c r="AR14" i="14"/>
  <c r="AN14" i="14"/>
  <c r="AL14" i="14"/>
  <c r="AE14" i="14"/>
  <c r="AE13" i="14"/>
  <c r="AH13" i="14" s="1"/>
  <c r="F13" i="14"/>
  <c r="Q12" i="14"/>
  <c r="F12" i="14"/>
  <c r="AH11" i="14"/>
  <c r="F11" i="14"/>
  <c r="AH10" i="14"/>
  <c r="M10" i="14"/>
  <c r="O10" i="14" s="1"/>
  <c r="Q10" i="14" s="1"/>
  <c r="F10" i="14"/>
  <c r="AH9" i="14"/>
  <c r="M9" i="14"/>
  <c r="F9" i="14"/>
  <c r="AZ8" i="14"/>
  <c r="AV8" i="14"/>
  <c r="AN8" i="14"/>
  <c r="AZ6" i="14"/>
  <c r="AV6" i="14"/>
  <c r="AR6" i="14"/>
  <c r="AN6" i="14"/>
  <c r="AL6" i="14"/>
  <c r="AH6" i="14"/>
  <c r="AE6" i="14"/>
  <c r="AZ20" i="12"/>
  <c r="O33" i="12"/>
  <c r="O34" i="12"/>
  <c r="Q13" i="12"/>
  <c r="O10" i="12"/>
  <c r="Q10" i="12" s="1"/>
  <c r="AB32" i="12"/>
  <c r="AB31" i="12"/>
  <c r="B33" i="12"/>
  <c r="AZ15" i="12"/>
  <c r="AZ8" i="12"/>
  <c r="AZ6" i="12"/>
  <c r="AZ17" i="12"/>
  <c r="AV20" i="12"/>
  <c r="AV14" i="12"/>
  <c r="AZ14" i="12"/>
  <c r="AV8" i="12"/>
  <c r="AV6" i="12"/>
  <c r="AV17" i="12"/>
  <c r="AR20" i="12"/>
  <c r="AR15" i="12"/>
  <c r="AR6" i="12"/>
  <c r="AN20" i="12"/>
  <c r="AR17" i="12"/>
  <c r="AL15" i="12"/>
  <c r="AN14" i="12"/>
  <c r="AN8" i="12"/>
  <c r="AN6" i="12"/>
  <c r="AL20" i="12"/>
  <c r="AL14" i="12"/>
  <c r="AL6" i="12"/>
  <c r="AH20" i="12"/>
  <c r="AH11" i="12"/>
  <c r="AH10" i="12"/>
  <c r="AH9" i="12"/>
  <c r="AH6" i="12"/>
  <c r="AE20" i="12"/>
  <c r="AE13" i="12"/>
  <c r="AH13" i="12"/>
  <c r="AE6" i="12"/>
  <c r="AN17" i="12"/>
  <c r="AE14" i="12"/>
  <c r="O32" i="12"/>
  <c r="O31" i="12"/>
  <c r="F21" i="12"/>
  <c r="Z30" i="4"/>
  <c r="Y30" i="4"/>
  <c r="X30" i="4"/>
  <c r="L30" i="4"/>
  <c r="R29" i="4"/>
  <c r="N29" i="4"/>
  <c r="H29" i="4"/>
  <c r="U29" i="4"/>
  <c r="T29" i="4"/>
  <c r="Y19" i="4"/>
  <c r="AB19" i="12"/>
  <c r="AB27" i="12"/>
  <c r="F9" i="12"/>
  <c r="F10" i="12"/>
  <c r="W30" i="4"/>
  <c r="V30" i="4"/>
  <c r="U30" i="4"/>
  <c r="T30" i="4"/>
  <c r="S30" i="4"/>
  <c r="R30" i="4"/>
  <c r="Q30" i="4"/>
  <c r="P30" i="4"/>
  <c r="N30" i="4"/>
  <c r="H30" i="4"/>
  <c r="V29" i="4"/>
  <c r="S29" i="4"/>
  <c r="Q29" i="4"/>
  <c r="P29" i="4"/>
  <c r="Q42" i="12"/>
  <c r="Q41" i="12"/>
  <c r="Q40" i="12"/>
  <c r="Q39" i="12"/>
  <c r="AB35" i="12"/>
  <c r="F34" i="12"/>
  <c r="F32" i="12"/>
  <c r="F31" i="12"/>
  <c r="AB30" i="12"/>
  <c r="F30" i="12"/>
  <c r="AB29" i="12"/>
  <c r="F29" i="12"/>
  <c r="F28" i="12"/>
  <c r="F22" i="12"/>
  <c r="B21" i="12"/>
  <c r="AR14" i="12"/>
  <c r="S20" i="12"/>
  <c r="G20" i="12"/>
  <c r="F20" i="12"/>
  <c r="Q21" i="12"/>
  <c r="F13" i="12"/>
  <c r="Q12" i="12"/>
  <c r="F12" i="12"/>
  <c r="F11" i="12"/>
  <c r="Z28" i="4"/>
  <c r="V28" i="4"/>
  <c r="U28" i="4"/>
  <c r="T28" i="4"/>
  <c r="S28" i="4"/>
  <c r="R28" i="4"/>
  <c r="R24" i="4"/>
  <c r="Q28" i="4"/>
  <c r="Y28" i="4"/>
  <c r="N28" i="4"/>
  <c r="P28" i="4"/>
  <c r="W28" i="4"/>
  <c r="X28" i="4"/>
  <c r="H28" i="4"/>
  <c r="Z27" i="4"/>
  <c r="V27" i="4"/>
  <c r="U27" i="4"/>
  <c r="T27" i="4"/>
  <c r="S27" i="4"/>
  <c r="R27" i="4"/>
  <c r="R23" i="4"/>
  <c r="Q27" i="4"/>
  <c r="Y27" i="4"/>
  <c r="N27" i="4"/>
  <c r="P27" i="4"/>
  <c r="W27" i="4"/>
  <c r="X27" i="4"/>
  <c r="H27" i="4"/>
  <c r="Z26" i="4"/>
  <c r="X26" i="4"/>
  <c r="W26" i="4"/>
  <c r="V26" i="4"/>
  <c r="U26" i="4"/>
  <c r="T26" i="4"/>
  <c r="N26" i="4"/>
  <c r="P26" i="4"/>
  <c r="Q26" i="4"/>
  <c r="S26" i="4"/>
  <c r="R26" i="4"/>
  <c r="R22" i="4"/>
  <c r="Y26" i="4"/>
  <c r="H26" i="4"/>
  <c r="H3" i="3"/>
  <c r="H4" i="3"/>
  <c r="D11" i="3"/>
  <c r="R11" i="3"/>
  <c r="B12" i="3"/>
  <c r="C12" i="3"/>
  <c r="D12" i="3"/>
  <c r="E12" i="3" s="1"/>
  <c r="R12" i="3"/>
  <c r="U12" i="3"/>
  <c r="Y12" i="3"/>
  <c r="AD12" i="3"/>
  <c r="AE12" i="3"/>
  <c r="AF12" i="3"/>
  <c r="B13" i="3"/>
  <c r="C13" i="3"/>
  <c r="D13" i="3"/>
  <c r="E13" i="3" s="1"/>
  <c r="U13" i="3"/>
  <c r="Y13" i="3"/>
  <c r="AD13" i="3"/>
  <c r="AE13" i="3"/>
  <c r="AF13" i="3"/>
  <c r="U14" i="3"/>
  <c r="Y14" i="3"/>
  <c r="AD14" i="3"/>
  <c r="AE14" i="3"/>
  <c r="AF14" i="3"/>
  <c r="B15" i="3"/>
  <c r="C15" i="3"/>
  <c r="D15" i="3"/>
  <c r="U15" i="3"/>
  <c r="Y15" i="3"/>
  <c r="AD15" i="3"/>
  <c r="AE15" i="3"/>
  <c r="AF15" i="3"/>
  <c r="Y16" i="3"/>
  <c r="AD16" i="3"/>
  <c r="AE16" i="3"/>
  <c r="AF16" i="3"/>
  <c r="D18" i="3"/>
  <c r="D19" i="3"/>
  <c r="E19" i="3"/>
  <c r="D20" i="3"/>
  <c r="E20" i="3"/>
  <c r="D21" i="3"/>
  <c r="E21" i="3"/>
  <c r="D22" i="3"/>
  <c r="E22" i="3"/>
  <c r="D17" i="3" s="1"/>
  <c r="D25" i="3"/>
  <c r="D26" i="3"/>
  <c r="E26" i="3"/>
  <c r="E29" i="3" s="1"/>
  <c r="D24" i="3" s="1"/>
  <c r="H26" i="3"/>
  <c r="J26" i="3"/>
  <c r="D27" i="3"/>
  <c r="E27" i="3"/>
  <c r="H27" i="3"/>
  <c r="J27" i="3"/>
  <c r="D28" i="3"/>
  <c r="E28" i="3"/>
  <c r="F28" i="3"/>
  <c r="D29" i="3"/>
  <c r="D32" i="3"/>
  <c r="D33" i="3"/>
  <c r="E33" i="3" s="1"/>
  <c r="D34" i="3"/>
  <c r="E34" i="3" s="1"/>
  <c r="D35" i="3"/>
  <c r="E35" i="3" s="1"/>
  <c r="D36" i="3"/>
  <c r="E36" i="3" s="1"/>
  <c r="D37" i="3"/>
  <c r="D40" i="3"/>
  <c r="D41" i="3"/>
  <c r="E41" i="3" s="1"/>
  <c r="R41" i="3"/>
  <c r="W41" i="3"/>
  <c r="D42" i="3"/>
  <c r="E42" i="3" s="1"/>
  <c r="R42" i="3"/>
  <c r="W42" i="3"/>
  <c r="D43" i="3"/>
  <c r="R43" i="3"/>
  <c r="W43" i="3"/>
  <c r="R44" i="3"/>
  <c r="W44" i="3"/>
  <c r="W45" i="3"/>
  <c r="D46" i="3"/>
  <c r="D47" i="3"/>
  <c r="E47" i="3"/>
  <c r="D48" i="3"/>
  <c r="E48" i="3"/>
  <c r="D49" i="3"/>
  <c r="E49" i="3"/>
  <c r="D45" i="3" s="1"/>
  <c r="H3" i="2"/>
  <c r="D13" i="2" s="1"/>
  <c r="H4" i="2"/>
  <c r="D11" i="2"/>
  <c r="R11" i="2"/>
  <c r="U13" i="2" s="1"/>
  <c r="C12" i="2"/>
  <c r="B12" i="2" s="1"/>
  <c r="R12" i="2"/>
  <c r="U12" i="2"/>
  <c r="Y12" i="2"/>
  <c r="AD12" i="2"/>
  <c r="AE12" i="2"/>
  <c r="AF12" i="2"/>
  <c r="C13" i="2"/>
  <c r="B13" i="2" s="1"/>
  <c r="Y13" i="2"/>
  <c r="AD13" i="2"/>
  <c r="AE13" i="2"/>
  <c r="AF13" i="2"/>
  <c r="U14" i="2"/>
  <c r="Y14" i="2"/>
  <c r="AD14" i="2"/>
  <c r="AE14" i="2"/>
  <c r="AF14" i="2"/>
  <c r="C15" i="2"/>
  <c r="U15" i="2"/>
  <c r="Y15" i="2"/>
  <c r="AD15" i="2"/>
  <c r="AE15" i="2"/>
  <c r="AF15" i="2"/>
  <c r="Y16" i="2"/>
  <c r="AD16" i="2"/>
  <c r="AE16" i="2"/>
  <c r="AF16" i="2"/>
  <c r="D18" i="2"/>
  <c r="D25" i="2"/>
  <c r="H26" i="2"/>
  <c r="J26" i="2"/>
  <c r="H27" i="2"/>
  <c r="J27" i="2"/>
  <c r="F28" i="2"/>
  <c r="D32" i="2"/>
  <c r="D33" i="2"/>
  <c r="D34" i="2"/>
  <c r="D35" i="2"/>
  <c r="D40" i="2"/>
  <c r="D41" i="2"/>
  <c r="R41" i="2"/>
  <c r="W41" i="2"/>
  <c r="D42" i="2"/>
  <c r="R42" i="2"/>
  <c r="W42" i="2"/>
  <c r="D43" i="2"/>
  <c r="R43" i="2"/>
  <c r="W43" i="2"/>
  <c r="R44" i="2"/>
  <c r="W44" i="2"/>
  <c r="W45" i="2"/>
  <c r="D46" i="2"/>
  <c r="E3" i="4"/>
  <c r="G3" i="4"/>
  <c r="E4" i="4"/>
  <c r="G4" i="4"/>
  <c r="E5" i="4"/>
  <c r="G5" i="4"/>
  <c r="H5" i="4"/>
  <c r="E6" i="4"/>
  <c r="G6" i="4"/>
  <c r="T6" i="4"/>
  <c r="U6" i="4"/>
  <c r="V6" i="4"/>
  <c r="E7" i="4"/>
  <c r="G7" i="4"/>
  <c r="T7" i="4"/>
  <c r="U7" i="4"/>
  <c r="V7" i="4"/>
  <c r="E8" i="4"/>
  <c r="G8" i="4"/>
  <c r="T8" i="4"/>
  <c r="U8" i="4"/>
  <c r="V8" i="4"/>
  <c r="E9" i="4"/>
  <c r="G9" i="4"/>
  <c r="E10" i="4"/>
  <c r="G10" i="4"/>
  <c r="H15" i="4"/>
  <c r="T15" i="4"/>
  <c r="N15" i="4"/>
  <c r="P15" i="4"/>
  <c r="Q15" i="4"/>
  <c r="S15" i="4"/>
  <c r="U15" i="4"/>
  <c r="V15" i="4"/>
  <c r="W15" i="4"/>
  <c r="X15" i="4"/>
  <c r="Y15" i="4"/>
  <c r="Z15" i="4"/>
  <c r="H16" i="4"/>
  <c r="X16" i="4"/>
  <c r="N16" i="4"/>
  <c r="P16" i="4"/>
  <c r="Q16" i="4"/>
  <c r="R16" i="4"/>
  <c r="T16" i="4"/>
  <c r="U16" i="4"/>
  <c r="V16" i="4"/>
  <c r="W16" i="4"/>
  <c r="H17" i="4"/>
  <c r="N17" i="4"/>
  <c r="P17" i="4"/>
  <c r="Q17" i="4"/>
  <c r="S17" i="4"/>
  <c r="R17" i="4"/>
  <c r="U17" i="4"/>
  <c r="V17" i="4"/>
  <c r="W17" i="4"/>
  <c r="X17" i="4"/>
  <c r="Y17" i="4"/>
  <c r="Z17" i="4"/>
  <c r="H18" i="4"/>
  <c r="N18" i="4"/>
  <c r="P18" i="4"/>
  <c r="Q18" i="4"/>
  <c r="S18" i="4"/>
  <c r="R18" i="4"/>
  <c r="T18" i="4"/>
  <c r="U18" i="4"/>
  <c r="V18" i="4"/>
  <c r="W18" i="4"/>
  <c r="X18" i="4"/>
  <c r="Y18" i="4"/>
  <c r="Z18" i="4"/>
  <c r="H19" i="4"/>
  <c r="N19" i="4"/>
  <c r="P19" i="4"/>
  <c r="Q19" i="4"/>
  <c r="R19" i="4"/>
  <c r="T19" i="4"/>
  <c r="U19" i="4"/>
  <c r="V19" i="4"/>
  <c r="W19" i="4"/>
  <c r="H20" i="4"/>
  <c r="N20" i="4"/>
  <c r="P20" i="4"/>
  <c r="Q20" i="4"/>
  <c r="S20" i="4"/>
  <c r="R20" i="4"/>
  <c r="T20" i="4"/>
  <c r="U20" i="4"/>
  <c r="V20" i="4"/>
  <c r="W20" i="4"/>
  <c r="X20" i="4"/>
  <c r="Y20" i="4"/>
  <c r="Z20" i="4"/>
  <c r="H21" i="4"/>
  <c r="X21" i="4"/>
  <c r="Y21" i="4"/>
  <c r="Z21" i="4"/>
  <c r="N21" i="4"/>
  <c r="P21" i="4"/>
  <c r="Q21" i="4"/>
  <c r="R21" i="4"/>
  <c r="T21" i="4"/>
  <c r="U21" i="4"/>
  <c r="V21" i="4"/>
  <c r="W21" i="4"/>
  <c r="H22" i="4"/>
  <c r="N22" i="4"/>
  <c r="P22" i="4"/>
  <c r="Q22" i="4"/>
  <c r="S22" i="4"/>
  <c r="T22" i="4"/>
  <c r="U22" i="4"/>
  <c r="V22" i="4"/>
  <c r="W22" i="4"/>
  <c r="X22" i="4"/>
  <c r="H23" i="4"/>
  <c r="X23" i="4"/>
  <c r="N23" i="4"/>
  <c r="P23" i="4"/>
  <c r="Q23" i="4"/>
  <c r="T23" i="4"/>
  <c r="U23" i="4"/>
  <c r="V23" i="4"/>
  <c r="W23" i="4"/>
  <c r="H24" i="4"/>
  <c r="N24" i="4"/>
  <c r="P24" i="4"/>
  <c r="Q24" i="4"/>
  <c r="S24" i="4"/>
  <c r="T24" i="4"/>
  <c r="U24" i="4"/>
  <c r="V24" i="4"/>
  <c r="W24" i="4"/>
  <c r="X24" i="4"/>
  <c r="H25" i="4"/>
  <c r="X25" i="4"/>
  <c r="Y25" i="4"/>
  <c r="Z25" i="4"/>
  <c r="N25" i="4"/>
  <c r="P25" i="4"/>
  <c r="Q25" i="4"/>
  <c r="R25" i="4"/>
  <c r="T25" i="4"/>
  <c r="U25" i="4"/>
  <c r="V25" i="4"/>
  <c r="W25" i="4"/>
  <c r="Q43" i="12"/>
  <c r="AB36" i="12"/>
  <c r="AB37" i="12" s="1"/>
  <c r="AC37" i="12" s="1"/>
  <c r="P22" i="12" s="1"/>
  <c r="Q22" i="12" s="1"/>
  <c r="Y23" i="4"/>
  <c r="Z23" i="4"/>
  <c r="Z19" i="4"/>
  <c r="Y16" i="4"/>
  <c r="Z16" i="4"/>
  <c r="S25" i="4"/>
  <c r="Y24" i="4"/>
  <c r="Z24" i="4"/>
  <c r="S23" i="4"/>
  <c r="Y22" i="4"/>
  <c r="Z22" i="4"/>
  <c r="S21" i="4"/>
  <c r="S19" i="4"/>
  <c r="S16" i="4"/>
  <c r="H7" i="4"/>
  <c r="H8" i="4" s="1"/>
  <c r="G11" i="4"/>
  <c r="AF30" i="14" l="1"/>
  <c r="O9" i="14" s="1"/>
  <c r="Q9" i="14" s="1"/>
  <c r="AF27" i="14"/>
  <c r="AF33" i="14" s="1"/>
  <c r="O11" i="14" s="1"/>
  <c r="Q11" i="14" s="1"/>
  <c r="R13" i="3"/>
  <c r="R14" i="3" s="1"/>
  <c r="R16" i="3" s="1"/>
  <c r="E4" i="3" s="1"/>
  <c r="R13" i="2"/>
  <c r="R14" i="2" s="1"/>
  <c r="R16" i="2" s="1"/>
  <c r="E4" i="2" s="1"/>
  <c r="Q14" i="15"/>
  <c r="E43" i="3"/>
  <c r="D39" i="3" s="1"/>
  <c r="E37" i="3"/>
  <c r="D31" i="3" s="1"/>
  <c r="D47" i="2"/>
  <c r="B15" i="2"/>
  <c r="E15" i="3"/>
  <c r="D10" i="3" s="1"/>
  <c r="E3" i="3" s="1"/>
  <c r="Q15" i="14"/>
  <c r="D12" i="2"/>
  <c r="E2" i="3" l="1"/>
  <c r="H5" i="3" s="1"/>
  <c r="C26" i="5"/>
  <c r="D26" i="5" s="1"/>
  <c r="C22" i="5"/>
  <c r="D22" i="5" s="1"/>
  <c r="C18" i="5"/>
  <c r="D18" i="5" s="1"/>
  <c r="C14" i="5"/>
  <c r="D14" i="5" s="1"/>
  <c r="C10" i="5"/>
  <c r="D10" i="5" s="1"/>
  <c r="C6" i="5"/>
  <c r="D6" i="5" s="1"/>
  <c r="C31" i="5"/>
  <c r="D31" i="5" s="1"/>
  <c r="E12" i="2"/>
  <c r="D26" i="2"/>
  <c r="D27" i="2"/>
  <c r="E27" i="2" s="1"/>
  <c r="D28" i="2"/>
  <c r="E28" i="2" s="1"/>
  <c r="E33" i="2"/>
  <c r="E34" i="2"/>
  <c r="E35" i="2"/>
  <c r="E41" i="2"/>
  <c r="D48" i="2"/>
  <c r="E48" i="2" s="1"/>
  <c r="D15" i="2"/>
  <c r="D36" i="2"/>
  <c r="E13" i="2"/>
  <c r="D49" i="2"/>
  <c r="E47" i="2"/>
  <c r="E49" i="2" s="1"/>
  <c r="D45" i="2" s="1"/>
  <c r="C35" i="5"/>
  <c r="D35" i="5" s="1"/>
  <c r="C51" i="5"/>
  <c r="D51" i="5" s="1"/>
  <c r="C39" i="5"/>
  <c r="D39" i="5" s="1"/>
  <c r="C47" i="5"/>
  <c r="D47" i="5" s="1"/>
  <c r="C43" i="5"/>
  <c r="D43" i="5" s="1"/>
  <c r="D19" i="2"/>
  <c r="D21" i="2"/>
  <c r="E21" i="2" s="1"/>
  <c r="E42" i="2"/>
  <c r="E43" i="2" l="1"/>
  <c r="D39" i="2" s="1"/>
  <c r="E26" i="2"/>
  <c r="E29" i="2" s="1"/>
  <c r="D24" i="2" s="1"/>
  <c r="D29" i="2"/>
  <c r="D20" i="2"/>
  <c r="E20" i="2" s="1"/>
  <c r="E19" i="2"/>
  <c r="E22" i="2" s="1"/>
  <c r="D17" i="2" s="1"/>
  <c r="E36" i="2"/>
  <c r="D37" i="2"/>
  <c r="E37" i="2"/>
  <c r="D31" i="2" s="1"/>
  <c r="E15" i="2"/>
  <c r="E3" i="2" s="1"/>
  <c r="E2" i="2" s="1"/>
  <c r="H5" i="2" s="1"/>
  <c r="C21" i="5" l="1"/>
  <c r="D21" i="5" s="1"/>
  <c r="E21" i="5" s="1"/>
  <c r="C13" i="5"/>
  <c r="D13" i="5" s="1"/>
  <c r="E13" i="5" s="1"/>
  <c r="C5" i="5"/>
  <c r="D5" i="5" s="1"/>
  <c r="E5" i="5" s="1"/>
  <c r="C25" i="5"/>
  <c r="D25" i="5" s="1"/>
  <c r="E25" i="5" s="1"/>
  <c r="C17" i="5"/>
  <c r="D17" i="5" s="1"/>
  <c r="E17" i="5" s="1"/>
  <c r="P30" i="14" s="1"/>
  <c r="C9" i="5"/>
  <c r="D9" i="5" s="1"/>
  <c r="E9" i="5" s="1"/>
  <c r="P29" i="14" s="1"/>
  <c r="C30" i="5"/>
  <c r="D30" i="5" s="1"/>
  <c r="E30" i="5" s="1"/>
  <c r="P28" i="12" s="1"/>
  <c r="C38" i="5"/>
  <c r="D38" i="5" s="1"/>
  <c r="E38" i="5" s="1"/>
  <c r="C42" i="5"/>
  <c r="D42" i="5" s="1"/>
  <c r="E42" i="5" s="1"/>
  <c r="P30" i="12" s="1"/>
  <c r="C50" i="5"/>
  <c r="D50" i="5" s="1"/>
  <c r="E50" i="5" s="1"/>
  <c r="C46" i="5"/>
  <c r="D46" i="5" s="1"/>
  <c r="E46" i="5" s="1"/>
  <c r="C34" i="5"/>
  <c r="D34" i="5" s="1"/>
  <c r="E34" i="5" s="1"/>
  <c r="P29" i="12" s="1"/>
  <c r="D22" i="2"/>
  <c r="P28" i="14" l="1"/>
  <c r="P28" i="15"/>
  <c r="Q28" i="15" s="1"/>
  <c r="Q35" i="15" s="1"/>
  <c r="P34" i="14"/>
  <c r="Q34" i="14" s="1"/>
  <c r="P31" i="14"/>
  <c r="Q31" i="14" s="1"/>
  <c r="P34" i="12"/>
  <c r="Q34" i="12" s="1"/>
  <c r="P31" i="12"/>
  <c r="Q31" i="12" s="1"/>
  <c r="Q30" i="14"/>
  <c r="Q30" i="12"/>
  <c r="Q29" i="14"/>
  <c r="Q29" i="12"/>
  <c r="P32" i="14"/>
  <c r="P32" i="12"/>
  <c r="Q28" i="14"/>
  <c r="Q28" i="12"/>
  <c r="P20" i="15" l="1"/>
  <c r="Q20" i="15" s="1"/>
  <c r="Q24" i="15" s="1"/>
  <c r="P33" i="14"/>
  <c r="Q33" i="14" s="1"/>
  <c r="Q32" i="14"/>
  <c r="P33" i="12"/>
  <c r="Q33" i="12" s="1"/>
  <c r="Q32" i="12"/>
  <c r="Q35" i="12" l="1"/>
  <c r="Q35" i="14"/>
  <c r="Q45" i="15"/>
  <c r="S24" i="15" s="1"/>
  <c r="P20" i="12"/>
  <c r="Q20" i="12" s="1"/>
  <c r="Q24" i="12" s="1"/>
  <c r="Q45" i="12" s="1"/>
  <c r="P20" i="14" l="1"/>
  <c r="Q20" i="14" s="1"/>
  <c r="Q24" i="14" s="1"/>
  <c r="Q45" i="14" s="1"/>
  <c r="S43" i="15"/>
  <c r="S16" i="15"/>
  <c r="Q47" i="15"/>
  <c r="Q49" i="15" s="1"/>
  <c r="S49" i="15" s="1"/>
  <c r="S35" i="15"/>
  <c r="S24" i="12" l="1"/>
  <c r="Q47" i="14"/>
  <c r="Q49" i="14" s="1"/>
  <c r="S49" i="14" s="1"/>
  <c r="S43" i="14"/>
  <c r="S16" i="14"/>
  <c r="S35" i="14"/>
  <c r="Q47" i="12"/>
  <c r="Q49" i="12" s="1"/>
  <c r="S49" i="12" s="1"/>
  <c r="S16" i="12"/>
  <c r="S43" i="12"/>
  <c r="S35" i="12"/>
  <c r="S24" i="14"/>
  <c r="T49" i="12" l="1"/>
  <c r="T49" i="15" s="1"/>
</calcChain>
</file>

<file path=xl/sharedStrings.xml><?xml version="1.0" encoding="utf-8"?>
<sst xmlns="http://schemas.openxmlformats.org/spreadsheetml/2006/main" count="919" uniqueCount="348">
  <si>
    <t>I MATERIALES</t>
  </si>
  <si>
    <t>DESCRIPCIÓN</t>
  </si>
  <si>
    <t>ALCANCE</t>
  </si>
  <si>
    <t>UNIDAD</t>
  </si>
  <si>
    <t>CONSUMO</t>
  </si>
  <si>
    <t>VALOR UNITARIO</t>
  </si>
  <si>
    <t>VALOR PARCIAL</t>
  </si>
  <si>
    <t>Subtotal:</t>
  </si>
  <si>
    <t>II EQUIPOS</t>
  </si>
  <si>
    <t>TARIFA</t>
  </si>
  <si>
    <t>RENDMTO</t>
  </si>
  <si>
    <t>III MANO DE OBRA</t>
  </si>
  <si>
    <t>IV OTROS</t>
  </si>
  <si>
    <t>FACTOR</t>
  </si>
  <si>
    <t>PRECIO UNITARIO</t>
  </si>
  <si>
    <t>COSTO DIRECTO:</t>
  </si>
  <si>
    <t>AIU%</t>
  </si>
  <si>
    <t>COSTO UNITARIO:</t>
  </si>
  <si>
    <t>ITEM</t>
  </si>
  <si>
    <t>DESCRIPCIÓN (PROCESO o TAREA)</t>
  </si>
  <si>
    <t>ANÁLISIS DE PRECIOS UNITARIOS</t>
  </si>
  <si>
    <t>%/CD</t>
  </si>
  <si>
    <t>Datos de Análisis Y Supuestos</t>
  </si>
  <si>
    <t>Análisis de consumo de alambre en obra</t>
  </si>
  <si>
    <t>Totales</t>
  </si>
  <si>
    <t>Cantidades</t>
  </si>
  <si>
    <t>Costos</t>
  </si>
  <si>
    <t>OBSERVACIONES</t>
  </si>
  <si>
    <t>4.1</t>
  </si>
  <si>
    <t>m3</t>
  </si>
  <si>
    <t>T1. Verificación de ejes, centros, alineamientos, plomos y cotas.</t>
  </si>
  <si>
    <t>Kg</t>
  </si>
  <si>
    <t xml:space="preserve">Graderia </t>
  </si>
  <si>
    <t xml:space="preserve">Muro de contencion Norte </t>
  </si>
  <si>
    <t xml:space="preserve">Zapatas Graderia Centrica </t>
  </si>
  <si>
    <t xml:space="preserve">Zapatas Graderia EXCentrica </t>
  </si>
  <si>
    <t>Viga de amarre nivel cimiento transversal</t>
  </si>
  <si>
    <t>Viga de amarre nivel cimiento Longitudianal</t>
  </si>
  <si>
    <t>Columna centrica</t>
  </si>
  <si>
    <t>Columna excentrica</t>
  </si>
  <si>
    <t>Huella de graderia</t>
  </si>
  <si>
    <t>Suma</t>
  </si>
  <si>
    <t>Dimensiones</t>
  </si>
  <si>
    <t xml:space="preserve">Cantidades de acero de graderia </t>
  </si>
  <si>
    <t>GANCHOS</t>
  </si>
  <si>
    <t>TRASLAPOS</t>
  </si>
  <si>
    <t>Recubrimiento</t>
  </si>
  <si>
    <t>Separacion</t>
  </si>
  <si>
    <t>LONGITUD DE ACERO</t>
  </si>
  <si>
    <t>Longitud total</t>
  </si>
  <si>
    <t>b</t>
  </si>
  <si>
    <t>h</t>
  </si>
  <si>
    <t>Acero No</t>
  </si>
  <si>
    <t>Cantidad T</t>
  </si>
  <si>
    <t>longitud</t>
  </si>
  <si>
    <t>lg total</t>
  </si>
  <si>
    <t>Cantidad de acero</t>
  </si>
  <si>
    <t>A</t>
  </si>
  <si>
    <t>B</t>
  </si>
  <si>
    <t>Viga longitudinal</t>
  </si>
  <si>
    <t>Zapata excentrica</t>
  </si>
  <si>
    <t>Kg total</t>
  </si>
  <si>
    <t>Desperdicio</t>
  </si>
  <si>
    <t>Longitud u</t>
  </si>
  <si>
    <t>Longitud no utul</t>
  </si>
  <si>
    <t>ml</t>
  </si>
  <si>
    <t>m3=</t>
  </si>
  <si>
    <t>Alambre negro para amarres</t>
  </si>
  <si>
    <t>T2. Armado y amarre de acero de refuerzo del cimiento.</t>
  </si>
  <si>
    <t>Alambre negro</t>
  </si>
  <si>
    <t>grs</t>
  </si>
  <si>
    <t>Antisol de sika 200grs/m2</t>
  </si>
  <si>
    <t>Antisol</t>
  </si>
  <si>
    <t>Area de contacto</t>
  </si>
  <si>
    <t>Herramienta menor</t>
  </si>
  <si>
    <t>Rendimiento de equipos</t>
  </si>
  <si>
    <t>Vibrador de concreto</t>
  </si>
  <si>
    <t>Productividad</t>
  </si>
  <si>
    <t>%</t>
  </si>
  <si>
    <t>ANÁLISIS DE FACTORES DE AFECTACIÓN COSTO MANO DE OBRA -CONSTRUCCIÓN</t>
  </si>
  <si>
    <t>CARGO:</t>
  </si>
  <si>
    <t>AYUDANTE</t>
  </si>
  <si>
    <t>FAS:</t>
  </si>
  <si>
    <t>TIPO:</t>
  </si>
  <si>
    <t>TRABAJADOR</t>
  </si>
  <si>
    <t>AÑO:</t>
  </si>
  <si>
    <t>FP:</t>
  </si>
  <si>
    <t>ASM:</t>
  </si>
  <si>
    <t>SMMLV:</t>
  </si>
  <si>
    <t>FTE:</t>
  </si>
  <si>
    <t>Decreto 1785, de 29 diciembre 2020</t>
  </si>
  <si>
    <t>AUX. TRANSP.:</t>
  </si>
  <si>
    <t>Costo Real Hora:</t>
  </si>
  <si>
    <t>Decreto 1786, de 29 diciembre 2020</t>
  </si>
  <si>
    <t>Período de análisis</t>
  </si>
  <si>
    <t>Meses</t>
  </si>
  <si>
    <t>FACTOR PRESTACIONAL (FP)</t>
  </si>
  <si>
    <t>FACTOR TIEMPO EFECTIVO (FTE)</t>
  </si>
  <si>
    <t>Factor=</t>
  </si>
  <si>
    <t>I. SALARIO BÁSICO</t>
  </si>
  <si>
    <t>DIA</t>
  </si>
  <si>
    <t>MES</t>
  </si>
  <si>
    <t>COMENTARIOS</t>
  </si>
  <si>
    <t>PERIODO DE ANÁLISIS</t>
  </si>
  <si>
    <t>MESES</t>
  </si>
  <si>
    <t>PERÍODO ANÁLISIS (MESES)</t>
  </si>
  <si>
    <t>Días Pagados</t>
  </si>
  <si>
    <t>Domingos</t>
  </si>
  <si>
    <t>Festivos</t>
  </si>
  <si>
    <t>Permisos</t>
  </si>
  <si>
    <t>Ausencias</t>
  </si>
  <si>
    <t>Dias NO trabajados</t>
  </si>
  <si>
    <t>Dias Trabajados</t>
  </si>
  <si>
    <t>FTE</t>
  </si>
  <si>
    <t>Asignación mensual (ASM)</t>
  </si>
  <si>
    <t>Jornada máxima 8 horas/dia y 48 horas/semana</t>
  </si>
  <si>
    <t>Art. 145 C. S. T.</t>
  </si>
  <si>
    <t>DIAS PAGADOS</t>
  </si>
  <si>
    <t>DÍAS</t>
  </si>
  <si>
    <t>DOMINGOS</t>
  </si>
  <si>
    <t>Auxilio de Transorte</t>
  </si>
  <si>
    <t>Devenguen &lt;= 2 SMMLV,</t>
  </si>
  <si>
    <t>&gt; 1 Km</t>
  </si>
  <si>
    <t>Art. 127 C. S. T., Art. 14 Ley 50/90</t>
  </si>
  <si>
    <t>DÍAS NO TRABAJADOS</t>
  </si>
  <si>
    <t>FESTIVOS</t>
  </si>
  <si>
    <t>Horas extras, recargos</t>
  </si>
  <si>
    <t>Jornada ordinaria diurna [6:00 a.m. - 9:00 p.m.]</t>
  </si>
  <si>
    <t>Ley 15/59; Ley 1/63</t>
  </si>
  <si>
    <t>DÍAS TRABAJADOS</t>
  </si>
  <si>
    <t>PERMISOS</t>
  </si>
  <si>
    <t>AUSENCIAS</t>
  </si>
  <si>
    <t>II. PRESTACIONES SOCIALES</t>
  </si>
  <si>
    <t>Cesantías</t>
  </si>
  <si>
    <t>30 dias/año laborado o proporcional; incluye Aux. Transporte</t>
  </si>
  <si>
    <t>Art. 249, 310 C. S. T.</t>
  </si>
  <si>
    <t>Intereses a las Cesantías</t>
  </si>
  <si>
    <t>anual</t>
  </si>
  <si>
    <t>Ley 52/75</t>
  </si>
  <si>
    <t>Primas</t>
  </si>
  <si>
    <t>30 dias/año o proporcional; incluye Aux. Transporte</t>
  </si>
  <si>
    <t>Art. 46, 306 C. S. T.</t>
  </si>
  <si>
    <t>III. SEGURIDAD SOCIAL</t>
  </si>
  <si>
    <t>TABLA DE CLASES DE RIESGO Y COTIZACIÓNES ARP</t>
  </si>
  <si>
    <t>Pensiones (A.F.P.)</t>
  </si>
  <si>
    <t>Empleador:</t>
  </si>
  <si>
    <t>Empleado:</t>
  </si>
  <si>
    <t>Art. 260 C. S. T. Ley 100/93</t>
  </si>
  <si>
    <t>CLASE</t>
  </si>
  <si>
    <t>RIESGO</t>
  </si>
  <si>
    <t>VALOR MIN.</t>
  </si>
  <si>
    <t>VALOR INICIAL</t>
  </si>
  <si>
    <t>VALOR MÁX.</t>
  </si>
  <si>
    <t>Salud (E.P.S.)</t>
  </si>
  <si>
    <t>Art. 20 Ley 100/93, Ley 797/2003</t>
  </si>
  <si>
    <t>Clase 1</t>
  </si>
  <si>
    <t>Mínimo</t>
  </si>
  <si>
    <t>Riesgos Prof. (A.R.P.)</t>
  </si>
  <si>
    <t>Riesgo:</t>
  </si>
  <si>
    <t>Clase 2</t>
  </si>
  <si>
    <t>Bajo</t>
  </si>
  <si>
    <t>Art. 46 Ley 100/93</t>
  </si>
  <si>
    <t>Clase 3</t>
  </si>
  <si>
    <t>Medio</t>
  </si>
  <si>
    <t>Dcto 1295/94, art. 18,19 Ley 776/2002</t>
  </si>
  <si>
    <t>Clase 4</t>
  </si>
  <si>
    <t>Alto</t>
  </si>
  <si>
    <t>Clase 5</t>
  </si>
  <si>
    <t>Máximo</t>
  </si>
  <si>
    <t>IV. APORTES PARAFISCALES</t>
  </si>
  <si>
    <t>Clase=</t>
  </si>
  <si>
    <t>SENA (Aporte ordinario)</t>
  </si>
  <si>
    <t xml:space="preserve">Exoneración ASB &lt; 10 SMMLV </t>
  </si>
  <si>
    <t>Art. 7 Ley 21/82; Art. 30 Ley 119/94</t>
  </si>
  <si>
    <t>SENA (FIC)</t>
  </si>
  <si>
    <t>Mensual = 1SMMLV/40 trabajadores</t>
  </si>
  <si>
    <t>Dcto 2375/74; Dcto 083/76; Dcto 1047/83</t>
  </si>
  <si>
    <t>ICBF</t>
  </si>
  <si>
    <t>Ley 89/88</t>
  </si>
  <si>
    <t>Caja Compensación Fliar</t>
  </si>
  <si>
    <t xml:space="preserve">Exoneración ASB &gt; 4 SMMLV </t>
  </si>
  <si>
    <t>Dotación reglamentaria</t>
  </si>
  <si>
    <t>Elementos de protección personal</t>
  </si>
  <si>
    <t>V. DOTACIÓN y SEGURIDAD</t>
  </si>
  <si>
    <t>Rubro</t>
  </si>
  <si>
    <t>Cantidad</t>
  </si>
  <si>
    <t>Vr Unitario</t>
  </si>
  <si>
    <t>Vr parcial</t>
  </si>
  <si>
    <t>&lt;= 2 SMMLV &gt;=90 dias continuos 3 dotaciones/año</t>
  </si>
  <si>
    <t>Art. 230 modificado Art. 7 Ley 11/84</t>
  </si>
  <si>
    <t>Pantalón</t>
  </si>
  <si>
    <t>Casco</t>
  </si>
  <si>
    <t>Elementos de seguridad y protección</t>
  </si>
  <si>
    <t xml:space="preserve">Elementos de protección personal. Dotación cada 6 meses </t>
  </si>
  <si>
    <t>Camisa</t>
  </si>
  <si>
    <t>Gafas</t>
  </si>
  <si>
    <t>Botas</t>
  </si>
  <si>
    <t>Guante</t>
  </si>
  <si>
    <t>Cinturón</t>
  </si>
  <si>
    <t>VI. OTRAS OBLIGACIONES</t>
  </si>
  <si>
    <t>Fuente: Homecenter</t>
  </si>
  <si>
    <t>Vacaciones</t>
  </si>
  <si>
    <t>15 dias/año o proporcional; no incluye Aux. Transporte</t>
  </si>
  <si>
    <t>Art. 46, 186, 192, 310 C. S. T.</t>
  </si>
  <si>
    <t>Fecha: Octubre 2021</t>
  </si>
  <si>
    <t>Seguro Colectivo</t>
  </si>
  <si>
    <t>*Según Consuegra, recomienda 0,5%</t>
  </si>
  <si>
    <t>Fecha: Noviembre 2021</t>
  </si>
  <si>
    <t>Oficial</t>
  </si>
  <si>
    <t>DATOS SUMINISTRADOS POR HOMECNETER</t>
  </si>
  <si>
    <t>TIPO</t>
  </si>
  <si>
    <t>N° HOMBRES</t>
  </si>
  <si>
    <t>TOTAL</t>
  </si>
  <si>
    <t>COSTO CDLLA</t>
  </si>
  <si>
    <t>OFICIAL</t>
  </si>
  <si>
    <t xml:space="preserve">Graderia de cancha de 0,80 de contra huella y 0,42 de huella concreto 3000 psi </t>
  </si>
  <si>
    <t>Cuadrilla 1:1 para verificacion de ejes</t>
  </si>
  <si>
    <t>Cuadrilla 1:1 Armado de acero</t>
  </si>
  <si>
    <t>Cuadrilla 1x4 Mezclado de concreto</t>
  </si>
  <si>
    <t>Cuadrilla 0x1 Curado de concreto</t>
  </si>
  <si>
    <t>Cuadrilla 1x1</t>
  </si>
  <si>
    <t>Cuadrilla 0x1</t>
  </si>
  <si>
    <t>Cuadrilla 1x4</t>
  </si>
  <si>
    <t>hr-H/m2</t>
  </si>
  <si>
    <t>hr-H/KG</t>
  </si>
  <si>
    <t>Zapatas Centrica</t>
  </si>
  <si>
    <t>4.2</t>
  </si>
  <si>
    <t>Viga inclinada</t>
  </si>
  <si>
    <t>Viga transversal Nivel cimiento</t>
  </si>
  <si>
    <t>cantidad de variilas</t>
  </si>
  <si>
    <t>Cantidad de estructuras</t>
  </si>
  <si>
    <t>Formaleta metalica</t>
  </si>
  <si>
    <t xml:space="preserve">Angulos </t>
  </si>
  <si>
    <t>chapetas</t>
  </si>
  <si>
    <t>T.3Formaleteada</t>
  </si>
  <si>
    <t>Cuadrilla 1:1 Formaleteada</t>
  </si>
  <si>
    <t>Cuadrilla 0x1 Desformaleteada</t>
  </si>
  <si>
    <t>Longitud</t>
  </si>
  <si>
    <t>Cantidad de acerp</t>
  </si>
  <si>
    <t>Kg por unidad</t>
  </si>
  <si>
    <t>Formaleta metalica 1,2*0,3</t>
  </si>
  <si>
    <t>Kg total de varilla</t>
  </si>
  <si>
    <t>Anti Sol sika</t>
  </si>
  <si>
    <t>gr/m2</t>
  </si>
  <si>
    <t>Mezcladora de concreto mixer</t>
  </si>
  <si>
    <t>Columna concentrica</t>
  </si>
  <si>
    <t>Longitud de acero 1/2 12m</t>
  </si>
  <si>
    <t>Longitud de acero 1/2 6m</t>
  </si>
  <si>
    <t>Formaleta metalica 1,2*0,6</t>
  </si>
  <si>
    <t>Alineadores de 3m</t>
  </si>
  <si>
    <t>Losa para gradería en concreto reforzado, huella B= 0,8x e=0,1  F´c= 21 Mpa; fy= 420 Mpa</t>
  </si>
  <si>
    <t>T4. Vaciado de concreto f’c:21 Mpa.</t>
  </si>
  <si>
    <t>T.5 Vibrado de concreto</t>
  </si>
  <si>
    <t>T.6 Curado de concreto</t>
  </si>
  <si>
    <t>T.7 Desformaletear</t>
  </si>
  <si>
    <t>Varillas de acero de 1/2 " de 12m de longitud- Longitudinal</t>
  </si>
  <si>
    <t>Varillas de acero de 1/2 " de 6m de longitud- Transversal</t>
  </si>
  <si>
    <t>Concreto pre mezclado de planta F´c= 21Mpa</t>
  </si>
  <si>
    <t xml:space="preserve">Cerchas </t>
  </si>
  <si>
    <t>Parales</t>
  </si>
  <si>
    <t>h-M*m3/ml</t>
  </si>
  <si>
    <t>hm2/ml</t>
  </si>
  <si>
    <t>hr-H/ml</t>
  </si>
  <si>
    <t>TAREA 1</t>
  </si>
  <si>
    <t>TAREA 2</t>
  </si>
  <si>
    <t>TAREA 3</t>
  </si>
  <si>
    <t>TAREA 4</t>
  </si>
  <si>
    <t>MATERIAL</t>
  </si>
  <si>
    <t>EQUIPO</t>
  </si>
  <si>
    <t>MANO DE OBRA</t>
  </si>
  <si>
    <t>TAREA 5</t>
  </si>
  <si>
    <t>TAREA 6</t>
  </si>
  <si>
    <t>TAREA 7</t>
  </si>
  <si>
    <t xml:space="preserve">Alquiler de accesorios necesarios para formaletear </t>
  </si>
  <si>
    <t>Area de contacto para curado</t>
  </si>
  <si>
    <t xml:space="preserve"> Viga longitudinal de  concreto reforzado,  B= 0,25x h=0,3  F´c= 21 Mpa; fy= 420 Mpa</t>
  </si>
  <si>
    <t>Varillas de acero de 5/8 " de 12m de longitud- Longitudinal</t>
  </si>
  <si>
    <t>Varillas de acero de 3/8 " de 12m de longitud- Transversal</t>
  </si>
  <si>
    <t>Longitud de acero 5/8 12m</t>
  </si>
  <si>
    <t>Longitud de acero 3/812m</t>
  </si>
  <si>
    <t>h*m2/ml</t>
  </si>
  <si>
    <t>1|</t>
  </si>
  <si>
    <t>4.3</t>
  </si>
  <si>
    <t xml:space="preserve"> Mampostería en ladrillo macizo de arcilla cocida de 7x10x20cm para estampadod de contrahuella de graderia,incluye mortero de pega1:3,limpieza de juntas.</t>
  </si>
  <si>
    <t>m2</t>
  </si>
  <si>
    <t>T.2 Levantamiento de muro de mamposteria</t>
  </si>
  <si>
    <t>T.3 Preparacion de mortero 1:3</t>
  </si>
  <si>
    <t>T4. Limpieza de juntas</t>
  </si>
  <si>
    <t>Recursos</t>
  </si>
  <si>
    <t>Cantidad de ladrillo</t>
  </si>
  <si>
    <t>Dimensiones de ladrillo</t>
  </si>
  <si>
    <t>Espesor de mortero</t>
  </si>
  <si>
    <t>Largo de ladrillo</t>
  </si>
  <si>
    <t>Volumen de mortero</t>
  </si>
  <si>
    <t>Espesor de ladricho</t>
  </si>
  <si>
    <t>Volumen</t>
  </si>
  <si>
    <t>Ladrillo Coicido 7x10x20</t>
  </si>
  <si>
    <t xml:space="preserve">Cemento </t>
  </si>
  <si>
    <t>Arena</t>
  </si>
  <si>
    <t>Unidad</t>
  </si>
  <si>
    <t>Rendimiento de cuadrilla</t>
  </si>
  <si>
    <t>2(1x1)</t>
  </si>
  <si>
    <t>1Dia/m2</t>
  </si>
  <si>
    <t>Cuadrilla 1*1</t>
  </si>
  <si>
    <t>hr-h/m2</t>
  </si>
  <si>
    <t>1x1</t>
  </si>
  <si>
    <t>h/m2</t>
  </si>
  <si>
    <t>h-h/m2</t>
  </si>
  <si>
    <t>RUTA CRITICA PARA GRADERIA DE 30 METRO CON LOSA DE HUELLA DE 0,8 EN CONCRETO REFORZADO f´c=21Mpa, Incluye Acero Fy=420Mpa</t>
  </si>
  <si>
    <t xml:space="preserve">ID </t>
  </si>
  <si>
    <t>MS</t>
  </si>
  <si>
    <t>DURACION( DÍAS)</t>
  </si>
  <si>
    <t>ACTIVIDADES</t>
  </si>
  <si>
    <t>PRECEDENTES</t>
  </si>
  <si>
    <t>GRADERIA DE 30 METRO CON LOSA DE HUELLA DE 0,8 EN CONCRETO REFORZADO f´c=21Mpa, Incluye Acero Fy=420Mpa</t>
  </si>
  <si>
    <t>Inicio</t>
  </si>
  <si>
    <t>Excavacion mecanica para cimentacion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</si>
  <si>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</si>
  <si>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</si>
  <si>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</si>
  <si>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</si>
  <si>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</si>
  <si>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</si>
  <si>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</si>
  <si>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</si>
  <si>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</si>
  <si>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</si>
  <si>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</si>
  <si>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Zapata Centrica 0,8*0,8 m Incluye Acero</t>
  </si>
  <si>
    <t>Zapata Excentrica 0,8*0,6 m Incluye Acero</t>
  </si>
  <si>
    <t>Viga de amarre longitudinas 30 m de  B=0,25;h=0,3m</t>
  </si>
  <si>
    <t>Viga amarre transversal de 1,4m; B=0,25*h=0,3m</t>
  </si>
  <si>
    <t>Relleno y compactacion Nivel viga de confinamiento</t>
  </si>
  <si>
    <t>Viga de confinamiento de 30m; B=0,3; h=0,3</t>
  </si>
  <si>
    <t>Losa para gradería en concreto reforzado, huella B= 0,8x e=0,1</t>
  </si>
  <si>
    <t xml:space="preserve">Estuco y pintura </t>
  </si>
  <si>
    <t>Aseo</t>
  </si>
  <si>
    <t>Verificacion de ejes y alineamientos</t>
  </si>
  <si>
    <t xml:space="preserve"> Mampostería en ladrillo macizo de arcilla cocida de7x10x20cm para Contra huella de 0,3m</t>
  </si>
  <si>
    <t>4.15</t>
  </si>
  <si>
    <t xml:space="preserve">Viga inclinada de 3,45m; b=0,3 h=0,3 </t>
  </si>
  <si>
    <t>4.16</t>
  </si>
  <si>
    <t xml:space="preserve"> Mampostería confinada en ladrillo h15  15x20x30cm para costados</t>
  </si>
  <si>
    <t>FIN</t>
  </si>
  <si>
    <t>4.17</t>
  </si>
  <si>
    <t>Friso para maposteria dosificacion 1:4</t>
  </si>
  <si>
    <t xml:space="preserve">Columna  interior de 1,5m ;b=0,3;h=0,3m </t>
  </si>
  <si>
    <t>Columna exterior de 2,5; b=0,3;h=0,3m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</si>
</sst>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$&quot;\ * #,##0.00_-;\-&quot;$&quot;\ * #,##0.00_-;_-&quot;$&quot;\ * &quot;-&quot;??_-;_-@_-"/>
    <numFmt numFmtId="164" formatCode="_-&quot;$&quot;* #,##0.00_-;\-&quot;$&quot;* #,##0.00_-;_-&quot;$&quot;* &quot;-&quot;??_-;_-@_-"/>
    <numFmt numFmtId="165" formatCode="_ &quot;$&quot;\ * #,##0.00_ ;_ &quot;$&quot;\ * \-#,##0.00_ ;_ &quot;$&quot;\ * &quot;-&quot;??_ ;_ @_ "/>
    <numFmt numFmtId="166" formatCode="0.000"/>
    <numFmt numFmtId="167" formatCode="&quot;$&quot;\ #,##0"/>
    <numFmt numFmtId="168" formatCode="0.0"/>
    <numFmt numFmtId="169" formatCode="General\ &quot;m2&quot;"/>
    <numFmt numFmtId="170" formatCode="General\ &quot;m3&quot;"/>
    <numFmt numFmtId="171" formatCode="0.0%"/>
    <numFmt numFmtId="172" formatCode="General\ &quot;m3/dia&quot;"/>
    <numFmt numFmtId="173" formatCode="General\ &quot;hr-m/m3&quot;"/>
    <numFmt numFmtId="174" formatCode="0.0\ &quot;SMMLV&quot;"/>
    <numFmt numFmtId="175" formatCode="&quot;$&quot;#,##0"/>
    <numFmt numFmtId="176" formatCode="&quot;$&quot;#,##0.00"/>
    <numFmt numFmtId="177" formatCode="&quot;$&quot;\ #,##0.00"/>
    <numFmt numFmtId="178" formatCode="0.000%"/>
    <numFmt numFmtId="179" formatCode="_-&quot;$&quot;\ * #,##0_-;\-&quot;$&quot;\ * #,##0_-;_-&quot;$&quot;\ * &quot;-&quot;??_-;_-@_-"/>
    <numFmt numFmtId="180" formatCode="_ &quot;$&quot;\ * #,##0_ ;_ &quot;$&quot;\ * \-#,##0_ ;_ &quot;$&quot;\ * &quot;-&quot;??_ ;_ @_ "/>
    <numFmt numFmtId="181" formatCode="General\ &quot;m3/h&quot;"/>
  </numFmts>
  <fonts count="20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Cambria"/>
      <family val="1"/>
    </font>
    <font>
      <sz val="11"/>
      <name val="Cambria"/>
      <family val="1"/>
    </font>
    <font>
      <b/>
      <sz val="11"/>
      <color indexed="56"/>
      <name val="Cambria"/>
      <family val="1"/>
    </font>
    <font>
      <sz val="8"/>
      <name val="Arial"/>
    </font>
    <font>
      <b/>
      <sz val="11"/>
      <color theme="1"/>
      <name val="Calibri"/>
      <family val="2"/>
      <scheme val="minor"/>
    </font>
    <font>
      <sz val="10"/>
      <color rgb="FFC00000"/>
      <name val="Cambria"/>
      <family val="1"/>
    </font>
    <font>
      <sz val="10"/>
      <color rgb="FF002060"/>
      <name val="Cambria"/>
      <family val="1"/>
    </font>
    <font>
      <sz val="11"/>
      <color rgb="FFFF0000"/>
      <name val="Cambria"/>
      <family val="1"/>
    </font>
    <font>
      <b/>
      <sz val="11"/>
      <color rgb="FFC00000"/>
      <name val="Cambria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0"/>
      <name val="Arial"/>
      <family val="2"/>
    </font>
    <font>
      <b/>
      <i/>
      <u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10">
    <xf numFmtId="0" fontId="0" fillId="0" borderId="0" xfId="0"/>
    <xf numFmtId="0" fontId="0" fillId="0" borderId="1" xfId="0" applyBorder="1"/>
    <xf numFmtId="0" fontId="0" fillId="0" borderId="2" xfId="0" applyBorder="1"/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justify" wrapText="1"/>
    </xf>
    <xf numFmtId="0" fontId="2" fillId="2" borderId="3" xfId="0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4" xfId="0" applyBorder="1"/>
    <xf numFmtId="0" fontId="0" fillId="0" borderId="12" xfId="0" applyBorder="1"/>
    <xf numFmtId="166" fontId="0" fillId="0" borderId="4" xfId="0" applyNumberFormat="1" applyBorder="1"/>
    <xf numFmtId="166" fontId="0" fillId="0" borderId="12" xfId="0" applyNumberFormat="1" applyBorder="1"/>
    <xf numFmtId="167" fontId="0" fillId="0" borderId="2" xfId="0" applyNumberFormat="1" applyBorder="1"/>
    <xf numFmtId="167" fontId="0" fillId="0" borderId="11" xfId="0" applyNumberFormat="1" applyBorder="1"/>
    <xf numFmtId="167" fontId="0" fillId="0" borderId="4" xfId="0" applyNumberFormat="1" applyBorder="1"/>
    <xf numFmtId="9" fontId="0" fillId="3" borderId="4" xfId="0" applyNumberFormat="1" applyFill="1" applyBorder="1"/>
    <xf numFmtId="167" fontId="2" fillId="4" borderId="4" xfId="0" applyNumberFormat="1" applyFont="1" applyFill="1" applyBorder="1"/>
    <xf numFmtId="0" fontId="2" fillId="2" borderId="2" xfId="0" applyFont="1" applyFill="1" applyBorder="1" applyAlignment="1">
      <alignment horizontal="center"/>
    </xf>
    <xf numFmtId="0" fontId="2" fillId="0" borderId="0" xfId="0" applyFont="1" applyBorder="1"/>
    <xf numFmtId="167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7" fontId="0" fillId="0" borderId="0" xfId="0" applyNumberFormat="1" applyBorder="1"/>
    <xf numFmtId="0" fontId="2" fillId="0" borderId="0" xfId="0" applyFont="1"/>
    <xf numFmtId="0" fontId="5" fillId="0" borderId="0" xfId="0" applyFont="1"/>
    <xf numFmtId="2" fontId="0" fillId="0" borderId="0" xfId="0" applyNumberFormat="1"/>
    <xf numFmtId="0" fontId="5" fillId="0" borderId="0" xfId="0" applyFont="1" applyAlignment="1">
      <alignment horizontal="right"/>
    </xf>
    <xf numFmtId="168" fontId="0" fillId="0" borderId="0" xfId="0" applyNumberFormat="1"/>
    <xf numFmtId="3" fontId="5" fillId="0" borderId="0" xfId="0" applyNumberFormat="1" applyFont="1"/>
    <xf numFmtId="0" fontId="5" fillId="0" borderId="3" xfId="0" applyFont="1" applyBorder="1"/>
    <xf numFmtId="0" fontId="5" fillId="0" borderId="1" xfId="0" applyFont="1" applyBorder="1"/>
    <xf numFmtId="0" fontId="2" fillId="0" borderId="4" xfId="0" applyFont="1" applyBorder="1" applyAlignment="1">
      <alignment horizontal="center"/>
    </xf>
    <xf numFmtId="9" fontId="0" fillId="0" borderId="1" xfId="0" applyNumberFormat="1" applyBorder="1"/>
    <xf numFmtId="3" fontId="0" fillId="0" borderId="0" xfId="0" applyNumberFormat="1"/>
    <xf numFmtId="167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Fill="1" applyBorder="1"/>
    <xf numFmtId="0" fontId="0" fillId="0" borderId="1" xfId="0" applyFill="1" applyBorder="1"/>
    <xf numFmtId="0" fontId="0" fillId="0" borderId="2" xfId="0" applyFill="1" applyBorder="1"/>
    <xf numFmtId="0" fontId="5" fillId="0" borderId="1" xfId="0" applyFont="1" applyFill="1" applyBorder="1"/>
    <xf numFmtId="9" fontId="0" fillId="0" borderId="1" xfId="0" applyNumberFormat="1" applyFill="1" applyBorder="1" applyAlignment="1">
      <alignment horizontal="center"/>
    </xf>
    <xf numFmtId="0" fontId="4" fillId="0" borderId="3" xfId="0" applyFont="1" applyFill="1" applyBorder="1"/>
    <xf numFmtId="0" fontId="6" fillId="0" borderId="0" xfId="0" applyFont="1"/>
    <xf numFmtId="0" fontId="4" fillId="0" borderId="0" xfId="0" applyFont="1"/>
    <xf numFmtId="0" fontId="4" fillId="0" borderId="4" xfId="0" applyFont="1" applyFill="1" applyBorder="1" applyAlignment="1">
      <alignment horizontal="center" vertical="center"/>
    </xf>
    <xf numFmtId="169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0" fontId="0" fillId="0" borderId="1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0" fontId="0" fillId="0" borderId="17" xfId="0" applyNumberForma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9" fontId="0" fillId="0" borderId="5" xfId="0" applyNumberFormat="1" applyBorder="1"/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3" xfId="0" applyFont="1" applyBorder="1"/>
    <xf numFmtId="172" fontId="0" fillId="0" borderId="4" xfId="0" applyNumberFormat="1" applyBorder="1"/>
    <xf numFmtId="173" fontId="0" fillId="0" borderId="4" xfId="0" applyNumberFormat="1" applyBorder="1"/>
    <xf numFmtId="0" fontId="4" fillId="0" borderId="4" xfId="0" applyFont="1" applyBorder="1"/>
    <xf numFmtId="0" fontId="4" fillId="0" borderId="4" xfId="0" applyFont="1" applyFill="1" applyBorder="1"/>
    <xf numFmtId="0" fontId="0" fillId="0" borderId="4" xfId="0" applyFill="1" applyBorder="1"/>
    <xf numFmtId="0" fontId="7" fillId="5" borderId="0" xfId="0" applyFont="1" applyFill="1" applyAlignment="1">
      <alignment horizontal="left" vertical="center"/>
    </xf>
    <xf numFmtId="0" fontId="8" fillId="6" borderId="0" xfId="0" applyFont="1" applyFill="1" applyAlignment="1">
      <alignment vertical="center"/>
    </xf>
    <xf numFmtId="0" fontId="8" fillId="6" borderId="0" xfId="0" applyFont="1" applyFill="1" applyAlignment="1">
      <alignment horizontal="center" vertical="center"/>
    </xf>
    <xf numFmtId="0" fontId="7" fillId="5" borderId="8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centerContinuous" vertical="center"/>
    </xf>
    <xf numFmtId="0" fontId="7" fillId="5" borderId="0" xfId="0" applyFont="1" applyFill="1" applyAlignment="1">
      <alignment horizontal="center" vertical="center"/>
    </xf>
    <xf numFmtId="2" fontId="7" fillId="5" borderId="0" xfId="0" applyNumberFormat="1" applyFont="1" applyFill="1" applyAlignment="1">
      <alignment horizontal="left" vertical="center"/>
    </xf>
    <xf numFmtId="2" fontId="7" fillId="5" borderId="0" xfId="0" applyNumberFormat="1" applyFont="1" applyFill="1" applyAlignment="1">
      <alignment horizontal="right" vertical="center"/>
    </xf>
    <xf numFmtId="2" fontId="8" fillId="5" borderId="0" xfId="0" applyNumberFormat="1" applyFont="1" applyFill="1" applyAlignment="1">
      <alignment horizontal="right" vertical="center"/>
    </xf>
    <xf numFmtId="0" fontId="8" fillId="5" borderId="9" xfId="0" quotePrefix="1" applyFont="1" applyFill="1" applyBorder="1" applyAlignment="1">
      <alignment vertical="center"/>
    </xf>
    <xf numFmtId="0" fontId="8" fillId="5" borderId="0" xfId="0" quotePrefix="1" applyFont="1" applyFill="1" applyAlignment="1">
      <alignment vertical="center"/>
    </xf>
    <xf numFmtId="0" fontId="7" fillId="5" borderId="0" xfId="0" applyFont="1" applyFill="1" applyAlignment="1">
      <alignment horizontal="centerContinuous" vertical="center"/>
    </xf>
    <xf numFmtId="0" fontId="8" fillId="5" borderId="8" xfId="0" quotePrefix="1" applyFont="1" applyFill="1" applyBorder="1" applyAlignment="1">
      <alignment vertical="center"/>
    </xf>
    <xf numFmtId="167" fontId="7" fillId="3" borderId="4" xfId="0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2" fillId="0" borderId="8" xfId="0" applyFont="1" applyBorder="1"/>
    <xf numFmtId="0" fontId="12" fillId="0" borderId="0" xfId="0" applyFont="1"/>
    <xf numFmtId="0" fontId="7" fillId="5" borderId="10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centerContinuous" vertical="center"/>
    </xf>
    <xf numFmtId="2" fontId="8" fillId="5" borderId="5" xfId="0" applyNumberFormat="1" applyFont="1" applyFill="1" applyBorder="1" applyAlignment="1">
      <alignment horizontal="right" vertical="center"/>
    </xf>
    <xf numFmtId="0" fontId="8" fillId="5" borderId="11" xfId="0" quotePrefix="1" applyFont="1" applyFill="1" applyBorder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vertical="center"/>
    </xf>
    <xf numFmtId="0" fontId="7" fillId="5" borderId="19" xfId="0" applyFont="1" applyFill="1" applyBorder="1" applyAlignment="1">
      <alignment vertical="center"/>
    </xf>
    <xf numFmtId="0" fontId="8" fillId="5" borderId="19" xfId="0" applyFont="1" applyFill="1" applyBorder="1" applyAlignment="1">
      <alignment vertical="center"/>
    </xf>
    <xf numFmtId="0" fontId="7" fillId="5" borderId="0" xfId="0" applyFont="1" applyFill="1" applyAlignment="1">
      <alignment vertical="center"/>
    </xf>
    <xf numFmtId="0" fontId="9" fillId="5" borderId="0" xfId="0" applyFont="1" applyFill="1" applyAlignment="1">
      <alignment horizontal="centerContinuous" vertical="center"/>
    </xf>
    <xf numFmtId="0" fontId="7" fillId="7" borderId="4" xfId="0" applyFont="1" applyFill="1" applyBorder="1" applyAlignment="1">
      <alignment vertical="center"/>
    </xf>
    <xf numFmtId="0" fontId="9" fillId="6" borderId="0" xfId="0" applyFont="1" applyFill="1" applyAlignment="1">
      <alignment horizontal="centerContinuous" vertical="center"/>
    </xf>
    <xf numFmtId="0" fontId="7" fillId="7" borderId="3" xfId="0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0" fontId="7" fillId="7" borderId="2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4" fontId="7" fillId="0" borderId="4" xfId="5" applyNumberFormat="1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7" fillId="5" borderId="5" xfId="0" applyFont="1" applyFill="1" applyBorder="1" applyAlignment="1">
      <alignment vertical="center"/>
    </xf>
    <xf numFmtId="0" fontId="7" fillId="5" borderId="5" xfId="0" applyFont="1" applyFill="1" applyBorder="1" applyAlignment="1">
      <alignment horizontal="centerContinuous" vertical="center"/>
    </xf>
    <xf numFmtId="0" fontId="7" fillId="6" borderId="0" xfId="0" applyFont="1" applyFill="1" applyAlignment="1">
      <alignment horizontal="centerContinuous" vertical="center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6" borderId="1" xfId="0" applyFont="1" applyFill="1" applyBorder="1"/>
    <xf numFmtId="0" fontId="8" fillId="6" borderId="1" xfId="0" applyFont="1" applyFill="1" applyBorder="1" applyAlignment="1">
      <alignment horizontal="right"/>
    </xf>
    <xf numFmtId="0" fontId="8" fillId="6" borderId="20" xfId="0" applyFont="1" applyFill="1" applyBorder="1" applyAlignment="1">
      <alignment vertical="center"/>
    </xf>
    <xf numFmtId="176" fontId="8" fillId="6" borderId="20" xfId="0" applyNumberFormat="1" applyFont="1" applyFill="1" applyBorder="1" applyAlignment="1">
      <alignment vertical="center"/>
    </xf>
    <xf numFmtId="167" fontId="8" fillId="6" borderId="20" xfId="0" applyNumberFormat="1" applyFont="1" applyFill="1" applyBorder="1" applyAlignment="1">
      <alignment vertical="center"/>
    </xf>
    <xf numFmtId="171" fontId="8" fillId="6" borderId="20" xfId="0" applyNumberFormat="1" applyFont="1" applyFill="1" applyBorder="1" applyAlignment="1">
      <alignment vertical="center"/>
    </xf>
    <xf numFmtId="0" fontId="8" fillId="6" borderId="19" xfId="0" applyFont="1" applyFill="1" applyBorder="1" applyAlignment="1">
      <alignment vertical="center"/>
    </xf>
    <xf numFmtId="0" fontId="8" fillId="6" borderId="7" xfId="0" applyFont="1" applyFill="1" applyBorder="1" applyAlignment="1">
      <alignment vertical="center"/>
    </xf>
    <xf numFmtId="0" fontId="13" fillId="6" borderId="0" xfId="0" applyFont="1" applyFill="1" applyAlignment="1">
      <alignment vertical="center"/>
    </xf>
    <xf numFmtId="38" fontId="9" fillId="6" borderId="0" xfId="0" applyNumberFormat="1" applyFont="1" applyFill="1" applyAlignment="1">
      <alignment horizontal="left" vertical="center"/>
    </xf>
    <xf numFmtId="0" fontId="7" fillId="6" borderId="0" xfId="0" applyFont="1" applyFill="1" applyAlignment="1">
      <alignment horizontal="center"/>
    </xf>
    <xf numFmtId="0" fontId="8" fillId="6" borderId="0" xfId="0" applyFont="1" applyFill="1"/>
    <xf numFmtId="2" fontId="8" fillId="6" borderId="0" xfId="0" applyNumberFormat="1" applyFont="1" applyFill="1"/>
    <xf numFmtId="0" fontId="8" fillId="6" borderId="18" xfId="0" applyFont="1" applyFill="1" applyBorder="1" applyAlignment="1">
      <alignment vertical="center"/>
    </xf>
    <xf numFmtId="176" fontId="8" fillId="6" borderId="18" xfId="0" applyNumberFormat="1" applyFont="1" applyFill="1" applyBorder="1" applyAlignment="1">
      <alignment vertical="center"/>
    </xf>
    <xf numFmtId="167" fontId="8" fillId="6" borderId="18" xfId="0" applyNumberFormat="1" applyFont="1" applyFill="1" applyBorder="1" applyAlignment="1">
      <alignment vertical="center"/>
    </xf>
    <xf numFmtId="171" fontId="8" fillId="6" borderId="18" xfId="0" applyNumberFormat="1" applyFont="1" applyFill="1" applyBorder="1" applyAlignment="1">
      <alignment vertical="center"/>
    </xf>
    <xf numFmtId="0" fontId="14" fillId="6" borderId="0" xfId="0" applyFont="1" applyFill="1" applyAlignment="1">
      <alignment vertical="center"/>
    </xf>
    <xf numFmtId="0" fontId="8" fillId="6" borderId="9" xfId="0" applyFont="1" applyFill="1" applyBorder="1" applyAlignment="1">
      <alignment vertical="center"/>
    </xf>
    <xf numFmtId="0" fontId="8" fillId="6" borderId="0" xfId="0" applyFont="1" applyFill="1" applyAlignment="1">
      <alignment horizontal="center"/>
    </xf>
    <xf numFmtId="0" fontId="8" fillId="6" borderId="12" xfId="0" applyFont="1" applyFill="1" applyBorder="1" applyAlignment="1">
      <alignment vertical="center"/>
    </xf>
    <xf numFmtId="167" fontId="8" fillId="6" borderId="12" xfId="0" applyNumberFormat="1" applyFont="1" applyFill="1" applyBorder="1" applyAlignment="1">
      <alignment vertical="center"/>
    </xf>
    <xf numFmtId="171" fontId="8" fillId="6" borderId="12" xfId="0" applyNumberFormat="1" applyFont="1" applyFill="1" applyBorder="1" applyAlignment="1">
      <alignment vertical="center"/>
    </xf>
    <xf numFmtId="0" fontId="8" fillId="6" borderId="10" xfId="0" applyFont="1" applyFill="1" applyBorder="1" applyAlignment="1">
      <alignment vertical="center"/>
    </xf>
    <xf numFmtId="0" fontId="8" fillId="6" borderId="5" xfId="0" applyFont="1" applyFill="1" applyBorder="1" applyAlignment="1">
      <alignment vertical="center"/>
    </xf>
    <xf numFmtId="0" fontId="8" fillId="6" borderId="11" xfId="0" applyFont="1" applyFill="1" applyBorder="1" applyAlignment="1">
      <alignment vertical="center"/>
    </xf>
    <xf numFmtId="177" fontId="8" fillId="6" borderId="4" xfId="0" applyNumberFormat="1" applyFont="1" applyFill="1" applyBorder="1" applyAlignment="1">
      <alignment vertical="center"/>
    </xf>
    <xf numFmtId="167" fontId="8" fillId="6" borderId="4" xfId="0" applyNumberFormat="1" applyFont="1" applyFill="1" applyBorder="1" applyAlignment="1">
      <alignment vertical="center"/>
    </xf>
    <xf numFmtId="171" fontId="8" fillId="6" borderId="4" xfId="0" applyNumberFormat="1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176" fontId="8" fillId="6" borderId="0" xfId="0" applyNumberFormat="1" applyFont="1" applyFill="1" applyAlignment="1">
      <alignment vertical="center"/>
    </xf>
    <xf numFmtId="0" fontId="7" fillId="6" borderId="0" xfId="0" applyFont="1" applyFill="1" applyAlignment="1">
      <alignment vertical="center"/>
    </xf>
    <xf numFmtId="0" fontId="8" fillId="6" borderId="5" xfId="0" applyFont="1" applyFill="1" applyBorder="1" applyAlignment="1">
      <alignment horizontal="center"/>
    </xf>
    <xf numFmtId="0" fontId="8" fillId="6" borderId="5" xfId="0" applyFont="1" applyFill="1" applyBorder="1"/>
    <xf numFmtId="2" fontId="8" fillId="6" borderId="5" xfId="0" applyNumberFormat="1" applyFont="1" applyFill="1" applyBorder="1"/>
    <xf numFmtId="0" fontId="7" fillId="6" borderId="9" xfId="0" applyFont="1" applyFill="1" applyBorder="1" applyAlignment="1">
      <alignment horizontal="right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167" fontId="8" fillId="6" borderId="6" xfId="0" applyNumberFormat="1" applyFont="1" applyFill="1" applyBorder="1" applyAlignment="1">
      <alignment vertical="center"/>
    </xf>
    <xf numFmtId="167" fontId="8" fillId="6" borderId="7" xfId="0" applyNumberFormat="1" applyFont="1" applyFill="1" applyBorder="1" applyAlignment="1">
      <alignment vertical="center"/>
    </xf>
    <xf numFmtId="0" fontId="14" fillId="6" borderId="19" xfId="0" applyFont="1" applyFill="1" applyBorder="1" applyAlignment="1">
      <alignment vertical="center"/>
    </xf>
    <xf numFmtId="167" fontId="8" fillId="6" borderId="8" xfId="0" applyNumberFormat="1" applyFont="1" applyFill="1" applyBorder="1" applyAlignment="1">
      <alignment vertical="center"/>
    </xf>
    <xf numFmtId="167" fontId="8" fillId="6" borderId="9" xfId="0" applyNumberFormat="1" applyFont="1" applyFill="1" applyBorder="1" applyAlignment="1">
      <alignment vertical="center"/>
    </xf>
    <xf numFmtId="9" fontId="8" fillId="6" borderId="4" xfId="0" applyNumberFormat="1" applyFont="1" applyFill="1" applyBorder="1" applyAlignment="1">
      <alignment horizontal="center" vertical="center"/>
    </xf>
    <xf numFmtId="9" fontId="8" fillId="6" borderId="0" xfId="5" applyFont="1" applyFill="1" applyAlignment="1">
      <alignment vertical="center"/>
    </xf>
    <xf numFmtId="10" fontId="8" fillId="6" borderId="0" xfId="5" applyNumberFormat="1" applyFont="1" applyFill="1" applyAlignment="1">
      <alignment vertical="center"/>
    </xf>
    <xf numFmtId="167" fontId="8" fillId="6" borderId="10" xfId="0" applyNumberFormat="1" applyFont="1" applyFill="1" applyBorder="1" applyAlignment="1">
      <alignment vertical="center"/>
    </xf>
    <xf numFmtId="167" fontId="8" fillId="6" borderId="11" xfId="0" applyNumberFormat="1" applyFont="1" applyFill="1" applyBorder="1" applyAlignment="1">
      <alignment vertical="center"/>
    </xf>
    <xf numFmtId="0" fontId="14" fillId="6" borderId="5" xfId="0" applyFont="1" applyFill="1" applyBorder="1" applyAlignment="1">
      <alignment vertical="center"/>
    </xf>
    <xf numFmtId="167" fontId="8" fillId="6" borderId="19" xfId="0" applyNumberFormat="1" applyFont="1" applyFill="1" applyBorder="1" applyAlignment="1">
      <alignment vertical="center"/>
    </xf>
    <xf numFmtId="0" fontId="7" fillId="6" borderId="5" xfId="0" applyFont="1" applyFill="1" applyBorder="1" applyAlignment="1">
      <alignment vertical="center"/>
    </xf>
    <xf numFmtId="0" fontId="7" fillId="6" borderId="5" xfId="0" applyFont="1" applyFill="1" applyBorder="1" applyAlignment="1">
      <alignment horizontal="centerContinuous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67" fontId="8" fillId="0" borderId="20" xfId="0" applyNumberFormat="1" applyFont="1" applyBorder="1" applyAlignment="1">
      <alignment vertical="center"/>
    </xf>
    <xf numFmtId="171" fontId="8" fillId="0" borderId="20" xfId="0" applyNumberFormat="1" applyFont="1" applyBorder="1" applyAlignment="1">
      <alignment vertical="center"/>
    </xf>
    <xf numFmtId="171" fontId="8" fillId="3" borderId="4" xfId="0" applyNumberFormat="1" applyFont="1" applyFill="1" applyBorder="1" applyAlignment="1">
      <alignment horizontal="center" vertical="center"/>
    </xf>
    <xf numFmtId="171" fontId="8" fillId="3" borderId="4" xfId="0" applyNumberFormat="1" applyFont="1" applyFill="1" applyBorder="1" applyAlignment="1">
      <alignment vertical="center"/>
    </xf>
    <xf numFmtId="9" fontId="8" fillId="6" borderId="19" xfId="5" applyFont="1" applyFill="1" applyBorder="1" applyAlignment="1">
      <alignment horizontal="left" vertical="center"/>
    </xf>
    <xf numFmtId="0" fontId="14" fillId="6" borderId="7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67" fontId="8" fillId="0" borderId="18" xfId="0" applyNumberFormat="1" applyFont="1" applyBorder="1" applyAlignment="1">
      <alignment vertical="center"/>
    </xf>
    <xf numFmtId="171" fontId="8" fillId="0" borderId="18" xfId="0" applyNumberFormat="1" applyFont="1" applyBorder="1" applyAlignment="1">
      <alignment vertical="center"/>
    </xf>
    <xf numFmtId="0" fontId="8" fillId="6" borderId="8" xfId="0" applyFont="1" applyFill="1" applyBorder="1" applyAlignment="1">
      <alignment vertical="center"/>
    </xf>
    <xf numFmtId="9" fontId="8" fillId="6" borderId="0" xfId="5" applyFont="1" applyFill="1" applyBorder="1" applyAlignment="1">
      <alignment horizontal="left" vertical="center"/>
    </xf>
    <xf numFmtId="0" fontId="14" fillId="6" borderId="9" xfId="0" applyFont="1" applyFill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178" fontId="8" fillId="0" borderId="18" xfId="0" applyNumberFormat="1" applyFont="1" applyBorder="1" applyAlignment="1">
      <alignment horizontal="center" vertical="center"/>
    </xf>
    <xf numFmtId="178" fontId="8" fillId="0" borderId="9" xfId="0" applyNumberFormat="1" applyFont="1" applyBorder="1" applyAlignment="1">
      <alignment horizontal="center" vertical="center"/>
    </xf>
    <xf numFmtId="167" fontId="8" fillId="0" borderId="12" xfId="0" applyNumberFormat="1" applyFont="1" applyBorder="1" applyAlignment="1">
      <alignment vertical="center"/>
    </xf>
    <xf numFmtId="171" fontId="8" fillId="0" borderId="12" xfId="0" applyNumberFormat="1" applyFont="1" applyBorder="1" applyAlignment="1">
      <alignment vertical="center"/>
    </xf>
    <xf numFmtId="10" fontId="8" fillId="3" borderId="4" xfId="0" applyNumberFormat="1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178" fontId="8" fillId="0" borderId="5" xfId="0" applyNumberFormat="1" applyFont="1" applyBorder="1" applyAlignment="1">
      <alignment horizontal="center" vertical="center"/>
    </xf>
    <xf numFmtId="178" fontId="8" fillId="0" borderId="12" xfId="0" applyNumberFormat="1" applyFont="1" applyBorder="1" applyAlignment="1">
      <alignment horizontal="center" vertical="center"/>
    </xf>
    <xf numFmtId="178" fontId="8" fillId="0" borderId="11" xfId="0" applyNumberFormat="1" applyFont="1" applyBorder="1" applyAlignment="1">
      <alignment horizontal="center" vertical="center"/>
    </xf>
    <xf numFmtId="0" fontId="8" fillId="6" borderId="0" xfId="0" applyFont="1" applyFill="1" applyAlignment="1">
      <alignment horizontal="right" vertical="center"/>
    </xf>
    <xf numFmtId="0" fontId="8" fillId="6" borderId="19" xfId="0" applyFont="1" applyFill="1" applyBorder="1" applyAlignment="1">
      <alignment horizontal="left" vertical="center"/>
    </xf>
    <xf numFmtId="171" fontId="8" fillId="0" borderId="3" xfId="0" applyNumberFormat="1" applyFont="1" applyBorder="1" applyAlignment="1">
      <alignment vertical="center"/>
    </xf>
    <xf numFmtId="0" fontId="8" fillId="6" borderId="0" xfId="0" applyFont="1" applyFill="1" applyAlignment="1">
      <alignment horizontal="left" vertical="center"/>
    </xf>
    <xf numFmtId="0" fontId="8" fillId="6" borderId="8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left" vertical="center" wrapText="1"/>
    </xf>
    <xf numFmtId="0" fontId="8" fillId="6" borderId="10" xfId="0" applyFont="1" applyFill="1" applyBorder="1" applyAlignment="1">
      <alignment horizontal="left" vertical="center"/>
    </xf>
    <xf numFmtId="4" fontId="7" fillId="6" borderId="4" xfId="5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171" fontId="8" fillId="6" borderId="6" xfId="0" applyNumberFormat="1" applyFont="1" applyFill="1" applyBorder="1" applyAlignment="1">
      <alignment vertical="center"/>
    </xf>
    <xf numFmtId="167" fontId="8" fillId="6" borderId="0" xfId="0" applyNumberFormat="1" applyFont="1" applyFill="1" applyAlignment="1">
      <alignment vertical="center"/>
    </xf>
    <xf numFmtId="167" fontId="8" fillId="6" borderId="0" xfId="0" applyNumberFormat="1" applyFont="1" applyFill="1" applyAlignment="1">
      <alignment horizontal="center" vertical="center"/>
    </xf>
    <xf numFmtId="171" fontId="8" fillId="6" borderId="10" xfId="0" applyNumberFormat="1" applyFont="1" applyFill="1" applyBorder="1" applyAlignment="1">
      <alignment vertical="center"/>
    </xf>
    <xf numFmtId="0" fontId="8" fillId="6" borderId="5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center" vertical="center"/>
    </xf>
    <xf numFmtId="167" fontId="8" fillId="6" borderId="5" xfId="0" applyNumberFormat="1" applyFont="1" applyFill="1" applyBorder="1" applyAlignment="1">
      <alignment vertical="center"/>
    </xf>
    <xf numFmtId="167" fontId="8" fillId="7" borderId="12" xfId="0" applyNumberFormat="1" applyFont="1" applyFill="1" applyBorder="1" applyAlignment="1">
      <alignment vertical="center"/>
    </xf>
    <xf numFmtId="0" fontId="8" fillId="6" borderId="5" xfId="0" applyFont="1" applyFill="1" applyBorder="1" applyAlignment="1">
      <alignment horizontal="right" vertical="center"/>
    </xf>
    <xf numFmtId="167" fontId="8" fillId="0" borderId="5" xfId="0" applyNumberFormat="1" applyFont="1" applyBorder="1" applyAlignment="1">
      <alignment horizontal="center" vertical="center"/>
    </xf>
    <xf numFmtId="167" fontId="8" fillId="7" borderId="12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left" vertical="center"/>
    </xf>
    <xf numFmtId="4" fontId="8" fillId="6" borderId="0" xfId="0" applyNumberFormat="1" applyFont="1" applyFill="1" applyAlignment="1">
      <alignment vertical="center"/>
    </xf>
    <xf numFmtId="0" fontId="15" fillId="6" borderId="0" xfId="0" applyFont="1" applyFill="1" applyAlignment="1">
      <alignment vertical="center"/>
    </xf>
    <xf numFmtId="179" fontId="8" fillId="6" borderId="0" xfId="2" applyNumberFormat="1" applyFont="1" applyFill="1" applyAlignment="1">
      <alignment vertical="center"/>
    </xf>
    <xf numFmtId="2" fontId="8" fillId="6" borderId="0" xfId="0" applyNumberFormat="1" applyFont="1" applyFill="1" applyAlignment="1">
      <alignment vertical="center"/>
    </xf>
    <xf numFmtId="44" fontId="8" fillId="6" borderId="0" xfId="2" applyFont="1" applyFill="1" applyAlignment="1">
      <alignment vertical="center"/>
    </xf>
    <xf numFmtId="0" fontId="8" fillId="0" borderId="20" xfId="0" applyFont="1" applyBorder="1" applyAlignment="1">
      <alignment vertical="center"/>
    </xf>
    <xf numFmtId="176" fontId="8" fillId="0" borderId="20" xfId="0" applyNumberFormat="1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9" fontId="8" fillId="3" borderId="4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67" fontId="8" fillId="6" borderId="5" xfId="0" applyNumberFormat="1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180" fontId="0" fillId="0" borderId="4" xfId="1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top"/>
    </xf>
    <xf numFmtId="0" fontId="4" fillId="0" borderId="3" xfId="0" applyFont="1" applyFill="1" applyBorder="1" applyAlignment="1"/>
    <xf numFmtId="0" fontId="4" fillId="0" borderId="1" xfId="0" applyFont="1" applyFill="1" applyBorder="1" applyAlignment="1"/>
    <xf numFmtId="0" fontId="4" fillId="0" borderId="2" xfId="0" applyFont="1" applyFill="1" applyBorder="1" applyAlignment="1"/>
    <xf numFmtId="0" fontId="4" fillId="0" borderId="10" xfId="0" applyFont="1" applyBorder="1"/>
    <xf numFmtId="0" fontId="4" fillId="0" borderId="12" xfId="0" applyFont="1" applyBorder="1"/>
    <xf numFmtId="0" fontId="4" fillId="0" borderId="0" xfId="0" applyFont="1" applyAlignment="1">
      <alignment horizontal="center"/>
    </xf>
    <xf numFmtId="0" fontId="4" fillId="0" borderId="1" xfId="0" applyFont="1" applyFill="1" applyBorder="1"/>
    <xf numFmtId="0" fontId="4" fillId="0" borderId="5" xfId="0" applyFont="1" applyFill="1" applyBorder="1"/>
    <xf numFmtId="2" fontId="0" fillId="0" borderId="12" xfId="0" applyNumberFormat="1" applyFill="1" applyBorder="1" applyAlignment="1">
      <alignment horizontal="center"/>
    </xf>
    <xf numFmtId="0" fontId="0" fillId="6" borderId="1" xfId="0" applyFill="1" applyBorder="1" applyAlignment="1">
      <alignment vertical="top"/>
    </xf>
    <xf numFmtId="0" fontId="4" fillId="6" borderId="1" xfId="0" applyFont="1" applyFill="1" applyBorder="1" applyAlignment="1">
      <alignment horizontal="center" vertical="top"/>
    </xf>
    <xf numFmtId="181" fontId="0" fillId="0" borderId="4" xfId="0" applyNumberFormat="1" applyBorder="1"/>
    <xf numFmtId="0" fontId="2" fillId="6" borderId="8" xfId="3" applyFont="1" applyFill="1" applyBorder="1"/>
    <xf numFmtId="0" fontId="4" fillId="6" borderId="0" xfId="3" applyFill="1"/>
    <xf numFmtId="0" fontId="2" fillId="6" borderId="0" xfId="3" applyFont="1" applyFill="1"/>
    <xf numFmtId="0" fontId="4" fillId="6" borderId="9" xfId="3" applyFill="1" applyBorder="1"/>
    <xf numFmtId="0" fontId="4" fillId="6" borderId="8" xfId="3" applyFill="1" applyBorder="1"/>
    <xf numFmtId="0" fontId="2" fillId="6" borderId="8" xfId="3" applyFont="1" applyFill="1" applyBorder="1" applyAlignment="1">
      <alignment horizontal="left"/>
    </xf>
    <xf numFmtId="0" fontId="4" fillId="6" borderId="8" xfId="3" applyFill="1" applyBorder="1" applyAlignment="1">
      <alignment vertical="center"/>
    </xf>
    <xf numFmtId="0" fontId="4" fillId="6" borderId="0" xfId="3" applyFill="1" applyAlignment="1">
      <alignment vertical="center"/>
    </xf>
    <xf numFmtId="0" fontId="2" fillId="6" borderId="0" xfId="3" applyFont="1" applyFill="1" applyAlignment="1">
      <alignment horizontal="left"/>
    </xf>
    <xf numFmtId="0" fontId="4" fillId="6" borderId="10" xfId="3" applyFill="1" applyBorder="1"/>
    <xf numFmtId="0" fontId="4" fillId="6" borderId="5" xfId="3" applyFill="1" applyBorder="1"/>
    <xf numFmtId="0" fontId="4" fillId="6" borderId="11" xfId="3" applyFill="1" applyBorder="1"/>
    <xf numFmtId="0" fontId="4" fillId="0" borderId="10" xfId="0" applyFont="1" applyFill="1" applyBorder="1"/>
    <xf numFmtId="0" fontId="0" fillId="6" borderId="2" xfId="0" applyFill="1" applyBorder="1" applyAlignment="1">
      <alignment vertical="top"/>
    </xf>
    <xf numFmtId="167" fontId="2" fillId="0" borderId="5" xfId="0" applyNumberFormat="1" applyFont="1" applyBorder="1" applyAlignment="1">
      <alignment horizontal="right"/>
    </xf>
    <xf numFmtId="167" fontId="0" fillId="0" borderId="12" xfId="0" applyNumberFormat="1" applyBorder="1"/>
    <xf numFmtId="44" fontId="0" fillId="0" borderId="4" xfId="0" applyNumberFormat="1" applyBorder="1"/>
    <xf numFmtId="165" fontId="0" fillId="0" borderId="4" xfId="1" applyFont="1" applyBorder="1"/>
    <xf numFmtId="0" fontId="5" fillId="0" borderId="4" xfId="0" applyFont="1" applyBorder="1"/>
    <xf numFmtId="44" fontId="5" fillId="0" borderId="4" xfId="0" applyNumberFormat="1" applyFont="1" applyBorder="1"/>
    <xf numFmtId="9" fontId="0" fillId="0" borderId="4" xfId="0" applyNumberFormat="1" applyBorder="1"/>
    <xf numFmtId="9" fontId="4" fillId="0" borderId="4" xfId="0" applyNumberFormat="1" applyFont="1" applyBorder="1"/>
    <xf numFmtId="2" fontId="0" fillId="0" borderId="4" xfId="0" applyNumberFormat="1" applyFill="1" applyBorder="1" applyAlignment="1">
      <alignment horizontal="right" vertical="center"/>
    </xf>
    <xf numFmtId="167" fontId="0" fillId="0" borderId="2" xfId="0" applyNumberFormat="1" applyBorder="1" applyAlignment="1">
      <alignment horizontal="right" vertical="center"/>
    </xf>
    <xf numFmtId="2" fontId="0" fillId="0" borderId="12" xfId="0" applyNumberFormat="1" applyFill="1" applyBorder="1" applyAlignment="1">
      <alignment horizontal="right" vertical="center"/>
    </xf>
    <xf numFmtId="167" fontId="0" fillId="0" borderId="11" xfId="0" applyNumberFormat="1" applyBorder="1" applyAlignment="1">
      <alignment horizontal="right" vertical="center"/>
    </xf>
    <xf numFmtId="167" fontId="0" fillId="0" borderId="4" xfId="0" applyNumberFormat="1" applyBorder="1" applyAlignment="1">
      <alignment horizontal="right" vertical="center"/>
    </xf>
    <xf numFmtId="167" fontId="0" fillId="0" borderId="12" xfId="0" applyNumberForma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4" fillId="6" borderId="4" xfId="0" applyFont="1" applyFill="1" applyBorder="1" applyAlignment="1">
      <alignment horizontal="right" vertical="center" wrapText="1"/>
    </xf>
    <xf numFmtId="9" fontId="0" fillId="0" borderId="12" xfId="0" applyNumberFormat="1" applyBorder="1"/>
    <xf numFmtId="9" fontId="0" fillId="0" borderId="4" xfId="0" applyNumberFormat="1" applyFill="1" applyBorder="1"/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6" borderId="0" xfId="3" applyFont="1" applyFill="1" applyAlignment="1"/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8" fillId="0" borderId="6" xfId="0" applyFont="1" applyBorder="1"/>
    <xf numFmtId="2" fontId="0" fillId="0" borderId="4" xfId="0" applyNumberFormat="1" applyBorder="1"/>
    <xf numFmtId="0" fontId="4" fillId="0" borderId="0" xfId="0" applyFont="1" applyBorder="1"/>
    <xf numFmtId="170" fontId="11" fillId="0" borderId="22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9" fontId="0" fillId="0" borderId="4" xfId="4" applyNumberFormat="1" applyFont="1" applyBorder="1" applyAlignment="1">
      <alignment horizontal="center" vertical="center"/>
    </xf>
    <xf numFmtId="9" fontId="0" fillId="0" borderId="4" xfId="4" applyNumberFormat="1" applyFont="1" applyFill="1" applyBorder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6" borderId="0" xfId="0" applyFont="1" applyFill="1" applyBorder="1" applyAlignment="1">
      <alignment horizontal="center"/>
    </xf>
    <xf numFmtId="0" fontId="0" fillId="6" borderId="0" xfId="0" applyFill="1"/>
    <xf numFmtId="0" fontId="0" fillId="6" borderId="0" xfId="0" applyFill="1" applyBorder="1"/>
    <xf numFmtId="0" fontId="17" fillId="6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/>
    </xf>
    <xf numFmtId="180" fontId="0" fillId="6" borderId="0" xfId="1" applyNumberFormat="1" applyFont="1" applyFill="1" applyBorder="1" applyAlignment="1">
      <alignment horizontal="center"/>
    </xf>
    <xf numFmtId="164" fontId="0" fillId="6" borderId="0" xfId="0" applyNumberFormat="1" applyFill="1" applyBorder="1" applyAlignment="1">
      <alignment horizontal="center"/>
    </xf>
    <xf numFmtId="0" fontId="0" fillId="6" borderId="0" xfId="0" applyFill="1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0" fillId="0" borderId="4" xfId="0" applyNumberForma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6" borderId="0" xfId="0" applyFont="1" applyFill="1"/>
    <xf numFmtId="0" fontId="0" fillId="6" borderId="4" xfId="0" applyFill="1" applyBorder="1"/>
    <xf numFmtId="0" fontId="0" fillId="6" borderId="0" xfId="0" applyFill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/>
    </xf>
    <xf numFmtId="0" fontId="0" fillId="8" borderId="4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8" borderId="4" xfId="0" applyFill="1" applyBorder="1"/>
    <xf numFmtId="0" fontId="0" fillId="6" borderId="0" xfId="0" applyFill="1" applyAlignment="1">
      <alignment vertical="center"/>
    </xf>
    <xf numFmtId="0" fontId="0" fillId="6" borderId="4" xfId="0" applyFill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6" borderId="6" xfId="3" applyFont="1" applyFill="1" applyBorder="1" applyAlignment="1">
      <alignment horizontal="center"/>
    </xf>
    <xf numFmtId="0" fontId="2" fillId="6" borderId="19" xfId="3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6" borderId="0" xfId="3" applyFill="1" applyAlignment="1">
      <alignment horizontal="left"/>
    </xf>
    <xf numFmtId="0" fontId="4" fillId="6" borderId="0" xfId="3" applyFill="1" applyAlignment="1">
      <alignment horizontal="left" vertical="center"/>
    </xf>
    <xf numFmtId="0" fontId="4" fillId="6" borderId="9" xfId="3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2" fillId="6" borderId="7" xfId="3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1" fillId="0" borderId="2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left" vertical="center"/>
    </xf>
    <xf numFmtId="0" fontId="7" fillId="5" borderId="19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74" fontId="7" fillId="3" borderId="3" xfId="0" applyNumberFormat="1" applyFont="1" applyFill="1" applyBorder="1" applyAlignment="1">
      <alignment horizontal="center" vertical="center"/>
    </xf>
    <xf numFmtId="174" fontId="7" fillId="3" borderId="2" xfId="0" applyNumberFormat="1" applyFont="1" applyFill="1" applyBorder="1" applyAlignment="1">
      <alignment horizontal="center" vertical="center"/>
    </xf>
    <xf numFmtId="175" fontId="7" fillId="3" borderId="3" xfId="0" applyNumberFormat="1" applyFont="1" applyFill="1" applyBorder="1" applyAlignment="1">
      <alignment horizontal="center" vertical="center"/>
    </xf>
    <xf numFmtId="175" fontId="7" fillId="3" borderId="2" xfId="0" applyNumberFormat="1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4" fillId="7" borderId="4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7" borderId="3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17" fillId="9" borderId="4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164" fontId="0" fillId="6" borderId="0" xfId="0" applyNumberForma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9" fillId="8" borderId="0" xfId="0" applyFont="1" applyFill="1" applyAlignment="1">
      <alignment horizontal="center" vertical="center"/>
    </xf>
  </cellXfs>
  <cellStyles count="6">
    <cellStyle name="Moneda" xfId="1" builtinId="4"/>
    <cellStyle name="Moneda 6" xfId="2" xr:uid="{00000000-0005-0000-0000-000001000000}"/>
    <cellStyle name="Normal" xfId="0" builtinId="0"/>
    <cellStyle name="Normal 2 10" xfId="3" xr:uid="{00000000-0005-0000-0000-000003000000}"/>
    <cellStyle name="Porcentaje" xfId="4" builtinId="5"/>
    <cellStyle name="Porcentaje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752475</xdr:colOff>
      <xdr:row>15</xdr:row>
      <xdr:rowOff>19050</xdr:rowOff>
    </xdr:from>
    <xdr:to>
      <xdr:col>6</xdr:col>
      <xdr:colOff>228600</xdr:colOff>
      <xdr:row>17</xdr:row>
      <xdr:rowOff>0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0481B9C4-082C-4E52-A967-815D7FCB6DAC}"/>
            </a:ext>
          </a:extLst>
        </xdr:cNvPr>
        <xdr:cNvCxnSpPr/>
      </xdr:nvCxnSpPr>
      <xdr:spPr>
        <a:xfrm flipV="1">
          <a:off x="11125200" y="2447925"/>
          <a:ext cx="238125" cy="304800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30459</xdr:colOff>
      <xdr:row>10</xdr:row>
      <xdr:rowOff>57150</xdr:rowOff>
    </xdr:from>
    <xdr:to>
      <xdr:col>7</xdr:col>
      <xdr:colOff>78084</xdr:colOff>
      <xdr:row>12</xdr:row>
      <xdr:rowOff>114300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6DF50609-1667-4DA0-82A0-98081A987AA1}"/>
            </a:ext>
          </a:extLst>
        </xdr:cNvPr>
        <xdr:cNvCxnSpPr/>
      </xdr:nvCxnSpPr>
      <xdr:spPr>
        <a:xfrm flipV="1">
          <a:off x="12381558" y="1627205"/>
          <a:ext cx="47625" cy="371161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695325</xdr:colOff>
      <xdr:row>5</xdr:row>
      <xdr:rowOff>19050</xdr:rowOff>
    </xdr:from>
    <xdr:to>
      <xdr:col>8</xdr:col>
      <xdr:colOff>571500</xdr:colOff>
      <xdr:row>7</xdr:row>
      <xdr:rowOff>152400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C149BD8F-3B3E-4B66-A62A-15810D4A56A7}"/>
            </a:ext>
          </a:extLst>
        </xdr:cNvPr>
        <xdr:cNvCxnSpPr/>
      </xdr:nvCxnSpPr>
      <xdr:spPr>
        <a:xfrm flipV="1">
          <a:off x="12592050" y="828675"/>
          <a:ext cx="638175" cy="457200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371475</xdr:colOff>
      <xdr:row>8</xdr:row>
      <xdr:rowOff>152400</xdr:rowOff>
    </xdr:from>
    <xdr:to>
      <xdr:col>9</xdr:col>
      <xdr:colOff>533400</xdr:colOff>
      <xdr:row>9</xdr:row>
      <xdr:rowOff>0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65DDF448-EC56-4227-AF5A-6EEC2C6868D0}"/>
            </a:ext>
          </a:extLst>
        </xdr:cNvPr>
        <xdr:cNvCxnSpPr/>
      </xdr:nvCxnSpPr>
      <xdr:spPr>
        <a:xfrm flipV="1">
          <a:off x="13030200" y="1447800"/>
          <a:ext cx="923925" cy="9525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4</xdr:row>
      <xdr:rowOff>9525</xdr:rowOff>
    </xdr:from>
    <xdr:to>
      <xdr:col>13</xdr:col>
      <xdr:colOff>0</xdr:colOff>
      <xdr:row>4</xdr:row>
      <xdr:rowOff>95250</xdr:rowOff>
    </xdr:to>
    <xdr:cxnSp macro="">
      <xdr:nvCxnSpPr>
        <xdr:cNvPr id="16" name="Conector recto de flecha 15">
          <a:extLst>
            <a:ext uri="{FF2B5EF4-FFF2-40B4-BE49-F238E27FC236}">
              <a16:creationId xmlns:a16="http://schemas.microsoft.com/office/drawing/2014/main" id="{D79CF475-2B3A-4801-8A94-805E34E7BB8D}"/>
            </a:ext>
          </a:extLst>
        </xdr:cNvPr>
        <xdr:cNvCxnSpPr/>
      </xdr:nvCxnSpPr>
      <xdr:spPr>
        <a:xfrm>
          <a:off x="13573125" y="657225"/>
          <a:ext cx="219075" cy="85725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190500</xdr:colOff>
      <xdr:row>6</xdr:row>
      <xdr:rowOff>133350</xdr:rowOff>
    </xdr:from>
    <xdr:to>
      <xdr:col>12</xdr:col>
      <xdr:colOff>209550</xdr:colOff>
      <xdr:row>7</xdr:row>
      <xdr:rowOff>142875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AFEF8058-F132-44E4-AB80-CBBBE62D6956}"/>
            </a:ext>
          </a:extLst>
        </xdr:cNvPr>
        <xdr:cNvCxnSpPr/>
      </xdr:nvCxnSpPr>
      <xdr:spPr>
        <a:xfrm flipV="1">
          <a:off x="13525500" y="1104900"/>
          <a:ext cx="247650" cy="171450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85725</xdr:colOff>
      <xdr:row>6</xdr:row>
      <xdr:rowOff>152400</xdr:rowOff>
    </xdr:from>
    <xdr:to>
      <xdr:col>15</xdr:col>
      <xdr:colOff>104775</xdr:colOff>
      <xdr:row>9</xdr:row>
      <xdr:rowOff>9525</xdr:rowOff>
    </xdr:to>
    <xdr:cxnSp macro="">
      <xdr:nvCxnSpPr>
        <xdr:cNvPr id="24" name="Conector recto de flecha 23">
          <a:extLst>
            <a:ext uri="{FF2B5EF4-FFF2-40B4-BE49-F238E27FC236}">
              <a16:creationId xmlns:a16="http://schemas.microsoft.com/office/drawing/2014/main" id="{E36EC214-1CDE-409A-A584-5BA02934FC2F}"/>
            </a:ext>
          </a:extLst>
        </xdr:cNvPr>
        <xdr:cNvCxnSpPr/>
      </xdr:nvCxnSpPr>
      <xdr:spPr>
        <a:xfrm>
          <a:off x="12782550" y="1123950"/>
          <a:ext cx="19050" cy="342900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104775</xdr:colOff>
      <xdr:row>11</xdr:row>
      <xdr:rowOff>0</xdr:rowOff>
    </xdr:from>
    <xdr:to>
      <xdr:col>15</xdr:col>
      <xdr:colOff>0</xdr:colOff>
      <xdr:row>12</xdr:row>
      <xdr:rowOff>133350</xdr:rowOff>
    </xdr:to>
    <xdr:cxnSp macro="">
      <xdr:nvCxnSpPr>
        <xdr:cNvPr id="28" name="Conector recto de flecha 27">
          <a:extLst>
            <a:ext uri="{FF2B5EF4-FFF2-40B4-BE49-F238E27FC236}">
              <a16:creationId xmlns:a16="http://schemas.microsoft.com/office/drawing/2014/main" id="{4DEA9A0F-1A3B-4AB1-9AA9-BBD44525F24D}"/>
            </a:ext>
          </a:extLst>
        </xdr:cNvPr>
        <xdr:cNvCxnSpPr/>
      </xdr:nvCxnSpPr>
      <xdr:spPr>
        <a:xfrm flipH="1">
          <a:off x="12534900" y="1781175"/>
          <a:ext cx="161925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10</xdr:row>
      <xdr:rowOff>152400</xdr:rowOff>
    </xdr:from>
    <xdr:to>
      <xdr:col>16</xdr:col>
      <xdr:colOff>171450</xdr:colOff>
      <xdr:row>13</xdr:row>
      <xdr:rowOff>0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7B8E6F7A-1A60-4966-890F-24380ABA6E9D}"/>
            </a:ext>
          </a:extLst>
        </xdr:cNvPr>
        <xdr:cNvCxnSpPr/>
      </xdr:nvCxnSpPr>
      <xdr:spPr>
        <a:xfrm>
          <a:off x="12934950" y="1771650"/>
          <a:ext cx="161925" cy="333375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15</xdr:row>
      <xdr:rowOff>0</xdr:rowOff>
    </xdr:from>
    <xdr:to>
      <xdr:col>15</xdr:col>
      <xdr:colOff>9525</xdr:colOff>
      <xdr:row>16</xdr:row>
      <xdr:rowOff>28575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F6980BE6-EB58-4A2B-B9C2-D1A76EF10400}"/>
            </a:ext>
          </a:extLst>
        </xdr:cNvPr>
        <xdr:cNvCxnSpPr/>
      </xdr:nvCxnSpPr>
      <xdr:spPr>
        <a:xfrm>
          <a:off x="14020800" y="2428875"/>
          <a:ext cx="276225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38100</xdr:colOff>
      <xdr:row>15</xdr:row>
      <xdr:rowOff>9525</xdr:rowOff>
    </xdr:from>
    <xdr:to>
      <xdr:col>16</xdr:col>
      <xdr:colOff>219075</xdr:colOff>
      <xdr:row>16</xdr:row>
      <xdr:rowOff>38100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AA660EF3-812F-40F5-AF3C-94A4190AAA29}"/>
            </a:ext>
          </a:extLst>
        </xdr:cNvPr>
        <xdr:cNvCxnSpPr/>
      </xdr:nvCxnSpPr>
      <xdr:spPr>
        <a:xfrm flipH="1">
          <a:off x="12963525" y="2438400"/>
          <a:ext cx="180975" cy="190500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133350</xdr:colOff>
      <xdr:row>18</xdr:row>
      <xdr:rowOff>38100</xdr:rowOff>
    </xdr:from>
    <xdr:to>
      <xdr:col>15</xdr:col>
      <xdr:colOff>133350</xdr:colOff>
      <xdr:row>19</xdr:row>
      <xdr:rowOff>152400</xdr:rowOff>
    </xdr:to>
    <xdr:cxnSp macro="">
      <xdr:nvCxnSpPr>
        <xdr:cNvPr id="39" name="Conector recto de flecha 38">
          <a:extLst>
            <a:ext uri="{FF2B5EF4-FFF2-40B4-BE49-F238E27FC236}">
              <a16:creationId xmlns:a16="http://schemas.microsoft.com/office/drawing/2014/main" id="{DEA2F705-0324-4467-B472-A5A0065E9586}"/>
            </a:ext>
          </a:extLst>
        </xdr:cNvPr>
        <xdr:cNvCxnSpPr/>
      </xdr:nvCxnSpPr>
      <xdr:spPr>
        <a:xfrm>
          <a:off x="14420850" y="2952750"/>
          <a:ext cx="0" cy="2762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10467</xdr:colOff>
      <xdr:row>21</xdr:row>
      <xdr:rowOff>133350</xdr:rowOff>
    </xdr:from>
    <xdr:to>
      <xdr:col>15</xdr:col>
      <xdr:colOff>152400</xdr:colOff>
      <xdr:row>23</xdr:row>
      <xdr:rowOff>136072</xdr:rowOff>
    </xdr:to>
    <xdr:cxnSp macro="">
      <xdr:nvCxnSpPr>
        <xdr:cNvPr id="45" name="Conector recto de flecha 44">
          <a:extLst>
            <a:ext uri="{FF2B5EF4-FFF2-40B4-BE49-F238E27FC236}">
              <a16:creationId xmlns:a16="http://schemas.microsoft.com/office/drawing/2014/main" id="{0963816C-9A5F-4251-892D-6F1FCA442687}"/>
            </a:ext>
          </a:extLst>
        </xdr:cNvPr>
        <xdr:cNvCxnSpPr/>
      </xdr:nvCxnSpPr>
      <xdr:spPr>
        <a:xfrm flipH="1">
          <a:off x="14046758" y="3430465"/>
          <a:ext cx="435010" cy="31673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31401</xdr:colOff>
      <xdr:row>10</xdr:row>
      <xdr:rowOff>41868</xdr:rowOff>
    </xdr:from>
    <xdr:to>
      <xdr:col>8</xdr:col>
      <xdr:colOff>209550</xdr:colOff>
      <xdr:row>16</xdr:row>
      <xdr:rowOff>28575</xdr:rowOff>
    </xdr:to>
    <xdr:cxnSp macro="">
      <xdr:nvCxnSpPr>
        <xdr:cNvPr id="48" name="Conector recto de flecha 47">
          <a:extLst>
            <a:ext uri="{FF2B5EF4-FFF2-40B4-BE49-F238E27FC236}">
              <a16:creationId xmlns:a16="http://schemas.microsoft.com/office/drawing/2014/main" id="{5492F7A0-A3C5-4D19-88E2-B26A8B1A282F}"/>
            </a:ext>
          </a:extLst>
        </xdr:cNvPr>
        <xdr:cNvCxnSpPr/>
      </xdr:nvCxnSpPr>
      <xdr:spPr>
        <a:xfrm>
          <a:off x="12612775" y="1611923"/>
          <a:ext cx="178149" cy="92874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20934</xdr:colOff>
      <xdr:row>17</xdr:row>
      <xdr:rowOff>62803</xdr:rowOff>
    </xdr:from>
    <xdr:to>
      <xdr:col>13</xdr:col>
      <xdr:colOff>198874</xdr:colOff>
      <xdr:row>19</xdr:row>
      <xdr:rowOff>146539</xdr:rowOff>
    </xdr:to>
    <xdr:cxnSp macro="">
      <xdr:nvCxnSpPr>
        <xdr:cNvPr id="49" name="Conector recto de flecha 48">
          <a:extLst>
            <a:ext uri="{FF2B5EF4-FFF2-40B4-BE49-F238E27FC236}">
              <a16:creationId xmlns:a16="http://schemas.microsoft.com/office/drawing/2014/main" id="{9EF52566-FB23-4487-9C6D-82385D83DD4E}"/>
            </a:ext>
          </a:extLst>
        </xdr:cNvPr>
        <xdr:cNvCxnSpPr/>
      </xdr:nvCxnSpPr>
      <xdr:spPr>
        <a:xfrm flipH="1">
          <a:off x="13596676" y="2731896"/>
          <a:ext cx="502418" cy="397747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10467</xdr:colOff>
      <xdr:row>22</xdr:row>
      <xdr:rowOff>20934</xdr:rowOff>
    </xdr:from>
    <xdr:to>
      <xdr:col>12</xdr:col>
      <xdr:colOff>10467</xdr:colOff>
      <xdr:row>23</xdr:row>
      <xdr:rowOff>146539</xdr:rowOff>
    </xdr:to>
    <xdr:cxnSp macro="">
      <xdr:nvCxnSpPr>
        <xdr:cNvPr id="52" name="Conector recto de flecha 51">
          <a:extLst>
            <a:ext uri="{FF2B5EF4-FFF2-40B4-BE49-F238E27FC236}">
              <a16:creationId xmlns:a16="http://schemas.microsoft.com/office/drawing/2014/main" id="{662E4EC6-4652-46A6-939E-DE1AE6A72110}"/>
            </a:ext>
          </a:extLst>
        </xdr:cNvPr>
        <xdr:cNvCxnSpPr/>
      </xdr:nvCxnSpPr>
      <xdr:spPr>
        <a:xfrm>
          <a:off x="13355934" y="3475055"/>
          <a:ext cx="230275" cy="282610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209340</xdr:colOff>
      <xdr:row>30</xdr:row>
      <xdr:rowOff>0</xdr:rowOff>
    </xdr:from>
    <xdr:to>
      <xdr:col>15</xdr:col>
      <xdr:colOff>282610</xdr:colOff>
      <xdr:row>32</xdr:row>
      <xdr:rowOff>31401</xdr:rowOff>
    </xdr:to>
    <xdr:cxnSp macro="">
      <xdr:nvCxnSpPr>
        <xdr:cNvPr id="53" name="Conector recto de flecha 52">
          <a:extLst>
            <a:ext uri="{FF2B5EF4-FFF2-40B4-BE49-F238E27FC236}">
              <a16:creationId xmlns:a16="http://schemas.microsoft.com/office/drawing/2014/main" id="{6882B6AB-9E5C-4D17-8EFD-EB6F0168CA3F}"/>
            </a:ext>
          </a:extLst>
        </xdr:cNvPr>
        <xdr:cNvCxnSpPr/>
      </xdr:nvCxnSpPr>
      <xdr:spPr>
        <a:xfrm>
          <a:off x="14339835" y="4710165"/>
          <a:ext cx="366346" cy="345412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73269</xdr:colOff>
      <xdr:row>26</xdr:row>
      <xdr:rowOff>41867</xdr:rowOff>
    </xdr:from>
    <xdr:to>
      <xdr:col>14</xdr:col>
      <xdr:colOff>15073</xdr:colOff>
      <xdr:row>27</xdr:row>
      <xdr:rowOff>117022</xdr:rowOff>
    </xdr:to>
    <xdr:cxnSp macro="">
      <xdr:nvCxnSpPr>
        <xdr:cNvPr id="23" name="Conector recto de flecha 22">
          <a:extLst>
            <a:ext uri="{FF2B5EF4-FFF2-40B4-BE49-F238E27FC236}">
              <a16:creationId xmlns:a16="http://schemas.microsoft.com/office/drawing/2014/main" id="{B8B87099-4C0C-4AC5-9B47-B387D5F945FD}"/>
            </a:ext>
          </a:extLst>
        </xdr:cNvPr>
        <xdr:cNvCxnSpPr/>
      </xdr:nvCxnSpPr>
      <xdr:spPr>
        <a:xfrm>
          <a:off x="13973489" y="4124010"/>
          <a:ext cx="172079" cy="232160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209340</xdr:colOff>
      <xdr:row>26</xdr:row>
      <xdr:rowOff>20933</xdr:rowOff>
    </xdr:from>
    <xdr:to>
      <xdr:col>12</xdr:col>
      <xdr:colOff>16327</xdr:colOff>
      <xdr:row>27</xdr:row>
      <xdr:rowOff>136071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6E60816D-619C-4C2A-ACB7-37ECEEF7421E}"/>
            </a:ext>
          </a:extLst>
        </xdr:cNvPr>
        <xdr:cNvCxnSpPr/>
      </xdr:nvCxnSpPr>
      <xdr:spPr>
        <a:xfrm flipH="1">
          <a:off x="13251263" y="4103076"/>
          <a:ext cx="340806" cy="27214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94204</xdr:colOff>
      <xdr:row>30</xdr:row>
      <xdr:rowOff>52335</xdr:rowOff>
    </xdr:from>
    <xdr:to>
      <xdr:col>10</xdr:col>
      <xdr:colOff>167473</xdr:colOff>
      <xdr:row>33</xdr:row>
      <xdr:rowOff>115138</xdr:rowOff>
    </xdr:to>
    <xdr:cxnSp macro="">
      <xdr:nvCxnSpPr>
        <xdr:cNvPr id="26" name="Conector recto de flecha 25">
          <a:extLst>
            <a:ext uri="{FF2B5EF4-FFF2-40B4-BE49-F238E27FC236}">
              <a16:creationId xmlns:a16="http://schemas.microsoft.com/office/drawing/2014/main" id="{671D2F79-6C80-4991-B303-CAC31DD6D04E}"/>
            </a:ext>
          </a:extLst>
        </xdr:cNvPr>
        <xdr:cNvCxnSpPr/>
      </xdr:nvCxnSpPr>
      <xdr:spPr>
        <a:xfrm>
          <a:off x="12905852" y="4762500"/>
          <a:ext cx="303544" cy="53381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52336</xdr:colOff>
      <xdr:row>32</xdr:row>
      <xdr:rowOff>146538</xdr:rowOff>
    </xdr:from>
    <xdr:to>
      <xdr:col>17</xdr:col>
      <xdr:colOff>209341</xdr:colOff>
      <xdr:row>34</xdr:row>
      <xdr:rowOff>10467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8101506F-028F-4C8B-A956-5CEC37164995}"/>
            </a:ext>
          </a:extLst>
        </xdr:cNvPr>
        <xdr:cNvCxnSpPr/>
      </xdr:nvCxnSpPr>
      <xdr:spPr>
        <a:xfrm flipH="1">
          <a:off x="14768984" y="5170714"/>
          <a:ext cx="481483" cy="177940"/>
        </a:xfrm>
        <a:prstGeom prst="straightConnector1">
          <a:avLst/>
        </a:prstGeom>
        <a:ln w="762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wnloads/ENTREGA%20FINAL%20ULTIM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"/>
      <sheetName val="Hoja1"/>
      <sheetName val="AIU"/>
      <sheetName val="OFICIAL-2021 (2)"/>
      <sheetName val="OFICIAL-2021"/>
      <sheetName val="AYUDANTE-2021"/>
      <sheetName val="COSTOS CUADRILLA"/>
      <sheetName val="4.2.2 CABEZOTES"/>
      <sheetName val="4.3 cunetas"/>
      <sheetName val="4.4.1 Bordillo"/>
      <sheetName val="5.1.2 SUBBASE"/>
      <sheetName val="5.1.3 PAVIMENTO APU"/>
    </sheetNames>
    <definedNames>
      <definedName name="Periodo_Analisis" refersTo="='AYUDANTE-2021'!$D$7" sheetId="5"/>
      <definedName name="Periodo_Analisis" refersTo="='OFICIAL-2021 (2)'!$D$7" sheetId="3"/>
    </definedNames>
    <sheetDataSet>
      <sheetData sheetId="0"/>
      <sheetData sheetId="1"/>
      <sheetData sheetId="2"/>
      <sheetData sheetId="3">
        <row r="7">
          <cell r="D7">
            <v>6</v>
          </cell>
        </row>
        <row r="11">
          <cell r="X11" t="str">
            <v>PERÍODO ANÁLISIS (MESES)</v>
          </cell>
          <cell r="Y11" t="str">
            <v>Días Pagados</v>
          </cell>
          <cell r="Z11" t="str">
            <v>Domingos</v>
          </cell>
          <cell r="AA11" t="str">
            <v>Festivos</v>
          </cell>
          <cell r="AB11" t="str">
            <v>Permisos</v>
          </cell>
          <cell r="AC11" t="str">
            <v>Ausencias</v>
          </cell>
          <cell r="AD11" t="str">
            <v>Dias NO trabajados</v>
          </cell>
          <cell r="AE11" t="str">
            <v>Dias Trabajados</v>
          </cell>
          <cell r="AF11" t="str">
            <v>FTE</v>
          </cell>
        </row>
        <row r="12">
          <cell r="X12">
            <v>12</v>
          </cell>
          <cell r="Y12">
            <v>360</v>
          </cell>
          <cell r="Z12">
            <v>52</v>
          </cell>
          <cell r="AA12">
            <v>19</v>
          </cell>
          <cell r="AB12">
            <v>3</v>
          </cell>
          <cell r="AC12">
            <v>3</v>
          </cell>
          <cell r="AD12">
            <v>77</v>
          </cell>
          <cell r="AE12">
            <v>283</v>
          </cell>
          <cell r="AF12">
            <v>1.27</v>
          </cell>
        </row>
        <row r="13">
          <cell r="X13">
            <v>9</v>
          </cell>
          <cell r="Y13">
            <v>270</v>
          </cell>
          <cell r="Z13">
            <v>39</v>
          </cell>
          <cell r="AA13">
            <v>13</v>
          </cell>
          <cell r="AB13">
            <v>3</v>
          </cell>
          <cell r="AC13">
            <v>3</v>
          </cell>
          <cell r="AD13">
            <v>58</v>
          </cell>
          <cell r="AE13">
            <v>212</v>
          </cell>
          <cell r="AF13">
            <v>1.27</v>
          </cell>
        </row>
        <row r="14">
          <cell r="X14">
            <v>6</v>
          </cell>
          <cell r="Y14">
            <v>180</v>
          </cell>
          <cell r="Z14">
            <v>26</v>
          </cell>
          <cell r="AA14">
            <v>10</v>
          </cell>
          <cell r="AB14">
            <v>2</v>
          </cell>
          <cell r="AC14">
            <v>2</v>
          </cell>
          <cell r="AD14">
            <v>40</v>
          </cell>
          <cell r="AE14">
            <v>140</v>
          </cell>
          <cell r="AF14">
            <v>1.29</v>
          </cell>
        </row>
        <row r="15">
          <cell r="X15">
            <v>3</v>
          </cell>
          <cell r="Y15">
            <v>90</v>
          </cell>
          <cell r="Z15">
            <v>13</v>
          </cell>
          <cell r="AA15">
            <v>3</v>
          </cell>
          <cell r="AB15">
            <v>2</v>
          </cell>
          <cell r="AC15">
            <v>2</v>
          </cell>
          <cell r="AD15">
            <v>20</v>
          </cell>
          <cell r="AE15">
            <v>70</v>
          </cell>
          <cell r="AF15">
            <v>1.29</v>
          </cell>
        </row>
        <row r="16">
          <cell r="X16">
            <v>1</v>
          </cell>
          <cell r="Y16">
            <v>30</v>
          </cell>
          <cell r="Z16">
            <v>4</v>
          </cell>
          <cell r="AA16">
            <v>2</v>
          </cell>
          <cell r="AB16">
            <v>1</v>
          </cell>
          <cell r="AC16">
            <v>1</v>
          </cell>
          <cell r="AD16">
            <v>8</v>
          </cell>
          <cell r="AE16">
            <v>22</v>
          </cell>
          <cell r="AF16">
            <v>1.36</v>
          </cell>
        </row>
      </sheetData>
      <sheetData sheetId="4"/>
      <sheetData sheetId="5">
        <row r="7">
          <cell r="D7">
            <v>6</v>
          </cell>
        </row>
        <row r="11">
          <cell r="X11" t="str">
            <v>PERÍODO ANÁLISIS (MESES)</v>
          </cell>
          <cell r="Y11" t="str">
            <v>Días Pagados</v>
          </cell>
          <cell r="Z11" t="str">
            <v>Domingos</v>
          </cell>
          <cell r="AA11" t="str">
            <v>Festivos</v>
          </cell>
          <cell r="AB11" t="str">
            <v>Permisos</v>
          </cell>
          <cell r="AC11" t="str">
            <v>Ausencias</v>
          </cell>
          <cell r="AD11" t="str">
            <v>Dias NO trabajados</v>
          </cell>
          <cell r="AE11" t="str">
            <v>Dias Trabajados</v>
          </cell>
          <cell r="AF11" t="str">
            <v>FTE</v>
          </cell>
        </row>
        <row r="12">
          <cell r="X12">
            <v>12</v>
          </cell>
          <cell r="Y12">
            <v>360</v>
          </cell>
          <cell r="Z12">
            <v>52</v>
          </cell>
          <cell r="AA12">
            <v>19</v>
          </cell>
          <cell r="AB12">
            <v>3</v>
          </cell>
          <cell r="AC12">
            <v>3</v>
          </cell>
          <cell r="AD12">
            <v>77</v>
          </cell>
          <cell r="AE12">
            <v>283</v>
          </cell>
          <cell r="AF12">
            <v>1.27</v>
          </cell>
        </row>
        <row r="13">
          <cell r="X13">
            <v>9</v>
          </cell>
          <cell r="Y13">
            <v>270</v>
          </cell>
          <cell r="Z13">
            <v>39</v>
          </cell>
          <cell r="AA13">
            <v>13</v>
          </cell>
          <cell r="AB13">
            <v>3</v>
          </cell>
          <cell r="AC13">
            <v>3</v>
          </cell>
          <cell r="AD13">
            <v>58</v>
          </cell>
          <cell r="AE13">
            <v>212</v>
          </cell>
          <cell r="AF13">
            <v>1.27</v>
          </cell>
        </row>
        <row r="14">
          <cell r="X14">
            <v>6</v>
          </cell>
          <cell r="Y14">
            <v>180</v>
          </cell>
          <cell r="Z14">
            <v>26</v>
          </cell>
          <cell r="AA14">
            <v>10</v>
          </cell>
          <cell r="AB14">
            <v>2</v>
          </cell>
          <cell r="AC14">
            <v>2</v>
          </cell>
          <cell r="AD14">
            <v>40</v>
          </cell>
          <cell r="AE14">
            <v>140</v>
          </cell>
          <cell r="AF14">
            <v>1.29</v>
          </cell>
        </row>
        <row r="15">
          <cell r="X15">
            <v>3</v>
          </cell>
          <cell r="Y15">
            <v>90</v>
          </cell>
          <cell r="Z15">
            <v>13</v>
          </cell>
          <cell r="AA15">
            <v>3</v>
          </cell>
          <cell r="AB15">
            <v>2</v>
          </cell>
          <cell r="AC15">
            <v>2</v>
          </cell>
          <cell r="AD15">
            <v>20</v>
          </cell>
          <cell r="AE15">
            <v>70</v>
          </cell>
          <cell r="AF15">
            <v>1.29</v>
          </cell>
        </row>
        <row r="16">
          <cell r="X16">
            <v>1</v>
          </cell>
          <cell r="Y16">
            <v>30</v>
          </cell>
          <cell r="Z16">
            <v>4</v>
          </cell>
          <cell r="AA16">
            <v>2</v>
          </cell>
          <cell r="AB16">
            <v>1</v>
          </cell>
          <cell r="AC16">
            <v>1</v>
          </cell>
          <cell r="AD16">
            <v>8</v>
          </cell>
          <cell r="AE16">
            <v>22</v>
          </cell>
          <cell r="AF16">
            <v>1.36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2"/>
  <sheetViews>
    <sheetView topLeftCell="A13" zoomScale="57" zoomScaleNormal="57" workbookViewId="0">
      <selection activeCell="A46" sqref="A46"/>
    </sheetView>
  </sheetViews>
  <sheetFormatPr baseColWidth="10" defaultRowHeight="12.75" x14ac:dyDescent="0.2"/>
  <cols>
    <col min="1" max="1" width="3.85546875" customWidth="1"/>
    <col min="2" max="2" width="9.7109375" customWidth="1"/>
    <col min="3" max="4" width="8.7109375" customWidth="1"/>
    <col min="5" max="5" width="22.42578125" customWidth="1"/>
    <col min="6" max="13" width="8.7109375" customWidth="1"/>
    <col min="14" max="14" width="11.140625" bestFit="1" customWidth="1"/>
    <col min="15" max="15" width="14.28515625" customWidth="1"/>
    <col min="16" max="16" width="15.42578125" customWidth="1"/>
    <col min="17" max="17" width="15" customWidth="1"/>
    <col min="18" max="18" width="4.7109375" customWidth="1"/>
    <col min="19" max="19" width="15.42578125" bestFit="1" customWidth="1"/>
    <col min="20" max="21" width="23.140625" customWidth="1"/>
    <col min="25" max="25" width="28.28515625" bestFit="1" customWidth="1"/>
    <col min="26" max="26" width="12.28515625" bestFit="1" customWidth="1"/>
    <col min="28" max="28" width="38.28515625" bestFit="1" customWidth="1"/>
    <col min="29" max="29" width="15" bestFit="1" customWidth="1"/>
    <col min="30" max="30" width="12.7109375" bestFit="1" customWidth="1"/>
    <col min="31" max="31" width="25.7109375" customWidth="1"/>
    <col min="32" max="32" width="19" customWidth="1"/>
    <col min="33" max="33" width="18.28515625" customWidth="1"/>
    <col min="34" max="34" width="14.42578125" customWidth="1"/>
  </cols>
  <sheetData>
    <row r="1" spans="1:55" x14ac:dyDescent="0.2">
      <c r="A1" s="296"/>
      <c r="R1" s="11"/>
      <c r="T1" s="31" t="s">
        <v>24</v>
      </c>
    </row>
    <row r="2" spans="1:55" x14ac:dyDescent="0.2">
      <c r="A2" s="12"/>
      <c r="B2" s="337" t="s">
        <v>20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9"/>
      <c r="R2" s="13"/>
      <c r="S2" s="31" t="s">
        <v>21</v>
      </c>
      <c r="T2" s="31" t="s">
        <v>25</v>
      </c>
      <c r="U2" s="31" t="s">
        <v>26</v>
      </c>
      <c r="V2" s="44" t="s">
        <v>27</v>
      </c>
    </row>
    <row r="3" spans="1:55" x14ac:dyDescent="0.2">
      <c r="A3" s="12"/>
      <c r="B3" s="292" t="s">
        <v>18</v>
      </c>
      <c r="C3" s="340" t="s">
        <v>19</v>
      </c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2"/>
      <c r="Q3" s="3" t="s">
        <v>3</v>
      </c>
      <c r="R3" s="13"/>
      <c r="AB3" s="31" t="s">
        <v>22</v>
      </c>
    </row>
    <row r="4" spans="1:55" ht="15" x14ac:dyDescent="0.2">
      <c r="A4" s="12"/>
      <c r="B4" s="291" t="s">
        <v>28</v>
      </c>
      <c r="C4" s="343" t="s">
        <v>250</v>
      </c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5"/>
      <c r="Q4" s="39" t="s">
        <v>65</v>
      </c>
      <c r="R4" s="13"/>
      <c r="S4" s="36"/>
      <c r="T4" s="50" t="s">
        <v>30</v>
      </c>
    </row>
    <row r="5" spans="1:55" x14ac:dyDescent="0.2">
      <c r="A5" s="12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3"/>
      <c r="T5" s="51" t="s">
        <v>68</v>
      </c>
      <c r="AE5" s="346" t="s">
        <v>263</v>
      </c>
      <c r="AF5" s="347"/>
      <c r="AG5" s="347"/>
      <c r="AH5" s="347" t="s">
        <v>264</v>
      </c>
      <c r="AI5" s="347"/>
      <c r="AJ5" s="347"/>
      <c r="AK5" s="347"/>
      <c r="AL5" s="347" t="s">
        <v>265</v>
      </c>
      <c r="AM5" s="347"/>
      <c r="AN5" s="347" t="s">
        <v>266</v>
      </c>
      <c r="AO5" s="347"/>
      <c r="AP5" s="347"/>
      <c r="AQ5" s="354"/>
      <c r="AR5" s="346" t="s">
        <v>270</v>
      </c>
      <c r="AS5" s="347"/>
      <c r="AT5" s="347"/>
      <c r="AU5" s="354"/>
      <c r="AV5" s="346" t="s">
        <v>271</v>
      </c>
      <c r="AW5" s="347"/>
      <c r="AX5" s="347"/>
      <c r="AY5" s="354"/>
      <c r="AZ5" s="346" t="s">
        <v>272</v>
      </c>
      <c r="BA5" s="347"/>
      <c r="BB5" s="347"/>
      <c r="BC5" s="354"/>
    </row>
    <row r="6" spans="1:55" x14ac:dyDescent="0.2">
      <c r="A6" s="12"/>
      <c r="B6" s="27" t="s">
        <v>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3"/>
      <c r="T6" s="51" t="s">
        <v>234</v>
      </c>
      <c r="AE6" s="259" t="str">
        <f>T4</f>
        <v>T1. Verificación de ejes, centros, alineamientos, plomos y cotas.</v>
      </c>
      <c r="AF6" s="260"/>
      <c r="AG6" s="260"/>
      <c r="AH6" s="261" t="str">
        <f>T5</f>
        <v>T2. Armado y amarre de acero de refuerzo del cimiento.</v>
      </c>
      <c r="AI6" s="260"/>
      <c r="AJ6" s="260"/>
      <c r="AK6" s="260"/>
      <c r="AL6" s="261" t="str">
        <f>T6</f>
        <v>T.3Formaleteada</v>
      </c>
      <c r="AM6" s="260"/>
      <c r="AN6" s="261" t="str">
        <f>T7</f>
        <v>T4. Vaciado de concreto f’c:21 Mpa.</v>
      </c>
      <c r="AO6" s="260"/>
      <c r="AP6" s="260"/>
      <c r="AQ6" s="262"/>
      <c r="AR6" s="261" t="str">
        <f>T8</f>
        <v>T.5 Vibrado de concreto</v>
      </c>
      <c r="AS6" s="260"/>
      <c r="AT6" s="260"/>
      <c r="AU6" s="262"/>
      <c r="AV6" s="261" t="str">
        <f>T9</f>
        <v>T.6 Curado de concreto</v>
      </c>
      <c r="AW6" s="260"/>
      <c r="AX6" s="260"/>
      <c r="AY6" s="262"/>
      <c r="AZ6" s="293" t="str">
        <f>T10</f>
        <v>T.7 Desformaletear</v>
      </c>
      <c r="BA6" s="260"/>
      <c r="BB6" s="260"/>
      <c r="BC6" s="262"/>
    </row>
    <row r="7" spans="1:55" x14ac:dyDescent="0.2">
      <c r="A7" s="12"/>
      <c r="B7" s="9"/>
      <c r="C7" s="9"/>
      <c r="D7" s="9"/>
      <c r="E7" s="9"/>
      <c r="F7" s="9"/>
      <c r="G7" s="9"/>
      <c r="H7" s="9"/>
      <c r="I7" s="9"/>
      <c r="J7" s="9"/>
      <c r="K7" s="298" t="s">
        <v>281</v>
      </c>
      <c r="L7" s="9"/>
      <c r="M7" s="9"/>
      <c r="N7" s="9"/>
      <c r="O7" s="9"/>
      <c r="P7" s="9"/>
      <c r="Q7" s="9"/>
      <c r="R7" s="13"/>
      <c r="T7" s="51" t="s">
        <v>251</v>
      </c>
      <c r="AE7" s="263"/>
      <c r="AF7" s="260"/>
      <c r="AG7" s="260"/>
      <c r="AH7" s="260"/>
      <c r="AI7" s="260"/>
      <c r="AJ7" s="260"/>
      <c r="AK7" s="260"/>
      <c r="AL7" s="260"/>
      <c r="AM7" s="260"/>
      <c r="AN7" s="261" t="s">
        <v>267</v>
      </c>
      <c r="AO7" s="260"/>
      <c r="AP7" s="260"/>
      <c r="AQ7" s="262"/>
      <c r="AR7" s="261" t="s">
        <v>267</v>
      </c>
      <c r="AS7" s="260"/>
      <c r="AT7" s="260"/>
      <c r="AU7" s="262"/>
      <c r="AV7" s="261" t="s">
        <v>267</v>
      </c>
      <c r="AW7" s="260"/>
      <c r="AX7" s="260"/>
      <c r="AY7" s="262"/>
      <c r="AZ7" s="261" t="s">
        <v>267</v>
      </c>
      <c r="BA7" s="260"/>
      <c r="BB7" s="260"/>
      <c r="BC7" s="262"/>
    </row>
    <row r="8" spans="1:55" ht="25.5" x14ac:dyDescent="0.2">
      <c r="A8" s="12"/>
      <c r="B8" s="5" t="s">
        <v>1</v>
      </c>
      <c r="C8" s="6"/>
      <c r="D8" s="6"/>
      <c r="E8" s="7"/>
      <c r="F8" s="5" t="s">
        <v>2</v>
      </c>
      <c r="G8" s="6"/>
      <c r="H8" s="6"/>
      <c r="I8" s="6"/>
      <c r="J8" s="6"/>
      <c r="K8" s="6"/>
      <c r="L8" s="6"/>
      <c r="M8" s="246"/>
      <c r="N8" s="8" t="s">
        <v>3</v>
      </c>
      <c r="O8" s="8" t="s">
        <v>4</v>
      </c>
      <c r="P8" s="4" t="s">
        <v>5</v>
      </c>
      <c r="Q8" s="4" t="s">
        <v>6</v>
      </c>
      <c r="R8" s="13"/>
      <c r="S8" s="32"/>
      <c r="T8" s="51" t="s">
        <v>252</v>
      </c>
      <c r="AE8" s="264" t="s">
        <v>267</v>
      </c>
      <c r="AF8" s="260"/>
      <c r="AG8" s="260"/>
      <c r="AH8" s="261" t="s">
        <v>267</v>
      </c>
      <c r="AI8" s="260"/>
      <c r="AJ8" s="260"/>
      <c r="AK8" s="260"/>
      <c r="AL8" s="261" t="s">
        <v>267</v>
      </c>
      <c r="AM8" s="260"/>
      <c r="AN8" s="260" t="str">
        <f>B12</f>
        <v>Concreto pre mezclado de planta F´c= 21Mpa</v>
      </c>
      <c r="AO8" s="260"/>
      <c r="AP8" s="260"/>
      <c r="AQ8" s="262"/>
      <c r="AR8" s="260"/>
      <c r="AS8" s="260"/>
      <c r="AT8" s="260"/>
      <c r="AU8" s="262"/>
      <c r="AV8" s="260" t="str">
        <f>B13</f>
        <v>Antisol de sika 200grs/m2</v>
      </c>
      <c r="AW8" s="260"/>
      <c r="AX8" s="260"/>
      <c r="AY8" s="262"/>
      <c r="AZ8" s="260">
        <f>E22</f>
        <v>0</v>
      </c>
      <c r="BA8" s="260"/>
      <c r="BB8" s="260"/>
      <c r="BC8" s="262"/>
    </row>
    <row r="9" spans="1:55" x14ac:dyDescent="0.2">
      <c r="A9" s="12"/>
      <c r="B9" s="49" t="s">
        <v>255</v>
      </c>
      <c r="C9" s="256"/>
      <c r="D9" s="256"/>
      <c r="E9" s="272"/>
      <c r="F9" s="253" t="str">
        <f>T5</f>
        <v>T2. Armado y amarre de acero de refuerzo del cimiento.</v>
      </c>
      <c r="G9" s="256"/>
      <c r="H9" s="256"/>
      <c r="I9" s="256"/>
      <c r="J9" s="256"/>
      <c r="K9" s="256"/>
      <c r="L9" s="256"/>
      <c r="M9" s="279">
        <f>'Cartera de cantidades'!V29</f>
        <v>0.14613180515759311</v>
      </c>
      <c r="N9" s="257" t="s">
        <v>65</v>
      </c>
      <c r="O9" s="281">
        <f>(AF30*(1+M9))</f>
        <v>7.1999999999999993</v>
      </c>
      <c r="P9" s="288">
        <v>3500</v>
      </c>
      <c r="Q9" s="282">
        <f>O9*P9</f>
        <v>25199.999999999996</v>
      </c>
      <c r="R9" s="13"/>
      <c r="S9" s="32"/>
      <c r="T9" s="51" t="s">
        <v>253</v>
      </c>
      <c r="AE9" s="263"/>
      <c r="AF9" s="260"/>
      <c r="AG9" s="260"/>
      <c r="AH9" s="260" t="str">
        <f>B9</f>
        <v>Varillas de acero de 1/2 " de 12m de longitud- Longitudinal</v>
      </c>
      <c r="AI9" s="260"/>
      <c r="AJ9" s="260"/>
      <c r="AK9" s="260"/>
      <c r="AL9" s="260"/>
      <c r="AM9" s="260"/>
      <c r="AN9" s="260"/>
      <c r="AO9" s="260"/>
      <c r="AP9" s="260"/>
      <c r="AQ9" s="262"/>
      <c r="AR9" s="260"/>
      <c r="AS9" s="260"/>
      <c r="AT9" s="260"/>
      <c r="AU9" s="262"/>
      <c r="AV9" s="260"/>
      <c r="AW9" s="260"/>
      <c r="AX9" s="260"/>
      <c r="AY9" s="262"/>
      <c r="AZ9" s="260"/>
      <c r="BA9" s="260"/>
      <c r="BB9" s="260"/>
      <c r="BC9" s="262"/>
    </row>
    <row r="10" spans="1:55" x14ac:dyDescent="0.2">
      <c r="A10" s="12"/>
      <c r="B10" s="271" t="s">
        <v>256</v>
      </c>
      <c r="C10" s="10"/>
      <c r="D10" s="10"/>
      <c r="E10" s="15"/>
      <c r="F10" s="254" t="str">
        <f>T5</f>
        <v>T2. Armado y amarre de acero de refuerzo del cimiento.</v>
      </c>
      <c r="M10" s="289">
        <f>'Cartera de cantidades'!V30</f>
        <v>4.1666666666666706E-2</v>
      </c>
      <c r="N10" s="252" t="s">
        <v>65</v>
      </c>
      <c r="O10" s="283">
        <f>(AF31)*(1+M10)</f>
        <v>5.182291666666667</v>
      </c>
      <c r="P10" s="287">
        <v>3500</v>
      </c>
      <c r="Q10" s="284">
        <f>O10*P10</f>
        <v>18138.020833333336</v>
      </c>
      <c r="R10" s="13"/>
      <c r="S10" s="41"/>
      <c r="T10" s="51" t="s">
        <v>254</v>
      </c>
      <c r="AE10" s="263"/>
      <c r="AF10" s="260"/>
      <c r="AG10" s="260"/>
      <c r="AH10" s="260" t="str">
        <f>B10</f>
        <v>Varillas de acero de 1/2 " de 6m de longitud- Transversal</v>
      </c>
      <c r="AI10" s="260"/>
      <c r="AJ10" s="260"/>
      <c r="AK10" s="260"/>
      <c r="AL10" s="260"/>
      <c r="AM10" s="260"/>
      <c r="AN10" s="260"/>
      <c r="AO10" s="260"/>
      <c r="AP10" s="260"/>
      <c r="AQ10" s="262"/>
      <c r="AR10" s="260"/>
      <c r="AS10" s="260"/>
      <c r="AT10" s="260"/>
      <c r="AU10" s="262"/>
      <c r="AV10" s="260"/>
      <c r="AW10" s="260"/>
      <c r="AX10" s="260"/>
      <c r="AY10" s="262"/>
      <c r="AZ10" s="260"/>
      <c r="BA10" s="260"/>
      <c r="BB10" s="260"/>
      <c r="BC10" s="262"/>
    </row>
    <row r="11" spans="1:55" x14ac:dyDescent="0.2">
      <c r="A11" s="12"/>
      <c r="B11" s="68" t="s">
        <v>67</v>
      </c>
      <c r="C11" s="69"/>
      <c r="D11" s="69"/>
      <c r="E11" s="46"/>
      <c r="F11" s="45" t="str">
        <f>T5</f>
        <v>T2. Armado y amarre de acero de refuerzo del cimiento.</v>
      </c>
      <c r="G11" s="45"/>
      <c r="H11" s="47"/>
      <c r="I11" s="45"/>
      <c r="J11" s="48"/>
      <c r="K11" s="45"/>
      <c r="L11" s="45"/>
      <c r="M11" s="290">
        <v>0.1</v>
      </c>
      <c r="N11" s="59" t="s">
        <v>31</v>
      </c>
      <c r="O11" s="281">
        <f>(AF33*(1+M11))/30</f>
        <v>0.60984000000000016</v>
      </c>
      <c r="P11" s="285">
        <v>4350</v>
      </c>
      <c r="Q11" s="282">
        <f>O11*P11</f>
        <v>2652.8040000000005</v>
      </c>
      <c r="R11" s="13"/>
      <c r="S11" s="41"/>
      <c r="T11" s="42"/>
      <c r="AB11" s="32" t="s">
        <v>23</v>
      </c>
      <c r="AE11" s="263"/>
      <c r="AF11" s="260"/>
      <c r="AG11" s="260"/>
      <c r="AH11" s="260" t="str">
        <f>B11</f>
        <v>Alambre negro para amarres</v>
      </c>
      <c r="AI11" s="260"/>
      <c r="AJ11" s="260"/>
      <c r="AK11" s="260"/>
      <c r="AL11" s="260"/>
      <c r="AM11" s="260"/>
      <c r="AN11" s="260"/>
      <c r="AO11" s="260"/>
      <c r="AP11" s="260"/>
      <c r="AQ11" s="262"/>
      <c r="AR11" s="260"/>
      <c r="AS11" s="260"/>
      <c r="AT11" s="260"/>
      <c r="AU11" s="262"/>
      <c r="AV11" s="260"/>
      <c r="AW11" s="260"/>
      <c r="AX11" s="260"/>
      <c r="AY11" s="262"/>
      <c r="AZ11" s="260"/>
      <c r="BA11" s="260"/>
      <c r="BB11" s="260"/>
      <c r="BC11" s="262"/>
    </row>
    <row r="12" spans="1:55" x14ac:dyDescent="0.2">
      <c r="A12" s="12"/>
      <c r="B12" s="67" t="s">
        <v>257</v>
      </c>
      <c r="C12" s="17"/>
      <c r="D12" s="17"/>
      <c r="E12" s="2"/>
      <c r="F12" s="1" t="str">
        <f>T7</f>
        <v>T4. Vaciado de concreto f’c:21 Mpa.</v>
      </c>
      <c r="G12" s="1"/>
      <c r="H12" s="1"/>
      <c r="I12" s="1"/>
      <c r="J12" s="1"/>
      <c r="K12" s="1"/>
      <c r="L12" s="1"/>
      <c r="M12" s="279">
        <v>0.1</v>
      </c>
      <c r="N12" s="60" t="s">
        <v>29</v>
      </c>
      <c r="O12" s="281">
        <f>(AF32)*(1+M12)</f>
        <v>0.10560000000000001</v>
      </c>
      <c r="P12" s="285">
        <v>380000</v>
      </c>
      <c r="Q12" s="282">
        <f>O12*P12</f>
        <v>40128.000000000007</v>
      </c>
      <c r="R12" s="13"/>
      <c r="AE12" s="264" t="s">
        <v>268</v>
      </c>
      <c r="AF12" s="260"/>
      <c r="AG12" s="260"/>
      <c r="AH12" s="261" t="s">
        <v>268</v>
      </c>
      <c r="AI12" s="260"/>
      <c r="AJ12" s="260"/>
      <c r="AK12" s="260"/>
      <c r="AL12" s="260"/>
      <c r="AM12" s="260"/>
      <c r="AN12" s="260"/>
      <c r="AO12" s="260"/>
      <c r="AP12" s="260"/>
      <c r="AQ12" s="262"/>
      <c r="AR12" s="260"/>
      <c r="AS12" s="260"/>
      <c r="AT12" s="260"/>
      <c r="AU12" s="262"/>
      <c r="AV12" s="260"/>
      <c r="AW12" s="260"/>
      <c r="AX12" s="260"/>
      <c r="AY12" s="262"/>
      <c r="AZ12" s="260"/>
      <c r="BA12" s="260"/>
      <c r="BB12" s="260"/>
      <c r="BC12" s="262"/>
    </row>
    <row r="13" spans="1:55" x14ac:dyDescent="0.2">
      <c r="A13" s="12"/>
      <c r="B13" s="68" t="s">
        <v>71</v>
      </c>
      <c r="C13" s="17"/>
      <c r="D13" s="17"/>
      <c r="E13" s="15"/>
      <c r="F13" s="10" t="str">
        <f>T9</f>
        <v>T.6 Curado de concreto</v>
      </c>
      <c r="G13" s="10"/>
      <c r="H13" s="10"/>
      <c r="I13" s="10"/>
      <c r="J13" s="10"/>
      <c r="K13" s="10"/>
      <c r="L13" s="10"/>
      <c r="M13" s="289">
        <v>0.1</v>
      </c>
      <c r="N13" s="62" t="s">
        <v>70</v>
      </c>
      <c r="O13" s="281">
        <f>AG29*(1+M13)</f>
        <v>176</v>
      </c>
      <c r="P13" s="286">
        <v>7.5</v>
      </c>
      <c r="Q13" s="282">
        <f>O13*P13</f>
        <v>1320</v>
      </c>
      <c r="R13" s="13"/>
      <c r="AE13" s="265" t="str">
        <f>B20</f>
        <v>Herramienta menor</v>
      </c>
      <c r="AF13" s="266"/>
      <c r="AG13" s="266"/>
      <c r="AH13" s="260" t="str">
        <f>AE13</f>
        <v>Herramienta menor</v>
      </c>
      <c r="AI13" s="260"/>
      <c r="AJ13" s="260"/>
      <c r="AK13" s="260"/>
      <c r="AL13" s="261" t="s">
        <v>268</v>
      </c>
      <c r="AM13" s="260"/>
      <c r="AN13" s="261" t="s">
        <v>268</v>
      </c>
      <c r="AO13" s="260"/>
      <c r="AP13" s="260"/>
      <c r="AQ13" s="262"/>
      <c r="AR13" s="261" t="s">
        <v>268</v>
      </c>
      <c r="AS13" s="260"/>
      <c r="AT13" s="260"/>
      <c r="AU13" s="262"/>
      <c r="AV13" s="261" t="s">
        <v>268</v>
      </c>
      <c r="AW13" s="260"/>
      <c r="AX13" s="260"/>
      <c r="AY13" s="262"/>
      <c r="AZ13" s="261" t="s">
        <v>268</v>
      </c>
      <c r="BA13" s="260"/>
      <c r="BB13" s="260"/>
      <c r="BC13" s="262"/>
    </row>
    <row r="14" spans="1:55" x14ac:dyDescent="0.2">
      <c r="A14" s="12"/>
      <c r="B14" s="348"/>
      <c r="C14" s="349"/>
      <c r="D14" s="349"/>
      <c r="E14" s="349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2"/>
      <c r="R14" s="13"/>
      <c r="T14" s="51"/>
      <c r="Y14">
        <f>1/0.08</f>
        <v>12.5</v>
      </c>
      <c r="AE14" s="263">
        <f>C15</f>
        <v>0</v>
      </c>
      <c r="AF14" s="260"/>
      <c r="AG14" s="260"/>
      <c r="AH14" s="260"/>
      <c r="AI14" s="260"/>
      <c r="AJ14" s="260"/>
      <c r="AK14" s="260"/>
      <c r="AL14" s="260" t="str">
        <f>B22</f>
        <v>Formaleta metalica</v>
      </c>
      <c r="AM14" s="260"/>
      <c r="AN14" s="350" t="str">
        <f>B20</f>
        <v>Herramienta menor</v>
      </c>
      <c r="AO14" s="350"/>
      <c r="AP14" s="350"/>
      <c r="AQ14" s="262"/>
      <c r="AR14" s="350" t="str">
        <f>B21</f>
        <v>Vibrador de concreto</v>
      </c>
      <c r="AS14" s="350"/>
      <c r="AT14" s="350"/>
      <c r="AU14" s="262"/>
      <c r="AV14" s="350" t="str">
        <f>AR15</f>
        <v>Herramienta menor</v>
      </c>
      <c r="AW14" s="350"/>
      <c r="AX14" s="350"/>
      <c r="AY14" s="262"/>
      <c r="AZ14" s="350" t="str">
        <f>AV14</f>
        <v>Herramienta menor</v>
      </c>
      <c r="BA14" s="350"/>
      <c r="BB14" s="350"/>
      <c r="BC14" s="262"/>
    </row>
    <row r="15" spans="1:55" x14ac:dyDescent="0.2">
      <c r="A15" s="12"/>
      <c r="B15" s="362"/>
      <c r="C15" s="363"/>
      <c r="D15" s="363"/>
      <c r="E15" s="364"/>
      <c r="F15" s="10"/>
      <c r="G15" s="10"/>
      <c r="H15" s="10"/>
      <c r="I15" s="10"/>
      <c r="J15" s="10"/>
      <c r="K15" s="10"/>
      <c r="L15" s="10"/>
      <c r="M15" s="61"/>
      <c r="N15" s="63"/>
      <c r="O15" s="255"/>
      <c r="P15" s="273" t="s">
        <v>7</v>
      </c>
      <c r="Q15" s="274">
        <f>SUM(Q9:Q13)</f>
        <v>87438.824833333347</v>
      </c>
      <c r="R15" s="13"/>
      <c r="S15" s="26" t="s">
        <v>21</v>
      </c>
      <c r="AC15" s="51"/>
      <c r="AE15" s="263"/>
      <c r="AF15" s="260"/>
      <c r="AG15" s="260"/>
      <c r="AH15" s="260"/>
      <c r="AI15" s="260"/>
      <c r="AJ15" s="260"/>
      <c r="AK15" s="260"/>
      <c r="AL15" s="260" t="str">
        <f>B20</f>
        <v>Herramienta menor</v>
      </c>
      <c r="AM15" s="260"/>
      <c r="AN15" s="351"/>
      <c r="AO15" s="351"/>
      <c r="AP15" s="351"/>
      <c r="AQ15" s="352"/>
      <c r="AR15" s="351" t="str">
        <f>B20</f>
        <v>Herramienta menor</v>
      </c>
      <c r="AS15" s="351"/>
      <c r="AT15" s="351"/>
      <c r="AU15" s="352"/>
      <c r="AV15" s="351"/>
      <c r="AW15" s="351"/>
      <c r="AX15" s="351"/>
      <c r="AY15" s="352"/>
      <c r="AZ15" s="351" t="str">
        <f>B22</f>
        <v>Formaleta metalica</v>
      </c>
      <c r="BA15" s="351"/>
      <c r="BB15" s="351"/>
      <c r="BC15" s="352"/>
    </row>
    <row r="16" spans="1:55" x14ac:dyDescent="0.2">
      <c r="A16" s="12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R16" s="13"/>
      <c r="S16" s="2">
        <f>Q15/$Q$45</f>
        <v>0.6799804994524925</v>
      </c>
      <c r="Y16" s="348" t="s">
        <v>75</v>
      </c>
      <c r="Z16" s="349"/>
      <c r="AA16" s="349"/>
      <c r="AB16" s="353"/>
      <c r="AE16" s="263"/>
      <c r="AF16" s="260"/>
      <c r="AG16" s="260"/>
      <c r="AH16" s="260"/>
      <c r="AI16" s="260"/>
      <c r="AJ16" s="260"/>
      <c r="AK16" s="260"/>
      <c r="AL16" s="260"/>
      <c r="AM16" s="260"/>
      <c r="AN16" s="260"/>
      <c r="AO16" s="260"/>
      <c r="AP16" s="260"/>
      <c r="AQ16" s="262"/>
      <c r="AR16" s="260"/>
      <c r="AS16" s="260"/>
      <c r="AT16" s="260"/>
      <c r="AU16" s="262"/>
      <c r="AV16" s="260"/>
      <c r="AW16" s="260"/>
      <c r="AX16" s="260"/>
      <c r="AY16" s="262"/>
      <c r="AZ16" s="260"/>
      <c r="BA16" s="260"/>
      <c r="BB16" s="260"/>
      <c r="BC16" s="262"/>
    </row>
    <row r="17" spans="1:55" x14ac:dyDescent="0.2">
      <c r="A17" s="12"/>
      <c r="B17" s="27" t="s">
        <v>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13"/>
      <c r="T17" s="43"/>
      <c r="Y17" s="12"/>
      <c r="Z17" s="17"/>
      <c r="AA17" s="17" t="s">
        <v>77</v>
      </c>
      <c r="AB17" s="17"/>
      <c r="AE17" s="263"/>
      <c r="AF17" s="260"/>
      <c r="AG17" s="260"/>
      <c r="AH17" s="260"/>
      <c r="AI17" s="260"/>
      <c r="AJ17" s="260"/>
      <c r="AK17" s="260"/>
      <c r="AL17" s="260"/>
      <c r="AM17" s="260"/>
      <c r="AN17" s="260">
        <f>C15</f>
        <v>0</v>
      </c>
      <c r="AO17" s="260"/>
      <c r="AP17" s="260"/>
      <c r="AQ17" s="262"/>
      <c r="AR17" s="260">
        <f>G15</f>
        <v>0</v>
      </c>
      <c r="AS17" s="260"/>
      <c r="AT17" s="260"/>
      <c r="AU17" s="262"/>
      <c r="AV17" s="260">
        <f>K15</f>
        <v>0</v>
      </c>
      <c r="AW17" s="260"/>
      <c r="AX17" s="260"/>
      <c r="AY17" s="262"/>
      <c r="AZ17" s="260">
        <f>O15</f>
        <v>0</v>
      </c>
      <c r="BA17" s="260"/>
      <c r="BB17" s="260"/>
      <c r="BC17" s="262"/>
    </row>
    <row r="18" spans="1:55" x14ac:dyDescent="0.2">
      <c r="A18" s="12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13"/>
      <c r="Y18" s="17" t="s">
        <v>76</v>
      </c>
      <c r="Z18" s="17"/>
      <c r="AA18" s="65">
        <v>10</v>
      </c>
      <c r="AB18" s="66">
        <f>8/AA18</f>
        <v>0.8</v>
      </c>
      <c r="AE18" s="263"/>
      <c r="AF18" s="260"/>
      <c r="AG18" s="260"/>
      <c r="AH18" s="260"/>
      <c r="AI18" s="260"/>
      <c r="AJ18" s="260"/>
      <c r="AK18" s="260"/>
      <c r="AL18" s="260"/>
      <c r="AM18" s="260"/>
      <c r="AN18" s="260"/>
      <c r="AO18" s="260"/>
      <c r="AP18" s="260"/>
      <c r="AQ18" s="262"/>
      <c r="AR18" s="260"/>
      <c r="AS18" s="260"/>
      <c r="AT18" s="260"/>
      <c r="AU18" s="262"/>
      <c r="AV18" s="260"/>
      <c r="AW18" s="260"/>
      <c r="AX18" s="260"/>
      <c r="AY18" s="262"/>
      <c r="AZ18" s="260"/>
      <c r="BA18" s="260"/>
      <c r="BB18" s="260"/>
      <c r="BC18" s="262"/>
    </row>
    <row r="19" spans="1:55" ht="25.5" x14ac:dyDescent="0.2">
      <c r="A19" s="12"/>
      <c r="B19" s="5" t="s">
        <v>1</v>
      </c>
      <c r="C19" s="6"/>
      <c r="D19" s="6"/>
      <c r="E19" s="7"/>
      <c r="F19" s="5" t="s">
        <v>2</v>
      </c>
      <c r="G19" s="6"/>
      <c r="H19" s="6"/>
      <c r="I19" s="6"/>
      <c r="J19" s="6"/>
      <c r="K19" s="6"/>
      <c r="L19" s="6"/>
      <c r="M19" s="7"/>
      <c r="N19" s="8" t="s">
        <v>3</v>
      </c>
      <c r="O19" s="8" t="s">
        <v>10</v>
      </c>
      <c r="P19" s="4" t="s">
        <v>9</v>
      </c>
      <c r="Q19" s="4" t="s">
        <v>6</v>
      </c>
      <c r="R19" s="13"/>
      <c r="Y19" s="67" t="s">
        <v>244</v>
      </c>
      <c r="Z19" s="17"/>
      <c r="AA19" s="258">
        <v>120</v>
      </c>
      <c r="AB19" s="66">
        <f>1/AA19</f>
        <v>8.3333333333333332E-3</v>
      </c>
      <c r="AE19" s="264" t="s">
        <v>269</v>
      </c>
      <c r="AF19" s="260"/>
      <c r="AG19" s="260"/>
      <c r="AH19" s="267" t="s">
        <v>269</v>
      </c>
      <c r="AI19" s="260"/>
      <c r="AJ19" s="260"/>
      <c r="AK19" s="260"/>
      <c r="AL19" s="261" t="s">
        <v>269</v>
      </c>
      <c r="AM19" s="260"/>
      <c r="AN19" s="267" t="s">
        <v>269</v>
      </c>
      <c r="AO19" s="260"/>
      <c r="AP19" s="260"/>
      <c r="AQ19" s="262"/>
      <c r="AR19" s="267" t="s">
        <v>269</v>
      </c>
      <c r="AS19" s="260"/>
      <c r="AT19" s="260"/>
      <c r="AU19" s="262"/>
      <c r="AV19" s="267" t="s">
        <v>269</v>
      </c>
      <c r="AW19" s="260"/>
      <c r="AX19" s="260"/>
      <c r="AY19" s="262"/>
      <c r="AZ19" s="267" t="s">
        <v>269</v>
      </c>
      <c r="BA19" s="260"/>
      <c r="BB19" s="260"/>
      <c r="BC19" s="262"/>
    </row>
    <row r="20" spans="1:55" x14ac:dyDescent="0.2">
      <c r="A20" s="12"/>
      <c r="B20" s="64" t="s">
        <v>74</v>
      </c>
      <c r="C20" s="1"/>
      <c r="D20" s="1"/>
      <c r="E20" s="2"/>
      <c r="F20" s="38" t="str">
        <f>T4</f>
        <v>T1. Verificación de ejes, centros, alineamientos, plomos y cotas.</v>
      </c>
      <c r="G20" s="38" t="str">
        <f>T5</f>
        <v>T2. Armado y amarre de acero de refuerzo del cimiento.</v>
      </c>
      <c r="H20" s="1"/>
      <c r="I20" s="1"/>
      <c r="J20" s="1"/>
      <c r="K20" s="1"/>
      <c r="L20" s="1"/>
      <c r="M20" s="40">
        <v>0.05</v>
      </c>
      <c r="N20" s="67" t="s">
        <v>78</v>
      </c>
      <c r="O20" s="19">
        <v>0.05</v>
      </c>
      <c r="P20" s="21">
        <f>M20*Q35</f>
        <v>1701.3329621437501</v>
      </c>
      <c r="Q20" s="21">
        <f>O20*P20</f>
        <v>85.066648107187518</v>
      </c>
      <c r="R20" s="13"/>
      <c r="S20" s="41">
        <f>ROUNDUP(S4*O20,0)</f>
        <v>0</v>
      </c>
      <c r="AE20" s="268" t="str">
        <f>B28</f>
        <v>Cuadrilla 1x1</v>
      </c>
      <c r="AF20" s="269"/>
      <c r="AG20" s="269"/>
      <c r="AH20" s="269" t="str">
        <f>B29</f>
        <v>Cuadrilla 1x1</v>
      </c>
      <c r="AI20" s="269"/>
      <c r="AJ20" s="269"/>
      <c r="AK20" s="269"/>
      <c r="AL20" s="269" t="str">
        <f>B31</f>
        <v>Cuadrilla 1x1</v>
      </c>
      <c r="AM20" s="269"/>
      <c r="AN20" s="269" t="str">
        <f>B30</f>
        <v>Cuadrilla 1x4</v>
      </c>
      <c r="AO20" s="269"/>
      <c r="AP20" s="269"/>
      <c r="AQ20" s="270"/>
      <c r="AR20" s="269" t="str">
        <f>AH20</f>
        <v>Cuadrilla 1x1</v>
      </c>
      <c r="AS20" s="269"/>
      <c r="AT20" s="269"/>
      <c r="AU20" s="270"/>
      <c r="AV20" s="269" t="str">
        <f>B32</f>
        <v>Cuadrilla 0x1</v>
      </c>
      <c r="AW20" s="269"/>
      <c r="AX20" s="269"/>
      <c r="AY20" s="270"/>
      <c r="AZ20" s="269" t="str">
        <f>B33</f>
        <v>Cuadrilla 0x1</v>
      </c>
      <c r="BA20" s="269"/>
      <c r="BB20" s="269"/>
      <c r="BC20" s="270"/>
    </row>
    <row r="21" spans="1:55" x14ac:dyDescent="0.2">
      <c r="A21" s="12"/>
      <c r="B21" s="37" t="str">
        <f>Y18</f>
        <v>Vibrador de concreto</v>
      </c>
      <c r="C21" s="1"/>
      <c r="D21" s="1"/>
      <c r="E21" s="2"/>
      <c r="F21" s="38" t="str">
        <f>T8</f>
        <v>T.5 Vibrado de concreto</v>
      </c>
      <c r="G21" s="38"/>
      <c r="H21" s="1"/>
      <c r="I21" s="38"/>
      <c r="J21" s="1"/>
      <c r="K21" s="1"/>
      <c r="L21" s="1"/>
      <c r="M21" s="1"/>
      <c r="N21" s="67" t="s">
        <v>260</v>
      </c>
      <c r="O21" s="19">
        <f>AB18/12.5</f>
        <v>6.4000000000000001E-2</v>
      </c>
      <c r="P21" s="21">
        <v>18000</v>
      </c>
      <c r="Q21" s="21">
        <f>O21*P21</f>
        <v>1152</v>
      </c>
      <c r="R21" s="13"/>
    </row>
    <row r="22" spans="1:55" x14ac:dyDescent="0.2">
      <c r="A22" s="12"/>
      <c r="B22" s="250" t="s">
        <v>231</v>
      </c>
      <c r="C22" s="10"/>
      <c r="D22" s="10"/>
      <c r="E22" s="15"/>
      <c r="F22" s="10" t="str">
        <f>T6</f>
        <v>T.3Formaleteada</v>
      </c>
      <c r="G22" s="10"/>
      <c r="H22" s="10"/>
      <c r="I22" s="10"/>
      <c r="J22" s="10"/>
      <c r="K22" s="10"/>
      <c r="L22" s="10"/>
      <c r="M22" s="10"/>
      <c r="N22" s="251" t="s">
        <v>261</v>
      </c>
      <c r="O22" s="20">
        <v>1</v>
      </c>
      <c r="P22" s="22">
        <f>AD37</f>
        <v>5887.6439999999993</v>
      </c>
      <c r="Q22" s="21">
        <f>O22*P22</f>
        <v>5887.6439999999993</v>
      </c>
      <c r="R22" s="13"/>
    </row>
    <row r="23" spans="1:55" x14ac:dyDescent="0.2">
      <c r="A23" s="12"/>
      <c r="R23" s="13"/>
      <c r="S23" s="26" t="s">
        <v>21</v>
      </c>
    </row>
    <row r="24" spans="1:55" x14ac:dyDescent="0.2">
      <c r="A24" s="12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28" t="s">
        <v>7</v>
      </c>
      <c r="Q24" s="23">
        <f>SUM(Q20:Q22)</f>
        <v>7124.7106481071869</v>
      </c>
      <c r="R24" s="13"/>
      <c r="S24" s="2">
        <f>Q24/$Q$45</f>
        <v>5.5406329101389505E-2</v>
      </c>
    </row>
    <row r="25" spans="1:55" x14ac:dyDescent="0.2">
      <c r="A25" s="12"/>
      <c r="B25" s="27" t="s">
        <v>11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13"/>
    </row>
    <row r="26" spans="1:55" x14ac:dyDescent="0.2">
      <c r="A26" s="12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13"/>
      <c r="Y26" s="355" t="s">
        <v>273</v>
      </c>
      <c r="Z26" s="355"/>
      <c r="AA26" s="355"/>
      <c r="AB26" s="355"/>
      <c r="AC26" s="355"/>
      <c r="AD26" s="355"/>
      <c r="AE26" s="355" t="s">
        <v>22</v>
      </c>
      <c r="AF26" s="355"/>
      <c r="AG26" s="355"/>
    </row>
    <row r="27" spans="1:55" ht="25.5" x14ac:dyDescent="0.2">
      <c r="A27" s="12"/>
      <c r="B27" s="5" t="s">
        <v>1</v>
      </c>
      <c r="C27" s="6"/>
      <c r="D27" s="6"/>
      <c r="E27" s="7"/>
      <c r="F27" s="5" t="s">
        <v>2</v>
      </c>
      <c r="G27" s="6"/>
      <c r="H27" s="6"/>
      <c r="I27" s="6"/>
      <c r="J27" s="6"/>
      <c r="K27" s="6"/>
      <c r="L27" s="6"/>
      <c r="M27" s="7"/>
      <c r="N27" s="8" t="s">
        <v>3</v>
      </c>
      <c r="O27" s="8" t="s">
        <v>10</v>
      </c>
      <c r="P27" s="4" t="s">
        <v>5</v>
      </c>
      <c r="Q27" s="4" t="s">
        <v>6</v>
      </c>
      <c r="R27" s="13"/>
      <c r="Y27" s="67" t="s">
        <v>240</v>
      </c>
      <c r="Z27" s="17">
        <v>25</v>
      </c>
      <c r="AA27" s="17">
        <v>350</v>
      </c>
      <c r="AB27" s="275">
        <f t="shared" ref="AB27:AB32" si="0">Z27*AA27</f>
        <v>8750</v>
      </c>
      <c r="AC27" s="356"/>
      <c r="AD27" s="357"/>
      <c r="AE27" s="67" t="s">
        <v>241</v>
      </c>
      <c r="AF27" s="17">
        <f>SUM('Cartera de cantidades'!Z29:Z30)</f>
        <v>332.64</v>
      </c>
      <c r="AG27" s="17"/>
    </row>
    <row r="28" spans="1:55" x14ac:dyDescent="0.2">
      <c r="A28" s="12"/>
      <c r="B28" s="64" t="s">
        <v>220</v>
      </c>
      <c r="C28" s="1"/>
      <c r="D28" s="1"/>
      <c r="E28" s="2"/>
      <c r="F28" s="38" t="str">
        <f>T4</f>
        <v>T1. Verificación de ejes, centros, alineamientos, plomos y cotas.</v>
      </c>
      <c r="G28" s="1"/>
      <c r="H28" s="1"/>
      <c r="I28" s="38"/>
      <c r="J28" s="1"/>
      <c r="K28" s="40"/>
      <c r="L28" s="1"/>
      <c r="M28" s="1">
        <v>0.1</v>
      </c>
      <c r="N28" s="67" t="s">
        <v>223</v>
      </c>
      <c r="O28" s="19">
        <f>AF29*M28</f>
        <v>8.0000000000000016E-2</v>
      </c>
      <c r="P28" s="21">
        <f>'Costos de cuadrilas'!E5</f>
        <v>20055.712500000001</v>
      </c>
      <c r="Q28" s="21">
        <f t="shared" ref="Q28:Q34" si="1">O28*P28</f>
        <v>1604.4570000000003</v>
      </c>
      <c r="R28" s="13"/>
      <c r="T28" s="32"/>
      <c r="Y28" s="67" t="s">
        <v>248</v>
      </c>
      <c r="Z28" s="17">
        <v>25</v>
      </c>
      <c r="AA28" s="276">
        <v>400</v>
      </c>
      <c r="AB28" s="275">
        <f t="shared" si="0"/>
        <v>10000</v>
      </c>
      <c r="AC28" s="358"/>
      <c r="AD28" s="359"/>
      <c r="AE28" s="68" t="s">
        <v>242</v>
      </c>
      <c r="AF28" s="17">
        <v>200</v>
      </c>
      <c r="AG28" s="67" t="s">
        <v>243</v>
      </c>
    </row>
    <row r="29" spans="1:55" x14ac:dyDescent="0.2">
      <c r="A29" s="12"/>
      <c r="B29" s="64" t="s">
        <v>220</v>
      </c>
      <c r="C29" s="1"/>
      <c r="D29" s="1"/>
      <c r="E29" s="2"/>
      <c r="F29" s="38" t="str">
        <f>T5</f>
        <v>T2. Armado y amarre de acero de refuerzo del cimiento.</v>
      </c>
      <c r="G29" s="1"/>
      <c r="H29" s="1"/>
      <c r="I29" s="38"/>
      <c r="J29" s="1"/>
      <c r="K29" s="40"/>
      <c r="L29" s="1"/>
      <c r="M29" s="1">
        <v>7.0000000000000007E-2</v>
      </c>
      <c r="N29" s="67" t="s">
        <v>224</v>
      </c>
      <c r="O29" s="19">
        <f>(M29)*SUM('Cartera de cantidades'!AA29:AA30)</f>
        <v>0.78799000000000008</v>
      </c>
      <c r="P29" s="21">
        <f>'Costos de cuadrilas'!E9</f>
        <v>20055.712500000001</v>
      </c>
      <c r="Q29" s="21">
        <f t="shared" si="1"/>
        <v>15803.700892875002</v>
      </c>
      <c r="R29" s="13"/>
      <c r="T29" s="35"/>
      <c r="U29" s="32"/>
      <c r="Y29" s="17" t="s">
        <v>232</v>
      </c>
      <c r="Z29" s="17">
        <v>2</v>
      </c>
      <c r="AA29" s="276">
        <v>60</v>
      </c>
      <c r="AB29" s="275">
        <f t="shared" si="0"/>
        <v>120</v>
      </c>
      <c r="AC29" s="358"/>
      <c r="AD29" s="359"/>
      <c r="AE29" s="67" t="s">
        <v>274</v>
      </c>
      <c r="AF29" s="67">
        <f>0.8*1</f>
        <v>0.8</v>
      </c>
      <c r="AG29" s="17">
        <f>AF29*AF28</f>
        <v>160</v>
      </c>
    </row>
    <row r="30" spans="1:55" x14ac:dyDescent="0.2">
      <c r="A30" s="12"/>
      <c r="B30" s="14" t="s">
        <v>222</v>
      </c>
      <c r="C30" s="1"/>
      <c r="D30" s="1"/>
      <c r="E30" s="2"/>
      <c r="F30" s="1" t="str">
        <f>T7</f>
        <v>T4. Vaciado de concreto f’c:21 Mpa.</v>
      </c>
      <c r="G30" s="1"/>
      <c r="H30" s="1"/>
      <c r="I30" s="1"/>
      <c r="J30" s="1"/>
      <c r="K30" s="1"/>
      <c r="L30" s="1"/>
      <c r="M30" s="1">
        <v>0.03</v>
      </c>
      <c r="N30" s="67" t="s">
        <v>262</v>
      </c>
      <c r="O30" s="19">
        <f>M30</f>
        <v>0.03</v>
      </c>
      <c r="P30" s="21">
        <f>'Costos de cuadrilas'!E17</f>
        <v>45721.574999999997</v>
      </c>
      <c r="Q30" s="21">
        <f t="shared" si="1"/>
        <v>1371.6472499999998</v>
      </c>
      <c r="R30" s="13"/>
      <c r="Y30" s="67" t="s">
        <v>249</v>
      </c>
      <c r="Z30" s="17">
        <v>9</v>
      </c>
      <c r="AA30" s="276">
        <v>250</v>
      </c>
      <c r="AB30" s="275">
        <f t="shared" si="0"/>
        <v>2250</v>
      </c>
      <c r="AC30" s="358"/>
      <c r="AD30" s="359"/>
      <c r="AE30" s="67" t="s">
        <v>246</v>
      </c>
      <c r="AF30" s="17">
        <f>'Cartera de cantidades'!AA29</f>
        <v>6.282</v>
      </c>
      <c r="AG30" s="17"/>
    </row>
    <row r="31" spans="1:55" x14ac:dyDescent="0.2">
      <c r="A31" s="12"/>
      <c r="B31" s="64" t="s">
        <v>220</v>
      </c>
      <c r="C31" s="10"/>
      <c r="D31" s="10"/>
      <c r="E31" s="15"/>
      <c r="F31" s="10" t="str">
        <f>T6</f>
        <v>T.3Formaleteada</v>
      </c>
      <c r="G31" s="10"/>
      <c r="H31" s="10"/>
      <c r="I31" s="10"/>
      <c r="J31" s="10"/>
      <c r="K31" s="10"/>
      <c r="L31" s="10"/>
      <c r="M31" s="1">
        <v>0.5</v>
      </c>
      <c r="N31" s="67" t="s">
        <v>262</v>
      </c>
      <c r="O31" s="20">
        <f>M31</f>
        <v>0.5</v>
      </c>
      <c r="P31" s="22">
        <f>'Costos de cuadrilas'!E38</f>
        <v>20055.712500000001</v>
      </c>
      <c r="Q31" s="21">
        <f t="shared" si="1"/>
        <v>10027.856250000001</v>
      </c>
      <c r="R31" s="13"/>
      <c r="Y31" s="67" t="s">
        <v>258</v>
      </c>
      <c r="Z31" s="17">
        <v>18</v>
      </c>
      <c r="AA31" s="276">
        <v>105</v>
      </c>
      <c r="AB31" s="275">
        <f t="shared" si="0"/>
        <v>1890</v>
      </c>
      <c r="AC31" s="358"/>
      <c r="AD31" s="359"/>
      <c r="AE31" s="67" t="s">
        <v>247</v>
      </c>
      <c r="AF31" s="17">
        <f>'Cartera de cantidades'!AA30</f>
        <v>4.9749999999999996</v>
      </c>
      <c r="AG31" s="17"/>
    </row>
    <row r="32" spans="1:55" x14ac:dyDescent="0.2">
      <c r="B32" s="64" t="s">
        <v>221</v>
      </c>
      <c r="C32" s="1"/>
      <c r="D32" s="1"/>
      <c r="E32" s="2"/>
      <c r="F32" s="1" t="str">
        <f>T9</f>
        <v>T.6 Curado de concreto</v>
      </c>
      <c r="G32" s="1"/>
      <c r="H32" s="1"/>
      <c r="I32" s="1"/>
      <c r="J32" s="1"/>
      <c r="K32" s="1"/>
      <c r="L32" s="1"/>
      <c r="M32" s="1">
        <v>0.26</v>
      </c>
      <c r="N32" s="67" t="s">
        <v>262</v>
      </c>
      <c r="O32" s="19">
        <f>M32</f>
        <v>0.26</v>
      </c>
      <c r="P32" s="21">
        <f>'Costos de cuadrilas'!E50</f>
        <v>8555.2875000000004</v>
      </c>
      <c r="Q32" s="21">
        <f t="shared" si="1"/>
        <v>2224.3747499999999</v>
      </c>
      <c r="R32" s="13"/>
      <c r="Y32" s="67" t="s">
        <v>259</v>
      </c>
      <c r="Z32" s="17">
        <v>36</v>
      </c>
      <c r="AA32" s="276">
        <v>120</v>
      </c>
      <c r="AB32" s="275">
        <f t="shared" si="0"/>
        <v>4320</v>
      </c>
      <c r="AC32" s="358"/>
      <c r="AD32" s="359"/>
      <c r="AE32" s="67" t="s">
        <v>66</v>
      </c>
      <c r="AF32" s="17">
        <f>0.8*0.12</f>
        <v>9.6000000000000002E-2</v>
      </c>
      <c r="AG32" s="17"/>
    </row>
    <row r="33" spans="1:36" x14ac:dyDescent="0.2">
      <c r="B33" s="64" t="str">
        <f>B32</f>
        <v>Cuadrilla 0x1</v>
      </c>
      <c r="C33" s="10"/>
      <c r="D33" s="10"/>
      <c r="E33" s="15"/>
      <c r="F33" s="10" t="s">
        <v>254</v>
      </c>
      <c r="G33" s="10"/>
      <c r="H33" s="10"/>
      <c r="I33" s="10"/>
      <c r="J33" s="10"/>
      <c r="K33" s="10"/>
      <c r="L33" s="10"/>
      <c r="M33" s="1">
        <v>0.2</v>
      </c>
      <c r="N33" s="67" t="s">
        <v>262</v>
      </c>
      <c r="O33" s="20">
        <f>M33</f>
        <v>0.2</v>
      </c>
      <c r="P33" s="22">
        <f>P32</f>
        <v>8555.2875000000004</v>
      </c>
      <c r="Q33" s="21">
        <f>P33*O33</f>
        <v>1711.0575000000001</v>
      </c>
      <c r="R33" s="13"/>
      <c r="Y33" s="67"/>
      <c r="Z33" s="17"/>
      <c r="AA33" s="276"/>
      <c r="AB33" s="275"/>
      <c r="AC33" s="358"/>
      <c r="AD33" s="359"/>
      <c r="AE33" s="280" t="s">
        <v>69</v>
      </c>
      <c r="AF33" s="17">
        <f>AF27*0.05</f>
        <v>16.632000000000001</v>
      </c>
      <c r="AG33" s="17"/>
    </row>
    <row r="34" spans="1:36" x14ac:dyDescent="0.2">
      <c r="A34" s="12"/>
      <c r="B34" s="250" t="s">
        <v>220</v>
      </c>
      <c r="C34" s="10"/>
      <c r="D34" s="10"/>
      <c r="E34" s="15"/>
      <c r="F34" s="10" t="str">
        <f>T8</f>
        <v>T.5 Vibrado de concreto</v>
      </c>
      <c r="G34" s="10"/>
      <c r="H34" s="10"/>
      <c r="I34" s="10"/>
      <c r="J34" s="10"/>
      <c r="K34" s="10"/>
      <c r="L34" s="10"/>
      <c r="M34" s="1">
        <v>6.4000000000000001E-2</v>
      </c>
      <c r="N34" s="67" t="s">
        <v>223</v>
      </c>
      <c r="O34" s="20">
        <f>M34</f>
        <v>6.4000000000000001E-2</v>
      </c>
      <c r="P34" s="22">
        <f>'Costos de cuadrilas'!E38</f>
        <v>20055.712500000001</v>
      </c>
      <c r="Q34" s="21">
        <f t="shared" si="1"/>
        <v>1283.5656000000001</v>
      </c>
      <c r="R34" s="13"/>
      <c r="S34" s="26" t="s">
        <v>21</v>
      </c>
      <c r="Y34" s="17"/>
      <c r="Z34" s="17"/>
      <c r="AA34" s="276"/>
      <c r="AB34" s="275"/>
      <c r="AC34" s="358"/>
      <c r="AD34" s="359"/>
      <c r="AE34" s="277"/>
      <c r="AF34" s="17"/>
      <c r="AG34" s="17"/>
      <c r="AH34" s="32"/>
      <c r="AI34" s="32"/>
      <c r="AJ34" s="32"/>
    </row>
    <row r="35" spans="1:36" x14ac:dyDescent="0.2">
      <c r="A35" s="12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28" t="s">
        <v>7</v>
      </c>
      <c r="Q35" s="23">
        <f>SUM(Q28:Q34)</f>
        <v>34026.659242875001</v>
      </c>
      <c r="R35" s="13"/>
      <c r="S35" s="2">
        <f>Q35/$Q$45</f>
        <v>0.26461317144611796</v>
      </c>
      <c r="Y35" s="17" t="s">
        <v>233</v>
      </c>
      <c r="Z35" s="17">
        <v>164</v>
      </c>
      <c r="AA35" s="276">
        <v>16</v>
      </c>
      <c r="AB35" s="275">
        <f>Z35*AA35</f>
        <v>2624</v>
      </c>
      <c r="AC35" s="358"/>
      <c r="AD35" s="359"/>
      <c r="AE35" s="32"/>
      <c r="AH35" s="32"/>
      <c r="AI35" s="33"/>
    </row>
    <row r="36" spans="1:36" x14ac:dyDescent="0.2">
      <c r="A36" s="12"/>
      <c r="B36" s="27" t="s">
        <v>12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13"/>
      <c r="Y36" s="17"/>
      <c r="Z36" s="17"/>
      <c r="AA36" s="17"/>
      <c r="AB36" s="278">
        <f>SUM(AB28:AB35)</f>
        <v>21204</v>
      </c>
      <c r="AC36" s="360"/>
      <c r="AD36" s="361"/>
      <c r="AE36" s="32"/>
      <c r="AH36" s="32"/>
    </row>
    <row r="37" spans="1:36" x14ac:dyDescent="0.2">
      <c r="A37" s="12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3"/>
      <c r="Y37" s="17"/>
      <c r="Z37" s="17"/>
      <c r="AA37" s="279">
        <v>0.19</v>
      </c>
      <c r="AB37" s="275">
        <f>AB36*(1+AA37)</f>
        <v>25232.76</v>
      </c>
      <c r="AC37" s="275">
        <f>AB37*7</f>
        <v>176629.31999999998</v>
      </c>
      <c r="AD37" s="275">
        <f>AC37/30</f>
        <v>5887.6439999999993</v>
      </c>
      <c r="AE37" s="32"/>
    </row>
    <row r="38" spans="1:36" ht="25.5" x14ac:dyDescent="0.2">
      <c r="A38" s="12"/>
      <c r="B38" s="5" t="s">
        <v>1</v>
      </c>
      <c r="C38" s="6"/>
      <c r="D38" s="6"/>
      <c r="E38" s="7"/>
      <c r="F38" s="5" t="s">
        <v>2</v>
      </c>
      <c r="G38" s="6"/>
      <c r="H38" s="6"/>
      <c r="I38" s="6"/>
      <c r="J38" s="6"/>
      <c r="K38" s="6"/>
      <c r="L38" s="6"/>
      <c r="M38" s="7"/>
      <c r="N38" s="8" t="s">
        <v>3</v>
      </c>
      <c r="O38" s="8" t="s">
        <v>13</v>
      </c>
      <c r="P38" s="4" t="s">
        <v>14</v>
      </c>
      <c r="Q38" s="4" t="s">
        <v>6</v>
      </c>
      <c r="R38" s="13"/>
      <c r="AD38" s="34"/>
      <c r="AE38" s="32"/>
      <c r="AF38" s="33"/>
      <c r="AG38" s="32"/>
    </row>
    <row r="39" spans="1:36" x14ac:dyDescent="0.2">
      <c r="A39" s="12"/>
      <c r="B39" s="16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7"/>
      <c r="O39" s="19"/>
      <c r="P39" s="21"/>
      <c r="Q39" s="21">
        <f>O39*P39</f>
        <v>0</v>
      </c>
      <c r="R39" s="13"/>
      <c r="AD39" s="32"/>
      <c r="AE39" s="32"/>
      <c r="AF39" s="33"/>
      <c r="AG39" s="32"/>
    </row>
    <row r="40" spans="1:36" x14ac:dyDescent="0.2">
      <c r="A40" s="12"/>
      <c r="B40" s="16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7"/>
      <c r="O40" s="19"/>
      <c r="P40" s="21"/>
      <c r="Q40" s="21">
        <f>O40*P40</f>
        <v>0</v>
      </c>
      <c r="R40" s="13"/>
    </row>
    <row r="41" spans="1:36" x14ac:dyDescent="0.2">
      <c r="A41" s="12"/>
      <c r="B41" s="16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7"/>
      <c r="O41" s="19"/>
      <c r="P41" s="21"/>
      <c r="Q41" s="21">
        <f>O41*P41</f>
        <v>0</v>
      </c>
      <c r="R41" s="13"/>
      <c r="AD41" s="32"/>
    </row>
    <row r="42" spans="1:36" x14ac:dyDescent="0.2">
      <c r="A42" s="12"/>
      <c r="B42" s="14"/>
      <c r="C42" s="10"/>
      <c r="D42" s="10"/>
      <c r="E42" s="15"/>
      <c r="F42" s="10"/>
      <c r="G42" s="10"/>
      <c r="H42" s="10"/>
      <c r="I42" s="10"/>
      <c r="J42" s="10"/>
      <c r="K42" s="10"/>
      <c r="L42" s="10"/>
      <c r="M42" s="10"/>
      <c r="N42" s="18"/>
      <c r="O42" s="20"/>
      <c r="P42" s="22"/>
      <c r="Q42" s="21">
        <f>O42*P42</f>
        <v>0</v>
      </c>
      <c r="R42" s="13"/>
      <c r="S42" s="26" t="s">
        <v>21</v>
      </c>
      <c r="AG42" s="32"/>
    </row>
    <row r="43" spans="1:36" x14ac:dyDescent="0.2">
      <c r="A43" s="12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28" t="s">
        <v>7</v>
      </c>
      <c r="Q43" s="23">
        <f>SUM(Q39:Q42)</f>
        <v>0</v>
      </c>
      <c r="R43" s="13"/>
      <c r="S43" s="2">
        <f>Q43/$Q$45</f>
        <v>0</v>
      </c>
      <c r="AC43" s="32"/>
    </row>
    <row r="44" spans="1:36" x14ac:dyDescent="0.2">
      <c r="A44" s="12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13"/>
    </row>
    <row r="45" spans="1:36" x14ac:dyDescent="0.2">
      <c r="A45" s="12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29" t="s">
        <v>15</v>
      </c>
      <c r="Q45" s="25">
        <f>Q15+Q24+Q43+Q35</f>
        <v>128590.19472431553</v>
      </c>
      <c r="R45" s="13"/>
      <c r="AC45" s="32"/>
    </row>
    <row r="46" spans="1:36" x14ac:dyDescent="0.2">
      <c r="A46" s="12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13"/>
    </row>
    <row r="47" spans="1:36" x14ac:dyDescent="0.2">
      <c r="A47" s="12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29" t="s">
        <v>16</v>
      </c>
      <c r="P47" s="24">
        <v>0.31</v>
      </c>
      <c r="Q47" s="30">
        <f>Q45*P47</f>
        <v>39862.960364537816</v>
      </c>
      <c r="R47" s="13"/>
      <c r="AB47" s="32"/>
      <c r="AG47" s="32"/>
    </row>
    <row r="48" spans="1:36" x14ac:dyDescent="0.2">
      <c r="A48" s="12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13"/>
      <c r="AB48" s="32"/>
      <c r="AE48" s="32"/>
      <c r="AG48" s="32"/>
      <c r="AH48" s="32"/>
    </row>
    <row r="49" spans="1:34" x14ac:dyDescent="0.2">
      <c r="A49" s="12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29" t="s">
        <v>17</v>
      </c>
      <c r="Q49" s="25">
        <f>Q45+Q47</f>
        <v>168453.15508885335</v>
      </c>
      <c r="R49" s="13"/>
      <c r="S49" s="42">
        <f>Q49*240</f>
        <v>40428757.221324801</v>
      </c>
    </row>
    <row r="50" spans="1:34" x14ac:dyDescent="0.2">
      <c r="A50" s="14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5"/>
      <c r="S50" s="42"/>
      <c r="AE50" s="32"/>
      <c r="AH50" s="32"/>
    </row>
    <row r="51" spans="1:34" x14ac:dyDescent="0.2">
      <c r="AE51" s="32"/>
      <c r="AH51" s="32"/>
    </row>
    <row r="52" spans="1:34" x14ac:dyDescent="0.2">
      <c r="AE52" s="32"/>
      <c r="AH52" s="32"/>
    </row>
  </sheetData>
  <mergeCells count="24">
    <mergeCell ref="Y26:AD26"/>
    <mergeCell ref="AE26:AG26"/>
    <mergeCell ref="AC27:AD36"/>
    <mergeCell ref="B15:E15"/>
    <mergeCell ref="AN15:AQ15"/>
    <mergeCell ref="AR15:AU15"/>
    <mergeCell ref="AV15:AY15"/>
    <mergeCell ref="AZ15:BC15"/>
    <mergeCell ref="Y16:AB16"/>
    <mergeCell ref="AN5:AQ5"/>
    <mergeCell ref="AR5:AU5"/>
    <mergeCell ref="AV5:AY5"/>
    <mergeCell ref="AZ5:BC5"/>
    <mergeCell ref="AL5:AM5"/>
    <mergeCell ref="B14:E14"/>
    <mergeCell ref="AN14:AP14"/>
    <mergeCell ref="AR14:AT14"/>
    <mergeCell ref="AV14:AX14"/>
    <mergeCell ref="AZ14:BB14"/>
    <mergeCell ref="B2:Q2"/>
    <mergeCell ref="C3:P3"/>
    <mergeCell ref="C4:P4"/>
    <mergeCell ref="AE5:AG5"/>
    <mergeCell ref="AH5:AK5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52"/>
  <sheetViews>
    <sheetView topLeftCell="M28" workbookViewId="0">
      <selection activeCell="P50" sqref="P50"/>
    </sheetView>
  </sheetViews>
  <sheetFormatPr baseColWidth="10" defaultRowHeight="12.75" x14ac:dyDescent="0.2"/>
  <cols>
    <col min="1" max="1" width="3.85546875" customWidth="1"/>
    <col min="2" max="2" width="9.7109375" customWidth="1"/>
    <col min="3" max="4" width="8.7109375" customWidth="1"/>
    <col min="5" max="5" width="22.42578125" customWidth="1"/>
    <col min="6" max="13" width="8.7109375" customWidth="1"/>
    <col min="14" max="14" width="11.140625" bestFit="1" customWidth="1"/>
    <col min="15" max="15" width="14.28515625" customWidth="1"/>
    <col min="16" max="16" width="15.42578125" customWidth="1"/>
    <col min="17" max="17" width="15" customWidth="1"/>
    <col min="18" max="18" width="4.7109375" customWidth="1"/>
    <col min="19" max="19" width="12.7109375" bestFit="1" customWidth="1"/>
    <col min="20" max="21" width="23.140625" customWidth="1"/>
    <col min="25" max="25" width="28.28515625" bestFit="1" customWidth="1"/>
    <col min="26" max="26" width="12.28515625" bestFit="1" customWidth="1"/>
    <col min="28" max="28" width="13.140625" customWidth="1"/>
    <col min="29" max="29" width="12.85546875" bestFit="1" customWidth="1"/>
    <col min="31" max="31" width="25.7109375" customWidth="1"/>
    <col min="32" max="32" width="19" customWidth="1"/>
    <col min="33" max="33" width="18.28515625" customWidth="1"/>
    <col min="34" max="34" width="14.42578125" customWidth="1"/>
  </cols>
  <sheetData>
    <row r="1" spans="1:55" x14ac:dyDescent="0.2">
      <c r="A1" s="296"/>
      <c r="R1" s="11"/>
      <c r="T1" s="31" t="s">
        <v>24</v>
      </c>
    </row>
    <row r="2" spans="1:55" x14ac:dyDescent="0.2">
      <c r="A2" s="12"/>
      <c r="B2" s="337" t="s">
        <v>20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9"/>
      <c r="R2" s="13"/>
      <c r="S2" s="31" t="s">
        <v>21</v>
      </c>
      <c r="T2" s="31" t="s">
        <v>25</v>
      </c>
      <c r="U2" s="31" t="s">
        <v>26</v>
      </c>
      <c r="V2" s="44" t="s">
        <v>27</v>
      </c>
    </row>
    <row r="3" spans="1:55" x14ac:dyDescent="0.2">
      <c r="A3" s="12"/>
      <c r="B3" s="292" t="s">
        <v>18</v>
      </c>
      <c r="C3" s="340" t="s">
        <v>19</v>
      </c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2"/>
      <c r="Q3" s="3" t="s">
        <v>3</v>
      </c>
      <c r="R3" s="13"/>
      <c r="AB3" s="31" t="s">
        <v>22</v>
      </c>
    </row>
    <row r="4" spans="1:55" ht="15" x14ac:dyDescent="0.2">
      <c r="A4" s="12"/>
      <c r="B4" s="291" t="s">
        <v>226</v>
      </c>
      <c r="C4" s="343" t="s">
        <v>275</v>
      </c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5"/>
      <c r="Q4" s="39" t="s">
        <v>65</v>
      </c>
      <c r="R4" s="13"/>
      <c r="S4" s="36"/>
      <c r="T4" s="50" t="s">
        <v>30</v>
      </c>
    </row>
    <row r="5" spans="1:55" x14ac:dyDescent="0.2">
      <c r="A5" s="12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3"/>
      <c r="T5" s="51" t="s">
        <v>68</v>
      </c>
      <c r="AE5" s="346" t="s">
        <v>263</v>
      </c>
      <c r="AF5" s="347"/>
      <c r="AG5" s="347"/>
      <c r="AH5" s="347" t="s">
        <v>264</v>
      </c>
      <c r="AI5" s="347"/>
      <c r="AJ5" s="347"/>
      <c r="AK5" s="347"/>
      <c r="AL5" s="347" t="s">
        <v>265</v>
      </c>
      <c r="AM5" s="347"/>
      <c r="AN5" s="347" t="s">
        <v>266</v>
      </c>
      <c r="AO5" s="347"/>
      <c r="AP5" s="347"/>
      <c r="AQ5" s="354"/>
      <c r="AR5" s="346" t="s">
        <v>270</v>
      </c>
      <c r="AS5" s="347"/>
      <c r="AT5" s="347"/>
      <c r="AU5" s="354"/>
      <c r="AV5" s="346" t="s">
        <v>271</v>
      </c>
      <c r="AW5" s="347"/>
      <c r="AX5" s="347"/>
      <c r="AY5" s="354"/>
      <c r="AZ5" s="346" t="s">
        <v>272</v>
      </c>
      <c r="BA5" s="347"/>
      <c r="BB5" s="347"/>
      <c r="BC5" s="354"/>
    </row>
    <row r="6" spans="1:55" x14ac:dyDescent="0.2">
      <c r="A6" s="12"/>
      <c r="B6" s="27" t="s">
        <v>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3"/>
      <c r="T6" s="51" t="s">
        <v>234</v>
      </c>
      <c r="AE6" s="259" t="str">
        <f>T4</f>
        <v>T1. Verificación de ejes, centros, alineamientos, plomos y cotas.</v>
      </c>
      <c r="AF6" s="260"/>
      <c r="AG6" s="260"/>
      <c r="AH6" s="261" t="str">
        <f>T5</f>
        <v>T2. Armado y amarre de acero de refuerzo del cimiento.</v>
      </c>
      <c r="AI6" s="260"/>
      <c r="AJ6" s="260"/>
      <c r="AK6" s="260"/>
      <c r="AL6" s="261" t="str">
        <f>T6</f>
        <v>T.3Formaleteada</v>
      </c>
      <c r="AM6" s="260"/>
      <c r="AN6" s="261" t="str">
        <f>T7</f>
        <v>T4. Vaciado de concreto f’c:21 Mpa.</v>
      </c>
      <c r="AO6" s="260"/>
      <c r="AP6" s="260"/>
      <c r="AQ6" s="262"/>
      <c r="AR6" s="261" t="str">
        <f>T8</f>
        <v>T.5 Vibrado de concreto</v>
      </c>
      <c r="AS6" s="260"/>
      <c r="AT6" s="260"/>
      <c r="AU6" s="262"/>
      <c r="AV6" s="261" t="str">
        <f>T9</f>
        <v>T.6 Curado de concreto</v>
      </c>
      <c r="AW6" s="260"/>
      <c r="AX6" s="260"/>
      <c r="AY6" s="262"/>
      <c r="AZ6" s="293" t="str">
        <f>T10</f>
        <v>T.7 Desformaletear</v>
      </c>
      <c r="BA6" s="260"/>
      <c r="BB6" s="260"/>
      <c r="BC6" s="262"/>
    </row>
    <row r="7" spans="1:55" x14ac:dyDescent="0.2">
      <c r="A7" s="12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3"/>
      <c r="T7" s="51" t="s">
        <v>251</v>
      </c>
      <c r="AE7" s="263"/>
      <c r="AF7" s="260"/>
      <c r="AG7" s="260"/>
      <c r="AH7" s="260"/>
      <c r="AI7" s="260"/>
      <c r="AJ7" s="260"/>
      <c r="AK7" s="260"/>
      <c r="AL7" s="260"/>
      <c r="AM7" s="260"/>
      <c r="AN7" s="261" t="s">
        <v>267</v>
      </c>
      <c r="AO7" s="260"/>
      <c r="AP7" s="260"/>
      <c r="AQ7" s="262"/>
      <c r="AR7" s="261" t="s">
        <v>267</v>
      </c>
      <c r="AS7" s="260"/>
      <c r="AT7" s="260"/>
      <c r="AU7" s="262"/>
      <c r="AV7" s="261" t="s">
        <v>267</v>
      </c>
      <c r="AW7" s="260"/>
      <c r="AX7" s="260"/>
      <c r="AY7" s="262"/>
      <c r="AZ7" s="261" t="s">
        <v>267</v>
      </c>
      <c r="BA7" s="260"/>
      <c r="BB7" s="260"/>
      <c r="BC7" s="262"/>
    </row>
    <row r="8" spans="1:55" ht="25.5" x14ac:dyDescent="0.2">
      <c r="A8" s="12"/>
      <c r="B8" s="5" t="s">
        <v>1</v>
      </c>
      <c r="C8" s="6"/>
      <c r="D8" s="6"/>
      <c r="E8" s="7"/>
      <c r="F8" s="5" t="s">
        <v>2</v>
      </c>
      <c r="G8" s="6"/>
      <c r="H8" s="6"/>
      <c r="I8" s="6"/>
      <c r="J8" s="6"/>
      <c r="K8" s="6"/>
      <c r="L8" s="6"/>
      <c r="M8" s="246"/>
      <c r="N8" s="8" t="s">
        <v>3</v>
      </c>
      <c r="O8" s="8" t="s">
        <v>4</v>
      </c>
      <c r="P8" s="4" t="s">
        <v>5</v>
      </c>
      <c r="Q8" s="4" t="s">
        <v>6</v>
      </c>
      <c r="R8" s="13"/>
      <c r="S8" s="32"/>
      <c r="T8" s="51" t="s">
        <v>252</v>
      </c>
      <c r="AE8" s="264" t="s">
        <v>267</v>
      </c>
      <c r="AF8" s="260"/>
      <c r="AG8" s="260"/>
      <c r="AH8" s="261" t="s">
        <v>267</v>
      </c>
      <c r="AI8" s="260"/>
      <c r="AJ8" s="260"/>
      <c r="AK8" s="260"/>
      <c r="AL8" s="261" t="s">
        <v>267</v>
      </c>
      <c r="AM8" s="260"/>
      <c r="AN8" s="260" t="str">
        <f>B12</f>
        <v>Concreto pre mezclado de planta F´c= 21Mpa</v>
      </c>
      <c r="AO8" s="260"/>
      <c r="AP8" s="260"/>
      <c r="AQ8" s="262"/>
      <c r="AR8" s="260"/>
      <c r="AS8" s="260"/>
      <c r="AT8" s="260"/>
      <c r="AU8" s="262"/>
      <c r="AV8" s="260" t="str">
        <f>B13</f>
        <v>Antisol de sika 200grs/m2</v>
      </c>
      <c r="AW8" s="260"/>
      <c r="AX8" s="260"/>
      <c r="AY8" s="262"/>
      <c r="AZ8" s="260">
        <f>E22</f>
        <v>0</v>
      </c>
      <c r="BA8" s="260"/>
      <c r="BB8" s="260"/>
      <c r="BC8" s="262"/>
    </row>
    <row r="9" spans="1:55" x14ac:dyDescent="0.2">
      <c r="A9" s="12"/>
      <c r="B9" s="49" t="s">
        <v>276</v>
      </c>
      <c r="C9" s="256"/>
      <c r="D9" s="256"/>
      <c r="E9" s="272"/>
      <c r="F9" s="253" t="str">
        <f>T5</f>
        <v>T2. Armado y amarre de acero de refuerzo del cimiento.</v>
      </c>
      <c r="G9" s="256"/>
      <c r="H9" s="256"/>
      <c r="I9" s="256"/>
      <c r="J9" s="256"/>
      <c r="K9" s="256"/>
      <c r="L9" s="256"/>
      <c r="M9" s="279">
        <f>'Cartera de cantidades'!V17</f>
        <v>0.12359550561797755</v>
      </c>
      <c r="N9" s="257" t="s">
        <v>65</v>
      </c>
      <c r="O9" s="281">
        <f>(AF30*(1+M9))</f>
        <v>7.2000000000000011</v>
      </c>
      <c r="P9" s="288">
        <v>6400</v>
      </c>
      <c r="Q9" s="282">
        <f>O9*P9</f>
        <v>46080.000000000007</v>
      </c>
      <c r="R9" s="13"/>
      <c r="S9" s="32"/>
      <c r="T9" s="51" t="s">
        <v>253</v>
      </c>
      <c r="AE9" s="263"/>
      <c r="AF9" s="260"/>
      <c r="AG9" s="260"/>
      <c r="AH9" s="260" t="str">
        <f>B9</f>
        <v>Varillas de acero de 5/8 " de 12m de longitud- Longitudinal</v>
      </c>
      <c r="AI9" s="260"/>
      <c r="AJ9" s="260"/>
      <c r="AK9" s="260"/>
      <c r="AL9" s="260"/>
      <c r="AM9" s="260"/>
      <c r="AN9" s="260"/>
      <c r="AO9" s="260"/>
      <c r="AP9" s="260"/>
      <c r="AQ9" s="262"/>
      <c r="AR9" s="260"/>
      <c r="AS9" s="260"/>
      <c r="AT9" s="260"/>
      <c r="AU9" s="262"/>
      <c r="AV9" s="260"/>
      <c r="AW9" s="260"/>
      <c r="AX9" s="260"/>
      <c r="AY9" s="262"/>
      <c r="AZ9" s="260"/>
      <c r="BA9" s="260"/>
      <c r="BB9" s="260"/>
      <c r="BC9" s="262"/>
    </row>
    <row r="10" spans="1:55" x14ac:dyDescent="0.2">
      <c r="A10" s="12"/>
      <c r="B10" s="271" t="s">
        <v>277</v>
      </c>
      <c r="C10" s="10"/>
      <c r="D10" s="10"/>
      <c r="E10" s="15"/>
      <c r="F10" s="254" t="str">
        <f>T5</f>
        <v>T2. Armado y amarre de acero de refuerzo del cimiento.</v>
      </c>
      <c r="M10" s="289">
        <f>'Cartera de cantidades'!V18</f>
        <v>8.4033613445379362E-3</v>
      </c>
      <c r="N10" s="252" t="s">
        <v>65</v>
      </c>
      <c r="O10" s="283">
        <f>(AF31)*(1+M10)</f>
        <v>4.3529411764705888</v>
      </c>
      <c r="P10" s="287">
        <v>2266</v>
      </c>
      <c r="Q10" s="284">
        <f>O10*P10</f>
        <v>9863.764705882355</v>
      </c>
      <c r="R10" s="13"/>
      <c r="S10" s="41"/>
      <c r="T10" s="51" t="s">
        <v>254</v>
      </c>
      <c r="AE10" s="263"/>
      <c r="AF10" s="260"/>
      <c r="AG10" s="260"/>
      <c r="AH10" s="260" t="str">
        <f>B10</f>
        <v>Varillas de acero de 3/8 " de 12m de longitud- Transversal</v>
      </c>
      <c r="AI10" s="260"/>
      <c r="AJ10" s="260"/>
      <c r="AK10" s="260"/>
      <c r="AL10" s="260"/>
      <c r="AM10" s="260"/>
      <c r="AN10" s="260"/>
      <c r="AO10" s="260"/>
      <c r="AP10" s="260"/>
      <c r="AQ10" s="262"/>
      <c r="AR10" s="260"/>
      <c r="AS10" s="260"/>
      <c r="AT10" s="260"/>
      <c r="AU10" s="262"/>
      <c r="AV10" s="260"/>
      <c r="AW10" s="260"/>
      <c r="AX10" s="260"/>
      <c r="AY10" s="262"/>
      <c r="AZ10" s="260"/>
      <c r="BA10" s="260"/>
      <c r="BB10" s="260"/>
      <c r="BC10" s="262"/>
    </row>
    <row r="11" spans="1:55" x14ac:dyDescent="0.2">
      <c r="A11" s="12"/>
      <c r="B11" s="247" t="s">
        <v>67</v>
      </c>
      <c r="C11" s="248"/>
      <c r="D11" s="248"/>
      <c r="E11" s="249"/>
      <c r="F11" s="45" t="str">
        <f>T5</f>
        <v>T2. Armado y amarre de acero de refuerzo del cimiento.</v>
      </c>
      <c r="G11" s="45"/>
      <c r="H11" s="47"/>
      <c r="I11" s="45"/>
      <c r="J11" s="48"/>
      <c r="K11" s="45"/>
      <c r="L11" s="45"/>
      <c r="M11" s="290">
        <v>0.1</v>
      </c>
      <c r="N11" s="59" t="s">
        <v>31</v>
      </c>
      <c r="O11" s="281">
        <f>(AF33*(1+M11))/30</f>
        <v>0.67870000000000019</v>
      </c>
      <c r="P11" s="285">
        <v>4350</v>
      </c>
      <c r="Q11" s="282">
        <f>O11*P11</f>
        <v>2952.3450000000007</v>
      </c>
      <c r="R11" s="13"/>
      <c r="S11" s="41"/>
      <c r="T11" s="42"/>
      <c r="AB11" s="32" t="s">
        <v>23</v>
      </c>
      <c r="AE11" s="263"/>
      <c r="AF11" s="260"/>
      <c r="AG11" s="260"/>
      <c r="AH11" s="260" t="str">
        <f>B11</f>
        <v>Alambre negro para amarres</v>
      </c>
      <c r="AI11" s="260"/>
      <c r="AJ11" s="260"/>
      <c r="AK11" s="260"/>
      <c r="AL11" s="260"/>
      <c r="AM11" s="260"/>
      <c r="AN11" s="260"/>
      <c r="AO11" s="260"/>
      <c r="AP11" s="260"/>
      <c r="AQ11" s="262"/>
      <c r="AR11" s="260"/>
      <c r="AS11" s="260"/>
      <c r="AT11" s="260"/>
      <c r="AU11" s="262"/>
      <c r="AV11" s="260"/>
      <c r="AW11" s="260"/>
      <c r="AX11" s="260"/>
      <c r="AY11" s="262"/>
      <c r="AZ11" s="260"/>
      <c r="BA11" s="260"/>
      <c r="BB11" s="260"/>
      <c r="BC11" s="262"/>
    </row>
    <row r="12" spans="1:55" x14ac:dyDescent="0.2">
      <c r="A12" s="12"/>
      <c r="B12" s="67" t="s">
        <v>257</v>
      </c>
      <c r="C12" s="17"/>
      <c r="D12" s="17"/>
      <c r="E12" s="2"/>
      <c r="F12" s="1" t="str">
        <f>T7</f>
        <v>T4. Vaciado de concreto f’c:21 Mpa.</v>
      </c>
      <c r="G12" s="1"/>
      <c r="H12" s="1"/>
      <c r="I12" s="1"/>
      <c r="J12" s="1"/>
      <c r="K12" s="1"/>
      <c r="L12" s="1"/>
      <c r="M12" s="279">
        <v>0.1</v>
      </c>
      <c r="N12" s="60" t="s">
        <v>29</v>
      </c>
      <c r="O12" s="281">
        <f>(AF32)*(1+M12)</f>
        <v>8.2500000000000004E-2</v>
      </c>
      <c r="P12" s="285">
        <v>380000</v>
      </c>
      <c r="Q12" s="282">
        <f>O12*P12</f>
        <v>31350</v>
      </c>
      <c r="R12" s="13"/>
      <c r="AE12" s="264" t="s">
        <v>268</v>
      </c>
      <c r="AF12" s="260"/>
      <c r="AG12" s="260"/>
      <c r="AH12" s="261" t="s">
        <v>268</v>
      </c>
      <c r="AI12" s="260"/>
      <c r="AJ12" s="260"/>
      <c r="AK12" s="260"/>
      <c r="AL12" s="260"/>
      <c r="AM12" s="260"/>
      <c r="AN12" s="260"/>
      <c r="AO12" s="260"/>
      <c r="AP12" s="260"/>
      <c r="AQ12" s="262"/>
      <c r="AR12" s="260"/>
      <c r="AS12" s="260"/>
      <c r="AT12" s="260"/>
      <c r="AU12" s="262"/>
      <c r="AV12" s="260"/>
      <c r="AW12" s="260"/>
      <c r="AX12" s="260"/>
      <c r="AY12" s="262"/>
      <c r="AZ12" s="260"/>
      <c r="BA12" s="260"/>
      <c r="BB12" s="260"/>
      <c r="BC12" s="262"/>
    </row>
    <row r="13" spans="1:55" x14ac:dyDescent="0.2">
      <c r="A13" s="12"/>
      <c r="B13" s="247" t="s">
        <v>71</v>
      </c>
      <c r="C13" s="248"/>
      <c r="D13" s="248"/>
      <c r="E13" s="249"/>
      <c r="F13" s="10" t="str">
        <f>T9</f>
        <v>T.6 Curado de concreto</v>
      </c>
      <c r="G13" s="10"/>
      <c r="H13" s="10"/>
      <c r="I13" s="10"/>
      <c r="J13" s="10"/>
      <c r="K13" s="10"/>
      <c r="L13" s="10"/>
      <c r="M13" s="289">
        <v>0.1</v>
      </c>
      <c r="N13" s="62" t="s">
        <v>70</v>
      </c>
      <c r="O13" s="281">
        <f>AG29*(1+M13)</f>
        <v>55.000000000000007</v>
      </c>
      <c r="P13" s="286">
        <v>7.5</v>
      </c>
      <c r="Q13" s="282">
        <f>O13*P13</f>
        <v>412.50000000000006</v>
      </c>
      <c r="R13" s="13"/>
      <c r="AE13" s="265" t="str">
        <f>B20</f>
        <v>Herramienta menor</v>
      </c>
      <c r="AF13" s="266"/>
      <c r="AG13" s="266"/>
      <c r="AH13" s="260" t="str">
        <f>AE13</f>
        <v>Herramienta menor</v>
      </c>
      <c r="AI13" s="260"/>
      <c r="AJ13" s="260"/>
      <c r="AK13" s="260"/>
      <c r="AL13" s="261" t="s">
        <v>268</v>
      </c>
      <c r="AM13" s="260"/>
      <c r="AN13" s="261" t="s">
        <v>268</v>
      </c>
      <c r="AO13" s="260"/>
      <c r="AP13" s="260"/>
      <c r="AQ13" s="262"/>
      <c r="AR13" s="261" t="s">
        <v>268</v>
      </c>
      <c r="AS13" s="260"/>
      <c r="AT13" s="260"/>
      <c r="AU13" s="262"/>
      <c r="AV13" s="261" t="s">
        <v>268</v>
      </c>
      <c r="AW13" s="260"/>
      <c r="AX13" s="260"/>
      <c r="AY13" s="262"/>
      <c r="AZ13" s="261" t="s">
        <v>268</v>
      </c>
      <c r="BA13" s="260"/>
      <c r="BB13" s="260"/>
      <c r="BC13" s="262"/>
    </row>
    <row r="14" spans="1:55" x14ac:dyDescent="0.2">
      <c r="A14" s="12"/>
      <c r="B14" s="362"/>
      <c r="C14" s="363"/>
      <c r="D14" s="363"/>
      <c r="E14" s="364"/>
      <c r="F14" s="10"/>
      <c r="G14" s="10"/>
      <c r="H14" s="10"/>
      <c r="I14" s="10"/>
      <c r="J14" s="10"/>
      <c r="K14" s="10"/>
      <c r="L14" s="10"/>
      <c r="M14" s="61"/>
      <c r="N14" s="63"/>
      <c r="O14" s="255"/>
      <c r="P14" s="273" t="s">
        <v>7</v>
      </c>
      <c r="Q14" s="274">
        <f>SUM(Q9:Q13)</f>
        <v>90658.609705882365</v>
      </c>
      <c r="R14" s="13"/>
      <c r="T14" s="51"/>
      <c r="Y14">
        <f>1/AF32</f>
        <v>13.333333333333334</v>
      </c>
      <c r="AE14" s="263">
        <f>C14</f>
        <v>0</v>
      </c>
      <c r="AF14" s="260"/>
      <c r="AG14" s="260"/>
      <c r="AH14" s="260"/>
      <c r="AI14" s="260"/>
      <c r="AJ14" s="260"/>
      <c r="AK14" s="260"/>
      <c r="AL14" s="260" t="str">
        <f>B22</f>
        <v>Formaleta metalica</v>
      </c>
      <c r="AM14" s="260"/>
      <c r="AN14" s="350" t="str">
        <f>B20</f>
        <v>Herramienta menor</v>
      </c>
      <c r="AO14" s="350"/>
      <c r="AP14" s="350"/>
      <c r="AQ14" s="262"/>
      <c r="AR14" s="350" t="str">
        <f>B21</f>
        <v>Vibrador de concreto</v>
      </c>
      <c r="AS14" s="350"/>
      <c r="AT14" s="350"/>
      <c r="AU14" s="262"/>
      <c r="AV14" s="350" t="str">
        <f>AR15</f>
        <v>Herramienta menor</v>
      </c>
      <c r="AW14" s="350"/>
      <c r="AX14" s="350"/>
      <c r="AY14" s="262"/>
      <c r="AZ14" s="350" t="str">
        <f>AV14</f>
        <v>Herramienta menor</v>
      </c>
      <c r="BA14" s="350"/>
      <c r="BB14" s="350"/>
      <c r="BC14" s="262"/>
    </row>
    <row r="15" spans="1:55" x14ac:dyDescent="0.2">
      <c r="A15" s="12"/>
      <c r="R15" s="13"/>
      <c r="S15" s="26" t="s">
        <v>21</v>
      </c>
      <c r="AC15" s="51"/>
      <c r="AE15" s="263"/>
      <c r="AF15" s="260"/>
      <c r="AG15" s="260"/>
      <c r="AH15" s="260"/>
      <c r="AI15" s="260"/>
      <c r="AJ15" s="260"/>
      <c r="AK15" s="260"/>
      <c r="AL15" s="260" t="str">
        <f>B20</f>
        <v>Herramienta menor</v>
      </c>
      <c r="AM15" s="260"/>
      <c r="AN15" s="351"/>
      <c r="AO15" s="351"/>
      <c r="AP15" s="351"/>
      <c r="AQ15" s="352"/>
      <c r="AR15" s="351" t="str">
        <f>B20</f>
        <v>Herramienta menor</v>
      </c>
      <c r="AS15" s="351"/>
      <c r="AT15" s="351"/>
      <c r="AU15" s="352"/>
      <c r="AV15" s="351"/>
      <c r="AW15" s="351"/>
      <c r="AX15" s="351"/>
      <c r="AY15" s="352"/>
      <c r="AZ15" s="351" t="str">
        <f>B22</f>
        <v>Formaleta metalica</v>
      </c>
      <c r="BA15" s="351"/>
      <c r="BB15" s="351"/>
      <c r="BC15" s="352"/>
    </row>
    <row r="16" spans="1:55" x14ac:dyDescent="0.2">
      <c r="A16" s="12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R16" s="13"/>
      <c r="S16" s="2">
        <f>Q14/$Q$45</f>
        <v>0.69967168767427002</v>
      </c>
      <c r="Y16" s="348" t="s">
        <v>75</v>
      </c>
      <c r="Z16" s="349"/>
      <c r="AA16" s="349"/>
      <c r="AB16" s="353"/>
      <c r="AE16" s="263"/>
      <c r="AF16" s="260"/>
      <c r="AG16" s="260"/>
      <c r="AH16" s="260"/>
      <c r="AI16" s="260"/>
      <c r="AJ16" s="260"/>
      <c r="AK16" s="260"/>
      <c r="AL16" s="260"/>
      <c r="AM16" s="260"/>
      <c r="AN16" s="260"/>
      <c r="AO16" s="260"/>
      <c r="AP16" s="260"/>
      <c r="AQ16" s="262"/>
      <c r="AR16" s="260"/>
      <c r="AS16" s="260"/>
      <c r="AT16" s="260"/>
      <c r="AU16" s="262"/>
      <c r="AV16" s="260"/>
      <c r="AW16" s="260"/>
      <c r="AX16" s="260"/>
      <c r="AY16" s="262"/>
      <c r="AZ16" s="260"/>
      <c r="BA16" s="260"/>
      <c r="BB16" s="260"/>
      <c r="BC16" s="262"/>
    </row>
    <row r="17" spans="1:55" x14ac:dyDescent="0.2">
      <c r="A17" s="12"/>
      <c r="B17" s="27" t="s">
        <v>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13"/>
      <c r="T17" s="43"/>
      <c r="Y17" s="12"/>
      <c r="Z17" s="17"/>
      <c r="AA17" s="17" t="s">
        <v>77</v>
      </c>
      <c r="AB17" s="17"/>
      <c r="AE17" s="263"/>
      <c r="AF17" s="260"/>
      <c r="AG17" s="260"/>
      <c r="AH17" s="260"/>
      <c r="AI17" s="260"/>
      <c r="AJ17" s="260"/>
      <c r="AK17" s="260"/>
      <c r="AL17" s="260"/>
      <c r="AM17" s="260"/>
      <c r="AN17" s="260">
        <f>C14</f>
        <v>0</v>
      </c>
      <c r="AO17" s="260"/>
      <c r="AP17" s="260"/>
      <c r="AQ17" s="262"/>
      <c r="AR17" s="260">
        <f>G14</f>
        <v>0</v>
      </c>
      <c r="AS17" s="260"/>
      <c r="AT17" s="260"/>
      <c r="AU17" s="262"/>
      <c r="AV17" s="260">
        <f>K14</f>
        <v>0</v>
      </c>
      <c r="AW17" s="260"/>
      <c r="AX17" s="260"/>
      <c r="AY17" s="262"/>
      <c r="AZ17" s="260">
        <f>O14</f>
        <v>0</v>
      </c>
      <c r="BA17" s="260"/>
      <c r="BB17" s="260"/>
      <c r="BC17" s="262"/>
    </row>
    <row r="18" spans="1:55" x14ac:dyDescent="0.2">
      <c r="A18" s="12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13"/>
      <c r="Y18" s="17" t="s">
        <v>76</v>
      </c>
      <c r="Z18" s="17"/>
      <c r="AA18" s="65">
        <v>10</v>
      </c>
      <c r="AB18" s="66">
        <f>8/AA18</f>
        <v>0.8</v>
      </c>
      <c r="AE18" s="263"/>
      <c r="AF18" s="260"/>
      <c r="AG18" s="260"/>
      <c r="AH18" s="260"/>
      <c r="AI18" s="260"/>
      <c r="AJ18" s="260"/>
      <c r="AK18" s="260"/>
      <c r="AL18" s="260"/>
      <c r="AM18" s="260"/>
      <c r="AN18" s="260"/>
      <c r="AO18" s="260"/>
      <c r="AP18" s="260"/>
      <c r="AQ18" s="262"/>
      <c r="AR18" s="260"/>
      <c r="AS18" s="260"/>
      <c r="AT18" s="260"/>
      <c r="AU18" s="262"/>
      <c r="AV18" s="260"/>
      <c r="AW18" s="260"/>
      <c r="AX18" s="260"/>
      <c r="AY18" s="262"/>
      <c r="AZ18" s="260"/>
      <c r="BA18" s="260"/>
      <c r="BB18" s="260"/>
      <c r="BC18" s="262"/>
    </row>
    <row r="19" spans="1:55" ht="25.5" x14ac:dyDescent="0.2">
      <c r="A19" s="12"/>
      <c r="B19" s="5" t="s">
        <v>1</v>
      </c>
      <c r="C19" s="6"/>
      <c r="D19" s="6"/>
      <c r="E19" s="7"/>
      <c r="F19" s="5" t="s">
        <v>2</v>
      </c>
      <c r="G19" s="6"/>
      <c r="H19" s="6"/>
      <c r="I19" s="6"/>
      <c r="J19" s="6"/>
      <c r="K19" s="6"/>
      <c r="L19" s="6"/>
      <c r="M19" s="7"/>
      <c r="N19" s="8" t="s">
        <v>3</v>
      </c>
      <c r="O19" s="8" t="s">
        <v>10</v>
      </c>
      <c r="P19" s="4" t="s">
        <v>9</v>
      </c>
      <c r="Q19" s="4" t="s">
        <v>6</v>
      </c>
      <c r="R19" s="13"/>
      <c r="Y19" s="67" t="s">
        <v>244</v>
      </c>
      <c r="Z19" s="17"/>
      <c r="AA19" s="258">
        <v>120</v>
      </c>
      <c r="AB19" s="66">
        <f>1/AA19</f>
        <v>8.3333333333333332E-3</v>
      </c>
      <c r="AE19" s="264" t="s">
        <v>269</v>
      </c>
      <c r="AF19" s="260"/>
      <c r="AG19" s="260"/>
      <c r="AH19" s="267" t="s">
        <v>269</v>
      </c>
      <c r="AI19" s="260"/>
      <c r="AJ19" s="260"/>
      <c r="AK19" s="260"/>
      <c r="AL19" s="261" t="s">
        <v>269</v>
      </c>
      <c r="AM19" s="260"/>
      <c r="AN19" s="267" t="s">
        <v>269</v>
      </c>
      <c r="AO19" s="260"/>
      <c r="AP19" s="260"/>
      <c r="AQ19" s="262"/>
      <c r="AR19" s="267" t="s">
        <v>269</v>
      </c>
      <c r="AS19" s="260"/>
      <c r="AT19" s="260"/>
      <c r="AU19" s="262"/>
      <c r="AV19" s="267" t="s">
        <v>269</v>
      </c>
      <c r="AW19" s="260"/>
      <c r="AX19" s="260"/>
      <c r="AY19" s="262"/>
      <c r="AZ19" s="267" t="s">
        <v>269</v>
      </c>
      <c r="BA19" s="260"/>
      <c r="BB19" s="260"/>
      <c r="BC19" s="262"/>
    </row>
    <row r="20" spans="1:55" x14ac:dyDescent="0.2">
      <c r="A20" s="12"/>
      <c r="B20" s="64" t="s">
        <v>74</v>
      </c>
      <c r="C20" s="1"/>
      <c r="D20" s="1"/>
      <c r="E20" s="2"/>
      <c r="F20" s="38" t="str">
        <f>T4</f>
        <v>T1. Verificación de ejes, centros, alineamientos, plomos y cotas.</v>
      </c>
      <c r="G20" s="38" t="str">
        <f>T5</f>
        <v>T2. Armado y amarre de acero de refuerzo del cimiento.</v>
      </c>
      <c r="H20" s="1"/>
      <c r="I20" s="1"/>
      <c r="J20" s="1"/>
      <c r="K20" s="1"/>
      <c r="L20" s="1"/>
      <c r="M20" s="40">
        <v>0.05</v>
      </c>
      <c r="N20" s="67" t="s">
        <v>78</v>
      </c>
      <c r="O20" s="19">
        <v>0.05</v>
      </c>
      <c r="P20" s="21">
        <f>M20*Q35</f>
        <v>1718.1897885000003</v>
      </c>
      <c r="Q20" s="21">
        <f>O20*P20</f>
        <v>85.909489425000018</v>
      </c>
      <c r="R20" s="13"/>
      <c r="S20" s="41">
        <f>ROUNDUP(S4*O20,0)</f>
        <v>0</v>
      </c>
      <c r="AE20" s="268" t="str">
        <f>B28</f>
        <v>Cuadrilla 1x1</v>
      </c>
      <c r="AF20" s="269"/>
      <c r="AG20" s="269"/>
      <c r="AH20" s="269" t="str">
        <f>B29</f>
        <v>Cuadrilla 1x1</v>
      </c>
      <c r="AI20" s="269"/>
      <c r="AJ20" s="269"/>
      <c r="AK20" s="269"/>
      <c r="AL20" s="269" t="str">
        <f>B31</f>
        <v>Cuadrilla 1x1</v>
      </c>
      <c r="AM20" s="269"/>
      <c r="AN20" s="269" t="str">
        <f>B30</f>
        <v>Cuadrilla 1x4</v>
      </c>
      <c r="AO20" s="269"/>
      <c r="AP20" s="269"/>
      <c r="AQ20" s="270"/>
      <c r="AR20" s="269" t="str">
        <f>AH20</f>
        <v>Cuadrilla 1x1</v>
      </c>
      <c r="AS20" s="269"/>
      <c r="AT20" s="269"/>
      <c r="AU20" s="270"/>
      <c r="AV20" s="269" t="str">
        <f>B32</f>
        <v>Cuadrilla 0x1</v>
      </c>
      <c r="AW20" s="269"/>
      <c r="AX20" s="269"/>
      <c r="AY20" s="270"/>
      <c r="AZ20" s="269" t="str">
        <f>B33</f>
        <v>Cuadrilla 0x1</v>
      </c>
      <c r="BA20" s="269"/>
      <c r="BB20" s="269"/>
      <c r="BC20" s="270"/>
    </row>
    <row r="21" spans="1:55" x14ac:dyDescent="0.2">
      <c r="A21" s="12"/>
      <c r="B21" s="37" t="str">
        <f>Y18</f>
        <v>Vibrador de concreto</v>
      </c>
      <c r="C21" s="1"/>
      <c r="D21" s="1"/>
      <c r="E21" s="2"/>
      <c r="F21" s="38" t="str">
        <f>T8</f>
        <v>T.5 Vibrado de concreto</v>
      </c>
      <c r="G21" s="38"/>
      <c r="H21" s="1"/>
      <c r="I21" s="38"/>
      <c r="J21" s="1"/>
      <c r="K21" s="1"/>
      <c r="L21" s="1"/>
      <c r="M21" s="1"/>
      <c r="N21" s="67" t="s">
        <v>260</v>
      </c>
      <c r="O21" s="19">
        <f>AB18/Y14</f>
        <v>0.06</v>
      </c>
      <c r="P21" s="21">
        <v>18000</v>
      </c>
      <c r="Q21" s="21">
        <f>O21*P21</f>
        <v>1080</v>
      </c>
      <c r="R21" s="13"/>
    </row>
    <row r="22" spans="1:55" x14ac:dyDescent="0.2">
      <c r="A22" s="12"/>
      <c r="B22" s="250" t="s">
        <v>231</v>
      </c>
      <c r="C22" s="10"/>
      <c r="D22" s="10"/>
      <c r="E22" s="15"/>
      <c r="F22" s="10" t="str">
        <f>T6</f>
        <v>T.3Formaleteada</v>
      </c>
      <c r="G22" s="10"/>
      <c r="H22" s="10"/>
      <c r="I22" s="10"/>
      <c r="J22" s="10"/>
      <c r="K22" s="10"/>
      <c r="L22" s="10"/>
      <c r="M22" s="10"/>
      <c r="N22" s="251" t="s">
        <v>280</v>
      </c>
      <c r="O22" s="20">
        <v>1</v>
      </c>
      <c r="P22" s="22">
        <f>AD37</f>
        <v>3384.7566666666662</v>
      </c>
      <c r="Q22" s="21">
        <f>O22*P22</f>
        <v>3384.7566666666662</v>
      </c>
      <c r="R22" s="13"/>
    </row>
    <row r="23" spans="1:55" x14ac:dyDescent="0.2">
      <c r="A23" s="12"/>
      <c r="R23" s="13"/>
      <c r="S23" s="26" t="s">
        <v>21</v>
      </c>
    </row>
    <row r="24" spans="1:55" x14ac:dyDescent="0.2">
      <c r="A24" s="12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28" t="s">
        <v>7</v>
      </c>
      <c r="Q24" s="23">
        <f>SUM(Q20:Q22)</f>
        <v>4550.6661560916664</v>
      </c>
      <c r="R24" s="13"/>
      <c r="S24" s="2">
        <f>Q24/$Q$45</f>
        <v>3.5120462135966861E-2</v>
      </c>
    </row>
    <row r="25" spans="1:55" x14ac:dyDescent="0.2">
      <c r="A25" s="12"/>
      <c r="B25" s="27" t="s">
        <v>11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13"/>
    </row>
    <row r="26" spans="1:55" x14ac:dyDescent="0.2">
      <c r="A26" s="12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13"/>
      <c r="Y26" s="355" t="s">
        <v>273</v>
      </c>
      <c r="Z26" s="355"/>
      <c r="AA26" s="355"/>
      <c r="AB26" s="355"/>
      <c r="AC26" s="355"/>
      <c r="AD26" s="355"/>
      <c r="AE26" s="355" t="s">
        <v>22</v>
      </c>
      <c r="AF26" s="355"/>
      <c r="AG26" s="355"/>
    </row>
    <row r="27" spans="1:55" ht="25.5" x14ac:dyDescent="0.2">
      <c r="A27" s="12"/>
      <c r="B27" s="5" t="s">
        <v>1</v>
      </c>
      <c r="C27" s="6"/>
      <c r="D27" s="6"/>
      <c r="E27" s="7"/>
      <c r="F27" s="5" t="s">
        <v>2</v>
      </c>
      <c r="G27" s="6"/>
      <c r="H27" s="6"/>
      <c r="I27" s="6"/>
      <c r="J27" s="6"/>
      <c r="K27" s="6"/>
      <c r="L27" s="6"/>
      <c r="M27" s="7"/>
      <c r="N27" s="8" t="s">
        <v>3</v>
      </c>
      <c r="O27" s="8" t="s">
        <v>10</v>
      </c>
      <c r="P27" s="4" t="s">
        <v>5</v>
      </c>
      <c r="Q27" s="4" t="s">
        <v>6</v>
      </c>
      <c r="R27" s="13"/>
      <c r="Y27" s="67" t="s">
        <v>240</v>
      </c>
      <c r="Z27" s="17">
        <v>85</v>
      </c>
      <c r="AA27" s="17">
        <v>350</v>
      </c>
      <c r="AB27" s="275">
        <f t="shared" ref="AB27:AB32" si="0">Z27*AA27</f>
        <v>29750</v>
      </c>
      <c r="AC27" s="356"/>
      <c r="AD27" s="357"/>
      <c r="AE27" s="67" t="s">
        <v>241</v>
      </c>
      <c r="AF27" s="17">
        <f>SUM('Cartera de cantidades'!Z17:Z18)</f>
        <v>370.20000000000005</v>
      </c>
      <c r="AG27" s="17">
        <f>AF27/30</f>
        <v>12.340000000000002</v>
      </c>
    </row>
    <row r="28" spans="1:55" x14ac:dyDescent="0.2">
      <c r="A28" s="12"/>
      <c r="B28" s="64" t="s">
        <v>220</v>
      </c>
      <c r="C28" s="1"/>
      <c r="D28" s="1"/>
      <c r="E28" s="2"/>
      <c r="F28" s="38" t="str">
        <f>T4</f>
        <v>T1. Verificación de ejes, centros, alineamientos, plomos y cotas.</v>
      </c>
      <c r="G28" s="1"/>
      <c r="H28" s="1"/>
      <c r="I28" s="38"/>
      <c r="J28" s="1"/>
      <c r="K28" s="40"/>
      <c r="L28" s="1"/>
      <c r="M28" s="1">
        <v>0.1</v>
      </c>
      <c r="N28" s="67" t="s">
        <v>223</v>
      </c>
      <c r="O28" s="19">
        <f>AF29*M28</f>
        <v>2.5000000000000001E-2</v>
      </c>
      <c r="P28" s="21">
        <f>'Costos de cuadrilas'!E30</f>
        <v>20055.712500000001</v>
      </c>
      <c r="Q28" s="21">
        <f t="shared" ref="Q28:Q34" si="1">O28*P28</f>
        <v>501.39281250000005</v>
      </c>
      <c r="R28" s="13"/>
      <c r="T28" s="32"/>
      <c r="Y28" s="67"/>
      <c r="Z28" s="17"/>
      <c r="AA28" s="276"/>
      <c r="AB28" s="275"/>
      <c r="AC28" s="358"/>
      <c r="AD28" s="359"/>
      <c r="AE28" s="68" t="s">
        <v>242</v>
      </c>
      <c r="AF28" s="17">
        <v>200</v>
      </c>
      <c r="AG28" s="67" t="s">
        <v>243</v>
      </c>
    </row>
    <row r="29" spans="1:55" x14ac:dyDescent="0.2">
      <c r="A29" s="12"/>
      <c r="B29" s="64" t="s">
        <v>220</v>
      </c>
      <c r="C29" s="1"/>
      <c r="D29" s="1"/>
      <c r="E29" s="2"/>
      <c r="F29" s="38" t="str">
        <f>T5</f>
        <v>T2. Armado y amarre de acero de refuerzo del cimiento.</v>
      </c>
      <c r="G29" s="1"/>
      <c r="H29" s="1"/>
      <c r="I29" s="38"/>
      <c r="J29" s="1"/>
      <c r="K29" s="40"/>
      <c r="L29" s="1"/>
      <c r="M29" s="1">
        <v>7.0000000000000007E-2</v>
      </c>
      <c r="N29" s="67" t="s">
        <v>224</v>
      </c>
      <c r="O29" s="19">
        <f>(M29)*AG27</f>
        <v>0.86380000000000023</v>
      </c>
      <c r="P29" s="21">
        <f>'Costos de cuadrilas'!E34</f>
        <v>20055.712500000001</v>
      </c>
      <c r="Q29" s="21">
        <f t="shared" si="1"/>
        <v>17324.124457500006</v>
      </c>
      <c r="R29" s="13"/>
      <c r="T29" s="35"/>
      <c r="U29" s="32"/>
      <c r="Y29" s="17" t="s">
        <v>232</v>
      </c>
      <c r="Z29" s="17">
        <v>2</v>
      </c>
      <c r="AA29" s="276">
        <v>60</v>
      </c>
      <c r="AB29" s="275">
        <f t="shared" si="0"/>
        <v>120</v>
      </c>
      <c r="AC29" s="358"/>
      <c r="AD29" s="359"/>
      <c r="AE29" s="67" t="s">
        <v>274</v>
      </c>
      <c r="AF29" s="67">
        <f>0.25*1</f>
        <v>0.25</v>
      </c>
      <c r="AG29" s="17">
        <f>AF29*AF28</f>
        <v>50</v>
      </c>
    </row>
    <row r="30" spans="1:55" x14ac:dyDescent="0.2">
      <c r="A30" s="12"/>
      <c r="B30" s="14" t="s">
        <v>222</v>
      </c>
      <c r="C30" s="1"/>
      <c r="D30" s="1"/>
      <c r="E30" s="2"/>
      <c r="F30" s="1" t="str">
        <f>T7</f>
        <v>T4. Vaciado de concreto f’c:21 Mpa.</v>
      </c>
      <c r="G30" s="1"/>
      <c r="H30" s="1"/>
      <c r="I30" s="1"/>
      <c r="J30" s="1"/>
      <c r="K30" s="1"/>
      <c r="L30" s="1"/>
      <c r="M30" s="1">
        <v>0.03</v>
      </c>
      <c r="N30" s="67" t="s">
        <v>262</v>
      </c>
      <c r="O30" s="19">
        <f>M30</f>
        <v>0.03</v>
      </c>
      <c r="P30" s="21">
        <f>'Costos de cuadrilas'!E42</f>
        <v>45721.574999999997</v>
      </c>
      <c r="Q30" s="21">
        <f t="shared" si="1"/>
        <v>1371.6472499999998</v>
      </c>
      <c r="R30" s="13"/>
      <c r="Y30" s="67" t="s">
        <v>249</v>
      </c>
      <c r="Z30" s="17">
        <v>10</v>
      </c>
      <c r="AA30" s="276">
        <v>250</v>
      </c>
      <c r="AB30" s="275">
        <f t="shared" si="0"/>
        <v>2500</v>
      </c>
      <c r="AC30" s="358"/>
      <c r="AD30" s="359"/>
      <c r="AE30" s="67" t="s">
        <v>278</v>
      </c>
      <c r="AF30" s="297">
        <f>'Cartera de cantidades'!X17/30</f>
        <v>6.4080000000000004</v>
      </c>
      <c r="AG30" s="17"/>
    </row>
    <row r="31" spans="1:55" x14ac:dyDescent="0.2">
      <c r="A31" s="12"/>
      <c r="B31" s="64" t="s">
        <v>220</v>
      </c>
      <c r="C31" s="10"/>
      <c r="D31" s="10"/>
      <c r="E31" s="15"/>
      <c r="F31" s="10" t="str">
        <f>T6</f>
        <v>T.3Formaleteada</v>
      </c>
      <c r="G31" s="10"/>
      <c r="H31" s="10"/>
      <c r="I31" s="10"/>
      <c r="J31" s="10"/>
      <c r="K31" s="10"/>
      <c r="L31" s="10"/>
      <c r="M31" s="1">
        <v>0.5</v>
      </c>
      <c r="N31" s="67" t="s">
        <v>262</v>
      </c>
      <c r="O31" s="20">
        <f>M31</f>
        <v>0.5</v>
      </c>
      <c r="P31" s="22">
        <f>'Costos de cuadrilas'!E38</f>
        <v>20055.712500000001</v>
      </c>
      <c r="Q31" s="21">
        <f t="shared" si="1"/>
        <v>10027.856250000001</v>
      </c>
      <c r="R31" s="13"/>
      <c r="Y31" s="67" t="s">
        <v>258</v>
      </c>
      <c r="Z31" s="17">
        <v>18</v>
      </c>
      <c r="AA31" s="276">
        <v>105</v>
      </c>
      <c r="AB31" s="275">
        <f t="shared" si="0"/>
        <v>1890</v>
      </c>
      <c r="AC31" s="358"/>
      <c r="AD31" s="359"/>
      <c r="AE31" s="67" t="s">
        <v>279</v>
      </c>
      <c r="AF31" s="297">
        <f>'Cartera de cantidades'!X18/30</f>
        <v>4.3166666666666664</v>
      </c>
      <c r="AG31" s="17"/>
    </row>
    <row r="32" spans="1:55" x14ac:dyDescent="0.2">
      <c r="B32" s="64" t="s">
        <v>221</v>
      </c>
      <c r="C32" s="1"/>
      <c r="D32" s="1"/>
      <c r="E32" s="2"/>
      <c r="F32" s="1" t="str">
        <f>T9</f>
        <v>T.6 Curado de concreto</v>
      </c>
      <c r="G32" s="1"/>
      <c r="H32" s="1"/>
      <c r="I32" s="1"/>
      <c r="J32" s="1"/>
      <c r="K32" s="1"/>
      <c r="L32" s="1"/>
      <c r="M32" s="1">
        <v>0.26</v>
      </c>
      <c r="N32" s="67" t="s">
        <v>262</v>
      </c>
      <c r="O32" s="19">
        <f>M32</f>
        <v>0.26</v>
      </c>
      <c r="P32" s="21">
        <f>'Costos de cuadrilas'!E50</f>
        <v>8555.2875000000004</v>
      </c>
      <c r="Q32" s="21">
        <f t="shared" si="1"/>
        <v>2224.3747499999999</v>
      </c>
      <c r="R32" s="13"/>
      <c r="Y32" s="67" t="s">
        <v>259</v>
      </c>
      <c r="Z32" s="17">
        <v>36</v>
      </c>
      <c r="AA32" s="276">
        <v>120</v>
      </c>
      <c r="AB32" s="275">
        <f t="shared" si="0"/>
        <v>4320</v>
      </c>
      <c r="AC32" s="358"/>
      <c r="AD32" s="359"/>
      <c r="AE32" s="67" t="s">
        <v>66</v>
      </c>
      <c r="AF32" s="17">
        <f>0.25*0.3</f>
        <v>7.4999999999999997E-2</v>
      </c>
      <c r="AG32" s="17"/>
    </row>
    <row r="33" spans="1:36" x14ac:dyDescent="0.2">
      <c r="B33" s="64" t="str">
        <f>B32</f>
        <v>Cuadrilla 0x1</v>
      </c>
      <c r="C33" s="10"/>
      <c r="D33" s="10"/>
      <c r="E33" s="15"/>
      <c r="F33" s="10" t="s">
        <v>254</v>
      </c>
      <c r="G33" s="10"/>
      <c r="H33" s="10"/>
      <c r="I33" s="10"/>
      <c r="J33" s="10"/>
      <c r="K33" s="10"/>
      <c r="L33" s="10"/>
      <c r="M33" s="1">
        <v>0.2</v>
      </c>
      <c r="N33" s="67" t="s">
        <v>262</v>
      </c>
      <c r="O33" s="20">
        <f>M33</f>
        <v>0.2</v>
      </c>
      <c r="P33" s="22">
        <f>P32</f>
        <v>8555.2875000000004</v>
      </c>
      <c r="Q33" s="21">
        <f>P33*O33</f>
        <v>1711.0575000000001</v>
      </c>
      <c r="R33" s="13"/>
      <c r="Y33" s="67"/>
      <c r="Z33" s="17"/>
      <c r="AA33" s="276"/>
      <c r="AB33" s="275"/>
      <c r="AC33" s="358"/>
      <c r="AD33" s="359"/>
      <c r="AE33" s="280" t="s">
        <v>69</v>
      </c>
      <c r="AF33" s="17">
        <f>AF27*0.05</f>
        <v>18.510000000000002</v>
      </c>
      <c r="AG33" s="17"/>
    </row>
    <row r="34" spans="1:36" x14ac:dyDescent="0.2">
      <c r="A34" s="12"/>
      <c r="B34" s="250" t="s">
        <v>220</v>
      </c>
      <c r="C34" s="10"/>
      <c r="D34" s="10"/>
      <c r="E34" s="15"/>
      <c r="F34" s="10" t="str">
        <f>T8</f>
        <v>T.5 Vibrado de concreto</v>
      </c>
      <c r="G34" s="10"/>
      <c r="H34" s="10"/>
      <c r="I34" s="10"/>
      <c r="J34" s="10"/>
      <c r="K34" s="10"/>
      <c r="L34" s="10"/>
      <c r="M34" s="1">
        <v>0.06</v>
      </c>
      <c r="N34" s="67" t="s">
        <v>262</v>
      </c>
      <c r="O34" s="20">
        <f>M34</f>
        <v>0.06</v>
      </c>
      <c r="P34" s="22">
        <f>'Costos de cuadrilas'!E38</f>
        <v>20055.712500000001</v>
      </c>
      <c r="Q34" s="21">
        <f t="shared" si="1"/>
        <v>1203.34275</v>
      </c>
      <c r="R34" s="13"/>
      <c r="S34" s="26" t="s">
        <v>21</v>
      </c>
      <c r="Y34" s="17"/>
      <c r="Z34" s="17"/>
      <c r="AA34" s="276"/>
      <c r="AB34" s="275"/>
      <c r="AC34" s="358"/>
      <c r="AD34" s="359"/>
      <c r="AE34" s="277"/>
      <c r="AF34" s="17"/>
      <c r="AG34" s="17"/>
      <c r="AH34" s="32"/>
      <c r="AI34" s="32"/>
      <c r="AJ34" s="32"/>
    </row>
    <row r="35" spans="1:36" x14ac:dyDescent="0.2">
      <c r="A35" s="12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28" t="s">
        <v>7</v>
      </c>
      <c r="Q35" s="23">
        <f>SUM(Q28:Q34)</f>
        <v>34363.795770000004</v>
      </c>
      <c r="R35" s="13"/>
      <c r="S35" s="2">
        <f>Q35/$Q$45</f>
        <v>0.26520785018976301</v>
      </c>
      <c r="Y35" s="17" t="s">
        <v>233</v>
      </c>
      <c r="Z35" s="17">
        <v>210</v>
      </c>
      <c r="AA35" s="276">
        <v>16</v>
      </c>
      <c r="AB35" s="275">
        <f>Z35*AA35</f>
        <v>3360</v>
      </c>
      <c r="AC35" s="358"/>
      <c r="AD35" s="359"/>
      <c r="AE35" s="32"/>
      <c r="AH35" s="32"/>
      <c r="AI35" s="33"/>
    </row>
    <row r="36" spans="1:36" x14ac:dyDescent="0.2">
      <c r="A36" s="12"/>
      <c r="B36" s="27" t="s">
        <v>12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13"/>
      <c r="Y36" s="17"/>
      <c r="Z36" s="17"/>
      <c r="AA36" s="17"/>
      <c r="AB36" s="278">
        <f>SUM(AB28:AB35)</f>
        <v>12190</v>
      </c>
      <c r="AC36" s="360"/>
      <c r="AD36" s="361"/>
      <c r="AE36" s="32"/>
      <c r="AH36" s="32"/>
    </row>
    <row r="37" spans="1:36" x14ac:dyDescent="0.2">
      <c r="A37" s="12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3"/>
      <c r="Y37" s="17"/>
      <c r="Z37" s="17"/>
      <c r="AA37" s="279">
        <v>0.19</v>
      </c>
      <c r="AB37" s="275">
        <f>AB36*(1+AA37)</f>
        <v>14506.099999999999</v>
      </c>
      <c r="AC37" s="275">
        <f>AB37*7</f>
        <v>101542.69999999998</v>
      </c>
      <c r="AD37" s="275">
        <f>AC37/30</f>
        <v>3384.7566666666662</v>
      </c>
      <c r="AE37" s="32"/>
    </row>
    <row r="38" spans="1:36" ht="25.5" x14ac:dyDescent="0.2">
      <c r="A38" s="12"/>
      <c r="B38" s="5" t="s">
        <v>1</v>
      </c>
      <c r="C38" s="6"/>
      <c r="D38" s="6"/>
      <c r="E38" s="7"/>
      <c r="F38" s="5" t="s">
        <v>2</v>
      </c>
      <c r="G38" s="6"/>
      <c r="H38" s="6"/>
      <c r="I38" s="6"/>
      <c r="J38" s="6"/>
      <c r="K38" s="6"/>
      <c r="L38" s="6"/>
      <c r="M38" s="7"/>
      <c r="N38" s="8" t="s">
        <v>3</v>
      </c>
      <c r="O38" s="8" t="s">
        <v>13</v>
      </c>
      <c r="P38" s="4" t="s">
        <v>14</v>
      </c>
      <c r="Q38" s="4" t="s">
        <v>6</v>
      </c>
      <c r="R38" s="13"/>
      <c r="AD38" s="34"/>
      <c r="AE38" s="32"/>
      <c r="AF38" s="33"/>
      <c r="AG38" s="32"/>
    </row>
    <row r="39" spans="1:36" x14ac:dyDescent="0.2">
      <c r="A39" s="12"/>
      <c r="B39" s="16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7"/>
      <c r="O39" s="19"/>
      <c r="P39" s="21"/>
      <c r="Q39" s="21">
        <f>O39*P39</f>
        <v>0</v>
      </c>
      <c r="R39" s="13"/>
      <c r="AD39" s="32"/>
      <c r="AE39" s="32"/>
      <c r="AF39" s="33"/>
      <c r="AG39" s="32"/>
    </row>
    <row r="40" spans="1:36" x14ac:dyDescent="0.2">
      <c r="A40" s="12"/>
      <c r="B40" s="16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7"/>
      <c r="O40" s="19"/>
      <c r="P40" s="21"/>
      <c r="Q40" s="21">
        <f>O40*P40</f>
        <v>0</v>
      </c>
      <c r="R40" s="13"/>
    </row>
    <row r="41" spans="1:36" x14ac:dyDescent="0.2">
      <c r="A41" s="12"/>
      <c r="B41" s="16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7"/>
      <c r="O41" s="19"/>
      <c r="P41" s="21"/>
      <c r="Q41" s="21">
        <f>O41*P41</f>
        <v>0</v>
      </c>
      <c r="R41" s="13"/>
      <c r="AD41" s="32"/>
    </row>
    <row r="42" spans="1:36" x14ac:dyDescent="0.2">
      <c r="A42" s="12"/>
      <c r="B42" s="14"/>
      <c r="C42" s="10"/>
      <c r="D42" s="10"/>
      <c r="E42" s="15"/>
      <c r="F42" s="10"/>
      <c r="G42" s="10"/>
      <c r="H42" s="10"/>
      <c r="I42" s="10"/>
      <c r="J42" s="10"/>
      <c r="K42" s="10"/>
      <c r="L42" s="10"/>
      <c r="M42" s="10"/>
      <c r="N42" s="18"/>
      <c r="O42" s="20"/>
      <c r="P42" s="22"/>
      <c r="Q42" s="21">
        <f>O42*P42</f>
        <v>0</v>
      </c>
      <c r="R42" s="13"/>
      <c r="S42" s="26" t="s">
        <v>21</v>
      </c>
      <c r="AG42" s="32"/>
    </row>
    <row r="43" spans="1:36" x14ac:dyDescent="0.2">
      <c r="A43" s="12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28" t="s">
        <v>7</v>
      </c>
      <c r="Q43" s="23">
        <f>SUM(Q39:Q42)</f>
        <v>0</v>
      </c>
      <c r="R43" s="13"/>
      <c r="S43" s="2">
        <f>Q43/$Q$45</f>
        <v>0</v>
      </c>
      <c r="AC43" s="32"/>
    </row>
    <row r="44" spans="1:36" x14ac:dyDescent="0.2">
      <c r="A44" s="12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13"/>
    </row>
    <row r="45" spans="1:36" x14ac:dyDescent="0.2">
      <c r="A45" s="12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29" t="s">
        <v>15</v>
      </c>
      <c r="Q45" s="25">
        <f>Q14+Q24+Q43+Q35</f>
        <v>129573.07163197405</v>
      </c>
      <c r="R45" s="13"/>
      <c r="AC45" s="32"/>
    </row>
    <row r="46" spans="1:36" x14ac:dyDescent="0.2">
      <c r="A46" s="12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13"/>
    </row>
    <row r="47" spans="1:36" x14ac:dyDescent="0.2">
      <c r="A47" s="12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29" t="s">
        <v>16</v>
      </c>
      <c r="P47" s="24">
        <v>0.31</v>
      </c>
      <c r="Q47" s="30">
        <f>Q45*P47</f>
        <v>40167.652205911952</v>
      </c>
      <c r="R47" s="13"/>
      <c r="AB47" s="32"/>
      <c r="AG47" s="32"/>
    </row>
    <row r="48" spans="1:36" x14ac:dyDescent="0.2">
      <c r="A48" s="12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13"/>
      <c r="AB48" s="32"/>
      <c r="AE48" s="32"/>
      <c r="AG48" s="32"/>
      <c r="AH48" s="32"/>
    </row>
    <row r="49" spans="1:34" x14ac:dyDescent="0.2">
      <c r="A49" s="12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29" t="s">
        <v>17</v>
      </c>
      <c r="Q49" s="25">
        <f>Q45+Q47</f>
        <v>169740.72383788601</v>
      </c>
      <c r="R49" s="13"/>
      <c r="S49" s="42">
        <f>Q49*120</f>
        <v>20368886.860546321</v>
      </c>
      <c r="T49" s="42">
        <f>S49+'4.1 Huella graderia '!S49</f>
        <v>60797644.081871122</v>
      </c>
    </row>
    <row r="50" spans="1:34" x14ac:dyDescent="0.2">
      <c r="A50" s="14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5"/>
      <c r="S50" s="42"/>
      <c r="AE50" s="32"/>
      <c r="AH50" s="32"/>
    </row>
    <row r="51" spans="1:34" x14ac:dyDescent="0.2">
      <c r="AE51" s="32"/>
      <c r="AH51" s="32"/>
    </row>
    <row r="52" spans="1:34" x14ac:dyDescent="0.2">
      <c r="AE52" s="32"/>
      <c r="AH52" s="32"/>
    </row>
  </sheetData>
  <mergeCells count="23">
    <mergeCell ref="B2:Q2"/>
    <mergeCell ref="C4:P4"/>
    <mergeCell ref="AN14:AP14"/>
    <mergeCell ref="AN15:AQ15"/>
    <mergeCell ref="B14:E14"/>
    <mergeCell ref="C3:P3"/>
    <mergeCell ref="AL5:AM5"/>
    <mergeCell ref="AC27:AD36"/>
    <mergeCell ref="Y26:AD26"/>
    <mergeCell ref="AE26:AG26"/>
    <mergeCell ref="AN5:AQ5"/>
    <mergeCell ref="AH5:AK5"/>
    <mergeCell ref="AE5:AG5"/>
    <mergeCell ref="Y16:AB16"/>
    <mergeCell ref="AR15:AU15"/>
    <mergeCell ref="AR5:AU5"/>
    <mergeCell ref="AV5:AY5"/>
    <mergeCell ref="AZ5:BC5"/>
    <mergeCell ref="AV14:AX14"/>
    <mergeCell ref="AV15:AY15"/>
    <mergeCell ref="AZ14:BB14"/>
    <mergeCell ref="AZ15:BC15"/>
    <mergeCell ref="AR14:AT14"/>
  </mergeCells>
  <phoneticPr fontId="10" type="noConversion"/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E54B-AC0E-417A-8D20-C5E298B2971B}">
  <dimension ref="A1:BC52"/>
  <sheetViews>
    <sheetView topLeftCell="K27" workbookViewId="0">
      <selection activeCell="L27" sqref="L27"/>
    </sheetView>
  </sheetViews>
  <sheetFormatPr baseColWidth="10" defaultRowHeight="12.75" x14ac:dyDescent="0.2"/>
  <cols>
    <col min="1" max="1" width="3.85546875" customWidth="1"/>
    <col min="2" max="2" width="9.7109375" customWidth="1"/>
    <col min="3" max="4" width="8.7109375" customWidth="1"/>
    <col min="5" max="5" width="22.42578125" customWidth="1"/>
    <col min="6" max="13" width="8.7109375" customWidth="1"/>
    <col min="14" max="14" width="11.140625" bestFit="1" customWidth="1"/>
    <col min="15" max="15" width="14.28515625" customWidth="1"/>
    <col min="16" max="16" width="15.42578125" customWidth="1"/>
    <col min="17" max="17" width="15" customWidth="1"/>
    <col min="18" max="18" width="4.7109375" customWidth="1"/>
    <col min="19" max="19" width="12.7109375" bestFit="1" customWidth="1"/>
    <col min="20" max="21" width="23.140625" customWidth="1"/>
    <col min="25" max="25" width="28.28515625" bestFit="1" customWidth="1"/>
    <col min="26" max="26" width="12.28515625" bestFit="1" customWidth="1"/>
    <col min="27" max="27" width="12.42578125" customWidth="1"/>
    <col min="28" max="28" width="13.140625" customWidth="1"/>
    <col min="29" max="29" width="12.85546875" bestFit="1" customWidth="1"/>
    <col min="31" max="31" width="25.7109375" customWidth="1"/>
    <col min="32" max="32" width="19" customWidth="1"/>
    <col min="33" max="33" width="18.28515625" customWidth="1"/>
    <col min="34" max="34" width="14.42578125" customWidth="1"/>
  </cols>
  <sheetData>
    <row r="1" spans="1:55" x14ac:dyDescent="0.2">
      <c r="A1" s="296"/>
      <c r="R1" s="11"/>
      <c r="T1" s="31" t="s">
        <v>24</v>
      </c>
    </row>
    <row r="2" spans="1:55" x14ac:dyDescent="0.2">
      <c r="A2" s="12"/>
      <c r="B2" s="337" t="s">
        <v>20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9"/>
      <c r="R2" s="13"/>
      <c r="S2" s="31" t="s">
        <v>21</v>
      </c>
      <c r="T2" s="31" t="s">
        <v>25</v>
      </c>
      <c r="U2" s="31" t="s">
        <v>26</v>
      </c>
      <c r="V2" s="44" t="s">
        <v>27</v>
      </c>
    </row>
    <row r="3" spans="1:55" x14ac:dyDescent="0.2">
      <c r="A3" s="12"/>
      <c r="B3" s="292" t="s">
        <v>18</v>
      </c>
      <c r="C3" s="340" t="s">
        <v>19</v>
      </c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2"/>
      <c r="Q3" s="3" t="s">
        <v>3</v>
      </c>
      <c r="R3" s="13"/>
      <c r="AB3" s="31" t="s">
        <v>22</v>
      </c>
    </row>
    <row r="4" spans="1:55" ht="15" x14ac:dyDescent="0.2">
      <c r="A4" s="12"/>
      <c r="B4" s="291" t="s">
        <v>282</v>
      </c>
      <c r="C4" s="343" t="s">
        <v>283</v>
      </c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5"/>
      <c r="Q4" s="294" t="s">
        <v>284</v>
      </c>
      <c r="R4" s="13"/>
      <c r="S4" s="36"/>
      <c r="T4" s="50" t="s">
        <v>30</v>
      </c>
    </row>
    <row r="5" spans="1:55" x14ac:dyDescent="0.2">
      <c r="A5" s="12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3"/>
      <c r="T5" s="51" t="s">
        <v>285</v>
      </c>
      <c r="AE5" s="346" t="s">
        <v>263</v>
      </c>
      <c r="AF5" s="347"/>
      <c r="AG5" s="347"/>
      <c r="AH5" s="347" t="s">
        <v>264</v>
      </c>
      <c r="AI5" s="347"/>
      <c r="AJ5" s="347"/>
      <c r="AK5" s="347"/>
      <c r="AL5" s="347" t="s">
        <v>265</v>
      </c>
      <c r="AM5" s="347"/>
      <c r="AN5" s="347" t="s">
        <v>266</v>
      </c>
      <c r="AO5" s="347"/>
      <c r="AP5" s="347"/>
      <c r="AQ5" s="354"/>
      <c r="AR5" s="346"/>
      <c r="AS5" s="347"/>
      <c r="AT5" s="347"/>
      <c r="AU5" s="354"/>
      <c r="AV5" s="346"/>
      <c r="AW5" s="347"/>
      <c r="AX5" s="347"/>
      <c r="AY5" s="354"/>
      <c r="AZ5" s="346"/>
      <c r="BA5" s="347"/>
      <c r="BB5" s="347"/>
      <c r="BC5" s="354"/>
    </row>
    <row r="6" spans="1:55" x14ac:dyDescent="0.2">
      <c r="A6" s="12"/>
      <c r="B6" s="27" t="s">
        <v>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3"/>
      <c r="T6" s="51" t="s">
        <v>286</v>
      </c>
      <c r="AE6" s="259" t="str">
        <f>T4</f>
        <v>T1. Verificación de ejes, centros, alineamientos, plomos y cotas.</v>
      </c>
      <c r="AF6" s="260"/>
      <c r="AG6" s="260"/>
      <c r="AH6" s="261" t="str">
        <f>T5</f>
        <v>T.2 Levantamiento de muro de mamposteria</v>
      </c>
      <c r="AI6" s="260"/>
      <c r="AJ6" s="260"/>
      <c r="AK6" s="260"/>
      <c r="AL6" s="261" t="str">
        <f>T6</f>
        <v>T.3 Preparacion de mortero 1:3</v>
      </c>
      <c r="AM6" s="260"/>
      <c r="AN6" s="261" t="str">
        <f>T7</f>
        <v>T4. Limpieza de juntas</v>
      </c>
      <c r="AO6" s="260"/>
      <c r="AP6" s="260"/>
      <c r="AQ6" s="262"/>
      <c r="AR6" s="261"/>
      <c r="AS6" s="260"/>
      <c r="AT6" s="260"/>
      <c r="AU6" s="262"/>
      <c r="AV6" s="261"/>
      <c r="AW6" s="260"/>
      <c r="AX6" s="260"/>
      <c r="AY6" s="262"/>
      <c r="AZ6" s="293"/>
      <c r="BA6" s="260"/>
      <c r="BB6" s="260"/>
      <c r="BC6" s="262"/>
    </row>
    <row r="7" spans="1:55" x14ac:dyDescent="0.2">
      <c r="A7" s="12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3"/>
      <c r="T7" s="51" t="s">
        <v>287</v>
      </c>
      <c r="AE7" s="263"/>
      <c r="AF7" s="260"/>
      <c r="AG7" s="260"/>
      <c r="AH7" s="260"/>
      <c r="AI7" s="260"/>
      <c r="AJ7" s="260"/>
      <c r="AK7" s="260"/>
      <c r="AL7" s="260"/>
      <c r="AM7" s="260"/>
      <c r="AN7" s="261" t="s">
        <v>267</v>
      </c>
      <c r="AO7" s="260"/>
      <c r="AP7" s="260"/>
      <c r="AQ7" s="262"/>
      <c r="AR7" s="261"/>
      <c r="AS7" s="260"/>
      <c r="AT7" s="260"/>
      <c r="AU7" s="262"/>
      <c r="AV7" s="261"/>
      <c r="AW7" s="260"/>
      <c r="AX7" s="260"/>
      <c r="AY7" s="262"/>
      <c r="AZ7" s="261"/>
      <c r="BA7" s="260"/>
      <c r="BB7" s="260"/>
      <c r="BC7" s="262"/>
    </row>
    <row r="8" spans="1:55" ht="25.5" x14ac:dyDescent="0.2">
      <c r="A8" s="12"/>
      <c r="B8" s="5" t="s">
        <v>1</v>
      </c>
      <c r="C8" s="6"/>
      <c r="D8" s="6"/>
      <c r="E8" s="7"/>
      <c r="F8" s="5" t="s">
        <v>2</v>
      </c>
      <c r="G8" s="6"/>
      <c r="H8" s="6"/>
      <c r="I8" s="6"/>
      <c r="J8" s="6"/>
      <c r="K8" s="6"/>
      <c r="L8" s="6"/>
      <c r="M8" s="246"/>
      <c r="N8" s="8" t="s">
        <v>3</v>
      </c>
      <c r="O8" s="8" t="s">
        <v>4</v>
      </c>
      <c r="P8" s="4" t="s">
        <v>5</v>
      </c>
      <c r="Q8" s="4" t="s">
        <v>6</v>
      </c>
      <c r="R8" s="13"/>
      <c r="S8" s="32"/>
      <c r="T8" s="51"/>
      <c r="AE8" s="264" t="s">
        <v>267</v>
      </c>
      <c r="AF8" s="260"/>
      <c r="AG8" s="260"/>
      <c r="AH8" s="261" t="s">
        <v>267</v>
      </c>
      <c r="AI8" s="260"/>
      <c r="AJ8" s="260"/>
      <c r="AK8" s="260"/>
      <c r="AL8" s="261" t="s">
        <v>267</v>
      </c>
      <c r="AM8" s="260"/>
      <c r="AN8" s="260">
        <f>B12</f>
        <v>0</v>
      </c>
      <c r="AO8" s="260"/>
      <c r="AP8" s="260"/>
      <c r="AQ8" s="262"/>
      <c r="AR8" s="260"/>
      <c r="AS8" s="260"/>
      <c r="AT8" s="260"/>
      <c r="AU8" s="262"/>
      <c r="AV8" s="260"/>
      <c r="AW8" s="260"/>
      <c r="AX8" s="260"/>
      <c r="AY8" s="262"/>
      <c r="AZ8" s="260"/>
      <c r="BA8" s="260"/>
      <c r="BB8" s="260"/>
      <c r="BC8" s="262"/>
    </row>
    <row r="9" spans="1:55" x14ac:dyDescent="0.2">
      <c r="A9" s="12"/>
      <c r="B9" s="49" t="s">
        <v>296</v>
      </c>
      <c r="C9" s="256"/>
      <c r="D9" s="256"/>
      <c r="E9" s="272"/>
      <c r="F9" s="253" t="str">
        <f>T5</f>
        <v>T.2 Levantamiento de muro de mamposteria</v>
      </c>
      <c r="G9" s="256"/>
      <c r="H9" s="256"/>
      <c r="I9" s="256"/>
      <c r="J9" s="256"/>
      <c r="K9" s="256"/>
      <c r="L9" s="256"/>
      <c r="M9" s="279">
        <v>0.1</v>
      </c>
      <c r="N9" s="257" t="s">
        <v>299</v>
      </c>
      <c r="O9" s="281">
        <f>AG27*(1+M9)</f>
        <v>41.800000000000004</v>
      </c>
      <c r="P9" s="288">
        <v>900</v>
      </c>
      <c r="Q9" s="282">
        <f>O9*P9</f>
        <v>37620.000000000007</v>
      </c>
      <c r="R9" s="13"/>
      <c r="S9" s="32"/>
      <c r="T9" s="51"/>
      <c r="AE9" s="263"/>
      <c r="AF9" s="260"/>
      <c r="AG9" s="260"/>
      <c r="AH9" s="260" t="str">
        <f>B9</f>
        <v>Ladrillo Coicido 7x10x20</v>
      </c>
      <c r="AI9" s="260"/>
      <c r="AJ9" s="260"/>
      <c r="AK9" s="260"/>
      <c r="AL9" s="260"/>
      <c r="AM9" s="260"/>
      <c r="AN9" s="260"/>
      <c r="AO9" s="260"/>
      <c r="AP9" s="260"/>
      <c r="AQ9" s="262"/>
      <c r="AR9" s="260"/>
      <c r="AS9" s="260"/>
      <c r="AT9" s="260"/>
      <c r="AU9" s="262"/>
      <c r="AV9" s="260"/>
      <c r="AW9" s="260"/>
      <c r="AX9" s="260"/>
      <c r="AY9" s="262"/>
      <c r="AZ9" s="260"/>
      <c r="BA9" s="260"/>
      <c r="BB9" s="260"/>
      <c r="BC9" s="262"/>
    </row>
    <row r="10" spans="1:55" x14ac:dyDescent="0.2">
      <c r="A10" s="12"/>
      <c r="B10" s="271" t="s">
        <v>297</v>
      </c>
      <c r="C10" s="10"/>
      <c r="D10" s="10"/>
      <c r="E10" s="15"/>
      <c r="F10" s="254" t="str">
        <f>T6</f>
        <v>T.3 Preparacion de mortero 1:3</v>
      </c>
      <c r="M10" s="289">
        <v>0.1</v>
      </c>
      <c r="N10" s="252" t="s">
        <v>31</v>
      </c>
      <c r="O10" s="283">
        <f>450.5*AF28*(1+M10)</f>
        <v>8.3252399999999955</v>
      </c>
      <c r="P10" s="287">
        <v>600</v>
      </c>
      <c r="Q10" s="284">
        <f>O10*P10</f>
        <v>4995.1439999999975</v>
      </c>
      <c r="R10" s="13"/>
      <c r="S10" s="41"/>
      <c r="T10" s="51"/>
      <c r="AE10" s="263"/>
      <c r="AF10" s="260"/>
      <c r="AG10" s="260"/>
      <c r="AH10" s="260" t="str">
        <f>B10</f>
        <v xml:space="preserve">Cemento </v>
      </c>
      <c r="AI10" s="260"/>
      <c r="AJ10" s="260"/>
      <c r="AK10" s="260"/>
      <c r="AL10" s="260"/>
      <c r="AM10" s="260"/>
      <c r="AN10" s="260"/>
      <c r="AO10" s="260"/>
      <c r="AP10" s="260"/>
      <c r="AQ10" s="262"/>
      <c r="AR10" s="260"/>
      <c r="AS10" s="260"/>
      <c r="AT10" s="260"/>
      <c r="AU10" s="262"/>
      <c r="AV10" s="260"/>
      <c r="AW10" s="260"/>
      <c r="AX10" s="260"/>
      <c r="AY10" s="262"/>
      <c r="AZ10" s="260"/>
      <c r="BA10" s="260"/>
      <c r="BB10" s="260"/>
      <c r="BC10" s="262"/>
    </row>
    <row r="11" spans="1:55" x14ac:dyDescent="0.2">
      <c r="A11" s="12"/>
      <c r="B11" s="247" t="s">
        <v>298</v>
      </c>
      <c r="C11" s="248"/>
      <c r="D11" s="248"/>
      <c r="E11" s="249"/>
      <c r="F11" s="254" t="str">
        <f>T6</f>
        <v>T.3 Preparacion de mortero 1:3</v>
      </c>
      <c r="G11" s="45"/>
      <c r="H11" s="47"/>
      <c r="I11" s="45"/>
      <c r="J11" s="48"/>
      <c r="K11" s="45"/>
      <c r="L11" s="45"/>
      <c r="M11" s="290">
        <v>0.1</v>
      </c>
      <c r="N11" s="59" t="s">
        <v>29</v>
      </c>
      <c r="O11" s="281">
        <f>AF28*(1+M11)</f>
        <v>1.8479999999999993E-2</v>
      </c>
      <c r="P11" s="285">
        <v>79500</v>
      </c>
      <c r="Q11" s="282">
        <f>O11*P11</f>
        <v>1469.1599999999994</v>
      </c>
      <c r="R11" s="13"/>
      <c r="S11" s="41"/>
      <c r="T11" s="42"/>
      <c r="AB11" s="32" t="s">
        <v>23</v>
      </c>
      <c r="AE11" s="263"/>
      <c r="AF11" s="260"/>
      <c r="AG11" s="260"/>
      <c r="AH11" s="260" t="str">
        <f>B11</f>
        <v>Arena</v>
      </c>
      <c r="AI11" s="260"/>
      <c r="AJ11" s="260"/>
      <c r="AK11" s="260"/>
      <c r="AL11" s="260"/>
      <c r="AM11" s="260"/>
      <c r="AN11" s="260"/>
      <c r="AO11" s="260"/>
      <c r="AP11" s="260"/>
      <c r="AQ11" s="262"/>
      <c r="AR11" s="260"/>
      <c r="AS11" s="260"/>
      <c r="AT11" s="260"/>
      <c r="AU11" s="262"/>
      <c r="AV11" s="260"/>
      <c r="AW11" s="260"/>
      <c r="AX11" s="260"/>
      <c r="AY11" s="262"/>
      <c r="AZ11" s="260"/>
      <c r="BA11" s="260"/>
      <c r="BB11" s="260"/>
      <c r="BC11" s="262"/>
    </row>
    <row r="12" spans="1:55" x14ac:dyDescent="0.2">
      <c r="A12" s="12"/>
      <c r="B12" s="67"/>
      <c r="C12" s="17"/>
      <c r="D12" s="17"/>
      <c r="E12" s="2"/>
      <c r="F12" s="1"/>
      <c r="G12" s="1"/>
      <c r="H12" s="1"/>
      <c r="I12" s="1"/>
      <c r="J12" s="1"/>
      <c r="K12" s="1"/>
      <c r="L12" s="1"/>
      <c r="M12" s="279"/>
      <c r="N12" s="60"/>
      <c r="O12" s="281"/>
      <c r="P12" s="285"/>
      <c r="Q12" s="282"/>
      <c r="R12" s="13"/>
      <c r="AE12" s="264" t="s">
        <v>268</v>
      </c>
      <c r="AF12" s="260"/>
      <c r="AG12" s="260"/>
      <c r="AH12" s="261" t="s">
        <v>268</v>
      </c>
      <c r="AI12" s="260"/>
      <c r="AJ12" s="260"/>
      <c r="AK12" s="260"/>
      <c r="AL12" s="260"/>
      <c r="AM12" s="260"/>
      <c r="AN12" s="260"/>
      <c r="AO12" s="260"/>
      <c r="AP12" s="260"/>
      <c r="AQ12" s="262"/>
      <c r="AR12" s="260"/>
      <c r="AS12" s="260"/>
      <c r="AT12" s="260"/>
      <c r="AU12" s="262"/>
      <c r="AV12" s="260"/>
      <c r="AW12" s="260"/>
      <c r="AX12" s="260"/>
      <c r="AY12" s="262"/>
      <c r="AZ12" s="260"/>
      <c r="BA12" s="260"/>
      <c r="BB12" s="260"/>
      <c r="BC12" s="262"/>
    </row>
    <row r="13" spans="1:55" x14ac:dyDescent="0.2">
      <c r="A13" s="12"/>
      <c r="B13" s="365"/>
      <c r="C13" s="366"/>
      <c r="D13" s="366"/>
      <c r="E13" s="367"/>
      <c r="F13" s="10"/>
      <c r="G13" s="10"/>
      <c r="H13" s="10"/>
      <c r="I13" s="10"/>
      <c r="J13" s="10"/>
      <c r="K13" s="10"/>
      <c r="L13" s="10"/>
      <c r="M13" s="289"/>
      <c r="N13" s="62"/>
      <c r="O13" s="281"/>
      <c r="P13" s="286"/>
      <c r="Q13" s="282"/>
      <c r="R13" s="13"/>
      <c r="AE13" s="265" t="str">
        <f>B20</f>
        <v>Herramienta menor</v>
      </c>
      <c r="AF13" s="266"/>
      <c r="AG13" s="266"/>
      <c r="AH13" s="260" t="str">
        <f>AE13</f>
        <v>Herramienta menor</v>
      </c>
      <c r="AI13" s="260"/>
      <c r="AJ13" s="260"/>
      <c r="AK13" s="260"/>
      <c r="AL13" s="261" t="s">
        <v>268</v>
      </c>
      <c r="AM13" s="260"/>
      <c r="AN13" s="261" t="s">
        <v>268</v>
      </c>
      <c r="AO13" s="260"/>
      <c r="AP13" s="260"/>
      <c r="AQ13" s="262"/>
      <c r="AR13" s="261"/>
      <c r="AS13" s="260"/>
      <c r="AT13" s="260"/>
      <c r="AU13" s="262"/>
      <c r="AV13" s="261"/>
      <c r="AW13" s="260"/>
      <c r="AX13" s="260"/>
      <c r="AY13" s="262"/>
      <c r="AZ13" s="261"/>
      <c r="BA13" s="260"/>
      <c r="BB13" s="260"/>
      <c r="BC13" s="262"/>
    </row>
    <row r="14" spans="1:55" x14ac:dyDescent="0.2">
      <c r="A14" s="12"/>
      <c r="B14" s="362"/>
      <c r="C14" s="363"/>
      <c r="D14" s="363"/>
      <c r="E14" s="364"/>
      <c r="F14" s="10"/>
      <c r="G14" s="10"/>
      <c r="H14" s="10"/>
      <c r="I14" s="10"/>
      <c r="J14" s="10"/>
      <c r="K14" s="10"/>
      <c r="L14" s="10"/>
      <c r="M14" s="61"/>
      <c r="N14" s="63"/>
      <c r="O14" s="255"/>
      <c r="P14" s="273" t="s">
        <v>7</v>
      </c>
      <c r="Q14" s="274">
        <f>SUM(Q9:Q13)</f>
        <v>44084.304000000004</v>
      </c>
      <c r="R14" s="13"/>
      <c r="T14" s="51"/>
      <c r="Y14" t="e">
        <f>1/AF32</f>
        <v>#DIV/0!</v>
      </c>
      <c r="AE14" s="263">
        <f>C14</f>
        <v>0</v>
      </c>
      <c r="AF14" s="260"/>
      <c r="AG14" s="260"/>
      <c r="AH14" s="260"/>
      <c r="AI14" s="260"/>
      <c r="AJ14" s="260"/>
      <c r="AK14" s="260"/>
      <c r="AL14" s="260">
        <f>B22</f>
        <v>0</v>
      </c>
      <c r="AM14" s="260"/>
      <c r="AN14" s="350" t="str">
        <f>B20</f>
        <v>Herramienta menor</v>
      </c>
      <c r="AO14" s="350"/>
      <c r="AP14" s="350"/>
      <c r="AQ14" s="262"/>
      <c r="AR14" s="350"/>
      <c r="AS14" s="350"/>
      <c r="AT14" s="350"/>
      <c r="AU14" s="262"/>
      <c r="AV14" s="350"/>
      <c r="AW14" s="350"/>
      <c r="AX14" s="350"/>
      <c r="AY14" s="262"/>
      <c r="AZ14" s="350"/>
      <c r="BA14" s="350"/>
      <c r="BB14" s="350"/>
      <c r="BC14" s="262"/>
    </row>
    <row r="15" spans="1:55" x14ac:dyDescent="0.2">
      <c r="A15" s="12"/>
      <c r="R15" s="13"/>
      <c r="S15" s="26" t="s">
        <v>21</v>
      </c>
      <c r="AC15" s="51"/>
      <c r="AE15" s="263"/>
      <c r="AF15" s="260"/>
      <c r="AG15" s="260"/>
      <c r="AH15" s="260"/>
      <c r="AI15" s="260"/>
      <c r="AJ15" s="260"/>
      <c r="AK15" s="260"/>
      <c r="AL15" s="260" t="str">
        <f>B20</f>
        <v>Herramienta menor</v>
      </c>
      <c r="AM15" s="260"/>
      <c r="AN15" s="351"/>
      <c r="AO15" s="351"/>
      <c r="AP15" s="351"/>
      <c r="AQ15" s="352"/>
      <c r="AR15" s="351"/>
      <c r="AS15" s="351"/>
      <c r="AT15" s="351"/>
      <c r="AU15" s="352"/>
      <c r="AV15" s="351"/>
      <c r="AW15" s="351"/>
      <c r="AX15" s="351"/>
      <c r="AY15" s="352"/>
      <c r="AZ15" s="351"/>
      <c r="BA15" s="351"/>
      <c r="BB15" s="351"/>
      <c r="BC15" s="352"/>
    </row>
    <row r="16" spans="1:55" x14ac:dyDescent="0.2">
      <c r="A16" s="12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R16" s="13"/>
      <c r="S16" s="2">
        <f>Q14/$Q$45</f>
        <v>0.76863298587601869</v>
      </c>
      <c r="Y16" s="348" t="s">
        <v>75</v>
      </c>
      <c r="Z16" s="349"/>
      <c r="AA16" s="349"/>
      <c r="AB16" s="353"/>
      <c r="AE16" s="263"/>
      <c r="AF16" s="260"/>
      <c r="AG16" s="260"/>
      <c r="AH16" s="260"/>
      <c r="AI16" s="260"/>
      <c r="AJ16" s="260"/>
      <c r="AK16" s="260"/>
      <c r="AL16" s="260"/>
      <c r="AM16" s="260"/>
      <c r="AN16" s="260"/>
      <c r="AO16" s="260"/>
      <c r="AP16" s="260"/>
      <c r="AQ16" s="262"/>
      <c r="AR16" s="260"/>
      <c r="AS16" s="260"/>
      <c r="AT16" s="260"/>
      <c r="AU16" s="262"/>
      <c r="AV16" s="260"/>
      <c r="AW16" s="260"/>
      <c r="AX16" s="260"/>
      <c r="AY16" s="262"/>
      <c r="AZ16" s="260"/>
      <c r="BA16" s="260"/>
      <c r="BB16" s="260"/>
      <c r="BC16" s="262"/>
    </row>
    <row r="17" spans="1:55" x14ac:dyDescent="0.2">
      <c r="A17" s="12"/>
      <c r="B17" s="27" t="s">
        <v>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13"/>
      <c r="T17" s="43"/>
      <c r="Y17" s="12"/>
      <c r="Z17" s="17"/>
      <c r="AA17" s="17" t="s">
        <v>77</v>
      </c>
      <c r="AB17" s="17"/>
      <c r="AE17" s="263"/>
      <c r="AF17" s="260"/>
      <c r="AG17" s="260"/>
      <c r="AH17" s="260"/>
      <c r="AI17" s="260"/>
      <c r="AJ17" s="260"/>
      <c r="AK17" s="260"/>
      <c r="AL17" s="260"/>
      <c r="AM17" s="260"/>
      <c r="AN17" s="260">
        <f>C14</f>
        <v>0</v>
      </c>
      <c r="AO17" s="260"/>
      <c r="AP17" s="260"/>
      <c r="AQ17" s="262"/>
      <c r="AR17" s="260"/>
      <c r="AS17" s="260"/>
      <c r="AT17" s="260"/>
      <c r="AU17" s="262"/>
      <c r="AV17" s="260"/>
      <c r="AW17" s="260"/>
      <c r="AX17" s="260"/>
      <c r="AY17" s="262"/>
      <c r="AZ17" s="260"/>
      <c r="BA17" s="260"/>
      <c r="BB17" s="260"/>
      <c r="BC17" s="262"/>
    </row>
    <row r="18" spans="1:55" x14ac:dyDescent="0.2">
      <c r="A18" s="12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13"/>
      <c r="Y18" s="17" t="s">
        <v>76</v>
      </c>
      <c r="Z18" s="17"/>
      <c r="AA18" s="65">
        <v>10</v>
      </c>
      <c r="AB18" s="66">
        <f>8/AA18</f>
        <v>0.8</v>
      </c>
      <c r="AE18" s="263"/>
      <c r="AF18" s="260"/>
      <c r="AG18" s="260"/>
      <c r="AH18" s="260"/>
      <c r="AI18" s="260"/>
      <c r="AJ18" s="260"/>
      <c r="AK18" s="260"/>
      <c r="AL18" s="260"/>
      <c r="AM18" s="260"/>
      <c r="AN18" s="260"/>
      <c r="AO18" s="260"/>
      <c r="AP18" s="260"/>
      <c r="AQ18" s="262"/>
      <c r="AR18" s="260"/>
      <c r="AS18" s="260"/>
      <c r="AT18" s="260"/>
      <c r="AU18" s="262"/>
      <c r="AV18" s="260"/>
      <c r="AW18" s="260"/>
      <c r="AX18" s="260"/>
      <c r="AY18" s="262"/>
      <c r="AZ18" s="260"/>
      <c r="BA18" s="260"/>
      <c r="BB18" s="260"/>
      <c r="BC18" s="262"/>
    </row>
    <row r="19" spans="1:55" ht="25.5" x14ac:dyDescent="0.2">
      <c r="A19" s="12"/>
      <c r="B19" s="5" t="s">
        <v>1</v>
      </c>
      <c r="C19" s="6"/>
      <c r="D19" s="6"/>
      <c r="E19" s="7"/>
      <c r="F19" s="5" t="s">
        <v>2</v>
      </c>
      <c r="G19" s="6"/>
      <c r="H19" s="6"/>
      <c r="I19" s="6"/>
      <c r="J19" s="6"/>
      <c r="K19" s="6"/>
      <c r="L19" s="6"/>
      <c r="M19" s="7"/>
      <c r="N19" s="8" t="s">
        <v>3</v>
      </c>
      <c r="O19" s="8" t="s">
        <v>10</v>
      </c>
      <c r="P19" s="4" t="s">
        <v>9</v>
      </c>
      <c r="Q19" s="4" t="s">
        <v>6</v>
      </c>
      <c r="R19" s="13"/>
      <c r="Y19" s="67" t="s">
        <v>244</v>
      </c>
      <c r="Z19" s="17"/>
      <c r="AA19" s="258">
        <v>120</v>
      </c>
      <c r="AB19" s="66">
        <f>1/AA19</f>
        <v>8.3333333333333332E-3</v>
      </c>
      <c r="AE19" s="264" t="s">
        <v>269</v>
      </c>
      <c r="AF19" s="260"/>
      <c r="AG19" s="260"/>
      <c r="AH19" s="267" t="s">
        <v>269</v>
      </c>
      <c r="AI19" s="260"/>
      <c r="AJ19" s="260"/>
      <c r="AK19" s="260"/>
      <c r="AL19" s="261" t="s">
        <v>269</v>
      </c>
      <c r="AM19" s="260"/>
      <c r="AN19" s="267" t="s">
        <v>269</v>
      </c>
      <c r="AO19" s="260"/>
      <c r="AP19" s="260"/>
      <c r="AQ19" s="262"/>
      <c r="AR19" s="267"/>
      <c r="AS19" s="260"/>
      <c r="AT19" s="260"/>
      <c r="AU19" s="262"/>
      <c r="AV19" s="267"/>
      <c r="AW19" s="260"/>
      <c r="AX19" s="260"/>
      <c r="AY19" s="262"/>
      <c r="AZ19" s="267"/>
      <c r="BA19" s="260"/>
      <c r="BB19" s="260"/>
      <c r="BC19" s="262"/>
    </row>
    <row r="20" spans="1:55" x14ac:dyDescent="0.2">
      <c r="A20" s="12"/>
      <c r="B20" s="64" t="s">
        <v>74</v>
      </c>
      <c r="C20" s="1"/>
      <c r="D20" s="1"/>
      <c r="E20" s="2"/>
      <c r="F20" s="38" t="str">
        <f>T4</f>
        <v>T1. Verificación de ejes, centros, alineamientos, plomos y cotas.</v>
      </c>
      <c r="G20" s="38" t="str">
        <f>T5</f>
        <v>T.2 Levantamiento de muro de mamposteria</v>
      </c>
      <c r="H20" s="1"/>
      <c r="I20" s="1"/>
      <c r="J20" s="1"/>
      <c r="K20" s="1"/>
      <c r="L20" s="1"/>
      <c r="M20" s="40">
        <v>0.05</v>
      </c>
      <c r="N20" s="67" t="s">
        <v>78</v>
      </c>
      <c r="O20" s="19">
        <v>0.05</v>
      </c>
      <c r="P20" s="21">
        <f>M20*Q35</f>
        <v>661.83851250000009</v>
      </c>
      <c r="Q20" s="21">
        <f>O20*P20</f>
        <v>33.091925625000009</v>
      </c>
      <c r="R20" s="13"/>
      <c r="S20" s="41">
        <f>ROUNDUP(S4*O20,0)</f>
        <v>0</v>
      </c>
      <c r="AE20" s="268" t="str">
        <f>B28</f>
        <v>Cuadrilla 1*1</v>
      </c>
      <c r="AF20" s="269"/>
      <c r="AG20" s="269"/>
      <c r="AH20" s="269" t="str">
        <f>AE20</f>
        <v>Cuadrilla 1*1</v>
      </c>
      <c r="AI20" s="269"/>
      <c r="AJ20" s="269"/>
      <c r="AK20" s="269"/>
      <c r="AL20" s="269" t="str">
        <f>AH20</f>
        <v>Cuadrilla 1*1</v>
      </c>
      <c r="AM20" s="269"/>
      <c r="AN20" s="269">
        <f>B30</f>
        <v>0</v>
      </c>
      <c r="AO20" s="269"/>
      <c r="AP20" s="269"/>
      <c r="AQ20" s="270"/>
      <c r="AR20" s="269"/>
      <c r="AS20" s="269"/>
      <c r="AT20" s="269"/>
      <c r="AU20" s="270"/>
      <c r="AV20" s="269"/>
      <c r="AW20" s="269"/>
      <c r="AX20" s="269"/>
      <c r="AY20" s="270"/>
      <c r="AZ20" s="269"/>
      <c r="BA20" s="269"/>
      <c r="BB20" s="269"/>
      <c r="BC20" s="270"/>
    </row>
    <row r="21" spans="1:55" x14ac:dyDescent="0.2">
      <c r="A21" s="12"/>
      <c r="B21" s="37"/>
      <c r="C21" s="1"/>
      <c r="D21" s="1"/>
      <c r="E21" s="2"/>
      <c r="F21" s="38" t="str">
        <f>T6</f>
        <v>T.3 Preparacion de mortero 1:3</v>
      </c>
      <c r="G21" s="38"/>
      <c r="H21" s="1"/>
      <c r="I21" s="38"/>
      <c r="J21" s="1"/>
      <c r="K21" s="1"/>
      <c r="L21" s="1"/>
      <c r="M21" s="1"/>
      <c r="N21" s="67"/>
      <c r="O21" s="19"/>
      <c r="P21" s="21"/>
      <c r="Q21" s="21"/>
      <c r="R21" s="13"/>
    </row>
    <row r="22" spans="1:55" x14ac:dyDescent="0.2">
      <c r="A22" s="12"/>
      <c r="B22" s="250"/>
      <c r="C22" s="10"/>
      <c r="D22" s="10"/>
      <c r="E22" s="15"/>
      <c r="F22" s="10" t="str">
        <f>T7</f>
        <v>T4. Limpieza de juntas</v>
      </c>
      <c r="G22" s="10"/>
      <c r="H22" s="10"/>
      <c r="I22" s="10"/>
      <c r="J22" s="10"/>
      <c r="K22" s="10"/>
      <c r="L22" s="10"/>
      <c r="M22" s="10"/>
      <c r="N22" s="251"/>
      <c r="O22" s="20"/>
      <c r="P22" s="22"/>
      <c r="Q22" s="21"/>
      <c r="R22" s="13"/>
    </row>
    <row r="23" spans="1:55" x14ac:dyDescent="0.2">
      <c r="A23" s="12"/>
      <c r="R23" s="13"/>
      <c r="S23" s="26" t="s">
        <v>21</v>
      </c>
    </row>
    <row r="24" spans="1:55" x14ac:dyDescent="0.2">
      <c r="A24" s="12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28" t="s">
        <v>7</v>
      </c>
      <c r="Q24" s="23">
        <f>SUM(Q20:Q22)</f>
        <v>33.091925625000009</v>
      </c>
      <c r="R24" s="13"/>
      <c r="S24" s="2">
        <f>Q24/$Q$45</f>
        <v>5.7697509756603823E-4</v>
      </c>
    </row>
    <row r="25" spans="1:55" x14ac:dyDescent="0.2">
      <c r="A25" s="12"/>
      <c r="B25" s="27" t="s">
        <v>11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13"/>
    </row>
    <row r="26" spans="1:55" x14ac:dyDescent="0.2">
      <c r="A26" s="12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13"/>
      <c r="Y26" s="355" t="s">
        <v>290</v>
      </c>
      <c r="Z26" s="355"/>
      <c r="AA26" s="355"/>
      <c r="AB26" s="355"/>
      <c r="AC26" s="355"/>
      <c r="AD26" s="355"/>
      <c r="AE26" s="355" t="s">
        <v>288</v>
      </c>
      <c r="AF26" s="355"/>
      <c r="AG26" s="355"/>
    </row>
    <row r="27" spans="1:55" ht="25.5" x14ac:dyDescent="0.2">
      <c r="A27" s="12"/>
      <c r="B27" s="5" t="s">
        <v>1</v>
      </c>
      <c r="C27" s="6"/>
      <c r="D27" s="6"/>
      <c r="E27" s="7"/>
      <c r="F27" s="5" t="s">
        <v>2</v>
      </c>
      <c r="G27" s="6"/>
      <c r="H27" s="6"/>
      <c r="I27" s="6"/>
      <c r="J27" s="6"/>
      <c r="K27" s="6"/>
      <c r="L27" s="6"/>
      <c r="M27" s="7"/>
      <c r="N27" s="8" t="s">
        <v>3</v>
      </c>
      <c r="O27" s="8" t="s">
        <v>10</v>
      </c>
      <c r="P27" s="4" t="s">
        <v>5</v>
      </c>
      <c r="Q27" s="4" t="s">
        <v>6</v>
      </c>
      <c r="R27" s="13"/>
      <c r="Y27" s="67" t="s">
        <v>294</v>
      </c>
      <c r="Z27" s="17">
        <v>7.0000000000000007E-2</v>
      </c>
      <c r="AA27" s="17"/>
      <c r="AB27" s="275"/>
      <c r="AC27" s="356"/>
      <c r="AD27" s="357"/>
      <c r="AE27" s="67" t="s">
        <v>289</v>
      </c>
      <c r="AF27" s="17">
        <f>1/((Z29+Z30)*(Z28+Z30))</f>
        <v>37.878787878787875</v>
      </c>
      <c r="AG27" s="17">
        <f>ROUND(AF27,0)</f>
        <v>38</v>
      </c>
    </row>
    <row r="28" spans="1:55" x14ac:dyDescent="0.2">
      <c r="A28" s="12"/>
      <c r="B28" s="64" t="s">
        <v>303</v>
      </c>
      <c r="C28" s="1"/>
      <c r="D28" s="1"/>
      <c r="E28" s="2"/>
      <c r="F28" s="38" t="str">
        <f>F20</f>
        <v>T1. Verificación de ejes, centros, alineamientos, plomos y cotas.</v>
      </c>
      <c r="G28" s="1"/>
      <c r="H28" s="1"/>
      <c r="I28" s="38"/>
      <c r="J28" s="1"/>
      <c r="K28" s="40"/>
      <c r="L28" s="1"/>
      <c r="M28" s="1"/>
      <c r="N28" s="67" t="s">
        <v>304</v>
      </c>
      <c r="O28" s="19">
        <v>0.66</v>
      </c>
      <c r="P28" s="21">
        <f>'Costos de cuadrilas'!E5</f>
        <v>20055.712500000001</v>
      </c>
      <c r="Q28" s="21">
        <f>P28*O28</f>
        <v>13236.770250000001</v>
      </c>
      <c r="R28" s="13"/>
      <c r="T28" s="32"/>
      <c r="Y28" s="67" t="s">
        <v>292</v>
      </c>
      <c r="Z28" s="17">
        <v>0.2</v>
      </c>
      <c r="AA28" s="276"/>
      <c r="AB28" s="275"/>
      <c r="AC28" s="358"/>
      <c r="AD28" s="359"/>
      <c r="AE28" s="68" t="s">
        <v>293</v>
      </c>
      <c r="AF28" s="17">
        <f>(1-Z32)*Z27</f>
        <v>1.6799999999999992E-2</v>
      </c>
      <c r="AG28" s="67" t="s">
        <v>29</v>
      </c>
    </row>
    <row r="29" spans="1:55" x14ac:dyDescent="0.2">
      <c r="A29" s="12"/>
      <c r="B29" s="64"/>
      <c r="C29" s="1"/>
      <c r="D29" s="1"/>
      <c r="E29" s="2"/>
      <c r="F29" s="38" t="str">
        <f>F21</f>
        <v>T.3 Preparacion de mortero 1:3</v>
      </c>
      <c r="G29" s="1"/>
      <c r="H29" s="1"/>
      <c r="I29" s="38"/>
      <c r="J29" s="1"/>
      <c r="K29" s="40"/>
      <c r="L29" s="1"/>
      <c r="M29" s="1"/>
      <c r="N29" s="67"/>
      <c r="O29" s="19"/>
      <c r="P29" s="21"/>
      <c r="Q29" s="21"/>
      <c r="R29" s="13"/>
      <c r="T29" s="35"/>
      <c r="U29" s="32"/>
      <c r="Y29" s="17" t="s">
        <v>166</v>
      </c>
      <c r="Z29" s="17">
        <v>0.1</v>
      </c>
      <c r="AA29" s="276"/>
      <c r="AB29" s="275"/>
      <c r="AC29" s="358"/>
      <c r="AD29" s="359"/>
      <c r="AE29" s="67"/>
      <c r="AF29" s="67"/>
      <c r="AG29" s="17"/>
    </row>
    <row r="30" spans="1:55" x14ac:dyDescent="0.2">
      <c r="A30" s="12"/>
      <c r="B30" s="14"/>
      <c r="C30" s="1"/>
      <c r="D30" s="1"/>
      <c r="E30" s="2"/>
      <c r="F30" s="1" t="str">
        <f>F22</f>
        <v>T4. Limpieza de juntas</v>
      </c>
      <c r="G30" s="1"/>
      <c r="H30" s="1"/>
      <c r="I30" s="1"/>
      <c r="J30" s="1"/>
      <c r="K30" s="1"/>
      <c r="L30" s="1"/>
      <c r="M30" s="1"/>
      <c r="N30" s="67"/>
      <c r="O30" s="19"/>
      <c r="P30" s="21"/>
      <c r="Q30" s="21"/>
      <c r="R30" s="13"/>
      <c r="Y30" s="67" t="s">
        <v>291</v>
      </c>
      <c r="Z30" s="17">
        <v>0.02</v>
      </c>
      <c r="AA30" s="276"/>
      <c r="AB30" s="275"/>
      <c r="AC30" s="358"/>
      <c r="AD30" s="359"/>
      <c r="AE30" s="67"/>
      <c r="AF30" s="297"/>
      <c r="AG30" s="17"/>
    </row>
    <row r="31" spans="1:55" x14ac:dyDescent="0.2">
      <c r="A31" s="12"/>
      <c r="B31" s="64"/>
      <c r="C31" s="10"/>
      <c r="D31" s="10"/>
      <c r="E31" s="15"/>
      <c r="F31" s="10"/>
      <c r="G31" s="10"/>
      <c r="H31" s="10"/>
      <c r="I31" s="10"/>
      <c r="J31" s="10"/>
      <c r="K31" s="10"/>
      <c r="L31" s="10"/>
      <c r="M31" s="1"/>
      <c r="N31" s="67"/>
      <c r="O31" s="20"/>
      <c r="P31" s="22"/>
      <c r="Q31" s="21"/>
      <c r="R31" s="13"/>
      <c r="Y31" s="67" t="s">
        <v>62</v>
      </c>
      <c r="Z31" s="279">
        <v>0.1</v>
      </c>
      <c r="AA31" s="276"/>
      <c r="AB31" s="275"/>
      <c r="AC31" s="358"/>
      <c r="AD31" s="359"/>
      <c r="AE31" s="67"/>
      <c r="AF31" s="297"/>
      <c r="AG31" s="17"/>
    </row>
    <row r="32" spans="1:55" x14ac:dyDescent="0.2">
      <c r="B32" s="64"/>
      <c r="C32" s="1"/>
      <c r="D32" s="1"/>
      <c r="E32" s="2"/>
      <c r="F32" s="1"/>
      <c r="G32" s="1"/>
      <c r="H32" s="1"/>
      <c r="I32" s="1"/>
      <c r="J32" s="1"/>
      <c r="K32" s="1"/>
      <c r="L32" s="1"/>
      <c r="M32" s="1"/>
      <c r="N32" s="67"/>
      <c r="O32" s="19"/>
      <c r="P32" s="21"/>
      <c r="Q32" s="21"/>
      <c r="R32" s="13"/>
      <c r="Y32" s="67" t="s">
        <v>295</v>
      </c>
      <c r="Z32" s="17">
        <f>Z28*Z29*AG27</f>
        <v>0.76000000000000012</v>
      </c>
      <c r="AA32" s="276"/>
      <c r="AB32" s="275"/>
      <c r="AC32" s="358"/>
      <c r="AD32" s="359"/>
      <c r="AE32" s="67"/>
      <c r="AF32" s="17"/>
      <c r="AG32" s="17"/>
    </row>
    <row r="33" spans="1:36" x14ac:dyDescent="0.2">
      <c r="B33" s="64"/>
      <c r="C33" s="10"/>
      <c r="D33" s="10"/>
      <c r="E33" s="15"/>
      <c r="F33" s="10"/>
      <c r="G33" s="10"/>
      <c r="H33" s="10"/>
      <c r="I33" s="10"/>
      <c r="J33" s="10"/>
      <c r="K33" s="10"/>
      <c r="L33" s="10"/>
      <c r="M33" s="1"/>
      <c r="N33" s="67"/>
      <c r="O33" s="20"/>
      <c r="P33" s="22"/>
      <c r="Q33" s="21"/>
      <c r="R33" s="13"/>
      <c r="Y33" s="67" t="s">
        <v>300</v>
      </c>
      <c r="Z33" s="315" t="s">
        <v>301</v>
      </c>
      <c r="AA33" s="276" t="s">
        <v>302</v>
      </c>
      <c r="AB33" s="316">
        <v>24.44</v>
      </c>
      <c r="AC33" s="358"/>
      <c r="AD33" s="359"/>
      <c r="AE33" s="280"/>
      <c r="AF33" s="17"/>
      <c r="AG33" s="17"/>
    </row>
    <row r="34" spans="1:36" x14ac:dyDescent="0.2">
      <c r="A34" s="12"/>
      <c r="B34" s="250"/>
      <c r="C34" s="10"/>
      <c r="D34" s="10"/>
      <c r="E34" s="15"/>
      <c r="F34" s="10"/>
      <c r="G34" s="10"/>
      <c r="H34" s="10"/>
      <c r="I34" s="10"/>
      <c r="J34" s="10"/>
      <c r="K34" s="10"/>
      <c r="L34" s="10"/>
      <c r="M34" s="1"/>
      <c r="N34" s="67"/>
      <c r="O34" s="20"/>
      <c r="P34" s="22"/>
      <c r="Q34" s="21"/>
      <c r="R34" s="13"/>
      <c r="S34" s="26" t="s">
        <v>21</v>
      </c>
      <c r="Y34" s="17"/>
      <c r="Z34" s="17"/>
      <c r="AA34" s="276" t="s">
        <v>306</v>
      </c>
      <c r="AB34" s="316">
        <f>8/AB33</f>
        <v>0.32733224222585922</v>
      </c>
      <c r="AC34" s="358"/>
      <c r="AD34" s="359"/>
      <c r="AE34" s="277"/>
      <c r="AF34" s="17"/>
      <c r="AG34" s="17"/>
      <c r="AH34" s="32"/>
      <c r="AI34" s="32"/>
      <c r="AJ34" s="32"/>
    </row>
    <row r="35" spans="1:36" x14ac:dyDescent="0.2">
      <c r="A35" s="12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28" t="s">
        <v>7</v>
      </c>
      <c r="Q35" s="23">
        <f>SUM(Q28:Q34)</f>
        <v>13236.770250000001</v>
      </c>
      <c r="R35" s="13"/>
      <c r="S35" s="2">
        <f>Q35/$Q$45</f>
        <v>0.23079003902641526</v>
      </c>
      <c r="Y35" s="17"/>
      <c r="Z35" s="17" t="s">
        <v>305</v>
      </c>
      <c r="AA35" s="276" t="s">
        <v>307</v>
      </c>
      <c r="AB35" s="316">
        <f>AB34*2</f>
        <v>0.65466448445171843</v>
      </c>
      <c r="AC35" s="358"/>
      <c r="AD35" s="359"/>
      <c r="AE35" s="32"/>
      <c r="AH35" s="32"/>
      <c r="AI35" s="33"/>
    </row>
    <row r="36" spans="1:36" x14ac:dyDescent="0.2">
      <c r="A36" s="12"/>
      <c r="B36" s="27" t="s">
        <v>12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13"/>
      <c r="Y36" s="17"/>
      <c r="Z36" s="17"/>
      <c r="AA36" s="17"/>
      <c r="AB36" s="278"/>
      <c r="AC36" s="360"/>
      <c r="AD36" s="361"/>
      <c r="AE36" s="32"/>
      <c r="AH36" s="32"/>
    </row>
    <row r="37" spans="1:36" x14ac:dyDescent="0.2">
      <c r="A37" s="12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13"/>
      <c r="Y37" s="17"/>
      <c r="Z37" s="17"/>
      <c r="AA37" s="279"/>
      <c r="AB37" s="275"/>
      <c r="AC37" s="275">
        <f>AB37*7</f>
        <v>0</v>
      </c>
      <c r="AD37" s="275">
        <f>AC37/30</f>
        <v>0</v>
      </c>
      <c r="AE37" s="32"/>
    </row>
    <row r="38" spans="1:36" ht="25.5" x14ac:dyDescent="0.2">
      <c r="A38" s="12"/>
      <c r="B38" s="5" t="s">
        <v>1</v>
      </c>
      <c r="C38" s="6"/>
      <c r="D38" s="6"/>
      <c r="E38" s="7"/>
      <c r="F38" s="5" t="s">
        <v>2</v>
      </c>
      <c r="G38" s="6"/>
      <c r="H38" s="6"/>
      <c r="I38" s="6"/>
      <c r="J38" s="6"/>
      <c r="K38" s="6"/>
      <c r="L38" s="6"/>
      <c r="M38" s="7"/>
      <c r="N38" s="8" t="s">
        <v>3</v>
      </c>
      <c r="O38" s="8" t="s">
        <v>13</v>
      </c>
      <c r="P38" s="4" t="s">
        <v>14</v>
      </c>
      <c r="Q38" s="4" t="s">
        <v>6</v>
      </c>
      <c r="R38" s="13"/>
      <c r="AD38" s="34"/>
      <c r="AE38" s="32"/>
      <c r="AF38" s="33"/>
      <c r="AG38" s="32"/>
    </row>
    <row r="39" spans="1:36" x14ac:dyDescent="0.2">
      <c r="A39" s="12"/>
      <c r="B39" s="16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7"/>
      <c r="O39" s="19"/>
      <c r="P39" s="21"/>
      <c r="Q39" s="21">
        <f>O39*P39</f>
        <v>0</v>
      </c>
      <c r="R39" s="13"/>
      <c r="AD39" s="32"/>
      <c r="AE39" s="32"/>
      <c r="AF39" s="33"/>
      <c r="AG39" s="32"/>
    </row>
    <row r="40" spans="1:36" x14ac:dyDescent="0.2">
      <c r="A40" s="12"/>
      <c r="B40" s="16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7"/>
      <c r="O40" s="19"/>
      <c r="P40" s="21"/>
      <c r="Q40" s="21">
        <f>O40*P40</f>
        <v>0</v>
      </c>
      <c r="R40" s="13"/>
    </row>
    <row r="41" spans="1:36" x14ac:dyDescent="0.2">
      <c r="A41" s="12"/>
      <c r="B41" s="16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7"/>
      <c r="O41" s="19"/>
      <c r="P41" s="21"/>
      <c r="Q41" s="21">
        <f>O41*P41</f>
        <v>0</v>
      </c>
      <c r="R41" s="13"/>
      <c r="AD41" s="32"/>
    </row>
    <row r="42" spans="1:36" x14ac:dyDescent="0.2">
      <c r="A42" s="12"/>
      <c r="B42" s="14"/>
      <c r="C42" s="10"/>
      <c r="D42" s="10"/>
      <c r="E42" s="15"/>
      <c r="F42" s="10"/>
      <c r="G42" s="10"/>
      <c r="H42" s="10"/>
      <c r="I42" s="10"/>
      <c r="J42" s="10"/>
      <c r="K42" s="10"/>
      <c r="L42" s="10"/>
      <c r="M42" s="10"/>
      <c r="N42" s="18"/>
      <c r="O42" s="20"/>
      <c r="P42" s="22"/>
      <c r="Q42" s="21">
        <f>O42*P42</f>
        <v>0</v>
      </c>
      <c r="R42" s="13"/>
      <c r="S42" s="26" t="s">
        <v>21</v>
      </c>
      <c r="AG42" s="32"/>
    </row>
    <row r="43" spans="1:36" x14ac:dyDescent="0.2">
      <c r="A43" s="12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28" t="s">
        <v>7</v>
      </c>
      <c r="Q43" s="23">
        <f>SUM(Q39:Q42)</f>
        <v>0</v>
      </c>
      <c r="R43" s="13"/>
      <c r="S43" s="2">
        <f>Q43/$Q$45</f>
        <v>0</v>
      </c>
      <c r="AC43" s="32"/>
    </row>
    <row r="44" spans="1:36" x14ac:dyDescent="0.2">
      <c r="A44" s="12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13"/>
    </row>
    <row r="45" spans="1:36" x14ac:dyDescent="0.2">
      <c r="A45" s="12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29" t="s">
        <v>15</v>
      </c>
      <c r="Q45" s="25">
        <f>Q14+Q24+Q43+Q35</f>
        <v>57354.166175625003</v>
      </c>
      <c r="R45" s="13"/>
      <c r="AC45" s="32"/>
    </row>
    <row r="46" spans="1:36" x14ac:dyDescent="0.2">
      <c r="A46" s="12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13"/>
    </row>
    <row r="47" spans="1:36" x14ac:dyDescent="0.2">
      <c r="A47" s="12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29" t="s">
        <v>16</v>
      </c>
      <c r="P47" s="24">
        <v>0.31</v>
      </c>
      <c r="Q47" s="30">
        <f>Q45*P47</f>
        <v>17779.79151444375</v>
      </c>
      <c r="R47" s="13"/>
      <c r="AB47" s="32"/>
      <c r="AG47" s="32"/>
    </row>
    <row r="48" spans="1:36" x14ac:dyDescent="0.2">
      <c r="A48" s="12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13"/>
      <c r="AB48" s="32"/>
      <c r="AE48" s="32"/>
      <c r="AG48" s="32"/>
      <c r="AH48" s="32"/>
    </row>
    <row r="49" spans="1:34" x14ac:dyDescent="0.2">
      <c r="A49" s="12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29" t="s">
        <v>17</v>
      </c>
      <c r="Q49" s="25">
        <f>Q45+Q47</f>
        <v>75133.957690068753</v>
      </c>
      <c r="R49" s="13"/>
      <c r="S49" s="42">
        <f>Q49*54</f>
        <v>4057233.7152637127</v>
      </c>
      <c r="T49" s="42">
        <f>'4.2 Viga longitudinal'!T49+S49</f>
        <v>64854877.797134832</v>
      </c>
    </row>
    <row r="50" spans="1:34" x14ac:dyDescent="0.2">
      <c r="A50" s="14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5"/>
      <c r="S50" s="42"/>
      <c r="AE50" s="32"/>
      <c r="AH50" s="32"/>
    </row>
    <row r="51" spans="1:34" x14ac:dyDescent="0.2">
      <c r="AE51" s="32"/>
      <c r="AH51" s="32"/>
    </row>
    <row r="52" spans="1:34" x14ac:dyDescent="0.2">
      <c r="AE52" s="32"/>
      <c r="AH52" s="32"/>
    </row>
  </sheetData>
  <mergeCells count="24">
    <mergeCell ref="B2:Q2"/>
    <mergeCell ref="C3:P3"/>
    <mergeCell ref="C4:P4"/>
    <mergeCell ref="AE5:AG5"/>
    <mergeCell ref="AH5:AK5"/>
    <mergeCell ref="AV5:AY5"/>
    <mergeCell ref="AZ5:BC5"/>
    <mergeCell ref="B13:E13"/>
    <mergeCell ref="B14:E14"/>
    <mergeCell ref="AN14:AP14"/>
    <mergeCell ref="AR14:AT14"/>
    <mergeCell ref="AV14:AX14"/>
    <mergeCell ref="AZ14:BB14"/>
    <mergeCell ref="AL5:AM5"/>
    <mergeCell ref="Y16:AB16"/>
    <mergeCell ref="Y26:AD26"/>
    <mergeCell ref="AE26:AG26"/>
    <mergeCell ref="AN5:AQ5"/>
    <mergeCell ref="AR5:AU5"/>
    <mergeCell ref="AC27:AD36"/>
    <mergeCell ref="AN15:AQ15"/>
    <mergeCell ref="AR15:AU15"/>
    <mergeCell ref="AV15:AY15"/>
    <mergeCell ref="AZ15:BC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30"/>
  <sheetViews>
    <sheetView topLeftCell="K1" zoomScale="66" zoomScaleNormal="66" workbookViewId="0">
      <selection activeCell="AA31" sqref="AA31"/>
    </sheetView>
  </sheetViews>
  <sheetFormatPr baseColWidth="10" defaultRowHeight="12.75" x14ac:dyDescent="0.2"/>
  <cols>
    <col min="1" max="1" width="40.5703125" bestFit="1" customWidth="1"/>
    <col min="2" max="2" width="14.42578125" bestFit="1" customWidth="1"/>
    <col min="3" max="3" width="5.7109375" bestFit="1" customWidth="1"/>
    <col min="4" max="4" width="17.28515625" bestFit="1" customWidth="1"/>
    <col min="5" max="5" width="19.42578125" bestFit="1" customWidth="1"/>
    <col min="6" max="6" width="15.7109375" bestFit="1" customWidth="1"/>
    <col min="7" max="7" width="28.28515625" bestFit="1" customWidth="1"/>
    <col min="8" max="8" width="18.7109375" bestFit="1" customWidth="1"/>
    <col min="12" max="12" width="25.7109375" bestFit="1" customWidth="1"/>
    <col min="13" max="13" width="31.28515625" bestFit="1" customWidth="1"/>
    <col min="14" max="14" width="14.85546875" bestFit="1" customWidth="1"/>
    <col min="15" max="15" width="11.5703125" bestFit="1" customWidth="1"/>
    <col min="17" max="17" width="24.42578125" bestFit="1" customWidth="1"/>
    <col min="19" max="19" width="15.140625" bestFit="1" customWidth="1"/>
    <col min="20" max="20" width="14.7109375" bestFit="1" customWidth="1"/>
    <col min="21" max="21" width="21.5703125" bestFit="1" customWidth="1"/>
    <col min="22" max="22" width="16.140625" bestFit="1" customWidth="1"/>
    <col min="25" max="25" width="24.42578125" bestFit="1" customWidth="1"/>
    <col min="26" max="26" width="18.7109375" bestFit="1" customWidth="1"/>
    <col min="27" max="27" width="6.85546875" bestFit="1" customWidth="1"/>
  </cols>
  <sheetData>
    <row r="2" spans="1:27" ht="15.75" thickBot="1" x14ac:dyDescent="0.25">
      <c r="A2" s="368" t="s">
        <v>32</v>
      </c>
      <c r="B2" s="368"/>
      <c r="C2" s="368"/>
      <c r="D2" s="368"/>
      <c r="E2" s="368"/>
      <c r="F2" s="368"/>
      <c r="G2" s="368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</row>
    <row r="3" spans="1:27" ht="15" x14ac:dyDescent="0.2">
      <c r="A3" s="300" t="s">
        <v>33</v>
      </c>
      <c r="B3" s="53">
        <v>2.0649999999999999</v>
      </c>
      <c r="C3" s="54">
        <v>80.8</v>
      </c>
      <c r="D3" s="54"/>
      <c r="E3" s="54">
        <f>B3*C3</f>
        <v>166.852</v>
      </c>
      <c r="F3" s="54">
        <v>1</v>
      </c>
      <c r="G3" s="55">
        <f t="shared" ref="G3:G10" si="0">E3*F3</f>
        <v>166.852</v>
      </c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</row>
    <row r="4" spans="1:27" ht="15" x14ac:dyDescent="0.2">
      <c r="A4" s="301" t="s">
        <v>34</v>
      </c>
      <c r="B4" s="56">
        <v>0.8</v>
      </c>
      <c r="C4" s="56">
        <v>0.8</v>
      </c>
      <c r="D4" s="56">
        <v>0.4</v>
      </c>
      <c r="E4" s="56">
        <f t="shared" ref="E4:E10" si="1">B4*D4*C4</f>
        <v>0.25600000000000006</v>
      </c>
      <c r="F4" s="56">
        <v>18</v>
      </c>
      <c r="G4" s="57">
        <f t="shared" si="0"/>
        <v>4.6080000000000014</v>
      </c>
      <c r="H4" s="243" t="s">
        <v>227</v>
      </c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</row>
    <row r="5" spans="1:27" ht="15" x14ac:dyDescent="0.2">
      <c r="A5" s="301" t="s">
        <v>35</v>
      </c>
      <c r="B5" s="56">
        <v>0.8</v>
      </c>
      <c r="C5" s="56">
        <v>0.6</v>
      </c>
      <c r="D5" s="56">
        <v>0.4</v>
      </c>
      <c r="E5" s="56">
        <f t="shared" si="1"/>
        <v>0.19200000000000003</v>
      </c>
      <c r="F5" s="56">
        <v>18</v>
      </c>
      <c r="G5" s="57">
        <f t="shared" si="0"/>
        <v>3.4560000000000004</v>
      </c>
      <c r="H5" s="305">
        <f>G5/2</f>
        <v>1.7280000000000002</v>
      </c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 t="s">
        <v>72</v>
      </c>
      <c r="T5" s="243">
        <v>200</v>
      </c>
      <c r="U5" s="243"/>
      <c r="V5" s="243"/>
      <c r="W5" s="243"/>
      <c r="X5" s="243"/>
      <c r="Y5" s="243"/>
      <c r="Z5" s="243"/>
      <c r="AA5" s="243"/>
    </row>
    <row r="6" spans="1:27" ht="15" x14ac:dyDescent="0.2">
      <c r="A6" s="301" t="s">
        <v>36</v>
      </c>
      <c r="B6" s="56">
        <v>0.25</v>
      </c>
      <c r="C6" s="56">
        <v>0.3</v>
      </c>
      <c r="D6" s="56">
        <v>1.4</v>
      </c>
      <c r="E6" s="56">
        <f t="shared" si="1"/>
        <v>0.105</v>
      </c>
      <c r="F6" s="56">
        <v>18</v>
      </c>
      <c r="G6" s="57">
        <f t="shared" si="0"/>
        <v>1.89</v>
      </c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 t="s">
        <v>73</v>
      </c>
      <c r="T6" s="243">
        <f>I19*J19</f>
        <v>0.48</v>
      </c>
      <c r="U6" s="243">
        <f>T6*T5</f>
        <v>96</v>
      </c>
      <c r="V6" s="305">
        <f>U6/E5</f>
        <v>499.99999999999994</v>
      </c>
      <c r="W6" s="243"/>
      <c r="X6" s="243"/>
      <c r="Y6" s="243"/>
      <c r="Z6" s="243"/>
      <c r="AA6" s="243"/>
    </row>
    <row r="7" spans="1:27" ht="15" x14ac:dyDescent="0.2">
      <c r="A7" s="301" t="s">
        <v>37</v>
      </c>
      <c r="B7" s="56">
        <v>0.25</v>
      </c>
      <c r="C7" s="56">
        <v>0.3</v>
      </c>
      <c r="D7" s="56">
        <v>30</v>
      </c>
      <c r="E7" s="56">
        <f t="shared" si="1"/>
        <v>2.25</v>
      </c>
      <c r="F7" s="56">
        <v>4</v>
      </c>
      <c r="G7" s="57">
        <f t="shared" si="0"/>
        <v>9</v>
      </c>
      <c r="H7" s="305">
        <f>G4+G5+G8+G9+G6+G7</f>
        <v>25.628400000000003</v>
      </c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>
        <f>I23*J23</f>
        <v>0.09</v>
      </c>
      <c r="U7" s="243">
        <f>T7*T5</f>
        <v>18</v>
      </c>
      <c r="V7" s="305">
        <f>U7/E4</f>
        <v>70.312499999999986</v>
      </c>
      <c r="W7" s="243"/>
      <c r="X7" s="243"/>
      <c r="Y7" s="243"/>
      <c r="Z7" s="243"/>
      <c r="AA7" s="243"/>
    </row>
    <row r="8" spans="1:27" ht="15" x14ac:dyDescent="0.2">
      <c r="A8" s="301" t="s">
        <v>38</v>
      </c>
      <c r="B8" s="56">
        <v>0.3</v>
      </c>
      <c r="C8" s="56">
        <v>0.3</v>
      </c>
      <c r="D8" s="56">
        <v>1.5</v>
      </c>
      <c r="E8" s="56">
        <f t="shared" si="1"/>
        <v>0.13499999999999998</v>
      </c>
      <c r="F8" s="56">
        <v>18</v>
      </c>
      <c r="G8" s="57">
        <f t="shared" si="0"/>
        <v>2.4299999999999997</v>
      </c>
      <c r="H8" s="305">
        <f>H7/2</f>
        <v>12.814200000000001</v>
      </c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>
        <f>B6*C6</f>
        <v>7.4999999999999997E-2</v>
      </c>
      <c r="U8" s="243">
        <f>T8*T5</f>
        <v>15</v>
      </c>
      <c r="V8" s="305">
        <f>U8/E6</f>
        <v>142.85714285714286</v>
      </c>
      <c r="W8" s="243"/>
      <c r="X8" s="243"/>
      <c r="Y8" s="243"/>
      <c r="Z8" s="243"/>
      <c r="AA8" s="243"/>
    </row>
    <row r="9" spans="1:27" ht="15" x14ac:dyDescent="0.2">
      <c r="A9" s="301" t="s">
        <v>39</v>
      </c>
      <c r="B9" s="56">
        <v>0.3</v>
      </c>
      <c r="C9" s="56">
        <v>0.3</v>
      </c>
      <c r="D9" s="56">
        <v>2.62</v>
      </c>
      <c r="E9" s="56">
        <f t="shared" si="1"/>
        <v>0.23580000000000001</v>
      </c>
      <c r="F9" s="56">
        <v>18</v>
      </c>
      <c r="G9" s="57">
        <f t="shared" si="0"/>
        <v>4.2444000000000006</v>
      </c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305"/>
      <c r="W9" s="243"/>
      <c r="X9" s="243"/>
      <c r="Y9" s="243"/>
      <c r="Z9" s="243"/>
      <c r="AA9" s="243"/>
    </row>
    <row r="10" spans="1:27" ht="15" x14ac:dyDescent="0.2">
      <c r="A10" s="301" t="s">
        <v>40</v>
      </c>
      <c r="B10" s="56">
        <v>0.9</v>
      </c>
      <c r="C10" s="56">
        <v>0.12</v>
      </c>
      <c r="D10" s="56">
        <v>30</v>
      </c>
      <c r="E10" s="56">
        <f t="shared" si="1"/>
        <v>3.2399999999999998</v>
      </c>
      <c r="F10" s="56">
        <v>4</v>
      </c>
      <c r="G10" s="57">
        <f t="shared" si="0"/>
        <v>12.959999999999999</v>
      </c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</row>
    <row r="11" spans="1:27" ht="15" x14ac:dyDescent="0.2">
      <c r="A11" s="302" t="s">
        <v>41</v>
      </c>
      <c r="B11" s="369"/>
      <c r="C11" s="370"/>
      <c r="D11" s="370"/>
      <c r="E11" s="370"/>
      <c r="F11" s="371"/>
      <c r="G11" s="299">
        <f>SUM(G3:G10)</f>
        <v>205.44040000000001</v>
      </c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</row>
    <row r="12" spans="1:27" ht="15" x14ac:dyDescent="0.2">
      <c r="A12" s="58"/>
      <c r="B12" s="56"/>
      <c r="C12" s="56"/>
      <c r="D12" s="56"/>
      <c r="E12" s="56"/>
      <c r="F12" s="56"/>
      <c r="G12" s="56"/>
      <c r="H12" s="56"/>
      <c r="I12" s="58" t="s">
        <v>42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243"/>
    </row>
    <row r="13" spans="1:27" ht="15" x14ac:dyDescent="0.2">
      <c r="A13" s="58" t="s">
        <v>43</v>
      </c>
      <c r="B13" s="58" t="s">
        <v>44</v>
      </c>
      <c r="C13" s="58"/>
      <c r="D13" s="58" t="s">
        <v>45</v>
      </c>
      <c r="E13" s="58" t="s">
        <v>46</v>
      </c>
      <c r="F13" s="58" t="s">
        <v>47</v>
      </c>
      <c r="G13" s="58" t="s">
        <v>48</v>
      </c>
      <c r="H13" s="58" t="s">
        <v>49</v>
      </c>
      <c r="I13" s="58" t="s">
        <v>50</v>
      </c>
      <c r="J13" s="58" t="s">
        <v>51</v>
      </c>
      <c r="K13" s="58" t="s">
        <v>52</v>
      </c>
      <c r="L13" s="58" t="s">
        <v>229</v>
      </c>
      <c r="M13" s="58" t="s">
        <v>230</v>
      </c>
      <c r="N13" s="58" t="s">
        <v>53</v>
      </c>
      <c r="O13" s="58" t="s">
        <v>54</v>
      </c>
      <c r="P13" s="58" t="s">
        <v>55</v>
      </c>
      <c r="Q13" s="58" t="s">
        <v>56</v>
      </c>
      <c r="R13" s="245" t="s">
        <v>31</v>
      </c>
      <c r="S13" s="245" t="s">
        <v>61</v>
      </c>
      <c r="T13" s="245" t="s">
        <v>63</v>
      </c>
      <c r="U13" s="245" t="s">
        <v>64</v>
      </c>
      <c r="V13" s="245" t="s">
        <v>62</v>
      </c>
      <c r="W13" s="245" t="s">
        <v>185</v>
      </c>
      <c r="X13" s="245" t="s">
        <v>237</v>
      </c>
      <c r="Y13" s="245" t="s">
        <v>238</v>
      </c>
      <c r="Z13" s="245" t="s">
        <v>239</v>
      </c>
      <c r="AA13" s="243"/>
    </row>
    <row r="14" spans="1:27" x14ac:dyDescent="0.2">
      <c r="A14" s="56"/>
      <c r="B14" s="56" t="s">
        <v>57</v>
      </c>
      <c r="C14" s="56" t="s">
        <v>58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243"/>
    </row>
    <row r="15" spans="1:27" ht="15" x14ac:dyDescent="0.2">
      <c r="A15" s="58" t="s">
        <v>228</v>
      </c>
      <c r="B15" s="56">
        <v>0.27</v>
      </c>
      <c r="C15" s="56">
        <v>0.27</v>
      </c>
      <c r="D15" s="56"/>
      <c r="E15" s="56">
        <v>7.4999999999999997E-2</v>
      </c>
      <c r="F15" s="56">
        <v>0</v>
      </c>
      <c r="G15" s="56">
        <v>1.55</v>
      </c>
      <c r="H15" s="56">
        <f>G15+B15+C15</f>
        <v>2.09</v>
      </c>
      <c r="I15" s="56">
        <v>0.25</v>
      </c>
      <c r="J15" s="56">
        <v>0.3</v>
      </c>
      <c r="K15" s="56">
        <v>5</v>
      </c>
      <c r="L15" s="56">
        <v>6</v>
      </c>
      <c r="M15" s="56">
        <v>18</v>
      </c>
      <c r="N15" s="56">
        <f>L15*M15</f>
        <v>108</v>
      </c>
      <c r="O15" s="56">
        <v>12</v>
      </c>
      <c r="P15" s="56">
        <f t="shared" ref="P15:P25" si="2">H15*N15</f>
        <v>225.71999999999997</v>
      </c>
      <c r="Q15" s="56">
        <f>ROUND(P15/O15,0)</f>
        <v>19</v>
      </c>
      <c r="R15" s="56">
        <v>18.600000000000001</v>
      </c>
      <c r="S15" s="56">
        <f>R15*Q15</f>
        <v>353.40000000000003</v>
      </c>
      <c r="T15" s="56">
        <f>H15*5</f>
        <v>10.45</v>
      </c>
      <c r="U15" s="56">
        <f>12-T15</f>
        <v>1.5500000000000007</v>
      </c>
      <c r="V15" s="303">
        <f>(U15/T15)</f>
        <v>0.14832535885167472</v>
      </c>
      <c r="W15" s="56">
        <f>L15</f>
        <v>6</v>
      </c>
      <c r="X15" s="56">
        <f>W15*H15</f>
        <v>12.54</v>
      </c>
      <c r="Y15" s="56">
        <f>ROUND(X15/O15,0)</f>
        <v>1</v>
      </c>
      <c r="Z15" s="56">
        <f>R15*Y15</f>
        <v>18.600000000000001</v>
      </c>
      <c r="AA15" s="243"/>
    </row>
    <row r="16" spans="1:27" ht="15" x14ac:dyDescent="0.2">
      <c r="A16" s="58" t="s">
        <v>228</v>
      </c>
      <c r="B16" s="56">
        <v>0.1</v>
      </c>
      <c r="C16" s="56">
        <v>0.1</v>
      </c>
      <c r="D16" s="56"/>
      <c r="E16" s="56">
        <v>7.4999999999999997E-2</v>
      </c>
      <c r="F16" s="56">
        <v>0.15</v>
      </c>
      <c r="G16" s="56">
        <v>0.5</v>
      </c>
      <c r="H16" s="56">
        <f>G16+B16+C16</f>
        <v>0.7</v>
      </c>
      <c r="I16" s="56">
        <v>0.25</v>
      </c>
      <c r="J16" s="56">
        <v>0.3</v>
      </c>
      <c r="K16" s="56">
        <v>3</v>
      </c>
      <c r="L16" s="56">
        <v>10</v>
      </c>
      <c r="M16" s="56">
        <v>18</v>
      </c>
      <c r="N16" s="56">
        <f>L16*M16</f>
        <v>180</v>
      </c>
      <c r="O16" s="56">
        <v>6</v>
      </c>
      <c r="P16" s="56">
        <f t="shared" si="2"/>
        <v>125.99999999999999</v>
      </c>
      <c r="Q16" s="56">
        <f>ROUND(P16/O16,0)</f>
        <v>21</v>
      </c>
      <c r="R16" s="56">
        <f>0.55*6</f>
        <v>3.3000000000000003</v>
      </c>
      <c r="S16" s="56">
        <f>R16*Q16</f>
        <v>69.300000000000011</v>
      </c>
      <c r="T16" s="56">
        <f>H16*8</f>
        <v>5.6</v>
      </c>
      <c r="U16" s="56">
        <f>O16-T16</f>
        <v>0.40000000000000036</v>
      </c>
      <c r="V16" s="303">
        <f>(U16/T16)</f>
        <v>7.1428571428571494E-2</v>
      </c>
      <c r="W16" s="56">
        <f>L16</f>
        <v>10</v>
      </c>
      <c r="X16" s="56">
        <f>W16*H16</f>
        <v>7</v>
      </c>
      <c r="Y16" s="56">
        <f>ROUND(X16/O16,0)</f>
        <v>1</v>
      </c>
      <c r="Z16" s="56">
        <f>R16*Y16</f>
        <v>3.3000000000000003</v>
      </c>
      <c r="AA16" s="243"/>
    </row>
    <row r="17" spans="1:27" ht="15" x14ac:dyDescent="0.2">
      <c r="A17" s="58" t="s">
        <v>59</v>
      </c>
      <c r="B17" s="56">
        <v>0.27</v>
      </c>
      <c r="C17" s="56">
        <v>0.27</v>
      </c>
      <c r="D17" s="56">
        <v>0.9</v>
      </c>
      <c r="E17" s="56">
        <v>7.4999999999999997E-2</v>
      </c>
      <c r="F17" s="56">
        <v>0</v>
      </c>
      <c r="G17" s="56">
        <v>29.7</v>
      </c>
      <c r="H17" s="56">
        <f>G17+B17+C17+(D17*2)</f>
        <v>32.04</v>
      </c>
      <c r="I17" s="56">
        <v>0.25</v>
      </c>
      <c r="J17" s="56">
        <v>0.3</v>
      </c>
      <c r="K17" s="56">
        <v>5</v>
      </c>
      <c r="L17" s="56">
        <v>6</v>
      </c>
      <c r="M17" s="56">
        <v>4</v>
      </c>
      <c r="N17" s="56">
        <f>L17*M17</f>
        <v>24</v>
      </c>
      <c r="O17" s="56">
        <v>12</v>
      </c>
      <c r="P17" s="56">
        <f t="shared" si="2"/>
        <v>768.96</v>
      </c>
      <c r="Q17" s="56">
        <f>ROUND(P17/O17,0)</f>
        <v>64</v>
      </c>
      <c r="R17" s="60">
        <f>1.55*O17</f>
        <v>18.600000000000001</v>
      </c>
      <c r="S17" s="56">
        <f>R17*Q17</f>
        <v>1190.4000000000001</v>
      </c>
      <c r="T17" s="60">
        <v>32.04</v>
      </c>
      <c r="U17" s="56">
        <f>(O17*3)-T17</f>
        <v>3.9600000000000009</v>
      </c>
      <c r="V17" s="303">
        <f>(U17/T17)</f>
        <v>0.12359550561797755</v>
      </c>
      <c r="W17" s="56">
        <f>L17</f>
        <v>6</v>
      </c>
      <c r="X17" s="56">
        <f>W17*H17</f>
        <v>192.24</v>
      </c>
      <c r="Y17" s="56">
        <f>ROUND(X17/O17,0)</f>
        <v>16</v>
      </c>
      <c r="Z17" s="56">
        <f>R17*Y17</f>
        <v>297.60000000000002</v>
      </c>
      <c r="AA17" s="306"/>
    </row>
    <row r="18" spans="1:27" ht="15" x14ac:dyDescent="0.2">
      <c r="A18" s="58" t="s">
        <v>59</v>
      </c>
      <c r="B18" s="56">
        <v>0.1</v>
      </c>
      <c r="C18" s="56">
        <v>0.1</v>
      </c>
      <c r="D18" s="56"/>
      <c r="E18" s="56">
        <v>7.4999999999999997E-2</v>
      </c>
      <c r="F18" s="56">
        <v>0.15</v>
      </c>
      <c r="G18" s="56">
        <v>0.5</v>
      </c>
      <c r="H18" s="56">
        <f t="shared" ref="H18:H28" si="3">G18+B18+C18</f>
        <v>0.7</v>
      </c>
      <c r="I18" s="56">
        <v>0.25</v>
      </c>
      <c r="J18" s="56">
        <v>0.3</v>
      </c>
      <c r="K18" s="56">
        <v>3</v>
      </c>
      <c r="L18" s="56">
        <v>185</v>
      </c>
      <c r="M18" s="56">
        <v>4</v>
      </c>
      <c r="N18" s="56">
        <f>L18*M18</f>
        <v>740</v>
      </c>
      <c r="O18" s="56">
        <v>12</v>
      </c>
      <c r="P18" s="56">
        <f t="shared" si="2"/>
        <v>518</v>
      </c>
      <c r="Q18" s="56">
        <f>ROUND(P18/O18,0)</f>
        <v>43</v>
      </c>
      <c r="R18" s="56">
        <f>0.55*O18</f>
        <v>6.6000000000000005</v>
      </c>
      <c r="S18" s="56">
        <f>R18*Q18</f>
        <v>283.8</v>
      </c>
      <c r="T18" s="60">
        <f>H18*17</f>
        <v>11.899999999999999</v>
      </c>
      <c r="U18" s="56">
        <f>O18-T18</f>
        <v>0.10000000000000142</v>
      </c>
      <c r="V18" s="303">
        <f>(U18/T18)</f>
        <v>8.4033613445379362E-3</v>
      </c>
      <c r="W18" s="56">
        <f>L18</f>
        <v>185</v>
      </c>
      <c r="X18" s="56">
        <f>W18*H18</f>
        <v>129.5</v>
      </c>
      <c r="Y18" s="56">
        <f>ROUND(X18/O18,0)</f>
        <v>11</v>
      </c>
      <c r="Z18" s="56">
        <f>R18*Y18</f>
        <v>72.600000000000009</v>
      </c>
      <c r="AA18" s="243"/>
    </row>
    <row r="19" spans="1:27" ht="15" x14ac:dyDescent="0.2">
      <c r="A19" s="58" t="s">
        <v>60</v>
      </c>
      <c r="B19" s="244">
        <v>0.2</v>
      </c>
      <c r="C19" s="244">
        <v>0.2</v>
      </c>
      <c r="D19" s="56"/>
      <c r="E19" s="56">
        <v>7.4999999999999997E-2</v>
      </c>
      <c r="F19" s="244">
        <v>0.16500000000000001</v>
      </c>
      <c r="G19" s="244">
        <v>0.65</v>
      </c>
      <c r="H19" s="56">
        <f t="shared" si="3"/>
        <v>1.05</v>
      </c>
      <c r="I19" s="244">
        <v>0.6</v>
      </c>
      <c r="J19" s="244">
        <v>0.8</v>
      </c>
      <c r="K19" s="244">
        <v>4</v>
      </c>
      <c r="L19" s="244">
        <v>4</v>
      </c>
      <c r="M19" s="244">
        <v>18</v>
      </c>
      <c r="N19" s="244">
        <f t="shared" ref="N19:N25" si="4">M19*L19</f>
        <v>72</v>
      </c>
      <c r="O19" s="244">
        <v>6</v>
      </c>
      <c r="P19" s="56">
        <f t="shared" si="2"/>
        <v>75.600000000000009</v>
      </c>
      <c r="Q19" s="56">
        <f>ROUND(P19/O19,0)</f>
        <v>13</v>
      </c>
      <c r="R19" s="60">
        <f>O19*0.99</f>
        <v>5.9399999999999995</v>
      </c>
      <c r="S19" s="56">
        <f t="shared" ref="S19:S25" si="5">R19*Q19</f>
        <v>77.22</v>
      </c>
      <c r="T19" s="56">
        <f>H19*5</f>
        <v>5.25</v>
      </c>
      <c r="U19" s="56">
        <f t="shared" ref="U19:U28" si="6">O19-T19</f>
        <v>0.75</v>
      </c>
      <c r="V19" s="303">
        <f t="shared" ref="V19:V30" si="7">(U19/T19)</f>
        <v>0.14285714285714285</v>
      </c>
      <c r="W19" s="56">
        <f t="shared" ref="W19:W25" si="8">L19</f>
        <v>4</v>
      </c>
      <c r="X19" s="56">
        <f>W19*H19</f>
        <v>4.2</v>
      </c>
      <c r="Y19" s="56">
        <f>ROUNDUP(X19/O19,0)</f>
        <v>1</v>
      </c>
      <c r="Z19" s="56">
        <f t="shared" ref="Z19:Z25" si="9">R19*Y19</f>
        <v>5.9399999999999995</v>
      </c>
      <c r="AA19" s="243"/>
    </row>
    <row r="20" spans="1:27" ht="15" x14ac:dyDescent="0.2">
      <c r="A20" s="58" t="s">
        <v>60</v>
      </c>
      <c r="B20" s="244">
        <v>0.2</v>
      </c>
      <c r="C20" s="244">
        <v>0.2</v>
      </c>
      <c r="D20" s="56"/>
      <c r="E20" s="56">
        <v>7.4999999999999997E-2</v>
      </c>
      <c r="F20" s="244">
        <v>0.16500000000000001</v>
      </c>
      <c r="G20" s="244">
        <v>0.45</v>
      </c>
      <c r="H20" s="56">
        <f t="shared" si="3"/>
        <v>0.85000000000000009</v>
      </c>
      <c r="I20" s="244">
        <v>0.6</v>
      </c>
      <c r="J20" s="244">
        <v>0.8</v>
      </c>
      <c r="K20" s="244">
        <v>4</v>
      </c>
      <c r="L20" s="244">
        <v>3</v>
      </c>
      <c r="M20" s="244">
        <v>18</v>
      </c>
      <c r="N20" s="244">
        <f t="shared" si="4"/>
        <v>54</v>
      </c>
      <c r="O20" s="244">
        <v>6</v>
      </c>
      <c r="P20" s="56">
        <f t="shared" si="2"/>
        <v>45.900000000000006</v>
      </c>
      <c r="Q20" s="56">
        <f t="shared" ref="Q20:Q25" si="10">ROUND(P20/O20,0)</f>
        <v>8</v>
      </c>
      <c r="R20" s="60">
        <f>O20*0.99</f>
        <v>5.9399999999999995</v>
      </c>
      <c r="S20" s="56">
        <f t="shared" si="5"/>
        <v>47.519999999999996</v>
      </c>
      <c r="T20" s="56">
        <f>H20*7</f>
        <v>5.9500000000000011</v>
      </c>
      <c r="U20" s="56">
        <f t="shared" si="6"/>
        <v>4.9999999999998934E-2</v>
      </c>
      <c r="V20" s="303">
        <f t="shared" si="7"/>
        <v>8.4033613445376344E-3</v>
      </c>
      <c r="W20" s="56">
        <f t="shared" si="8"/>
        <v>3</v>
      </c>
      <c r="X20" s="56">
        <f t="shared" ref="X20:X25" si="11">W20*H20</f>
        <v>2.5500000000000003</v>
      </c>
      <c r="Y20" s="56">
        <f t="shared" ref="Y20:Y28" si="12">ROUNDUP(X20/O20,0)</f>
        <v>1</v>
      </c>
      <c r="Z20" s="56">
        <f t="shared" si="9"/>
        <v>5.9399999999999995</v>
      </c>
      <c r="AA20" s="243"/>
    </row>
    <row r="21" spans="1:27" ht="15" x14ac:dyDescent="0.2">
      <c r="A21" s="245" t="s">
        <v>225</v>
      </c>
      <c r="B21" s="244">
        <v>0.2</v>
      </c>
      <c r="C21" s="244">
        <v>0.2</v>
      </c>
      <c r="D21" s="56"/>
      <c r="E21" s="56">
        <v>7.4999999999999997E-2</v>
      </c>
      <c r="F21" s="244">
        <v>0.16500000000000001</v>
      </c>
      <c r="G21" s="244">
        <v>0.65</v>
      </c>
      <c r="H21" s="56">
        <f t="shared" si="3"/>
        <v>1.05</v>
      </c>
      <c r="I21" s="244">
        <v>0.8</v>
      </c>
      <c r="J21" s="244">
        <v>0.8</v>
      </c>
      <c r="K21" s="244">
        <v>4</v>
      </c>
      <c r="L21" s="244">
        <v>8</v>
      </c>
      <c r="M21" s="244">
        <v>18</v>
      </c>
      <c r="N21" s="244">
        <f t="shared" si="4"/>
        <v>144</v>
      </c>
      <c r="O21" s="244">
        <v>6</v>
      </c>
      <c r="P21" s="244">
        <f t="shared" si="2"/>
        <v>151.20000000000002</v>
      </c>
      <c r="Q21" s="56">
        <f t="shared" si="10"/>
        <v>25</v>
      </c>
      <c r="R21" s="60">
        <f>O21*0.99</f>
        <v>5.9399999999999995</v>
      </c>
      <c r="S21" s="56">
        <f t="shared" si="5"/>
        <v>148.5</v>
      </c>
      <c r="T21" s="56">
        <f>H21*5</f>
        <v>5.25</v>
      </c>
      <c r="U21" s="56">
        <f t="shared" si="6"/>
        <v>0.75</v>
      </c>
      <c r="V21" s="303">
        <f t="shared" si="7"/>
        <v>0.14285714285714285</v>
      </c>
      <c r="W21" s="56">
        <f t="shared" si="8"/>
        <v>8</v>
      </c>
      <c r="X21" s="56">
        <f t="shared" si="11"/>
        <v>8.4</v>
      </c>
      <c r="Y21" s="56">
        <f t="shared" si="12"/>
        <v>2</v>
      </c>
      <c r="Z21" s="56">
        <f t="shared" si="9"/>
        <v>11.879999999999999</v>
      </c>
      <c r="AA21" s="243"/>
    </row>
    <row r="22" spans="1:27" ht="15" x14ac:dyDescent="0.2">
      <c r="A22" s="245" t="s">
        <v>245</v>
      </c>
      <c r="B22" s="244">
        <v>0.2</v>
      </c>
      <c r="C22" s="244">
        <v>0.2</v>
      </c>
      <c r="D22" s="56"/>
      <c r="E22" s="56">
        <v>7.4999999999999997E-2</v>
      </c>
      <c r="F22" s="244">
        <v>0</v>
      </c>
      <c r="G22" s="244">
        <v>1.4</v>
      </c>
      <c r="H22" s="244">
        <f t="shared" si="3"/>
        <v>1.7999999999999998</v>
      </c>
      <c r="I22" s="244">
        <v>0.3</v>
      </c>
      <c r="J22" s="244">
        <v>0.3</v>
      </c>
      <c r="K22" s="244">
        <v>5</v>
      </c>
      <c r="L22" s="244">
        <v>4</v>
      </c>
      <c r="M22" s="244">
        <v>18</v>
      </c>
      <c r="N22" s="244">
        <f t="shared" si="4"/>
        <v>72</v>
      </c>
      <c r="O22" s="244">
        <v>12</v>
      </c>
      <c r="P22" s="244">
        <f t="shared" si="2"/>
        <v>129.6</v>
      </c>
      <c r="Q22" s="56">
        <f t="shared" si="10"/>
        <v>11</v>
      </c>
      <c r="R22" s="56">
        <f>1.55*O22</f>
        <v>18.600000000000001</v>
      </c>
      <c r="S22" s="56">
        <f t="shared" si="5"/>
        <v>204.60000000000002</v>
      </c>
      <c r="T22" s="60">
        <f>H22*6</f>
        <v>10.799999999999999</v>
      </c>
      <c r="U22" s="56">
        <f t="shared" si="6"/>
        <v>1.2000000000000011</v>
      </c>
      <c r="V22" s="303">
        <f t="shared" si="7"/>
        <v>0.11111111111111122</v>
      </c>
      <c r="W22" s="56">
        <f t="shared" si="8"/>
        <v>4</v>
      </c>
      <c r="X22" s="56">
        <f t="shared" si="11"/>
        <v>7.1999999999999993</v>
      </c>
      <c r="Y22" s="56">
        <f t="shared" si="12"/>
        <v>1</v>
      </c>
      <c r="Z22" s="56">
        <f t="shared" si="9"/>
        <v>18.600000000000001</v>
      </c>
      <c r="AA22" s="243"/>
    </row>
    <row r="23" spans="1:27" ht="15" x14ac:dyDescent="0.2">
      <c r="A23" s="245" t="s">
        <v>245</v>
      </c>
      <c r="B23" s="244">
        <v>0.2</v>
      </c>
      <c r="C23" s="244">
        <v>0.25</v>
      </c>
      <c r="D23" s="56"/>
      <c r="E23" s="56">
        <v>7.4999999999999997E-2</v>
      </c>
      <c r="F23" s="244">
        <v>0</v>
      </c>
      <c r="G23" s="244">
        <v>1.38</v>
      </c>
      <c r="H23" s="56">
        <f t="shared" si="3"/>
        <v>1.8299999999999998</v>
      </c>
      <c r="I23" s="244">
        <v>0.3</v>
      </c>
      <c r="J23" s="244">
        <v>0.3</v>
      </c>
      <c r="K23" s="244">
        <v>4</v>
      </c>
      <c r="L23" s="244">
        <v>2</v>
      </c>
      <c r="M23" s="244">
        <v>18</v>
      </c>
      <c r="N23" s="244">
        <f t="shared" si="4"/>
        <v>36</v>
      </c>
      <c r="O23" s="244">
        <v>6</v>
      </c>
      <c r="P23" s="244">
        <f t="shared" si="2"/>
        <v>65.88</v>
      </c>
      <c r="Q23" s="56">
        <f t="shared" si="10"/>
        <v>11</v>
      </c>
      <c r="R23" s="60">
        <f>O23*0.99</f>
        <v>5.9399999999999995</v>
      </c>
      <c r="S23" s="56">
        <f t="shared" si="5"/>
        <v>65.339999999999989</v>
      </c>
      <c r="T23" s="56">
        <f>H23*3</f>
        <v>5.4899999999999993</v>
      </c>
      <c r="U23" s="56">
        <f t="shared" si="6"/>
        <v>0.51000000000000068</v>
      </c>
      <c r="V23" s="303">
        <f t="shared" si="7"/>
        <v>9.2896174863388109E-2</v>
      </c>
      <c r="W23" s="56">
        <f t="shared" si="8"/>
        <v>2</v>
      </c>
      <c r="X23" s="56">
        <f t="shared" si="11"/>
        <v>3.6599999999999997</v>
      </c>
      <c r="Y23" s="56">
        <f t="shared" si="12"/>
        <v>1</v>
      </c>
      <c r="Z23" s="56">
        <f t="shared" si="9"/>
        <v>5.9399999999999995</v>
      </c>
      <c r="AA23" s="243"/>
    </row>
    <row r="24" spans="1:27" ht="15" x14ac:dyDescent="0.2">
      <c r="A24" s="245" t="s">
        <v>245</v>
      </c>
      <c r="B24" s="244">
        <v>0.1</v>
      </c>
      <c r="C24" s="244">
        <v>0.1</v>
      </c>
      <c r="D24" s="56">
        <v>0</v>
      </c>
      <c r="E24" s="56">
        <v>7.4999999999999997E-2</v>
      </c>
      <c r="F24" s="244">
        <v>0.2</v>
      </c>
      <c r="G24" s="244">
        <v>0.88</v>
      </c>
      <c r="H24" s="244">
        <f t="shared" si="3"/>
        <v>1.08</v>
      </c>
      <c r="I24" s="244">
        <v>0.3</v>
      </c>
      <c r="J24" s="244">
        <v>0.3</v>
      </c>
      <c r="K24" s="244">
        <v>3</v>
      </c>
      <c r="L24" s="244">
        <v>15</v>
      </c>
      <c r="M24" s="244">
        <v>18</v>
      </c>
      <c r="N24" s="244">
        <f t="shared" si="4"/>
        <v>270</v>
      </c>
      <c r="O24" s="244">
        <v>12</v>
      </c>
      <c r="P24" s="244">
        <f t="shared" si="2"/>
        <v>291.60000000000002</v>
      </c>
      <c r="Q24" s="56">
        <f t="shared" si="10"/>
        <v>24</v>
      </c>
      <c r="R24" s="52">
        <f>O24*0.55</f>
        <v>6.6000000000000005</v>
      </c>
      <c r="S24" s="56">
        <f t="shared" si="5"/>
        <v>158.4</v>
      </c>
      <c r="T24" s="56">
        <f>H24*11</f>
        <v>11.88</v>
      </c>
      <c r="U24" s="56">
        <f t="shared" si="6"/>
        <v>0.11999999999999922</v>
      </c>
      <c r="V24" s="303">
        <f t="shared" si="7"/>
        <v>1.0101010101010034E-2</v>
      </c>
      <c r="W24" s="56">
        <f t="shared" si="8"/>
        <v>15</v>
      </c>
      <c r="X24" s="56">
        <f t="shared" si="11"/>
        <v>16.200000000000003</v>
      </c>
      <c r="Y24" s="56">
        <f t="shared" si="12"/>
        <v>2</v>
      </c>
      <c r="Z24" s="56">
        <f t="shared" si="9"/>
        <v>13.200000000000001</v>
      </c>
      <c r="AA24" s="243"/>
    </row>
    <row r="25" spans="1:27" ht="15" x14ac:dyDescent="0.2">
      <c r="A25" s="245" t="s">
        <v>245</v>
      </c>
      <c r="B25" s="244">
        <v>0.1</v>
      </c>
      <c r="C25" s="244">
        <v>0.1</v>
      </c>
      <c r="D25" s="56">
        <v>0</v>
      </c>
      <c r="E25" s="56">
        <v>7.4999999999999997E-2</v>
      </c>
      <c r="F25" s="244">
        <v>0.2</v>
      </c>
      <c r="G25" s="244">
        <v>0.22</v>
      </c>
      <c r="H25" s="244">
        <f t="shared" si="3"/>
        <v>0.42000000000000004</v>
      </c>
      <c r="I25" s="244">
        <v>0.3</v>
      </c>
      <c r="J25" s="244">
        <v>0.3</v>
      </c>
      <c r="K25" s="244">
        <v>4</v>
      </c>
      <c r="L25" s="244">
        <v>15</v>
      </c>
      <c r="M25" s="244">
        <v>18</v>
      </c>
      <c r="N25" s="244">
        <f t="shared" si="4"/>
        <v>270</v>
      </c>
      <c r="O25" s="244">
        <v>6</v>
      </c>
      <c r="P25" s="244">
        <f t="shared" si="2"/>
        <v>113.4</v>
      </c>
      <c r="Q25" s="244">
        <f t="shared" si="10"/>
        <v>19</v>
      </c>
      <c r="R25" s="56">
        <f>0.99*O25</f>
        <v>5.9399999999999995</v>
      </c>
      <c r="S25" s="56">
        <f t="shared" si="5"/>
        <v>112.85999999999999</v>
      </c>
      <c r="T25" s="56">
        <f>H25*14</f>
        <v>5.8800000000000008</v>
      </c>
      <c r="U25" s="56">
        <f t="shared" si="6"/>
        <v>0.11999999999999922</v>
      </c>
      <c r="V25" s="303">
        <f t="shared" si="7"/>
        <v>2.0408163265305986E-2</v>
      </c>
      <c r="W25" s="56">
        <f t="shared" si="8"/>
        <v>15</v>
      </c>
      <c r="X25" s="56">
        <f t="shared" si="11"/>
        <v>6.3000000000000007</v>
      </c>
      <c r="Y25" s="56">
        <f t="shared" si="12"/>
        <v>2</v>
      </c>
      <c r="Z25" s="56">
        <f t="shared" si="9"/>
        <v>11.879999999999999</v>
      </c>
      <c r="AA25" s="243"/>
    </row>
    <row r="26" spans="1:27" ht="15" x14ac:dyDescent="0.2">
      <c r="A26" s="245" t="s">
        <v>39</v>
      </c>
      <c r="B26" s="244">
        <v>0.25</v>
      </c>
      <c r="C26" s="244">
        <v>0.25</v>
      </c>
      <c r="D26" s="56"/>
      <c r="E26" s="56">
        <v>7.4999999999999997E-2</v>
      </c>
      <c r="F26" s="56"/>
      <c r="G26" s="244">
        <v>2.4950000000000001</v>
      </c>
      <c r="H26" s="244">
        <f t="shared" si="3"/>
        <v>2.9950000000000001</v>
      </c>
      <c r="I26" s="244">
        <v>0.3</v>
      </c>
      <c r="J26" s="244">
        <v>0.3</v>
      </c>
      <c r="K26" s="244">
        <v>5</v>
      </c>
      <c r="L26" s="244">
        <v>4</v>
      </c>
      <c r="M26" s="244">
        <v>18</v>
      </c>
      <c r="N26" s="244">
        <f>M26*L26</f>
        <v>72</v>
      </c>
      <c r="O26" s="244">
        <v>12</v>
      </c>
      <c r="P26" s="244">
        <f>H26*N26</f>
        <v>215.64000000000001</v>
      </c>
      <c r="Q26" s="244">
        <f>ROUND(P26/O26,0)</f>
        <v>18</v>
      </c>
      <c r="R26" s="56">
        <f>1.55*O26</f>
        <v>18.600000000000001</v>
      </c>
      <c r="S26" s="56">
        <f>R26*Q26</f>
        <v>334.8</v>
      </c>
      <c r="T26" s="56">
        <f>H26*4</f>
        <v>11.98</v>
      </c>
      <c r="U26" s="56">
        <f t="shared" si="6"/>
        <v>1.9999999999999574E-2</v>
      </c>
      <c r="V26" s="303">
        <f t="shared" si="7"/>
        <v>1.6694490818029693E-3</v>
      </c>
      <c r="W26" s="244">
        <f>L26</f>
        <v>4</v>
      </c>
      <c r="X26" s="244">
        <f>W26*H26</f>
        <v>11.98</v>
      </c>
      <c r="Y26" s="244">
        <f t="shared" si="12"/>
        <v>1</v>
      </c>
      <c r="Z26" s="56">
        <f>R26*Y26</f>
        <v>18.600000000000001</v>
      </c>
      <c r="AA26" s="243"/>
    </row>
    <row r="27" spans="1:27" ht="15" x14ac:dyDescent="0.2">
      <c r="A27" s="245" t="s">
        <v>39</v>
      </c>
      <c r="B27" s="244">
        <v>0.25</v>
      </c>
      <c r="C27" s="244">
        <v>0.25</v>
      </c>
      <c r="D27" s="56"/>
      <c r="E27" s="56">
        <v>7.4999999999999997E-2</v>
      </c>
      <c r="F27" s="244">
        <v>0</v>
      </c>
      <c r="G27" s="244">
        <v>2.4950000000000001</v>
      </c>
      <c r="H27" s="244">
        <f t="shared" si="3"/>
        <v>2.9950000000000001</v>
      </c>
      <c r="I27" s="244">
        <v>0.3</v>
      </c>
      <c r="J27" s="244">
        <v>0.3</v>
      </c>
      <c r="K27" s="244">
        <v>4</v>
      </c>
      <c r="L27" s="244">
        <v>2</v>
      </c>
      <c r="M27" s="244">
        <v>18</v>
      </c>
      <c r="N27" s="244">
        <f>M27*L27</f>
        <v>36</v>
      </c>
      <c r="O27" s="244">
        <v>6</v>
      </c>
      <c r="P27" s="244">
        <f>H27*N27</f>
        <v>107.82000000000001</v>
      </c>
      <c r="Q27" s="244">
        <f>ROUND(P27/O27,0)</f>
        <v>18</v>
      </c>
      <c r="R27" s="60">
        <f>O27*0.99</f>
        <v>5.9399999999999995</v>
      </c>
      <c r="S27" s="56">
        <f>R27*Q27</f>
        <v>106.91999999999999</v>
      </c>
      <c r="T27" s="56">
        <f>H27*2</f>
        <v>5.99</v>
      </c>
      <c r="U27" s="56">
        <f t="shared" si="6"/>
        <v>9.9999999999997868E-3</v>
      </c>
      <c r="V27" s="303">
        <f t="shared" si="7"/>
        <v>1.6694490818029693E-3</v>
      </c>
      <c r="W27" s="244">
        <f>L27</f>
        <v>2</v>
      </c>
      <c r="X27" s="244">
        <f>W27*H27</f>
        <v>5.99</v>
      </c>
      <c r="Y27" s="244">
        <f t="shared" si="12"/>
        <v>1</v>
      </c>
      <c r="Z27" s="56">
        <f>R27*Y27</f>
        <v>5.9399999999999995</v>
      </c>
      <c r="AA27" s="243"/>
    </row>
    <row r="28" spans="1:27" ht="15" x14ac:dyDescent="0.2">
      <c r="A28" s="245" t="s">
        <v>39</v>
      </c>
      <c r="B28" s="244">
        <v>0.1</v>
      </c>
      <c r="C28" s="244">
        <v>0.1</v>
      </c>
      <c r="D28" s="56"/>
      <c r="E28" s="56">
        <v>7.4999999999999997E-2</v>
      </c>
      <c r="F28" s="244">
        <v>0.2</v>
      </c>
      <c r="G28" s="244">
        <v>0.88</v>
      </c>
      <c r="H28" s="244">
        <f t="shared" si="3"/>
        <v>1.08</v>
      </c>
      <c r="I28" s="244">
        <v>0.3</v>
      </c>
      <c r="J28" s="244">
        <v>0.3</v>
      </c>
      <c r="K28" s="244">
        <v>3</v>
      </c>
      <c r="L28" s="244">
        <v>19</v>
      </c>
      <c r="M28" s="244">
        <v>18</v>
      </c>
      <c r="N28" s="244">
        <f>M28*L28</f>
        <v>342</v>
      </c>
      <c r="O28" s="244">
        <v>6</v>
      </c>
      <c r="P28" s="244">
        <f>H28*N28</f>
        <v>369.36</v>
      </c>
      <c r="Q28" s="244">
        <f>ROUND(P28/O28,0)</f>
        <v>62</v>
      </c>
      <c r="R28" s="56">
        <f>0.55*O28</f>
        <v>3.3000000000000003</v>
      </c>
      <c r="S28" s="56">
        <f>R28*Q28</f>
        <v>204.60000000000002</v>
      </c>
      <c r="T28" s="56">
        <f>H28*5</f>
        <v>5.4</v>
      </c>
      <c r="U28" s="56">
        <f t="shared" si="6"/>
        <v>0.59999999999999964</v>
      </c>
      <c r="V28" s="303">
        <f t="shared" si="7"/>
        <v>0.11111111111111104</v>
      </c>
      <c r="W28" s="244">
        <f>L28</f>
        <v>19</v>
      </c>
      <c r="X28" s="244">
        <f>W28*H28</f>
        <v>20.520000000000003</v>
      </c>
      <c r="Y28" s="244">
        <f t="shared" si="12"/>
        <v>4</v>
      </c>
      <c r="Z28" s="56">
        <f>R28*Y28</f>
        <v>13.200000000000001</v>
      </c>
      <c r="AA28" s="243"/>
    </row>
    <row r="29" spans="1:27" ht="15" x14ac:dyDescent="0.2">
      <c r="A29" s="245" t="s">
        <v>40</v>
      </c>
      <c r="B29" s="244">
        <v>0.1</v>
      </c>
      <c r="C29" s="244">
        <v>0.1</v>
      </c>
      <c r="D29" s="56">
        <v>0.7</v>
      </c>
      <c r="E29" s="56">
        <v>0.02</v>
      </c>
      <c r="F29" s="244">
        <v>0.2</v>
      </c>
      <c r="G29" s="244">
        <v>29.81</v>
      </c>
      <c r="H29" s="244">
        <f>G29+B29+C29+D29*2</f>
        <v>31.41</v>
      </c>
      <c r="I29" s="244">
        <v>0.8</v>
      </c>
      <c r="J29" s="244">
        <v>0.12</v>
      </c>
      <c r="K29" s="244">
        <v>4</v>
      </c>
      <c r="L29" s="244">
        <v>6</v>
      </c>
      <c r="M29" s="244">
        <v>8</v>
      </c>
      <c r="N29" s="244">
        <f>M29*L29</f>
        <v>48</v>
      </c>
      <c r="O29" s="244">
        <v>12</v>
      </c>
      <c r="P29" s="244">
        <f>H29*N29</f>
        <v>1507.68</v>
      </c>
      <c r="Q29" s="244">
        <f>ROUND(P29/O29,0)</f>
        <v>126</v>
      </c>
      <c r="R29" s="60">
        <f>O29*0.99</f>
        <v>11.879999999999999</v>
      </c>
      <c r="S29" s="56">
        <f>R29*Q29</f>
        <v>1496.8799999999999</v>
      </c>
      <c r="T29" s="56">
        <f>H29</f>
        <v>31.41</v>
      </c>
      <c r="U29" s="244">
        <f>(O29*3)-T29</f>
        <v>4.59</v>
      </c>
      <c r="V29" s="304">
        <f t="shared" si="7"/>
        <v>0.14613180515759311</v>
      </c>
      <c r="W29" s="244">
        <f>L29</f>
        <v>6</v>
      </c>
      <c r="X29" s="244">
        <f>W29*H29</f>
        <v>188.46</v>
      </c>
      <c r="Y29" s="244">
        <f>ROUNDUP(X29/O29,0)</f>
        <v>16</v>
      </c>
      <c r="Z29" s="56">
        <f>R29*Y29</f>
        <v>190.07999999999998</v>
      </c>
      <c r="AA29" s="243">
        <f>X29/30</f>
        <v>6.282</v>
      </c>
    </row>
    <row r="30" spans="1:27" ht="15" x14ac:dyDescent="0.2">
      <c r="A30" s="245" t="s">
        <v>40</v>
      </c>
      <c r="B30" s="244">
        <v>0.1</v>
      </c>
      <c r="C30" s="244">
        <v>0.1</v>
      </c>
      <c r="D30" s="56">
        <v>0</v>
      </c>
      <c r="E30" s="56">
        <v>0.02</v>
      </c>
      <c r="F30" s="244">
        <v>0.2</v>
      </c>
      <c r="G30" s="244">
        <v>0.76</v>
      </c>
      <c r="H30" s="244">
        <f>G30+B30+C30+D30*2</f>
        <v>0.96</v>
      </c>
      <c r="I30" s="244">
        <v>0.8</v>
      </c>
      <c r="J30" s="244">
        <v>0.12</v>
      </c>
      <c r="K30" s="244">
        <v>4</v>
      </c>
      <c r="L30" s="56">
        <f>29.85/0.2</f>
        <v>149.25</v>
      </c>
      <c r="M30" s="244">
        <v>8</v>
      </c>
      <c r="N30" s="244">
        <f>M30*L30</f>
        <v>1194</v>
      </c>
      <c r="O30" s="244">
        <v>6</v>
      </c>
      <c r="P30" s="244">
        <f>H30*N30</f>
        <v>1146.24</v>
      </c>
      <c r="Q30" s="244">
        <f>ROUND(P30/O30,0)</f>
        <v>191</v>
      </c>
      <c r="R30" s="60">
        <f>O30*0.99</f>
        <v>5.9399999999999995</v>
      </c>
      <c r="S30" s="56">
        <f>R30*Q30</f>
        <v>1134.54</v>
      </c>
      <c r="T30" s="56">
        <f>H30*6</f>
        <v>5.76</v>
      </c>
      <c r="U30" s="244">
        <f>(O30-T30)</f>
        <v>0.24000000000000021</v>
      </c>
      <c r="V30" s="304">
        <f t="shared" si="7"/>
        <v>4.1666666666666706E-2</v>
      </c>
      <c r="W30" s="244">
        <f>L30</f>
        <v>149.25</v>
      </c>
      <c r="X30" s="244">
        <f>W30*H30</f>
        <v>143.28</v>
      </c>
      <c r="Y30" s="244">
        <f>ROUNDUP(X30/O30,0)</f>
        <v>24</v>
      </c>
      <c r="Z30" s="56">
        <f>R30*Y30</f>
        <v>142.56</v>
      </c>
      <c r="AA30" s="243">
        <f>W30/30</f>
        <v>4.9749999999999996</v>
      </c>
    </row>
  </sheetData>
  <mergeCells count="2">
    <mergeCell ref="A2:G2"/>
    <mergeCell ref="B11:F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workbookViewId="0">
      <selection sqref="A1:K1"/>
    </sheetView>
  </sheetViews>
  <sheetFormatPr baseColWidth="10" defaultRowHeight="14.25" x14ac:dyDescent="0.2"/>
  <cols>
    <col min="1" max="1" width="34.42578125" style="71" bestFit="1" customWidth="1"/>
    <col min="2" max="2" width="12.5703125" style="71" bestFit="1" customWidth="1"/>
    <col min="3" max="3" width="13.85546875" style="71" customWidth="1"/>
    <col min="4" max="4" width="16.5703125" style="71" bestFit="1" customWidth="1"/>
    <col min="5" max="5" width="12.42578125" style="71" bestFit="1" customWidth="1"/>
    <col min="6" max="7" width="11.7109375" style="71" customWidth="1"/>
    <col min="8" max="8" width="13.85546875" style="71" customWidth="1"/>
    <col min="9" max="13" width="11.7109375" style="71" customWidth="1"/>
    <col min="14" max="14" width="11.42578125" style="71"/>
    <col min="15" max="15" width="11.42578125" style="72"/>
    <col min="16" max="16" width="8.5703125" style="71" bestFit="1" customWidth="1"/>
    <col min="17" max="17" width="13.85546875" style="71" customWidth="1"/>
    <col min="18" max="18" width="15" style="71" bestFit="1" customWidth="1"/>
    <col min="19" max="19" width="13" style="71" bestFit="1" customWidth="1"/>
    <col min="20" max="20" width="11.42578125" style="71"/>
    <col min="21" max="22" width="11.7109375" style="71" bestFit="1" customWidth="1"/>
    <col min="23" max="23" width="9.85546875" style="71" bestFit="1" customWidth="1"/>
    <col min="24" max="24" width="28" style="71" bestFit="1" customWidth="1"/>
    <col min="25" max="25" width="13" style="71" bestFit="1" customWidth="1"/>
    <col min="26" max="26" width="10.28515625" style="71" bestFit="1" customWidth="1"/>
    <col min="27" max="27" width="8.7109375" style="71" bestFit="1" customWidth="1"/>
    <col min="28" max="28" width="9.5703125" style="71" bestFit="1" customWidth="1"/>
    <col min="29" max="29" width="10.140625" style="71" bestFit="1" customWidth="1"/>
    <col min="30" max="30" width="18.42578125" style="71" bestFit="1" customWidth="1"/>
    <col min="31" max="31" width="15.5703125" style="71" bestFit="1" customWidth="1"/>
    <col min="32" max="32" width="11.7109375" style="71" bestFit="1" customWidth="1"/>
    <col min="33" max="16384" width="11.42578125" style="71"/>
  </cols>
  <sheetData>
    <row r="1" spans="1:32" x14ac:dyDescent="0.2">
      <c r="A1" s="374" t="s">
        <v>79</v>
      </c>
      <c r="B1" s="375"/>
      <c r="C1" s="375"/>
      <c r="D1" s="375"/>
      <c r="E1" s="375"/>
      <c r="F1" s="375"/>
      <c r="G1" s="375"/>
      <c r="H1" s="375"/>
      <c r="I1" s="375"/>
      <c r="J1" s="375"/>
      <c r="K1" s="376"/>
      <c r="L1" s="70"/>
      <c r="M1" s="70"/>
    </row>
    <row r="2" spans="1:32" x14ac:dyDescent="0.2">
      <c r="A2" s="73" t="s">
        <v>80</v>
      </c>
      <c r="B2" s="74" t="s">
        <v>208</v>
      </c>
      <c r="C2" s="75"/>
      <c r="D2" s="76" t="s">
        <v>82</v>
      </c>
      <c r="E2" s="77">
        <f>ROUND(E3*E4,2)</f>
        <v>2.17</v>
      </c>
      <c r="F2" s="75"/>
      <c r="G2" s="78" t="s">
        <v>83</v>
      </c>
      <c r="H2" s="377" t="s">
        <v>84</v>
      </c>
      <c r="I2" s="378"/>
      <c r="J2" s="79"/>
      <c r="K2" s="80"/>
      <c r="L2" s="81"/>
      <c r="M2" s="81"/>
    </row>
    <row r="3" spans="1:32" x14ac:dyDescent="0.2">
      <c r="A3" s="73" t="s">
        <v>85</v>
      </c>
      <c r="B3" s="74">
        <v>2022</v>
      </c>
      <c r="C3" s="75"/>
      <c r="D3" s="82" t="s">
        <v>86</v>
      </c>
      <c r="E3" s="77">
        <f>ROUND(D10+D17+D24+D31+D39+D45,2)</f>
        <v>1.68</v>
      </c>
      <c r="F3" s="75"/>
      <c r="G3" s="78" t="s">
        <v>87</v>
      </c>
      <c r="H3" s="379">
        <f>H4/SMMLV</f>
        <v>1.4</v>
      </c>
      <c r="I3" s="380"/>
      <c r="J3" s="79"/>
      <c r="K3" s="80"/>
      <c r="L3" s="83"/>
      <c r="M3" s="81"/>
    </row>
    <row r="4" spans="1:32" x14ac:dyDescent="0.2">
      <c r="A4" s="73" t="s">
        <v>88</v>
      </c>
      <c r="B4" s="84">
        <v>908526</v>
      </c>
      <c r="C4" s="75"/>
      <c r="D4" s="82" t="s">
        <v>89</v>
      </c>
      <c r="E4" s="77">
        <f>IF(H2="TRABAJADOR",ROUND(R16,2),1)</f>
        <v>1.29</v>
      </c>
      <c r="F4" s="85"/>
      <c r="G4" s="78" t="s">
        <v>87</v>
      </c>
      <c r="H4" s="381">
        <f>1.4*SMMLV</f>
        <v>1271936.3999999999</v>
      </c>
      <c r="I4" s="382"/>
      <c r="J4" s="79"/>
      <c r="K4" s="80"/>
      <c r="L4" s="86" t="s">
        <v>90</v>
      </c>
      <c r="M4" s="81"/>
      <c r="T4" s="72"/>
      <c r="U4" s="72"/>
    </row>
    <row r="5" spans="1:32" x14ac:dyDescent="0.2">
      <c r="A5" s="73" t="s">
        <v>91</v>
      </c>
      <c r="B5" s="84">
        <v>106454</v>
      </c>
      <c r="C5" s="75"/>
      <c r="D5" s="75"/>
      <c r="E5" s="79"/>
      <c r="F5" s="75"/>
      <c r="G5" s="78" t="s">
        <v>92</v>
      </c>
      <c r="H5" s="381">
        <f>ROUND(H4*E2,0)/(30*8)</f>
        <v>11500.424999999999</v>
      </c>
      <c r="I5" s="382"/>
      <c r="J5" s="79"/>
      <c r="K5" s="80"/>
      <c r="L5" s="87" t="s">
        <v>93</v>
      </c>
      <c r="M5" s="81"/>
      <c r="T5" s="72"/>
      <c r="U5" s="72"/>
    </row>
    <row r="6" spans="1:32" x14ac:dyDescent="0.2">
      <c r="A6" s="88"/>
      <c r="B6" s="89"/>
      <c r="C6" s="89"/>
      <c r="D6" s="90"/>
      <c r="E6" s="91"/>
      <c r="F6" s="90"/>
      <c r="G6" s="91"/>
      <c r="H6" s="91"/>
      <c r="I6" s="91"/>
      <c r="J6" s="91"/>
      <c r="K6" s="92"/>
      <c r="L6" s="81"/>
      <c r="M6" s="81"/>
      <c r="T6" s="72"/>
      <c r="U6" s="72"/>
    </row>
    <row r="7" spans="1:32" x14ac:dyDescent="0.2">
      <c r="B7" s="372" t="s">
        <v>94</v>
      </c>
      <c r="C7" s="373"/>
      <c r="D7" s="93">
        <v>6</v>
      </c>
      <c r="E7" s="94" t="s">
        <v>95</v>
      </c>
      <c r="F7" s="95"/>
      <c r="G7" s="95"/>
      <c r="H7" s="95"/>
      <c r="I7" s="95"/>
      <c r="J7" s="95"/>
      <c r="K7" s="96"/>
      <c r="T7" s="72"/>
      <c r="U7" s="72"/>
    </row>
    <row r="8" spans="1:32" x14ac:dyDescent="0.2">
      <c r="C8" s="97"/>
      <c r="D8" s="97"/>
      <c r="E8" s="97"/>
      <c r="F8" s="97"/>
      <c r="G8" s="97"/>
      <c r="H8" s="97"/>
      <c r="I8" s="97"/>
      <c r="J8" s="97"/>
      <c r="K8" s="98"/>
      <c r="L8" s="98"/>
      <c r="M8" s="98"/>
      <c r="T8" s="72"/>
      <c r="U8" s="72"/>
    </row>
    <row r="9" spans="1:32" x14ac:dyDescent="0.2">
      <c r="A9" s="99" t="s">
        <v>96</v>
      </c>
      <c r="C9" s="97"/>
      <c r="D9" s="97"/>
      <c r="E9" s="97"/>
      <c r="F9" s="97"/>
      <c r="G9" s="97"/>
      <c r="H9" s="97"/>
      <c r="I9" s="97"/>
      <c r="J9" s="97"/>
      <c r="K9" s="98"/>
      <c r="L9" s="100"/>
      <c r="M9" s="100"/>
      <c r="O9" s="101" t="s">
        <v>97</v>
      </c>
      <c r="P9" s="102"/>
      <c r="Q9" s="103"/>
      <c r="R9" s="104"/>
    </row>
    <row r="10" spans="1:32" x14ac:dyDescent="0.2">
      <c r="C10" s="105" t="s">
        <v>98</v>
      </c>
      <c r="D10" s="106">
        <f>E15</f>
        <v>1.0836944362941419</v>
      </c>
      <c r="E10" s="107"/>
      <c r="F10" s="97"/>
      <c r="G10" s="97"/>
      <c r="H10" s="97"/>
      <c r="I10" s="97"/>
      <c r="J10" s="108"/>
      <c r="K10" s="109"/>
      <c r="L10" s="110"/>
      <c r="M10" s="110"/>
    </row>
    <row r="11" spans="1:32" x14ac:dyDescent="0.2">
      <c r="A11" s="111" t="s">
        <v>99</v>
      </c>
      <c r="B11" s="112" t="s">
        <v>100</v>
      </c>
      <c r="C11" s="113" t="s">
        <v>101</v>
      </c>
      <c r="D11" s="112" t="str">
        <f>CONCATENATE(Periodo_Analisis," ",$E$7)</f>
        <v>6 Meses</v>
      </c>
      <c r="E11" s="114" t="s">
        <v>78</v>
      </c>
      <c r="F11" s="115" t="s">
        <v>102</v>
      </c>
      <c r="G11" s="116"/>
      <c r="H11" s="116"/>
      <c r="I11" s="116"/>
      <c r="J11" s="116"/>
      <c r="K11" s="117"/>
      <c r="L11" s="118"/>
      <c r="M11" s="118"/>
      <c r="O11" s="119" t="s">
        <v>103</v>
      </c>
      <c r="P11" s="119"/>
      <c r="Q11" s="119"/>
      <c r="R11" s="120">
        <f>Periodo_Analisis</f>
        <v>6</v>
      </c>
      <c r="S11" s="119" t="s">
        <v>104</v>
      </c>
      <c r="T11" s="121"/>
      <c r="U11" s="121"/>
      <c r="X11" s="122" t="s">
        <v>105</v>
      </c>
      <c r="Y11" s="122" t="s">
        <v>106</v>
      </c>
      <c r="Z11" s="123" t="s">
        <v>107</v>
      </c>
      <c r="AA11" s="123" t="s">
        <v>108</v>
      </c>
      <c r="AB11" s="123" t="s">
        <v>109</v>
      </c>
      <c r="AC11" s="123" t="s">
        <v>110</v>
      </c>
      <c r="AD11" s="122" t="s">
        <v>111</v>
      </c>
      <c r="AE11" s="122" t="s">
        <v>112</v>
      </c>
      <c r="AF11" s="122" t="s">
        <v>113</v>
      </c>
    </row>
    <row r="12" spans="1:32" x14ac:dyDescent="0.2">
      <c r="A12" s="124" t="s">
        <v>114</v>
      </c>
      <c r="B12" s="125">
        <f>C12/30</f>
        <v>42397.88</v>
      </c>
      <c r="C12" s="84">
        <f>H4</f>
        <v>1271936.3999999999</v>
      </c>
      <c r="D12" s="126">
        <f>C12*Periodo_Analisis</f>
        <v>7631618.3999999994</v>
      </c>
      <c r="E12" s="127">
        <f>D12/$D$12</f>
        <v>1</v>
      </c>
      <c r="F12" s="128" t="s">
        <v>115</v>
      </c>
      <c r="G12" s="128"/>
      <c r="H12" s="128"/>
      <c r="I12" s="128"/>
      <c r="J12" s="128"/>
      <c r="K12" s="129"/>
      <c r="L12" s="130" t="s">
        <v>116</v>
      </c>
      <c r="N12" s="131"/>
      <c r="O12" s="85" t="s">
        <v>117</v>
      </c>
      <c r="P12" s="85"/>
      <c r="Q12" s="85"/>
      <c r="R12" s="104">
        <f>30*'[1]OFICIAL-2021 (2)'!Periodo_Analisis</f>
        <v>180</v>
      </c>
      <c r="S12" s="85" t="s">
        <v>118</v>
      </c>
      <c r="T12" s="85" t="s">
        <v>119</v>
      </c>
      <c r="U12" s="104">
        <f>VLOOKUP($R$11,'[1]OFICIAL-2021 (2)'!$X$11:$AF$16,3,FALSE)</f>
        <v>26</v>
      </c>
      <c r="V12" s="72"/>
      <c r="X12" s="132">
        <v>12</v>
      </c>
      <c r="Y12" s="133">
        <f>12*30</f>
        <v>360</v>
      </c>
      <c r="Z12" s="133">
        <v>52</v>
      </c>
      <c r="AA12" s="133">
        <v>19</v>
      </c>
      <c r="AB12" s="133">
        <v>3</v>
      </c>
      <c r="AC12" s="133">
        <v>3</v>
      </c>
      <c r="AD12" s="133">
        <f>SUM(Z12:AC12)</f>
        <v>77</v>
      </c>
      <c r="AE12" s="133">
        <f>Y12-AD12</f>
        <v>283</v>
      </c>
      <c r="AF12" s="134">
        <f>ROUND(Y12/AE12,2)</f>
        <v>1.27</v>
      </c>
    </row>
    <row r="13" spans="1:32" x14ac:dyDescent="0.2">
      <c r="A13" s="135" t="s">
        <v>120</v>
      </c>
      <c r="B13" s="136">
        <f>C13/30</f>
        <v>3548.4666666666667</v>
      </c>
      <c r="C13" s="137">
        <f>IF(C12&gt;2*SMMLV,0,AUX._TRANSP.)</f>
        <v>106454</v>
      </c>
      <c r="D13" s="137">
        <f>IF(H3&gt;2,0,AUX._TRANSP.)*Periodo_Analisis</f>
        <v>638724</v>
      </c>
      <c r="E13" s="138">
        <f>D13/$D$12</f>
        <v>8.3694436294141764E-2</v>
      </c>
      <c r="F13" s="71" t="s">
        <v>121</v>
      </c>
      <c r="H13" s="71" t="s">
        <v>122</v>
      </c>
      <c r="I13" s="139"/>
      <c r="K13" s="140"/>
      <c r="L13" s="130" t="s">
        <v>123</v>
      </c>
      <c r="N13" s="131"/>
      <c r="O13" s="85" t="s">
        <v>124</v>
      </c>
      <c r="P13" s="85"/>
      <c r="Q13" s="85"/>
      <c r="R13" s="104">
        <f>SUM(U12:U15)</f>
        <v>40</v>
      </c>
      <c r="S13" s="85" t="s">
        <v>118</v>
      </c>
      <c r="T13" s="85" t="s">
        <v>125</v>
      </c>
      <c r="U13" s="104">
        <f>VLOOKUP($R$11,'[1]OFICIAL-2021 (2)'!$X$11:$AF$16,4,FALSE)</f>
        <v>10</v>
      </c>
      <c r="V13" s="72"/>
      <c r="X13" s="141">
        <v>9</v>
      </c>
      <c r="Y13" s="133">
        <f>9*30</f>
        <v>270</v>
      </c>
      <c r="Z13" s="133">
        <v>39</v>
      </c>
      <c r="AA13" s="133">
        <v>13</v>
      </c>
      <c r="AB13" s="133">
        <v>3</v>
      </c>
      <c r="AC13" s="133">
        <v>3</v>
      </c>
      <c r="AD13" s="133">
        <f>SUM(Z13:AC13)</f>
        <v>58</v>
      </c>
      <c r="AE13" s="133">
        <f>Y13-AD13</f>
        <v>212</v>
      </c>
      <c r="AF13" s="134">
        <f>ROUND(Y13/AE13,2)</f>
        <v>1.27</v>
      </c>
    </row>
    <row r="14" spans="1:32" x14ac:dyDescent="0.2">
      <c r="A14" s="142" t="s">
        <v>126</v>
      </c>
      <c r="B14" s="143"/>
      <c r="C14" s="143"/>
      <c r="D14" s="143"/>
      <c r="E14" s="144"/>
      <c r="F14" s="145" t="s">
        <v>127</v>
      </c>
      <c r="G14" s="146"/>
      <c r="H14" s="146"/>
      <c r="I14" s="146"/>
      <c r="J14" s="146"/>
      <c r="K14" s="147"/>
      <c r="L14" s="130" t="s">
        <v>128</v>
      </c>
      <c r="N14" s="131"/>
      <c r="O14" s="85" t="s">
        <v>129</v>
      </c>
      <c r="P14" s="85"/>
      <c r="Q14" s="85"/>
      <c r="R14" s="104">
        <f>R12-R13</f>
        <v>140</v>
      </c>
      <c r="S14" s="85" t="s">
        <v>118</v>
      </c>
      <c r="T14" s="85" t="s">
        <v>130</v>
      </c>
      <c r="U14" s="104">
        <f>VLOOKUP($R$11,'[1]OFICIAL-2021 (2)'!$X$11:$AF$16,5,FALSE)</f>
        <v>2</v>
      </c>
      <c r="V14" s="72"/>
      <c r="X14" s="141">
        <v>6</v>
      </c>
      <c r="Y14" s="133">
        <f>6*30</f>
        <v>180</v>
      </c>
      <c r="Z14" s="133">
        <v>26</v>
      </c>
      <c r="AA14" s="133">
        <v>10</v>
      </c>
      <c r="AB14" s="133">
        <v>2</v>
      </c>
      <c r="AC14" s="133">
        <v>2</v>
      </c>
      <c r="AD14" s="133">
        <f>SUM(Z14:AC14)</f>
        <v>40</v>
      </c>
      <c r="AE14" s="133">
        <f>Y14-AD14</f>
        <v>140</v>
      </c>
      <c r="AF14" s="134">
        <f>ROUND(Y14/AE14,2)</f>
        <v>1.29</v>
      </c>
    </row>
    <row r="15" spans="1:32" x14ac:dyDescent="0.2">
      <c r="B15" s="148">
        <f>SUM(B12:B14)</f>
        <v>45946.346666666665</v>
      </c>
      <c r="C15" s="149">
        <f>SUM(C12:C14)</f>
        <v>1378390.4</v>
      </c>
      <c r="D15" s="149">
        <f>SUM(D12:D14)</f>
        <v>8270342.3999999994</v>
      </c>
      <c r="E15" s="150">
        <f>SUM(E12:E14)</f>
        <v>1.0836944362941419</v>
      </c>
      <c r="O15" s="121"/>
      <c r="P15" s="121"/>
      <c r="Q15" s="121"/>
      <c r="R15" s="151"/>
      <c r="S15" s="121"/>
      <c r="T15" s="121" t="s">
        <v>131</v>
      </c>
      <c r="U15" s="151">
        <f>VLOOKUP($R$11,'[1]OFICIAL-2021 (2)'!$X$11:$AF$16,6,FALSE)</f>
        <v>2</v>
      </c>
      <c r="V15" s="72"/>
      <c r="X15" s="141">
        <v>3</v>
      </c>
      <c r="Y15" s="133">
        <f>3*30</f>
        <v>90</v>
      </c>
      <c r="Z15" s="133">
        <v>13</v>
      </c>
      <c r="AA15" s="133">
        <v>3</v>
      </c>
      <c r="AB15" s="133">
        <v>2</v>
      </c>
      <c r="AC15" s="133">
        <v>2</v>
      </c>
      <c r="AD15" s="133">
        <f>SUM(Z15:AC15)</f>
        <v>20</v>
      </c>
      <c r="AE15" s="133">
        <f>Y15-AD15</f>
        <v>70</v>
      </c>
      <c r="AF15" s="134">
        <f>ROUND(Y15/AE15,2)</f>
        <v>1.29</v>
      </c>
    </row>
    <row r="16" spans="1:32" x14ac:dyDescent="0.2">
      <c r="B16" s="152"/>
      <c r="O16" s="153" t="s">
        <v>113</v>
      </c>
      <c r="P16" s="153"/>
      <c r="Q16" s="153"/>
      <c r="R16" s="118">
        <f>ROUND(R12/R14,2)</f>
        <v>1.29</v>
      </c>
      <c r="X16" s="154">
        <v>1</v>
      </c>
      <c r="Y16" s="155">
        <f>1*30</f>
        <v>30</v>
      </c>
      <c r="Z16" s="155">
        <v>4</v>
      </c>
      <c r="AA16" s="155">
        <v>2</v>
      </c>
      <c r="AB16" s="155">
        <v>1</v>
      </c>
      <c r="AC16" s="155">
        <v>1</v>
      </c>
      <c r="AD16" s="155">
        <f>SUM(Z16:AC16)</f>
        <v>8</v>
      </c>
      <c r="AE16" s="155">
        <f>Y16-AD16</f>
        <v>22</v>
      </c>
      <c r="AF16" s="156">
        <f>ROUND(Y16/AE16,2)</f>
        <v>1.36</v>
      </c>
    </row>
    <row r="17" spans="1:21" x14ac:dyDescent="0.2">
      <c r="C17" s="157" t="s">
        <v>98</v>
      </c>
      <c r="D17" s="106">
        <f>E22</f>
        <v>0.18603421156382766</v>
      </c>
      <c r="E17" s="107"/>
      <c r="F17" s="97"/>
      <c r="G17" s="97"/>
      <c r="H17" s="97"/>
      <c r="I17" s="97"/>
      <c r="J17" s="108"/>
      <c r="K17" s="109"/>
      <c r="L17" s="110"/>
      <c r="M17" s="110"/>
      <c r="S17" s="72"/>
      <c r="T17" s="72"/>
      <c r="U17" s="72"/>
    </row>
    <row r="18" spans="1:21" x14ac:dyDescent="0.2">
      <c r="A18" s="111" t="s">
        <v>132</v>
      </c>
      <c r="B18" s="158"/>
      <c r="C18" s="159"/>
      <c r="D18" s="112" t="str">
        <f>CONCATENATE(Periodo_Analisis," ",$E$7)</f>
        <v>6 Meses</v>
      </c>
      <c r="E18" s="114" t="s">
        <v>78</v>
      </c>
      <c r="F18" s="115" t="s">
        <v>102</v>
      </c>
      <c r="G18" s="116"/>
      <c r="H18" s="116"/>
      <c r="I18" s="116"/>
      <c r="J18" s="116"/>
      <c r="K18" s="117"/>
      <c r="L18" s="118"/>
      <c r="M18" s="118"/>
      <c r="S18" s="72"/>
      <c r="T18" s="72"/>
      <c r="U18" s="72"/>
    </row>
    <row r="19" spans="1:21" x14ac:dyDescent="0.2">
      <c r="A19" s="124" t="s">
        <v>133</v>
      </c>
      <c r="B19" s="160"/>
      <c r="C19" s="161"/>
      <c r="D19" s="126">
        <f>30*B15*(Periodo_Analisis/12)</f>
        <v>689195.2</v>
      </c>
      <c r="E19" s="127">
        <f>D19/$D$12</f>
        <v>9.0307869691178475E-2</v>
      </c>
      <c r="F19" s="128" t="s">
        <v>134</v>
      </c>
      <c r="G19" s="128"/>
      <c r="H19" s="128"/>
      <c r="I19" s="162"/>
      <c r="J19" s="128"/>
      <c r="K19" s="129"/>
      <c r="L19" s="130" t="s">
        <v>135</v>
      </c>
      <c r="N19" s="131"/>
    </row>
    <row r="20" spans="1:21" x14ac:dyDescent="0.2">
      <c r="A20" s="135" t="s">
        <v>136</v>
      </c>
      <c r="B20" s="163"/>
      <c r="C20" s="164"/>
      <c r="D20" s="137">
        <f>D19*(F20/12)*Periodo_Analisis</f>
        <v>41351.712</v>
      </c>
      <c r="E20" s="138">
        <f>D20/$D$12</f>
        <v>5.4184721814707088E-3</v>
      </c>
      <c r="F20" s="165">
        <v>0.12</v>
      </c>
      <c r="G20" s="71" t="s">
        <v>137</v>
      </c>
      <c r="I20" s="139"/>
      <c r="K20" s="140"/>
      <c r="L20" s="130" t="s">
        <v>138</v>
      </c>
      <c r="N20" s="131"/>
      <c r="P20" s="166"/>
      <c r="Q20" s="167"/>
    </row>
    <row r="21" spans="1:21" x14ac:dyDescent="0.2">
      <c r="A21" s="142" t="s">
        <v>139</v>
      </c>
      <c r="B21" s="168"/>
      <c r="C21" s="169"/>
      <c r="D21" s="143">
        <f>30*B15*(Periodo_Analisis/12)</f>
        <v>689195.2</v>
      </c>
      <c r="E21" s="144">
        <f>D21/$D$12</f>
        <v>9.0307869691178475E-2</v>
      </c>
      <c r="F21" s="146" t="s">
        <v>140</v>
      </c>
      <c r="G21" s="146"/>
      <c r="H21" s="146"/>
      <c r="I21" s="170"/>
      <c r="J21" s="146"/>
      <c r="K21" s="147"/>
      <c r="L21" s="130" t="s">
        <v>141</v>
      </c>
      <c r="N21" s="131"/>
      <c r="P21" s="166"/>
      <c r="Q21" s="166"/>
    </row>
    <row r="22" spans="1:21" x14ac:dyDescent="0.2">
      <c r="B22" s="171"/>
      <c r="C22" s="161"/>
      <c r="D22" s="149">
        <f>SUM(D19:D21)</f>
        <v>1419742.112</v>
      </c>
      <c r="E22" s="150">
        <f>SUM(E19:E21)</f>
        <v>0.18603421156382766</v>
      </c>
    </row>
    <row r="24" spans="1:21" x14ac:dyDescent="0.2">
      <c r="C24" s="157" t="s">
        <v>98</v>
      </c>
      <c r="D24" s="106">
        <f>E29</f>
        <v>0.27460000000000001</v>
      </c>
      <c r="E24" s="107"/>
      <c r="F24" s="97"/>
      <c r="G24" s="153"/>
      <c r="H24" s="97"/>
      <c r="I24" s="153"/>
      <c r="J24" s="172"/>
      <c r="K24" s="173"/>
      <c r="L24" s="110"/>
      <c r="M24" s="110"/>
    </row>
    <row r="25" spans="1:21" x14ac:dyDescent="0.2">
      <c r="A25" s="111" t="s">
        <v>142</v>
      </c>
      <c r="B25" s="158"/>
      <c r="C25" s="159"/>
      <c r="D25" s="112" t="str">
        <f>CONCATENATE(Periodo_Analisis," ",$E$7)</f>
        <v>6 Meses</v>
      </c>
      <c r="E25" s="114" t="s">
        <v>78</v>
      </c>
      <c r="F25" s="115" t="s">
        <v>102</v>
      </c>
      <c r="G25" s="174"/>
      <c r="H25" s="116"/>
      <c r="I25" s="174"/>
      <c r="J25" s="174"/>
      <c r="K25" s="175"/>
      <c r="L25" s="118"/>
      <c r="M25" s="118"/>
      <c r="O25" s="176" t="s">
        <v>143</v>
      </c>
      <c r="P25" s="177"/>
      <c r="Q25" s="177"/>
      <c r="R25" s="177"/>
      <c r="S25" s="178"/>
    </row>
    <row r="26" spans="1:21" x14ac:dyDescent="0.2">
      <c r="A26" s="124" t="s">
        <v>144</v>
      </c>
      <c r="B26" s="160"/>
      <c r="C26" s="161"/>
      <c r="D26" s="179">
        <f>D12*H26</f>
        <v>915794.20799999987</v>
      </c>
      <c r="E26" s="180">
        <f>D26/$D$12</f>
        <v>0.12</v>
      </c>
      <c r="F26" s="181">
        <v>0.16</v>
      </c>
      <c r="G26" s="128" t="s">
        <v>145</v>
      </c>
      <c r="H26" s="182">
        <f>3/4*F26</f>
        <v>0.12</v>
      </c>
      <c r="I26" s="128" t="s">
        <v>146</v>
      </c>
      <c r="J26" s="183">
        <f>1/4*F26</f>
        <v>0.04</v>
      </c>
      <c r="K26" s="184"/>
      <c r="L26" s="130" t="s">
        <v>147</v>
      </c>
      <c r="M26" s="139"/>
      <c r="N26" s="131"/>
      <c r="O26" s="112" t="s">
        <v>148</v>
      </c>
      <c r="P26" s="111" t="s">
        <v>149</v>
      </c>
      <c r="Q26" s="185" t="s">
        <v>150</v>
      </c>
      <c r="R26" s="111" t="s">
        <v>151</v>
      </c>
      <c r="S26" s="114" t="s">
        <v>152</v>
      </c>
    </row>
    <row r="27" spans="1:21" x14ac:dyDescent="0.2">
      <c r="A27" s="135" t="s">
        <v>153</v>
      </c>
      <c r="B27" s="163"/>
      <c r="C27" s="164"/>
      <c r="D27" s="186">
        <f>D12*H27</f>
        <v>648687.56400000001</v>
      </c>
      <c r="E27" s="187">
        <f>D27/$D$12</f>
        <v>8.5000000000000006E-2</v>
      </c>
      <c r="F27" s="181">
        <v>0.125</v>
      </c>
      <c r="G27" s="188" t="s">
        <v>145</v>
      </c>
      <c r="H27" s="182">
        <f>0.085</f>
        <v>8.5000000000000006E-2</v>
      </c>
      <c r="I27" s="71" t="s">
        <v>146</v>
      </c>
      <c r="J27" s="189">
        <f>0.04</f>
        <v>0.04</v>
      </c>
      <c r="K27" s="190"/>
      <c r="L27" s="130" t="s">
        <v>154</v>
      </c>
      <c r="M27" s="139"/>
      <c r="N27" s="131"/>
      <c r="O27" s="191" t="s">
        <v>155</v>
      </c>
      <c r="P27" s="191" t="s">
        <v>156</v>
      </c>
      <c r="Q27" s="192">
        <v>3.48E-3</v>
      </c>
      <c r="R27" s="193">
        <v>5.2199999999999998E-3</v>
      </c>
      <c r="S27" s="194">
        <v>6.9499999999999996E-3</v>
      </c>
    </row>
    <row r="28" spans="1:21" ht="15.75" customHeight="1" x14ac:dyDescent="0.2">
      <c r="A28" s="142" t="s">
        <v>157</v>
      </c>
      <c r="B28" s="168"/>
      <c r="C28" s="169"/>
      <c r="D28" s="195">
        <f>D12*F28</f>
        <v>531160.64063999988</v>
      </c>
      <c r="E28" s="196">
        <f>D28/$D$12</f>
        <v>6.9599999999999995E-2</v>
      </c>
      <c r="F28" s="197">
        <f>INDEX(P27:S31,P32,3)</f>
        <v>6.9599999999999995E-2</v>
      </c>
      <c r="G28" s="146" t="s">
        <v>158</v>
      </c>
      <c r="H28" s="121"/>
      <c r="I28" s="146"/>
      <c r="J28" s="146"/>
      <c r="K28" s="198"/>
      <c r="L28" s="130" t="s">
        <v>147</v>
      </c>
      <c r="M28" s="139"/>
      <c r="N28" s="131"/>
      <c r="O28" s="191" t="s">
        <v>159</v>
      </c>
      <c r="P28" s="191" t="s">
        <v>160</v>
      </c>
      <c r="Q28" s="192">
        <v>4.3499999999999997E-3</v>
      </c>
      <c r="R28" s="193">
        <v>1.044E-2</v>
      </c>
      <c r="S28" s="194">
        <v>1.8530000000000001E-2</v>
      </c>
    </row>
    <row r="29" spans="1:21" x14ac:dyDescent="0.2">
      <c r="B29" s="171"/>
      <c r="C29" s="161"/>
      <c r="D29" s="149">
        <f>SUM(D26:D28)</f>
        <v>2095642.4126399998</v>
      </c>
      <c r="E29" s="150">
        <f>SUM(E26:E28)</f>
        <v>0.27460000000000001</v>
      </c>
      <c r="L29" s="130" t="s">
        <v>161</v>
      </c>
      <c r="N29" s="131"/>
      <c r="O29" s="191" t="s">
        <v>162</v>
      </c>
      <c r="P29" s="191" t="s">
        <v>163</v>
      </c>
      <c r="Q29" s="192">
        <v>7.8300000000000002E-3</v>
      </c>
      <c r="R29" s="193">
        <v>3.4380000000000001E-2</v>
      </c>
      <c r="S29" s="194">
        <v>4.0849999999999997E-2</v>
      </c>
    </row>
    <row r="30" spans="1:21" x14ac:dyDescent="0.2">
      <c r="L30" s="130" t="s">
        <v>164</v>
      </c>
      <c r="O30" s="191" t="s">
        <v>165</v>
      </c>
      <c r="P30" s="191" t="s">
        <v>166</v>
      </c>
      <c r="Q30" s="192">
        <v>1.7399999999999999E-2</v>
      </c>
      <c r="R30" s="193">
        <v>4.3499999999999997E-2</v>
      </c>
      <c r="S30" s="194">
        <v>6.9800000000000001E-2</v>
      </c>
    </row>
    <row r="31" spans="1:21" x14ac:dyDescent="0.2">
      <c r="C31" s="157" t="s">
        <v>98</v>
      </c>
      <c r="D31" s="106">
        <f>E37</f>
        <v>5.7857142857142864E-2</v>
      </c>
      <c r="E31" s="107"/>
      <c r="F31" s="97"/>
      <c r="G31" s="97"/>
      <c r="H31" s="153"/>
      <c r="I31" s="153"/>
      <c r="J31" s="172"/>
      <c r="K31" s="173"/>
      <c r="L31" s="110"/>
      <c r="M31" s="110"/>
      <c r="O31" s="199" t="s">
        <v>167</v>
      </c>
      <c r="P31" s="199" t="s">
        <v>168</v>
      </c>
      <c r="Q31" s="200">
        <v>3.2190000000000003E-2</v>
      </c>
      <c r="R31" s="201">
        <v>6.9599999999999995E-2</v>
      </c>
      <c r="S31" s="202">
        <v>8.6999999999999994E-2</v>
      </c>
    </row>
    <row r="32" spans="1:21" ht="12.75" customHeight="1" x14ac:dyDescent="0.2">
      <c r="A32" s="111" t="s">
        <v>169</v>
      </c>
      <c r="B32" s="158"/>
      <c r="C32" s="159"/>
      <c r="D32" s="112" t="str">
        <f>CONCATENATE(Periodo_Analisis," ",$E$7)</f>
        <v>6 Meses</v>
      </c>
      <c r="E32" s="114" t="s">
        <v>78</v>
      </c>
      <c r="F32" s="115" t="s">
        <v>102</v>
      </c>
      <c r="G32" s="116"/>
      <c r="H32" s="174"/>
      <c r="I32" s="174"/>
      <c r="J32" s="174"/>
      <c r="K32" s="175"/>
      <c r="L32" s="118"/>
      <c r="M32" s="118"/>
      <c r="O32" s="203" t="s">
        <v>170</v>
      </c>
      <c r="P32" s="118">
        <v>5</v>
      </c>
      <c r="S32" s="72"/>
    </row>
    <row r="33" spans="1:23" x14ac:dyDescent="0.2">
      <c r="A33" s="124" t="s">
        <v>171</v>
      </c>
      <c r="B33" s="160"/>
      <c r="C33" s="161"/>
      <c r="D33" s="179">
        <f>IF(H3&gt;10,D12*G33,0)</f>
        <v>0</v>
      </c>
      <c r="E33" s="180">
        <f>D33/$D$12</f>
        <v>0</v>
      </c>
      <c r="F33" s="182">
        <v>0</v>
      </c>
      <c r="G33" s="182">
        <v>0.02</v>
      </c>
      <c r="H33" s="204" t="s">
        <v>172</v>
      </c>
      <c r="I33" s="128"/>
      <c r="J33" s="204"/>
      <c r="K33" s="129"/>
      <c r="L33" s="130" t="s">
        <v>173</v>
      </c>
      <c r="N33" s="131"/>
    </row>
    <row r="34" spans="1:23" x14ac:dyDescent="0.2">
      <c r="A34" s="135" t="s">
        <v>174</v>
      </c>
      <c r="B34" s="163"/>
      <c r="C34" s="164"/>
      <c r="D34" s="186">
        <f>((1*SMMLV)/40)*Periodo_Analisis</f>
        <v>136278.90000000002</v>
      </c>
      <c r="E34" s="187">
        <f>D34/$D$12</f>
        <v>1.7857142857142863E-2</v>
      </c>
      <c r="F34" s="205" t="s">
        <v>175</v>
      </c>
      <c r="G34" s="85"/>
      <c r="H34" s="206"/>
      <c r="J34" s="206"/>
      <c r="K34" s="140"/>
      <c r="L34" s="130" t="s">
        <v>176</v>
      </c>
      <c r="N34" s="131"/>
      <c r="O34" s="71"/>
      <c r="P34" s="72"/>
    </row>
    <row r="35" spans="1:23" x14ac:dyDescent="0.2">
      <c r="A35" s="135" t="s">
        <v>177</v>
      </c>
      <c r="B35" s="163"/>
      <c r="C35" s="164"/>
      <c r="D35" s="186">
        <f>IF(H3&gt;10,D12*G35,0)</f>
        <v>0</v>
      </c>
      <c r="E35" s="187">
        <f>D35/$D$12</f>
        <v>0</v>
      </c>
      <c r="F35" s="182">
        <v>0</v>
      </c>
      <c r="G35" s="182">
        <v>0.03</v>
      </c>
      <c r="H35" s="207" t="s">
        <v>172</v>
      </c>
      <c r="K35" s="140"/>
      <c r="L35" s="130" t="s">
        <v>178</v>
      </c>
      <c r="N35" s="131"/>
      <c r="O35" s="208"/>
      <c r="P35" s="208"/>
    </row>
    <row r="36" spans="1:23" x14ac:dyDescent="0.2">
      <c r="A36" s="142" t="s">
        <v>179</v>
      </c>
      <c r="B36" s="168"/>
      <c r="C36" s="169"/>
      <c r="D36" s="195">
        <f>IF(H3&gt;4,0,D12*G36)</f>
        <v>305264.73599999998</v>
      </c>
      <c r="E36" s="196">
        <f>D36/$D$12</f>
        <v>0.04</v>
      </c>
      <c r="F36" s="182">
        <v>0</v>
      </c>
      <c r="G36" s="182">
        <v>0.04</v>
      </c>
      <c r="H36" s="209" t="s">
        <v>180</v>
      </c>
      <c r="I36" s="146"/>
      <c r="J36" s="146"/>
      <c r="K36" s="147"/>
      <c r="L36" s="130" t="s">
        <v>176</v>
      </c>
      <c r="N36" s="131"/>
      <c r="O36" s="208"/>
      <c r="P36" s="208"/>
    </row>
    <row r="37" spans="1:23" ht="12.75" customHeight="1" x14ac:dyDescent="0.2">
      <c r="B37" s="171"/>
      <c r="C37" s="161"/>
      <c r="D37" s="149">
        <f>SUM(D33:D36)</f>
        <v>441543.636</v>
      </c>
      <c r="E37" s="150">
        <f>SUM(E33:E36)</f>
        <v>5.7857142857142864E-2</v>
      </c>
      <c r="O37" s="208"/>
      <c r="P37" s="208"/>
    </row>
    <row r="38" spans="1:23" x14ac:dyDescent="0.2">
      <c r="O38" s="208"/>
      <c r="P38" s="208"/>
    </row>
    <row r="39" spans="1:23" x14ac:dyDescent="0.2">
      <c r="C39" s="157" t="s">
        <v>98</v>
      </c>
      <c r="D39" s="210">
        <f>E43</f>
        <v>3.5536368013369221E-2</v>
      </c>
      <c r="E39" s="145"/>
      <c r="F39" s="153"/>
      <c r="G39" s="153"/>
      <c r="H39" s="153"/>
      <c r="I39" s="153"/>
      <c r="J39" s="172"/>
      <c r="K39" s="173"/>
      <c r="L39" s="110"/>
      <c r="M39" s="110"/>
      <c r="O39" s="153" t="s">
        <v>181</v>
      </c>
      <c r="T39" s="153" t="s">
        <v>182</v>
      </c>
    </row>
    <row r="40" spans="1:23" x14ac:dyDescent="0.2">
      <c r="A40" s="111" t="s">
        <v>183</v>
      </c>
      <c r="B40" s="158"/>
      <c r="C40" s="159"/>
      <c r="D40" s="112" t="str">
        <f>CONCATENATE(Periodo_Analisis," ",$E$7)</f>
        <v>6 Meses</v>
      </c>
      <c r="E40" s="114" t="s">
        <v>78</v>
      </c>
      <c r="F40" s="115" t="s">
        <v>102</v>
      </c>
      <c r="G40" s="116"/>
      <c r="H40" s="174"/>
      <c r="I40" s="174"/>
      <c r="J40" s="174"/>
      <c r="K40" s="175"/>
      <c r="L40" s="118"/>
      <c r="M40" s="118"/>
      <c r="O40" s="211" t="s">
        <v>184</v>
      </c>
      <c r="P40" s="211" t="s">
        <v>185</v>
      </c>
      <c r="Q40" s="211" t="s">
        <v>186</v>
      </c>
      <c r="R40" s="211" t="s">
        <v>187</v>
      </c>
      <c r="T40" s="211" t="s">
        <v>184</v>
      </c>
      <c r="U40" s="211" t="s">
        <v>185</v>
      </c>
      <c r="V40" s="211" t="s">
        <v>186</v>
      </c>
      <c r="W40" s="212" t="s">
        <v>187</v>
      </c>
    </row>
    <row r="41" spans="1:23" x14ac:dyDescent="0.2">
      <c r="A41" s="124" t="s">
        <v>181</v>
      </c>
      <c r="B41" s="160"/>
      <c r="C41" s="161"/>
      <c r="D41" s="126">
        <f>IF(H3&lt;2,IF(Periodo_Analisis&gt;=3,IF(Periodo_Analisis&gt;=12,R44*3,R44),""),"")</f>
        <v>159700</v>
      </c>
      <c r="E41" s="127">
        <f>D41/$D$12</f>
        <v>2.0926098715837262E-2</v>
      </c>
      <c r="F41" s="213" t="s">
        <v>188</v>
      </c>
      <c r="G41" s="128"/>
      <c r="H41" s="204"/>
      <c r="I41" s="128"/>
      <c r="J41" s="204"/>
      <c r="K41" s="129"/>
      <c r="L41" s="130" t="s">
        <v>189</v>
      </c>
      <c r="N41" s="131"/>
      <c r="O41" s="71" t="s">
        <v>190</v>
      </c>
      <c r="P41" s="72">
        <v>1</v>
      </c>
      <c r="Q41" s="214">
        <v>39900</v>
      </c>
      <c r="R41" s="214">
        <f>Q41*P41</f>
        <v>39900</v>
      </c>
      <c r="T41" s="203" t="s">
        <v>191</v>
      </c>
      <c r="U41" s="71">
        <v>1</v>
      </c>
      <c r="V41" s="214">
        <v>21900</v>
      </c>
      <c r="W41" s="215">
        <f>V41*U41</f>
        <v>21900</v>
      </c>
    </row>
    <row r="42" spans="1:23" x14ac:dyDescent="0.2">
      <c r="A42" s="142" t="s">
        <v>192</v>
      </c>
      <c r="B42" s="163"/>
      <c r="C42" s="164"/>
      <c r="D42" s="137">
        <f>IF(Periodo_Analisis&gt;6,2*W45,1*W45)</f>
        <v>111500</v>
      </c>
      <c r="E42" s="138">
        <f>D42/$D$12</f>
        <v>1.4610269297531963E-2</v>
      </c>
      <c r="F42" s="216" t="s">
        <v>193</v>
      </c>
      <c r="G42" s="146"/>
      <c r="H42" s="217"/>
      <c r="I42" s="146"/>
      <c r="J42" s="217"/>
      <c r="K42" s="147"/>
      <c r="O42" s="71" t="s">
        <v>194</v>
      </c>
      <c r="P42" s="72">
        <v>1</v>
      </c>
      <c r="Q42" s="214">
        <v>44900</v>
      </c>
      <c r="R42" s="214">
        <f>Q42*P42</f>
        <v>44900</v>
      </c>
      <c r="T42" s="203" t="s">
        <v>195</v>
      </c>
      <c r="U42" s="71">
        <v>1</v>
      </c>
      <c r="V42" s="214">
        <v>15900</v>
      </c>
      <c r="W42" s="215">
        <f>V42*U42</f>
        <v>15900</v>
      </c>
    </row>
    <row r="43" spans="1:23" x14ac:dyDescent="0.2">
      <c r="B43" s="171"/>
      <c r="C43" s="161"/>
      <c r="D43" s="149">
        <f>SUM(D41:D42)</f>
        <v>271200</v>
      </c>
      <c r="E43" s="150">
        <f>SUM(E41:E42)</f>
        <v>3.5536368013369221E-2</v>
      </c>
      <c r="O43" s="146" t="s">
        <v>196</v>
      </c>
      <c r="P43" s="218">
        <v>1</v>
      </c>
      <c r="Q43" s="219">
        <v>74900</v>
      </c>
      <c r="R43" s="219">
        <f>Q43*P43</f>
        <v>74900</v>
      </c>
      <c r="T43" s="203" t="s">
        <v>197</v>
      </c>
      <c r="U43" s="71">
        <v>2</v>
      </c>
      <c r="V43" s="214">
        <v>9400</v>
      </c>
      <c r="W43" s="215">
        <f>V43*U43</f>
        <v>18800</v>
      </c>
    </row>
    <row r="44" spans="1:23" x14ac:dyDescent="0.2">
      <c r="D44" s="85"/>
      <c r="E44" s="85"/>
      <c r="O44" s="71"/>
      <c r="Q44" s="214"/>
      <c r="R44" s="220">
        <f>SUM(R41:R43)</f>
        <v>159700</v>
      </c>
      <c r="T44" s="221" t="s">
        <v>198</v>
      </c>
      <c r="U44" s="146">
        <v>1</v>
      </c>
      <c r="V44" s="219">
        <v>54900</v>
      </c>
      <c r="W44" s="222">
        <f>V44*U44</f>
        <v>54900</v>
      </c>
    </row>
    <row r="45" spans="1:23" x14ac:dyDescent="0.2">
      <c r="C45" s="157" t="s">
        <v>98</v>
      </c>
      <c r="D45" s="106">
        <f>E49</f>
        <v>4.6666666666666662E-2</v>
      </c>
      <c r="E45" s="107"/>
      <c r="F45" s="153"/>
      <c r="G45" s="153"/>
      <c r="H45" s="153"/>
      <c r="I45" s="153"/>
      <c r="J45" s="172"/>
      <c r="K45" s="173"/>
      <c r="L45" s="110"/>
      <c r="M45" s="110"/>
      <c r="W45" s="223">
        <f>SUM(W41:W44)</f>
        <v>111500</v>
      </c>
    </row>
    <row r="46" spans="1:23" x14ac:dyDescent="0.2">
      <c r="A46" s="111" t="s">
        <v>199</v>
      </c>
      <c r="B46" s="158"/>
      <c r="C46" s="159"/>
      <c r="D46" s="112" t="str">
        <f>CONCATENATE(Periodo_Analisis," ",$E$7)</f>
        <v>6 Meses</v>
      </c>
      <c r="E46" s="114" t="s">
        <v>78</v>
      </c>
      <c r="F46" s="224" t="s">
        <v>102</v>
      </c>
      <c r="G46" s="174"/>
      <c r="H46" s="174"/>
      <c r="I46" s="174"/>
      <c r="J46" s="174"/>
      <c r="K46" s="175"/>
      <c r="L46" s="118"/>
      <c r="M46" s="118"/>
      <c r="O46" s="206" t="s">
        <v>200</v>
      </c>
      <c r="T46" s="206" t="s">
        <v>200</v>
      </c>
    </row>
    <row r="47" spans="1:23" x14ac:dyDescent="0.2">
      <c r="A47" s="135" t="s">
        <v>201</v>
      </c>
      <c r="B47" s="163"/>
      <c r="C47" s="164"/>
      <c r="D47" s="137">
        <f>(Periodo_Analisis/12)*15*B12</f>
        <v>317984.09999999998</v>
      </c>
      <c r="E47" s="138">
        <f>D47/$D$12</f>
        <v>4.1666666666666664E-2</v>
      </c>
      <c r="F47" s="71" t="s">
        <v>202</v>
      </c>
      <c r="I47" s="139"/>
      <c r="K47" s="140"/>
      <c r="L47" s="130" t="s">
        <v>203</v>
      </c>
      <c r="N47" s="131"/>
      <c r="O47" s="206" t="s">
        <v>207</v>
      </c>
      <c r="T47" s="206" t="s">
        <v>207</v>
      </c>
    </row>
    <row r="48" spans="1:23" x14ac:dyDescent="0.2">
      <c r="A48" s="142" t="s">
        <v>205</v>
      </c>
      <c r="B48" s="163"/>
      <c r="C48" s="164"/>
      <c r="D48" s="137">
        <f>D12*0.005</f>
        <v>38158.091999999997</v>
      </c>
      <c r="E48" s="138">
        <f>D48/$D$12</f>
        <v>5.0000000000000001E-3</v>
      </c>
      <c r="F48" s="216" t="s">
        <v>206</v>
      </c>
      <c r="G48" s="146"/>
      <c r="H48" s="217"/>
      <c r="I48" s="146"/>
      <c r="J48" s="217"/>
      <c r="K48" s="147"/>
      <c r="N48" s="131"/>
    </row>
    <row r="49" spans="2:18" x14ac:dyDescent="0.2">
      <c r="B49" s="171"/>
      <c r="C49" s="161"/>
      <c r="D49" s="149">
        <f>SUM(D47:D48)</f>
        <v>356142.19199999998</v>
      </c>
      <c r="E49" s="150">
        <f>SUM(E47:E48)</f>
        <v>4.6666666666666662E-2</v>
      </c>
    </row>
    <row r="51" spans="2:18" x14ac:dyDescent="0.2">
      <c r="D51" s="225"/>
    </row>
    <row r="52" spans="2:18" x14ac:dyDescent="0.2">
      <c r="R52" s="226"/>
    </row>
    <row r="53" spans="2:18" x14ac:dyDescent="0.2">
      <c r="H53" s="227"/>
      <c r="K53" s="228"/>
    </row>
    <row r="54" spans="2:18" x14ac:dyDescent="0.2">
      <c r="H54" s="227"/>
      <c r="K54" s="228"/>
    </row>
    <row r="55" spans="2:18" x14ac:dyDescent="0.2">
      <c r="H55" s="227"/>
      <c r="K55" s="228"/>
    </row>
    <row r="57" spans="2:18" x14ac:dyDescent="0.2">
      <c r="H57" s="229"/>
    </row>
  </sheetData>
  <mergeCells count="6">
    <mergeCell ref="B7:C7"/>
    <mergeCell ref="A1:K1"/>
    <mergeCell ref="H2:I2"/>
    <mergeCell ref="H3:I3"/>
    <mergeCell ref="H4:I4"/>
    <mergeCell ref="H5:I5"/>
  </mergeCells>
  <phoneticPr fontId="3" type="noConversion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57"/>
  <sheetViews>
    <sheetView tabSelected="1" workbookViewId="0">
      <selection activeCell="A17" sqref="A17"/>
    </sheetView>
  </sheetViews>
  <sheetFormatPr baseColWidth="10" defaultRowHeight="14.25" x14ac:dyDescent="0.2"/>
  <cols>
    <col min="1" max="1" width="34.42578125" style="71" bestFit="1" customWidth="1"/>
    <col min="2" max="2" width="12.5703125" style="71" bestFit="1" customWidth="1"/>
    <col min="3" max="3" width="13.85546875" style="71" customWidth="1"/>
    <col min="4" max="4" width="13.42578125" style="71" customWidth="1"/>
    <col min="5" max="5" width="7.85546875" style="71" bestFit="1" customWidth="1"/>
    <col min="6" max="13" width="11.7109375" style="71" customWidth="1"/>
    <col min="14" max="14" width="11.42578125" style="71"/>
    <col min="15" max="15" width="11.42578125" style="72"/>
    <col min="16" max="16" width="8.5703125" style="71" bestFit="1" customWidth="1"/>
    <col min="17" max="17" width="13.85546875" style="71" customWidth="1"/>
    <col min="18" max="18" width="15" style="71" bestFit="1" customWidth="1"/>
    <col min="19" max="19" width="13" style="71" bestFit="1" customWidth="1"/>
    <col min="20" max="20" width="11.42578125" style="71"/>
    <col min="21" max="22" width="11.7109375" style="71" bestFit="1" customWidth="1"/>
    <col min="23" max="23" width="9.85546875" style="71" bestFit="1" customWidth="1"/>
    <col min="24" max="24" width="28" style="71" bestFit="1" customWidth="1"/>
    <col min="25" max="25" width="13" style="71" bestFit="1" customWidth="1"/>
    <col min="26" max="26" width="10.28515625" style="71" bestFit="1" customWidth="1"/>
    <col min="27" max="27" width="8.7109375" style="71" bestFit="1" customWidth="1"/>
    <col min="28" max="28" width="9.5703125" style="71" bestFit="1" customWidth="1"/>
    <col min="29" max="29" width="10.140625" style="71" bestFit="1" customWidth="1"/>
    <col min="30" max="30" width="18.42578125" style="71" bestFit="1" customWidth="1"/>
    <col min="31" max="31" width="15.5703125" style="71" bestFit="1" customWidth="1"/>
    <col min="32" max="32" width="11.7109375" style="71" bestFit="1" customWidth="1"/>
    <col min="33" max="16384" width="11.42578125" style="71"/>
  </cols>
  <sheetData>
    <row r="1" spans="1:32" x14ac:dyDescent="0.2">
      <c r="A1" s="374" t="s">
        <v>79</v>
      </c>
      <c r="B1" s="375"/>
      <c r="C1" s="375"/>
      <c r="D1" s="375"/>
      <c r="E1" s="375"/>
      <c r="F1" s="375"/>
      <c r="G1" s="375"/>
      <c r="H1" s="375"/>
      <c r="I1" s="375"/>
      <c r="J1" s="375"/>
      <c r="K1" s="376"/>
      <c r="L1" s="70"/>
      <c r="M1" s="70"/>
    </row>
    <row r="2" spans="1:32" x14ac:dyDescent="0.2">
      <c r="A2" s="73" t="s">
        <v>80</v>
      </c>
      <c r="B2" s="74" t="s">
        <v>81</v>
      </c>
      <c r="C2" s="75"/>
      <c r="D2" s="76" t="s">
        <v>82</v>
      </c>
      <c r="E2" s="77">
        <f>ROUND(E3*E4,2)</f>
        <v>2.2599999999999998</v>
      </c>
      <c r="F2" s="75"/>
      <c r="G2" s="78" t="s">
        <v>83</v>
      </c>
      <c r="H2" s="377" t="s">
        <v>84</v>
      </c>
      <c r="I2" s="378"/>
      <c r="J2" s="79"/>
      <c r="K2" s="80"/>
      <c r="L2" s="81"/>
      <c r="M2" s="81"/>
    </row>
    <row r="3" spans="1:32" x14ac:dyDescent="0.2">
      <c r="A3" s="73" t="s">
        <v>85</v>
      </c>
      <c r="B3" s="74">
        <v>2021</v>
      </c>
      <c r="C3" s="75"/>
      <c r="D3" s="82" t="s">
        <v>86</v>
      </c>
      <c r="E3" s="77">
        <f>ROUND(D10+D17+D24+D31+D39+D45,2)</f>
        <v>1.75</v>
      </c>
      <c r="F3" s="75"/>
      <c r="G3" s="78" t="s">
        <v>87</v>
      </c>
      <c r="H3" s="379">
        <f>H4/SMMLV</f>
        <v>1</v>
      </c>
      <c r="I3" s="380"/>
      <c r="J3" s="79"/>
      <c r="K3" s="80"/>
      <c r="L3" s="83"/>
      <c r="M3" s="81"/>
    </row>
    <row r="4" spans="1:32" x14ac:dyDescent="0.2">
      <c r="A4" s="73" t="s">
        <v>88</v>
      </c>
      <c r="B4" s="84">
        <v>908526</v>
      </c>
      <c r="C4" s="75"/>
      <c r="D4" s="82" t="s">
        <v>89</v>
      </c>
      <c r="E4" s="77">
        <f>IF(H2="TRABAJADOR",ROUND(R16,2),1)</f>
        <v>1.29</v>
      </c>
      <c r="F4" s="85"/>
      <c r="G4" s="78" t="s">
        <v>87</v>
      </c>
      <c r="H4" s="381">
        <f>1*SMMLV</f>
        <v>908526</v>
      </c>
      <c r="I4" s="382"/>
      <c r="J4" s="79"/>
      <c r="K4" s="80"/>
      <c r="L4" s="86" t="s">
        <v>90</v>
      </c>
      <c r="M4" s="81"/>
      <c r="T4" s="72"/>
      <c r="U4" s="72"/>
    </row>
    <row r="5" spans="1:32" x14ac:dyDescent="0.2">
      <c r="A5" s="73" t="s">
        <v>91</v>
      </c>
      <c r="B5" s="84">
        <v>106454</v>
      </c>
      <c r="C5" s="75"/>
      <c r="D5" s="75"/>
      <c r="E5" s="79"/>
      <c r="F5" s="75"/>
      <c r="G5" s="78" t="s">
        <v>92</v>
      </c>
      <c r="H5" s="381">
        <f>ROUND(H4*E2,0)/(30*8)</f>
        <v>8555.2875000000004</v>
      </c>
      <c r="I5" s="382"/>
      <c r="J5" s="79"/>
      <c r="K5" s="80"/>
      <c r="L5" s="87" t="s">
        <v>93</v>
      </c>
      <c r="M5" s="81"/>
      <c r="T5" s="72"/>
      <c r="U5" s="72"/>
    </row>
    <row r="6" spans="1:32" x14ac:dyDescent="0.2">
      <c r="A6" s="88"/>
      <c r="B6" s="89"/>
      <c r="C6" s="89"/>
      <c r="D6" s="90"/>
      <c r="E6" s="91"/>
      <c r="F6" s="90"/>
      <c r="G6" s="91"/>
      <c r="H6" s="91"/>
      <c r="I6" s="91"/>
      <c r="J6" s="91"/>
      <c r="K6" s="92"/>
      <c r="L6" s="81"/>
      <c r="M6" s="81"/>
      <c r="T6" s="72"/>
      <c r="U6" s="72"/>
    </row>
    <row r="7" spans="1:32" x14ac:dyDescent="0.2">
      <c r="B7" s="372" t="s">
        <v>94</v>
      </c>
      <c r="C7" s="373"/>
      <c r="D7" s="93">
        <v>6</v>
      </c>
      <c r="E7" s="94" t="s">
        <v>95</v>
      </c>
      <c r="F7" s="95"/>
      <c r="G7" s="95"/>
      <c r="H7" s="95"/>
      <c r="I7" s="95"/>
      <c r="J7" s="95"/>
      <c r="K7" s="96"/>
      <c r="T7" s="72"/>
      <c r="U7" s="72"/>
    </row>
    <row r="8" spans="1:32" x14ac:dyDescent="0.2">
      <c r="C8" s="97"/>
      <c r="D8" s="97"/>
      <c r="E8" s="97"/>
      <c r="F8" s="97"/>
      <c r="G8" s="97"/>
      <c r="H8" s="97"/>
      <c r="I8" s="97"/>
      <c r="J8" s="97"/>
      <c r="K8" s="98"/>
      <c r="L8" s="98"/>
      <c r="M8" s="98"/>
      <c r="T8" s="72"/>
      <c r="U8" s="72"/>
    </row>
    <row r="9" spans="1:32" x14ac:dyDescent="0.2">
      <c r="A9" s="99" t="s">
        <v>96</v>
      </c>
      <c r="C9" s="97"/>
      <c r="D9" s="97"/>
      <c r="E9" s="97"/>
      <c r="F9" s="97"/>
      <c r="G9" s="97"/>
      <c r="H9" s="97"/>
      <c r="I9" s="97"/>
      <c r="J9" s="97"/>
      <c r="K9" s="98"/>
      <c r="L9" s="98"/>
      <c r="M9" s="98"/>
      <c r="N9" s="85"/>
      <c r="O9" s="101" t="s">
        <v>97</v>
      </c>
      <c r="P9" s="102"/>
      <c r="Q9" s="103"/>
      <c r="R9" s="72"/>
    </row>
    <row r="10" spans="1:32" x14ac:dyDescent="0.2">
      <c r="C10" s="105" t="s">
        <v>98</v>
      </c>
      <c r="D10" s="106">
        <f>E15</f>
        <v>1.1171722108117985</v>
      </c>
      <c r="E10" s="107"/>
      <c r="F10" s="97"/>
      <c r="G10" s="97"/>
      <c r="H10" s="97"/>
      <c r="I10" s="97"/>
      <c r="J10" s="108"/>
      <c r="K10" s="109"/>
      <c r="L10" s="110"/>
      <c r="M10" s="110"/>
    </row>
    <row r="11" spans="1:32" x14ac:dyDescent="0.2">
      <c r="A11" s="111" t="s">
        <v>99</v>
      </c>
      <c r="B11" s="112" t="s">
        <v>100</v>
      </c>
      <c r="C11" s="113" t="s">
        <v>101</v>
      </c>
      <c r="D11" s="112" t="str">
        <f>CONCATENATE(Periodo_Analisis," ",$E$7)</f>
        <v>6 Meses</v>
      </c>
      <c r="E11" s="114" t="s">
        <v>78</v>
      </c>
      <c r="F11" s="115" t="s">
        <v>102</v>
      </c>
      <c r="G11" s="116"/>
      <c r="H11" s="116"/>
      <c r="I11" s="116"/>
      <c r="J11" s="116"/>
      <c r="K11" s="117"/>
      <c r="L11" s="118"/>
      <c r="M11" s="118"/>
      <c r="O11" s="211" t="s">
        <v>103</v>
      </c>
      <c r="P11" s="211"/>
      <c r="Q11" s="211"/>
      <c r="R11" s="212">
        <f>Periodo_Analisis</f>
        <v>6</v>
      </c>
      <c r="S11" s="211" t="s">
        <v>104</v>
      </c>
      <c r="T11" s="146"/>
      <c r="U11" s="146"/>
      <c r="X11" s="122" t="s">
        <v>105</v>
      </c>
      <c r="Y11" s="122" t="s">
        <v>106</v>
      </c>
      <c r="Z11" s="123" t="s">
        <v>107</v>
      </c>
      <c r="AA11" s="123" t="s">
        <v>108</v>
      </c>
      <c r="AB11" s="123" t="s">
        <v>109</v>
      </c>
      <c r="AC11" s="123" t="s">
        <v>110</v>
      </c>
      <c r="AD11" s="122" t="s">
        <v>111</v>
      </c>
      <c r="AE11" s="122" t="s">
        <v>112</v>
      </c>
      <c r="AF11" s="122" t="s">
        <v>113</v>
      </c>
    </row>
    <row r="12" spans="1:32" x14ac:dyDescent="0.2">
      <c r="A12" s="230" t="s">
        <v>114</v>
      </c>
      <c r="B12" s="231">
        <f>C12/30</f>
        <v>30284.2</v>
      </c>
      <c r="C12" s="84">
        <f>H4</f>
        <v>908526</v>
      </c>
      <c r="D12" s="126">
        <f>C12*Periodo_Analisis</f>
        <v>5451156</v>
      </c>
      <c r="E12" s="127">
        <f>D12/$D$12</f>
        <v>1</v>
      </c>
      <c r="F12" s="128" t="s">
        <v>115</v>
      </c>
      <c r="G12" s="128"/>
      <c r="H12" s="128"/>
      <c r="I12" s="128"/>
      <c r="J12" s="128"/>
      <c r="K12" s="129"/>
      <c r="L12" s="130" t="s">
        <v>116</v>
      </c>
      <c r="N12" s="131"/>
      <c r="O12" s="71" t="s">
        <v>117</v>
      </c>
      <c r="R12" s="72">
        <f>30*'[1]AYUDANTE-2021'!Periodo_Analisis</f>
        <v>180</v>
      </c>
      <c r="S12" s="71" t="s">
        <v>118</v>
      </c>
      <c r="T12" s="71" t="s">
        <v>119</v>
      </c>
      <c r="U12" s="72">
        <f>VLOOKUP($R$11,'[1]AYUDANTE-2021'!$X$11:$AF$16,3,FALSE)</f>
        <v>26</v>
      </c>
      <c r="V12" s="72"/>
      <c r="X12" s="132">
        <v>12</v>
      </c>
      <c r="Y12" s="133">
        <f>12*30</f>
        <v>360</v>
      </c>
      <c r="Z12" s="133">
        <v>52</v>
      </c>
      <c r="AA12" s="133">
        <v>19</v>
      </c>
      <c r="AB12" s="133">
        <v>3</v>
      </c>
      <c r="AC12" s="133">
        <v>3</v>
      </c>
      <c r="AD12" s="133">
        <f>SUM(Z12:AC12)</f>
        <v>77</v>
      </c>
      <c r="AE12" s="133">
        <f>Y12-AD12</f>
        <v>283</v>
      </c>
      <c r="AF12" s="134">
        <f>ROUND(Y12/AE12,2)</f>
        <v>1.27</v>
      </c>
    </row>
    <row r="13" spans="1:32" x14ac:dyDescent="0.2">
      <c r="A13" s="135" t="s">
        <v>120</v>
      </c>
      <c r="B13" s="136">
        <f>C13/30</f>
        <v>3548.4666666666667</v>
      </c>
      <c r="C13" s="137">
        <f>IF(C12&gt;2*SMMLV,0,AUX._TRANSP.)</f>
        <v>106454</v>
      </c>
      <c r="D13" s="137">
        <f>IF(H3&gt;2,0,AUX._TRANSP.)*Periodo_Analisis</f>
        <v>638724</v>
      </c>
      <c r="E13" s="138">
        <f>D13/$D$12</f>
        <v>0.11717221081179845</v>
      </c>
      <c r="F13" s="71" t="s">
        <v>121</v>
      </c>
      <c r="H13" s="71" t="s">
        <v>122</v>
      </c>
      <c r="I13" s="139"/>
      <c r="K13" s="140"/>
      <c r="L13" s="130" t="s">
        <v>123</v>
      </c>
      <c r="N13" s="131"/>
      <c r="O13" s="71" t="s">
        <v>124</v>
      </c>
      <c r="R13" s="72">
        <f>SUM(U12:U15)</f>
        <v>40</v>
      </c>
      <c r="S13" s="71" t="s">
        <v>118</v>
      </c>
      <c r="T13" s="71" t="s">
        <v>125</v>
      </c>
      <c r="U13" s="72">
        <f>VLOOKUP($R$11,'[1]AYUDANTE-2021'!$X$11:$AF$16,4,FALSE)</f>
        <v>10</v>
      </c>
      <c r="V13" s="72"/>
      <c r="X13" s="141">
        <v>9</v>
      </c>
      <c r="Y13" s="133">
        <f>9*30</f>
        <v>270</v>
      </c>
      <c r="Z13" s="133">
        <v>39</v>
      </c>
      <c r="AA13" s="133">
        <v>13</v>
      </c>
      <c r="AB13" s="133">
        <v>3</v>
      </c>
      <c r="AC13" s="133">
        <v>3</v>
      </c>
      <c r="AD13" s="133">
        <f>SUM(Z13:AC13)</f>
        <v>58</v>
      </c>
      <c r="AE13" s="133">
        <f>Y13-AD13</f>
        <v>212</v>
      </c>
      <c r="AF13" s="134">
        <f>ROUND(Y13/AE13,2)</f>
        <v>1.27</v>
      </c>
    </row>
    <row r="14" spans="1:32" x14ac:dyDescent="0.2">
      <c r="A14" s="142" t="s">
        <v>126</v>
      </c>
      <c r="B14" s="143"/>
      <c r="C14" s="143"/>
      <c r="D14" s="143"/>
      <c r="E14" s="144"/>
      <c r="F14" s="145" t="s">
        <v>127</v>
      </c>
      <c r="G14" s="146"/>
      <c r="H14" s="146"/>
      <c r="I14" s="146"/>
      <c r="J14" s="146"/>
      <c r="K14" s="147"/>
      <c r="L14" s="130" t="s">
        <v>128</v>
      </c>
      <c r="N14" s="131"/>
      <c r="O14" s="71" t="s">
        <v>129</v>
      </c>
      <c r="R14" s="72">
        <f>R12-R13</f>
        <v>140</v>
      </c>
      <c r="S14" s="71" t="s">
        <v>118</v>
      </c>
      <c r="T14" s="71" t="s">
        <v>130</v>
      </c>
      <c r="U14" s="72">
        <f>VLOOKUP($R$11,'[1]AYUDANTE-2021'!$X$11:$AF$16,5,FALSE)</f>
        <v>2</v>
      </c>
      <c r="V14" s="72"/>
      <c r="X14" s="141">
        <v>6</v>
      </c>
      <c r="Y14" s="133">
        <f>6*30</f>
        <v>180</v>
      </c>
      <c r="Z14" s="133">
        <v>26</v>
      </c>
      <c r="AA14" s="133">
        <v>10</v>
      </c>
      <c r="AB14" s="133">
        <v>2</v>
      </c>
      <c r="AC14" s="133">
        <v>2</v>
      </c>
      <c r="AD14" s="133">
        <f>SUM(Z14:AC14)</f>
        <v>40</v>
      </c>
      <c r="AE14" s="133">
        <f>Y14-AD14</f>
        <v>140</v>
      </c>
      <c r="AF14" s="134">
        <f>ROUND(Y14/AE14,2)</f>
        <v>1.29</v>
      </c>
    </row>
    <row r="15" spans="1:32" x14ac:dyDescent="0.2">
      <c r="B15" s="148">
        <f>SUM(B12:B14)</f>
        <v>33832.666666666664</v>
      </c>
      <c r="C15" s="149">
        <f>SUM(C12:C14)</f>
        <v>1014980</v>
      </c>
      <c r="D15" s="149">
        <f>SUM(D12:D14)</f>
        <v>6089880</v>
      </c>
      <c r="E15" s="150">
        <f>SUM(E12:E14)</f>
        <v>1.1171722108117985</v>
      </c>
      <c r="O15" s="146"/>
      <c r="P15" s="146"/>
      <c r="Q15" s="146"/>
      <c r="R15" s="218"/>
      <c r="S15" s="146"/>
      <c r="T15" s="146" t="s">
        <v>131</v>
      </c>
      <c r="U15" s="218">
        <f>VLOOKUP($R$11,'[1]AYUDANTE-2021'!$X$11:$AF$16,6,FALSE)</f>
        <v>2</v>
      </c>
      <c r="V15" s="72"/>
      <c r="X15" s="141">
        <v>3</v>
      </c>
      <c r="Y15" s="133">
        <f>3*30</f>
        <v>90</v>
      </c>
      <c r="Z15" s="133">
        <v>13</v>
      </c>
      <c r="AA15" s="133">
        <v>3</v>
      </c>
      <c r="AB15" s="133">
        <v>2</v>
      </c>
      <c r="AC15" s="133">
        <v>2</v>
      </c>
      <c r="AD15" s="133">
        <f>SUM(Z15:AC15)</f>
        <v>20</v>
      </c>
      <c r="AE15" s="133">
        <f>Y15-AD15</f>
        <v>70</v>
      </c>
      <c r="AF15" s="134">
        <f>ROUND(Y15/AE15,2)</f>
        <v>1.29</v>
      </c>
    </row>
    <row r="16" spans="1:32" x14ac:dyDescent="0.2">
      <c r="B16" s="152"/>
      <c r="O16" s="153" t="s">
        <v>113</v>
      </c>
      <c r="P16" s="153"/>
      <c r="Q16" s="153"/>
      <c r="R16" s="118">
        <f>ROUND(R12/R14,2)</f>
        <v>1.29</v>
      </c>
      <c r="X16" s="154">
        <v>1</v>
      </c>
      <c r="Y16" s="155">
        <f>1*30</f>
        <v>30</v>
      </c>
      <c r="Z16" s="155">
        <v>4</v>
      </c>
      <c r="AA16" s="155">
        <v>2</v>
      </c>
      <c r="AB16" s="155">
        <v>1</v>
      </c>
      <c r="AC16" s="155">
        <v>1</v>
      </c>
      <c r="AD16" s="155">
        <f>SUM(Z16:AC16)</f>
        <v>8</v>
      </c>
      <c r="AE16" s="155">
        <f>Y16-AD16</f>
        <v>22</v>
      </c>
      <c r="AF16" s="156">
        <f>ROUND(Y16/AE16,2)</f>
        <v>1.36</v>
      </c>
    </row>
    <row r="17" spans="1:21" x14ac:dyDescent="0.2">
      <c r="C17" s="157" t="s">
        <v>98</v>
      </c>
      <c r="D17" s="106">
        <f>E22</f>
        <v>0.19178122952269205</v>
      </c>
      <c r="E17" s="107"/>
      <c r="F17" s="97"/>
      <c r="G17" s="97"/>
      <c r="H17" s="97"/>
      <c r="I17" s="97"/>
      <c r="J17" s="108"/>
      <c r="K17" s="109"/>
      <c r="L17" s="110"/>
      <c r="M17" s="110"/>
      <c r="S17" s="72"/>
      <c r="T17" s="72"/>
      <c r="U17" s="72"/>
    </row>
    <row r="18" spans="1:21" x14ac:dyDescent="0.2">
      <c r="A18" s="111" t="s">
        <v>132</v>
      </c>
      <c r="B18" s="158"/>
      <c r="C18" s="159"/>
      <c r="D18" s="112" t="str">
        <f>CONCATENATE(Periodo_Analisis," ",$E$7)</f>
        <v>6 Meses</v>
      </c>
      <c r="E18" s="114" t="s">
        <v>78</v>
      </c>
      <c r="F18" s="115" t="s">
        <v>102</v>
      </c>
      <c r="G18" s="116"/>
      <c r="H18" s="116"/>
      <c r="I18" s="116"/>
      <c r="J18" s="116"/>
      <c r="K18" s="117"/>
      <c r="L18" s="118"/>
      <c r="M18" s="118"/>
      <c r="S18" s="72"/>
      <c r="T18" s="72"/>
      <c r="U18" s="72"/>
    </row>
    <row r="19" spans="1:21" x14ac:dyDescent="0.2">
      <c r="A19" s="124" t="s">
        <v>133</v>
      </c>
      <c r="B19" s="160"/>
      <c r="C19" s="161"/>
      <c r="D19" s="126">
        <f>30*B15*(Periodo_Analisis/12)</f>
        <v>507489.99999999994</v>
      </c>
      <c r="E19" s="127">
        <f>D19/$D$12</f>
        <v>9.3097684234316525E-2</v>
      </c>
      <c r="F19" s="232" t="s">
        <v>134</v>
      </c>
      <c r="G19" s="128"/>
      <c r="H19" s="128"/>
      <c r="I19" s="162"/>
      <c r="J19" s="128"/>
      <c r="K19" s="129"/>
      <c r="L19" s="130" t="s">
        <v>135</v>
      </c>
      <c r="N19" s="131"/>
    </row>
    <row r="20" spans="1:21" x14ac:dyDescent="0.2">
      <c r="A20" s="135" t="s">
        <v>136</v>
      </c>
      <c r="B20" s="163"/>
      <c r="C20" s="164"/>
      <c r="D20" s="137">
        <f>D19*(F20/12)*Periodo_Analisis</f>
        <v>30449.399999999998</v>
      </c>
      <c r="E20" s="138">
        <f>D20/$D$12</f>
        <v>5.5858610540589918E-3</v>
      </c>
      <c r="F20" s="233">
        <v>0.12</v>
      </c>
      <c r="G20" s="71" t="s">
        <v>137</v>
      </c>
      <c r="I20" s="139"/>
      <c r="K20" s="140"/>
      <c r="L20" s="130" t="s">
        <v>138</v>
      </c>
      <c r="N20" s="131"/>
      <c r="P20" s="166"/>
      <c r="Q20" s="167"/>
    </row>
    <row r="21" spans="1:21" x14ac:dyDescent="0.2">
      <c r="A21" s="142" t="s">
        <v>139</v>
      </c>
      <c r="B21" s="168"/>
      <c r="C21" s="169"/>
      <c r="D21" s="143">
        <f>30*B15*(Periodo_Analisis/12)</f>
        <v>507489.99999999994</v>
      </c>
      <c r="E21" s="144">
        <f>D21/$D$12</f>
        <v>9.3097684234316525E-2</v>
      </c>
      <c r="F21" s="146" t="s">
        <v>140</v>
      </c>
      <c r="G21" s="146"/>
      <c r="H21" s="146"/>
      <c r="I21" s="170"/>
      <c r="J21" s="146"/>
      <c r="K21" s="147"/>
      <c r="L21" s="130" t="s">
        <v>141</v>
      </c>
      <c r="N21" s="131"/>
      <c r="P21" s="166"/>
      <c r="Q21" s="166"/>
    </row>
    <row r="22" spans="1:21" x14ac:dyDescent="0.2">
      <c r="B22" s="171"/>
      <c r="C22" s="161"/>
      <c r="D22" s="149">
        <f>SUM(D19:D21)</f>
        <v>1045429.3999999999</v>
      </c>
      <c r="E22" s="150">
        <f>SUM(E19:E21)</f>
        <v>0.19178122952269205</v>
      </c>
    </row>
    <row r="24" spans="1:21" x14ac:dyDescent="0.2">
      <c r="C24" s="157" t="s">
        <v>98</v>
      </c>
      <c r="D24" s="210">
        <f>E29</f>
        <v>0.27460000000000001</v>
      </c>
      <c r="E24" s="145"/>
      <c r="F24" s="153"/>
      <c r="G24" s="97"/>
      <c r="H24" s="97"/>
      <c r="I24" s="97"/>
      <c r="J24" s="108"/>
      <c r="K24" s="109"/>
      <c r="L24" s="110"/>
      <c r="M24" s="110"/>
    </row>
    <row r="25" spans="1:21" x14ac:dyDescent="0.2">
      <c r="A25" s="111" t="s">
        <v>142</v>
      </c>
      <c r="B25" s="158"/>
      <c r="C25" s="159"/>
      <c r="D25" s="112" t="str">
        <f>CONCATENATE(Periodo_Analisis," ",$E$7)</f>
        <v>6 Meses</v>
      </c>
      <c r="E25" s="114" t="s">
        <v>78</v>
      </c>
      <c r="F25" s="115" t="s">
        <v>102</v>
      </c>
      <c r="G25" s="116"/>
      <c r="H25" s="116"/>
      <c r="I25" s="116"/>
      <c r="J25" s="116"/>
      <c r="K25" s="117"/>
      <c r="L25" s="118"/>
      <c r="M25" s="118"/>
      <c r="O25" s="176" t="s">
        <v>143</v>
      </c>
      <c r="P25" s="177"/>
      <c r="Q25" s="177"/>
      <c r="R25" s="177"/>
      <c r="S25" s="178"/>
    </row>
    <row r="26" spans="1:21" x14ac:dyDescent="0.2">
      <c r="A26" s="124" t="s">
        <v>144</v>
      </c>
      <c r="B26" s="160"/>
      <c r="C26" s="161"/>
      <c r="D26" s="126">
        <f>D12*H26</f>
        <v>654138.72</v>
      </c>
      <c r="E26" s="127">
        <f>D26/$D$12</f>
        <v>0.12</v>
      </c>
      <c r="F26" s="181">
        <v>0.16</v>
      </c>
      <c r="G26" s="128" t="s">
        <v>145</v>
      </c>
      <c r="H26" s="182">
        <f>3/4*F26</f>
        <v>0.12</v>
      </c>
      <c r="I26" s="128" t="s">
        <v>146</v>
      </c>
      <c r="J26" s="183">
        <f>1/4*F26</f>
        <v>0.04</v>
      </c>
      <c r="K26" s="184"/>
      <c r="L26" s="130" t="s">
        <v>147</v>
      </c>
      <c r="M26" s="139"/>
      <c r="N26" s="131"/>
      <c r="O26" s="112" t="s">
        <v>148</v>
      </c>
      <c r="P26" s="111" t="s">
        <v>149</v>
      </c>
      <c r="Q26" s="185" t="s">
        <v>150</v>
      </c>
      <c r="R26" s="111" t="s">
        <v>151</v>
      </c>
      <c r="S26" s="114" t="s">
        <v>152</v>
      </c>
    </row>
    <row r="27" spans="1:21" x14ac:dyDescent="0.2">
      <c r="A27" s="135" t="s">
        <v>153</v>
      </c>
      <c r="B27" s="163"/>
      <c r="C27" s="164"/>
      <c r="D27" s="137">
        <f>D12*H27</f>
        <v>463348.26</v>
      </c>
      <c r="E27" s="138">
        <f>D27/$D$12</f>
        <v>8.5000000000000006E-2</v>
      </c>
      <c r="F27" s="181">
        <v>0.125</v>
      </c>
      <c r="G27" s="188" t="s">
        <v>145</v>
      </c>
      <c r="H27" s="182">
        <f>0.085</f>
        <v>8.5000000000000006E-2</v>
      </c>
      <c r="I27" s="71" t="s">
        <v>146</v>
      </c>
      <c r="J27" s="189">
        <f>0.04</f>
        <v>0.04</v>
      </c>
      <c r="K27" s="190"/>
      <c r="L27" s="130" t="s">
        <v>154</v>
      </c>
      <c r="M27" s="139"/>
      <c r="N27" s="131"/>
      <c r="O27" s="191" t="s">
        <v>155</v>
      </c>
      <c r="P27" s="191" t="s">
        <v>156</v>
      </c>
      <c r="Q27" s="192">
        <v>3.48E-3</v>
      </c>
      <c r="R27" s="193">
        <v>5.2199999999999998E-3</v>
      </c>
      <c r="S27" s="194">
        <v>6.9499999999999996E-3</v>
      </c>
    </row>
    <row r="28" spans="1:21" ht="15.75" customHeight="1" x14ac:dyDescent="0.2">
      <c r="A28" s="142" t="s">
        <v>157</v>
      </c>
      <c r="B28" s="168"/>
      <c r="C28" s="169"/>
      <c r="D28" s="143">
        <f>D12*F28</f>
        <v>379400.45759999997</v>
      </c>
      <c r="E28" s="144">
        <f>D28/$D$12</f>
        <v>6.9599999999999995E-2</v>
      </c>
      <c r="F28" s="197">
        <f>INDEX(P27:S31,P32,3)</f>
        <v>6.9599999999999995E-2</v>
      </c>
      <c r="G28" s="146" t="s">
        <v>158</v>
      </c>
      <c r="H28" s="146"/>
      <c r="I28" s="146"/>
      <c r="J28" s="146"/>
      <c r="K28" s="198"/>
      <c r="L28" s="130" t="s">
        <v>147</v>
      </c>
      <c r="M28" s="139"/>
      <c r="N28" s="131"/>
      <c r="O28" s="191" t="s">
        <v>159</v>
      </c>
      <c r="P28" s="191" t="s">
        <v>160</v>
      </c>
      <c r="Q28" s="192">
        <v>4.3499999999999997E-3</v>
      </c>
      <c r="R28" s="193">
        <v>1.044E-2</v>
      </c>
      <c r="S28" s="194">
        <v>1.8530000000000001E-2</v>
      </c>
    </row>
    <row r="29" spans="1:21" x14ac:dyDescent="0.2">
      <c r="B29" s="171"/>
      <c r="C29" s="161"/>
      <c r="D29" s="149">
        <f>SUM(D26:D28)</f>
        <v>1496887.4375999998</v>
      </c>
      <c r="E29" s="150">
        <f>SUM(E26:E28)</f>
        <v>0.27460000000000001</v>
      </c>
      <c r="L29" s="130" t="s">
        <v>161</v>
      </c>
      <c r="N29" s="131"/>
      <c r="O29" s="191" t="s">
        <v>162</v>
      </c>
      <c r="P29" s="191" t="s">
        <v>163</v>
      </c>
      <c r="Q29" s="192">
        <v>7.8300000000000002E-3</v>
      </c>
      <c r="R29" s="193">
        <v>3.4380000000000001E-2</v>
      </c>
      <c r="S29" s="194">
        <v>4.0849999999999997E-2</v>
      </c>
    </row>
    <row r="30" spans="1:21" x14ac:dyDescent="0.2">
      <c r="L30" s="130" t="s">
        <v>164</v>
      </c>
      <c r="O30" s="191" t="s">
        <v>165</v>
      </c>
      <c r="P30" s="191" t="s">
        <v>166</v>
      </c>
      <c r="Q30" s="192">
        <v>1.7399999999999999E-2</v>
      </c>
      <c r="R30" s="193">
        <v>4.3499999999999997E-2</v>
      </c>
      <c r="S30" s="194">
        <v>6.9800000000000001E-2</v>
      </c>
    </row>
    <row r="31" spans="1:21" x14ac:dyDescent="0.2">
      <c r="C31" s="157" t="s">
        <v>98</v>
      </c>
      <c r="D31" s="210">
        <f>E37</f>
        <v>6.5000000000000002E-2</v>
      </c>
      <c r="E31" s="145"/>
      <c r="F31" s="153"/>
      <c r="G31" s="153"/>
      <c r="H31" s="153"/>
      <c r="I31" s="153"/>
      <c r="J31" s="172"/>
      <c r="K31" s="173"/>
      <c r="L31" s="110"/>
      <c r="M31" s="110"/>
      <c r="O31" s="199" t="s">
        <v>167</v>
      </c>
      <c r="P31" s="199" t="s">
        <v>168</v>
      </c>
      <c r="Q31" s="200">
        <v>3.2190000000000003E-2</v>
      </c>
      <c r="R31" s="201">
        <v>6.9599999999999995E-2</v>
      </c>
      <c r="S31" s="202">
        <v>8.6999999999999994E-2</v>
      </c>
    </row>
    <row r="32" spans="1:21" ht="12.75" customHeight="1" x14ac:dyDescent="0.2">
      <c r="A32" s="111" t="s">
        <v>169</v>
      </c>
      <c r="B32" s="234"/>
      <c r="C32" s="235"/>
      <c r="D32" s="112" t="str">
        <f>CONCATENATE(Periodo_Analisis," ",$E$7)</f>
        <v>6 Meses</v>
      </c>
      <c r="E32" s="114" t="s">
        <v>78</v>
      </c>
      <c r="F32" s="115" t="s">
        <v>102</v>
      </c>
      <c r="G32" s="116"/>
      <c r="H32" s="116"/>
      <c r="I32" s="116"/>
      <c r="J32" s="116"/>
      <c r="K32" s="117"/>
      <c r="L32" s="118"/>
      <c r="M32" s="118"/>
      <c r="O32" s="203" t="s">
        <v>170</v>
      </c>
      <c r="P32" s="118">
        <v>5</v>
      </c>
      <c r="S32" s="72"/>
    </row>
    <row r="33" spans="1:23" x14ac:dyDescent="0.2">
      <c r="A33" s="124" t="s">
        <v>171</v>
      </c>
      <c r="B33" s="160"/>
      <c r="C33" s="161"/>
      <c r="D33" s="126">
        <f>IF(H3&gt;10,D12*G33,0)</f>
        <v>0</v>
      </c>
      <c r="E33" s="127">
        <f>D33/$D$12</f>
        <v>0</v>
      </c>
      <c r="F33" s="182">
        <v>0</v>
      </c>
      <c r="G33" s="182">
        <v>0.02</v>
      </c>
      <c r="H33" s="204" t="s">
        <v>172</v>
      </c>
      <c r="I33" s="128"/>
      <c r="J33" s="204"/>
      <c r="K33" s="129"/>
      <c r="L33" s="130" t="s">
        <v>173</v>
      </c>
      <c r="N33" s="131"/>
    </row>
    <row r="34" spans="1:23" x14ac:dyDescent="0.2">
      <c r="A34" s="135" t="s">
        <v>174</v>
      </c>
      <c r="B34" s="163"/>
      <c r="C34" s="164"/>
      <c r="D34" s="137">
        <f>((1*SMMLV)/40)*Periodo_Analisis</f>
        <v>136278.90000000002</v>
      </c>
      <c r="E34" s="138">
        <f>D34/$D$12</f>
        <v>2.5000000000000005E-2</v>
      </c>
      <c r="F34" s="205" t="s">
        <v>175</v>
      </c>
      <c r="G34" s="85"/>
      <c r="H34" s="206"/>
      <c r="J34" s="206"/>
      <c r="K34" s="140"/>
      <c r="L34" s="130" t="s">
        <v>176</v>
      </c>
      <c r="N34" s="131"/>
      <c r="O34" s="71"/>
      <c r="P34" s="72"/>
    </row>
    <row r="35" spans="1:23" x14ac:dyDescent="0.2">
      <c r="A35" s="135" t="s">
        <v>177</v>
      </c>
      <c r="B35" s="163"/>
      <c r="C35" s="164"/>
      <c r="D35" s="137">
        <f>IF(H3&gt;10,D12*G35,0)</f>
        <v>0</v>
      </c>
      <c r="E35" s="138">
        <f>D35/$D$12</f>
        <v>0</v>
      </c>
      <c r="F35" s="182">
        <v>0</v>
      </c>
      <c r="G35" s="182">
        <v>0.03</v>
      </c>
      <c r="H35" s="207" t="s">
        <v>172</v>
      </c>
      <c r="K35" s="140"/>
      <c r="L35" s="130" t="s">
        <v>178</v>
      </c>
      <c r="N35" s="131"/>
      <c r="O35" s="208"/>
      <c r="P35" s="208"/>
    </row>
    <row r="36" spans="1:23" x14ac:dyDescent="0.2">
      <c r="A36" s="142" t="s">
        <v>179</v>
      </c>
      <c r="B36" s="168"/>
      <c r="C36" s="169"/>
      <c r="D36" s="143">
        <f>IF(H3&gt;4,0,D12*G36)</f>
        <v>218046.24</v>
      </c>
      <c r="E36" s="144">
        <f>D36/$D$12</f>
        <v>0.04</v>
      </c>
      <c r="F36" s="182">
        <v>0</v>
      </c>
      <c r="G36" s="182">
        <v>0.04</v>
      </c>
      <c r="H36" s="209" t="s">
        <v>180</v>
      </c>
      <c r="I36" s="146"/>
      <c r="J36" s="146"/>
      <c r="K36" s="147"/>
      <c r="L36" s="130" t="s">
        <v>176</v>
      </c>
      <c r="N36" s="131"/>
      <c r="O36" s="208"/>
      <c r="P36" s="208"/>
    </row>
    <row r="37" spans="1:23" ht="12.75" customHeight="1" x14ac:dyDescent="0.2">
      <c r="B37" s="171"/>
      <c r="C37" s="161"/>
      <c r="D37" s="149">
        <f>SUM(D33:D36)</f>
        <v>354325.14</v>
      </c>
      <c r="E37" s="150">
        <f>SUM(E33:E36)</f>
        <v>6.5000000000000002E-2</v>
      </c>
      <c r="O37" s="208"/>
      <c r="P37" s="208"/>
    </row>
    <row r="38" spans="1:23" x14ac:dyDescent="0.2">
      <c r="O38" s="383" t="s">
        <v>209</v>
      </c>
      <c r="P38" s="383"/>
      <c r="Q38" s="383"/>
      <c r="R38" s="383"/>
      <c r="S38" s="383"/>
    </row>
    <row r="39" spans="1:23" x14ac:dyDescent="0.2">
      <c r="C39" s="157" t="s">
        <v>98</v>
      </c>
      <c r="D39" s="210">
        <f>E43</f>
        <v>5.6116537483058643E-2</v>
      </c>
      <c r="E39" s="145"/>
      <c r="F39" s="97"/>
      <c r="G39" s="97"/>
      <c r="H39" s="97"/>
      <c r="I39" s="97"/>
      <c r="J39" s="108"/>
      <c r="K39" s="109"/>
      <c r="L39" s="110"/>
      <c r="M39" s="110"/>
      <c r="O39" s="153" t="s">
        <v>181</v>
      </c>
      <c r="T39" s="153" t="s">
        <v>182</v>
      </c>
    </row>
    <row r="40" spans="1:23" x14ac:dyDescent="0.2">
      <c r="A40" s="111" t="s">
        <v>183</v>
      </c>
      <c r="B40" s="158"/>
      <c r="C40" s="159"/>
      <c r="D40" s="112" t="str">
        <f>CONCATENATE(Periodo_Analisis," ",$E$7)</f>
        <v>6 Meses</v>
      </c>
      <c r="E40" s="114" t="s">
        <v>78</v>
      </c>
      <c r="F40" s="115" t="s">
        <v>102</v>
      </c>
      <c r="G40" s="116"/>
      <c r="H40" s="116"/>
      <c r="I40" s="116"/>
      <c r="J40" s="116"/>
      <c r="K40" s="117"/>
      <c r="L40" s="118"/>
      <c r="M40" s="118"/>
      <c r="O40" s="211" t="s">
        <v>184</v>
      </c>
      <c r="P40" s="211" t="s">
        <v>185</v>
      </c>
      <c r="Q40" s="211" t="s">
        <v>186</v>
      </c>
      <c r="R40" s="211" t="s">
        <v>187</v>
      </c>
      <c r="T40" s="211" t="s">
        <v>184</v>
      </c>
      <c r="U40" s="211" t="s">
        <v>185</v>
      </c>
      <c r="V40" s="211" t="s">
        <v>186</v>
      </c>
      <c r="W40" s="212" t="s">
        <v>187</v>
      </c>
    </row>
    <row r="41" spans="1:23" x14ac:dyDescent="0.2">
      <c r="A41" s="124" t="s">
        <v>181</v>
      </c>
      <c r="B41" s="160"/>
      <c r="C41" s="161"/>
      <c r="D41" s="126">
        <f>IF(H3&lt;2,IF(Periodo_Analisis&gt;=3,IF(Periodo_Analisis&gt;=12,R44*3,R44),""),"")</f>
        <v>159700</v>
      </c>
      <c r="E41" s="127">
        <f>D41/$D$12</f>
        <v>2.9296538202172161E-2</v>
      </c>
      <c r="F41" s="213" t="s">
        <v>188</v>
      </c>
      <c r="G41" s="128"/>
      <c r="H41" s="204"/>
      <c r="I41" s="128"/>
      <c r="J41" s="204"/>
      <c r="K41" s="129"/>
      <c r="L41" s="130" t="s">
        <v>189</v>
      </c>
      <c r="N41" s="131"/>
      <c r="O41" s="71" t="s">
        <v>190</v>
      </c>
      <c r="P41" s="72">
        <v>1</v>
      </c>
      <c r="Q41" s="214">
        <v>39900</v>
      </c>
      <c r="R41" s="214">
        <f>Q41*P41</f>
        <v>39900</v>
      </c>
      <c r="T41" s="203" t="s">
        <v>191</v>
      </c>
      <c r="U41" s="71">
        <v>1</v>
      </c>
      <c r="V41" s="214">
        <v>21900</v>
      </c>
      <c r="W41" s="215">
        <f>V41*U41</f>
        <v>21900</v>
      </c>
    </row>
    <row r="42" spans="1:23" x14ac:dyDescent="0.2">
      <c r="A42" s="142" t="s">
        <v>192</v>
      </c>
      <c r="B42" s="163"/>
      <c r="C42" s="164"/>
      <c r="D42" s="137">
        <f>IF(Periodo_Analisis&gt;6,2*W45,1*W45)</f>
        <v>146200</v>
      </c>
      <c r="E42" s="138">
        <f>D42/$D$12</f>
        <v>2.6819999280886478E-2</v>
      </c>
      <c r="F42" s="216" t="s">
        <v>193</v>
      </c>
      <c r="G42" s="146"/>
      <c r="H42" s="217"/>
      <c r="I42" s="146"/>
      <c r="J42" s="217"/>
      <c r="K42" s="147"/>
      <c r="O42" s="71" t="s">
        <v>194</v>
      </c>
      <c r="P42" s="72">
        <v>1</v>
      </c>
      <c r="Q42" s="214">
        <v>44900</v>
      </c>
      <c r="R42" s="214">
        <f>Q42*P42</f>
        <v>44900</v>
      </c>
      <c r="T42" s="203" t="s">
        <v>195</v>
      </c>
      <c r="U42" s="71">
        <v>2</v>
      </c>
      <c r="V42" s="214">
        <v>15900</v>
      </c>
      <c r="W42" s="215">
        <f>V42*U42</f>
        <v>31800</v>
      </c>
    </row>
    <row r="43" spans="1:23" x14ac:dyDescent="0.2">
      <c r="B43" s="171"/>
      <c r="C43" s="161"/>
      <c r="D43" s="149">
        <f>SUM(D41:D42)</f>
        <v>305900</v>
      </c>
      <c r="E43" s="150">
        <f>SUM(E41:E42)</f>
        <v>5.6116537483058643E-2</v>
      </c>
      <c r="O43" s="146" t="s">
        <v>196</v>
      </c>
      <c r="P43" s="218">
        <v>1</v>
      </c>
      <c r="Q43" s="219">
        <v>74900</v>
      </c>
      <c r="R43" s="219">
        <f>Q43*P43</f>
        <v>74900</v>
      </c>
      <c r="T43" s="203" t="s">
        <v>197</v>
      </c>
      <c r="U43" s="71">
        <v>4</v>
      </c>
      <c r="V43" s="214">
        <v>9400</v>
      </c>
      <c r="W43" s="215">
        <f>V43*U43</f>
        <v>37600</v>
      </c>
    </row>
    <row r="44" spans="1:23" x14ac:dyDescent="0.2">
      <c r="O44" s="71"/>
      <c r="Q44" s="214"/>
      <c r="R44" s="220">
        <f>SUM(R41:R43)</f>
        <v>159700</v>
      </c>
      <c r="T44" s="221" t="s">
        <v>198</v>
      </c>
      <c r="U44" s="146">
        <v>1</v>
      </c>
      <c r="V44" s="219">
        <v>54900</v>
      </c>
      <c r="W44" s="236">
        <f>V44*U44</f>
        <v>54900</v>
      </c>
    </row>
    <row r="45" spans="1:23" x14ac:dyDescent="0.2">
      <c r="C45" s="157" t="s">
        <v>98</v>
      </c>
      <c r="D45" s="106">
        <f>E49</f>
        <v>4.6666666666666662E-2</v>
      </c>
      <c r="E45" s="107"/>
      <c r="F45" s="97"/>
      <c r="G45" s="97"/>
      <c r="H45" s="97"/>
      <c r="I45" s="97"/>
      <c r="J45" s="108"/>
      <c r="K45" s="109"/>
      <c r="L45" s="110"/>
      <c r="M45" s="110"/>
      <c r="W45" s="223">
        <f>SUM(W41:W44)</f>
        <v>146200</v>
      </c>
    </row>
    <row r="46" spans="1:23" x14ac:dyDescent="0.2">
      <c r="A46" s="111" t="s">
        <v>199</v>
      </c>
      <c r="B46" s="158"/>
      <c r="C46" s="159"/>
      <c r="D46" s="112" t="str">
        <f>CONCATENATE(Periodo_Analisis," ",$E$7)</f>
        <v>6 Meses</v>
      </c>
      <c r="E46" s="114" t="s">
        <v>78</v>
      </c>
      <c r="F46" s="115" t="s">
        <v>102</v>
      </c>
      <c r="G46" s="116"/>
      <c r="H46" s="116"/>
      <c r="I46" s="116"/>
      <c r="J46" s="116"/>
      <c r="K46" s="117"/>
      <c r="L46" s="118"/>
      <c r="M46" s="118"/>
      <c r="O46" s="206" t="s">
        <v>200</v>
      </c>
      <c r="T46" s="206" t="s">
        <v>200</v>
      </c>
    </row>
    <row r="47" spans="1:23" x14ac:dyDescent="0.2">
      <c r="A47" s="135" t="s">
        <v>201</v>
      </c>
      <c r="B47" s="163"/>
      <c r="C47" s="164"/>
      <c r="D47" s="137">
        <f>(Periodo_Analisis/12)*15*B12</f>
        <v>227131.5</v>
      </c>
      <c r="E47" s="138">
        <f>D47/$D$12</f>
        <v>4.1666666666666664E-2</v>
      </c>
      <c r="F47" s="71" t="s">
        <v>202</v>
      </c>
      <c r="I47" s="139"/>
      <c r="K47" s="140"/>
      <c r="L47" s="130" t="s">
        <v>203</v>
      </c>
      <c r="N47" s="131"/>
      <c r="O47" s="206" t="s">
        <v>204</v>
      </c>
      <c r="T47" s="206" t="s">
        <v>204</v>
      </c>
    </row>
    <row r="48" spans="1:23" x14ac:dyDescent="0.2">
      <c r="A48" s="142" t="s">
        <v>205</v>
      </c>
      <c r="B48" s="163"/>
      <c r="C48" s="164"/>
      <c r="D48" s="137">
        <f>D12*0.005</f>
        <v>27255.78</v>
      </c>
      <c r="E48" s="138">
        <f>D48/$D$12</f>
        <v>5.0000000000000001E-3</v>
      </c>
      <c r="F48" s="216" t="s">
        <v>206</v>
      </c>
      <c r="G48" s="146"/>
      <c r="H48" s="217"/>
      <c r="I48" s="146"/>
      <c r="J48" s="217"/>
      <c r="K48" s="147"/>
      <c r="N48" s="131"/>
    </row>
    <row r="49" spans="2:18" x14ac:dyDescent="0.2">
      <c r="B49" s="171"/>
      <c r="C49" s="161"/>
      <c r="D49" s="149">
        <f>SUM(D47:D48)</f>
        <v>254387.28</v>
      </c>
      <c r="E49" s="150">
        <f>SUM(E47:E48)</f>
        <v>4.6666666666666662E-2</v>
      </c>
    </row>
    <row r="51" spans="2:18" x14ac:dyDescent="0.2">
      <c r="D51" s="225"/>
    </row>
    <row r="52" spans="2:18" x14ac:dyDescent="0.2">
      <c r="R52" s="226"/>
    </row>
    <row r="53" spans="2:18" x14ac:dyDescent="0.2">
      <c r="H53" s="227"/>
      <c r="K53" s="228"/>
    </row>
    <row r="54" spans="2:18" x14ac:dyDescent="0.2">
      <c r="H54" s="227"/>
      <c r="K54" s="228"/>
    </row>
    <row r="55" spans="2:18" x14ac:dyDescent="0.2">
      <c r="H55" s="227"/>
      <c r="K55" s="228"/>
    </row>
    <row r="57" spans="2:18" x14ac:dyDescent="0.2">
      <c r="H57" s="229"/>
    </row>
  </sheetData>
  <mergeCells count="7">
    <mergeCell ref="O38:S38"/>
    <mergeCell ref="A1:K1"/>
    <mergeCell ref="H2:I2"/>
    <mergeCell ref="H3:I3"/>
    <mergeCell ref="H4:I4"/>
    <mergeCell ref="H5:I5"/>
    <mergeCell ref="B7:C7"/>
  </mergeCells>
  <phoneticPr fontId="3" type="noConversion"/>
  <pageMargins left="0.75" right="0.75" top="1" bottom="1" header="0" footer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1"/>
  <sheetViews>
    <sheetView topLeftCell="A2" zoomScale="93" zoomScaleNormal="93" workbookViewId="0">
      <selection activeCell="A26" sqref="A26"/>
    </sheetView>
  </sheetViews>
  <sheetFormatPr baseColWidth="10" defaultRowHeight="12.75" x14ac:dyDescent="0.2"/>
  <cols>
    <col min="2" max="2" width="13" bestFit="1" customWidth="1"/>
    <col min="3" max="3" width="9.28515625" bestFit="1" customWidth="1"/>
    <col min="4" max="4" width="11.85546875" bestFit="1" customWidth="1"/>
    <col min="5" max="5" width="50.28515625" customWidth="1"/>
  </cols>
  <sheetData>
    <row r="1" spans="1:12" ht="15.75" x14ac:dyDescent="0.2">
      <c r="A1" s="237">
        <v>4</v>
      </c>
      <c r="B1" s="391" t="s">
        <v>215</v>
      </c>
      <c r="C1" s="391"/>
      <c r="D1" s="391"/>
      <c r="E1" s="391"/>
    </row>
    <row r="2" spans="1:12" ht="15.75" x14ac:dyDescent="0.2">
      <c r="A2" s="238" t="s">
        <v>28</v>
      </c>
      <c r="B2" s="397" t="s">
        <v>275</v>
      </c>
      <c r="C2" s="398"/>
      <c r="D2" s="398"/>
      <c r="E2" s="399"/>
      <c r="G2" s="308"/>
      <c r="H2" s="308"/>
      <c r="I2" s="308"/>
      <c r="J2" s="308"/>
      <c r="K2" s="308"/>
      <c r="L2" s="308"/>
    </row>
    <row r="3" spans="1:12" ht="15.75" x14ac:dyDescent="0.2">
      <c r="A3" s="388" t="s">
        <v>216</v>
      </c>
      <c r="B3" s="389"/>
      <c r="C3" s="389"/>
      <c r="D3" s="389"/>
      <c r="E3" s="390"/>
      <c r="G3" s="309"/>
      <c r="H3" s="310"/>
      <c r="I3" s="392"/>
      <c r="J3" s="392"/>
      <c r="K3" s="392"/>
      <c r="L3" s="392"/>
    </row>
    <row r="4" spans="1:12" x14ac:dyDescent="0.2">
      <c r="A4" s="239" t="s">
        <v>210</v>
      </c>
      <c r="B4" s="239" t="s">
        <v>211</v>
      </c>
      <c r="C4" s="239" t="s">
        <v>9</v>
      </c>
      <c r="D4" s="239" t="s">
        <v>212</v>
      </c>
      <c r="E4" s="239" t="s">
        <v>213</v>
      </c>
      <c r="G4" s="308"/>
      <c r="H4" s="393"/>
      <c r="I4" s="394"/>
      <c r="J4" s="394"/>
      <c r="K4" s="394"/>
      <c r="L4" s="394"/>
    </row>
    <row r="5" spans="1:12" x14ac:dyDescent="0.2">
      <c r="A5" s="239" t="s">
        <v>214</v>
      </c>
      <c r="B5" s="240">
        <v>1</v>
      </c>
      <c r="C5" s="241">
        <f>Oficial!$H$5</f>
        <v>11500.424999999999</v>
      </c>
      <c r="D5" s="242">
        <f>C5*B5</f>
        <v>11500.424999999999</v>
      </c>
      <c r="E5" s="400">
        <f>D5+D6</f>
        <v>20055.712500000001</v>
      </c>
      <c r="G5" s="308"/>
      <c r="H5" s="307"/>
      <c r="I5" s="307"/>
      <c r="J5" s="307"/>
      <c r="K5" s="307"/>
      <c r="L5" s="307"/>
    </row>
    <row r="6" spans="1:12" x14ac:dyDescent="0.2">
      <c r="A6" s="239" t="s">
        <v>81</v>
      </c>
      <c r="B6" s="240">
        <v>1</v>
      </c>
      <c r="C6" s="241">
        <f>Ayudante!$H$5</f>
        <v>8555.2875000000004</v>
      </c>
      <c r="D6" s="242">
        <f>C6*B6</f>
        <v>8555.2875000000004</v>
      </c>
      <c r="E6" s="401"/>
      <c r="G6" s="308"/>
      <c r="H6" s="307"/>
      <c r="I6" s="311"/>
      <c r="J6" s="312"/>
      <c r="K6" s="313"/>
      <c r="L6" s="395"/>
    </row>
    <row r="7" spans="1:12" x14ac:dyDescent="0.2">
      <c r="A7" s="388" t="s">
        <v>217</v>
      </c>
      <c r="B7" s="389"/>
      <c r="C7" s="389"/>
      <c r="D7" s="389"/>
      <c r="E7" s="390"/>
      <c r="G7" s="308"/>
      <c r="H7" s="307"/>
      <c r="I7" s="311"/>
      <c r="J7" s="312"/>
      <c r="K7" s="313"/>
      <c r="L7" s="396"/>
    </row>
    <row r="8" spans="1:12" x14ac:dyDescent="0.2">
      <c r="A8" s="239" t="s">
        <v>210</v>
      </c>
      <c r="B8" s="239" t="s">
        <v>211</v>
      </c>
      <c r="C8" s="239" t="s">
        <v>9</v>
      </c>
      <c r="D8" s="239" t="s">
        <v>212</v>
      </c>
      <c r="E8" s="239" t="s">
        <v>213</v>
      </c>
      <c r="G8" s="308"/>
      <c r="H8" s="393"/>
      <c r="I8" s="394"/>
      <c r="J8" s="394"/>
      <c r="K8" s="394"/>
      <c r="L8" s="394"/>
    </row>
    <row r="9" spans="1:12" x14ac:dyDescent="0.2">
      <c r="A9" s="239" t="s">
        <v>214</v>
      </c>
      <c r="B9" s="240">
        <v>1</v>
      </c>
      <c r="C9" s="241">
        <f>Oficial!$H$5</f>
        <v>11500.424999999999</v>
      </c>
      <c r="D9" s="242">
        <f>C9*B9</f>
        <v>11500.424999999999</v>
      </c>
      <c r="E9" s="386">
        <f>D9+D10</f>
        <v>20055.712500000001</v>
      </c>
      <c r="G9" s="308"/>
      <c r="H9" s="307"/>
      <c r="I9" s="307"/>
      <c r="J9" s="307"/>
      <c r="K9" s="307"/>
      <c r="L9" s="307"/>
    </row>
    <row r="10" spans="1:12" x14ac:dyDescent="0.2">
      <c r="A10" s="239" t="s">
        <v>81</v>
      </c>
      <c r="B10" s="240">
        <v>1</v>
      </c>
      <c r="C10" s="241">
        <f>Ayudante!$H$5</f>
        <v>8555.2875000000004</v>
      </c>
      <c r="D10" s="242">
        <f>C10*B10</f>
        <v>8555.2875000000004</v>
      </c>
      <c r="E10" s="387"/>
      <c r="G10" s="308"/>
      <c r="H10" s="307"/>
      <c r="I10" s="311"/>
      <c r="J10" s="312"/>
      <c r="K10" s="313"/>
      <c r="L10" s="395"/>
    </row>
    <row r="11" spans="1:12" x14ac:dyDescent="0.2">
      <c r="A11" s="384" t="s">
        <v>235</v>
      </c>
      <c r="B11" s="385"/>
      <c r="C11" s="385"/>
      <c r="D11" s="385"/>
      <c r="E11" s="385"/>
      <c r="G11" s="308"/>
      <c r="H11" s="307"/>
      <c r="I11" s="311"/>
      <c r="J11" s="312"/>
      <c r="K11" s="313"/>
      <c r="L11" s="396"/>
    </row>
    <row r="12" spans="1:12" x14ac:dyDescent="0.2">
      <c r="A12" s="239" t="s">
        <v>210</v>
      </c>
      <c r="B12" s="239" t="s">
        <v>211</v>
      </c>
      <c r="C12" s="239" t="s">
        <v>9</v>
      </c>
      <c r="D12" s="239" t="s">
        <v>212</v>
      </c>
      <c r="E12" s="239" t="s">
        <v>213</v>
      </c>
      <c r="G12" s="308"/>
      <c r="H12" s="393"/>
      <c r="I12" s="394"/>
      <c r="J12" s="394"/>
      <c r="K12" s="394"/>
      <c r="L12" s="394"/>
    </row>
    <row r="13" spans="1:12" x14ac:dyDescent="0.2">
      <c r="A13" s="239" t="s">
        <v>214</v>
      </c>
      <c r="B13" s="240">
        <v>1</v>
      </c>
      <c r="C13" s="241">
        <f>Oficial!$H$5</f>
        <v>11500.424999999999</v>
      </c>
      <c r="D13" s="242">
        <f>C13*B13</f>
        <v>11500.424999999999</v>
      </c>
      <c r="E13" s="386">
        <f>D13+D14</f>
        <v>20055.712500000001</v>
      </c>
      <c r="G13" s="308"/>
      <c r="H13" s="307"/>
      <c r="I13" s="307"/>
      <c r="J13" s="307"/>
      <c r="K13" s="307"/>
      <c r="L13" s="307"/>
    </row>
    <row r="14" spans="1:12" x14ac:dyDescent="0.2">
      <c r="A14" s="239" t="s">
        <v>81</v>
      </c>
      <c r="B14" s="240">
        <v>1</v>
      </c>
      <c r="C14" s="241">
        <f>Ayudante!$H$5</f>
        <v>8555.2875000000004</v>
      </c>
      <c r="D14" s="242">
        <f>C14*B14</f>
        <v>8555.2875000000004</v>
      </c>
      <c r="E14" s="387"/>
      <c r="G14" s="308"/>
      <c r="H14" s="307"/>
      <c r="I14" s="311"/>
      <c r="J14" s="312"/>
      <c r="K14" s="313"/>
      <c r="L14" s="395"/>
    </row>
    <row r="15" spans="1:12" x14ac:dyDescent="0.2">
      <c r="A15" s="384" t="s">
        <v>218</v>
      </c>
      <c r="B15" s="385"/>
      <c r="C15" s="385"/>
      <c r="D15" s="385"/>
      <c r="E15" s="385"/>
      <c r="G15" s="308"/>
      <c r="H15" s="307"/>
      <c r="I15" s="311"/>
      <c r="J15" s="312"/>
      <c r="K15" s="313"/>
      <c r="L15" s="396"/>
    </row>
    <row r="16" spans="1:12" x14ac:dyDescent="0.2">
      <c r="A16" s="239" t="s">
        <v>210</v>
      </c>
      <c r="B16" s="239" t="s">
        <v>211</v>
      </c>
      <c r="C16" s="239" t="s">
        <v>9</v>
      </c>
      <c r="D16" s="239" t="s">
        <v>212</v>
      </c>
      <c r="E16" s="239" t="s">
        <v>213</v>
      </c>
      <c r="G16" s="308"/>
      <c r="H16" s="393"/>
      <c r="I16" s="394"/>
      <c r="J16" s="394"/>
      <c r="K16" s="394"/>
      <c r="L16" s="394"/>
    </row>
    <row r="17" spans="1:12" x14ac:dyDescent="0.2">
      <c r="A17" s="239" t="s">
        <v>214</v>
      </c>
      <c r="B17" s="240">
        <v>1</v>
      </c>
      <c r="C17" s="241">
        <f>Oficial!$H$5</f>
        <v>11500.424999999999</v>
      </c>
      <c r="D17" s="242">
        <f>C17*B17</f>
        <v>11500.424999999999</v>
      </c>
      <c r="E17" s="386">
        <f>D17+D18</f>
        <v>45721.574999999997</v>
      </c>
      <c r="G17" s="308"/>
      <c r="H17" s="307"/>
      <c r="I17" s="307"/>
      <c r="J17" s="307"/>
      <c r="K17" s="307"/>
      <c r="L17" s="307"/>
    </row>
    <row r="18" spans="1:12" x14ac:dyDescent="0.2">
      <c r="A18" s="239" t="s">
        <v>81</v>
      </c>
      <c r="B18" s="240">
        <v>4</v>
      </c>
      <c r="C18" s="241">
        <f>Ayudante!$H$5</f>
        <v>8555.2875000000004</v>
      </c>
      <c r="D18" s="242">
        <f>C18*B18</f>
        <v>34221.15</v>
      </c>
      <c r="E18" s="387"/>
      <c r="G18" s="308"/>
      <c r="H18" s="307"/>
      <c r="I18" s="311"/>
      <c r="J18" s="312"/>
      <c r="K18" s="313"/>
      <c r="L18" s="395"/>
    </row>
    <row r="19" spans="1:12" x14ac:dyDescent="0.2">
      <c r="A19" s="384" t="s">
        <v>236</v>
      </c>
      <c r="B19" s="385"/>
      <c r="C19" s="385"/>
      <c r="D19" s="385"/>
      <c r="E19" s="385"/>
      <c r="G19" s="308"/>
      <c r="H19" s="307"/>
      <c r="I19" s="311"/>
      <c r="J19" s="312"/>
      <c r="K19" s="313"/>
      <c r="L19" s="396"/>
    </row>
    <row r="20" spans="1:12" x14ac:dyDescent="0.2">
      <c r="A20" s="239" t="s">
        <v>210</v>
      </c>
      <c r="B20" s="239" t="s">
        <v>211</v>
      </c>
      <c r="C20" s="239" t="s">
        <v>9</v>
      </c>
      <c r="D20" s="239" t="s">
        <v>212</v>
      </c>
      <c r="E20" s="239" t="s">
        <v>213</v>
      </c>
    </row>
    <row r="21" spans="1:12" x14ac:dyDescent="0.2">
      <c r="A21" s="239" t="s">
        <v>214</v>
      </c>
      <c r="B21" s="240">
        <v>0</v>
      </c>
      <c r="C21" s="241">
        <f>Oficial!$H$5</f>
        <v>11500.424999999999</v>
      </c>
      <c r="D21" s="242">
        <f>C21*B21</f>
        <v>0</v>
      </c>
      <c r="E21" s="386">
        <f>D21+D22</f>
        <v>8555.2875000000004</v>
      </c>
    </row>
    <row r="22" spans="1:12" x14ac:dyDescent="0.2">
      <c r="A22" s="239" t="s">
        <v>81</v>
      </c>
      <c r="B22" s="240">
        <v>1</v>
      </c>
      <c r="C22" s="241">
        <f>Ayudante!$H$5</f>
        <v>8555.2875000000004</v>
      </c>
      <c r="D22" s="242">
        <f>C22*B22</f>
        <v>8555.2875000000004</v>
      </c>
      <c r="E22" s="387"/>
    </row>
    <row r="23" spans="1:12" x14ac:dyDescent="0.2">
      <c r="A23" s="384" t="s">
        <v>219</v>
      </c>
      <c r="B23" s="385"/>
      <c r="C23" s="385"/>
      <c r="D23" s="385"/>
      <c r="E23" s="385"/>
    </row>
    <row r="24" spans="1:12" x14ac:dyDescent="0.2">
      <c r="A24" s="239" t="s">
        <v>210</v>
      </c>
      <c r="B24" s="239" t="s">
        <v>211</v>
      </c>
      <c r="C24" s="239" t="s">
        <v>9</v>
      </c>
      <c r="D24" s="239" t="s">
        <v>212</v>
      </c>
      <c r="E24" s="239" t="s">
        <v>213</v>
      </c>
    </row>
    <row r="25" spans="1:12" x14ac:dyDescent="0.2">
      <c r="A25" s="239" t="s">
        <v>214</v>
      </c>
      <c r="B25" s="240">
        <v>0</v>
      </c>
      <c r="C25" s="241">
        <f>Oficial!$H$5</f>
        <v>11500.424999999999</v>
      </c>
      <c r="D25" s="242">
        <f>C25*B25</f>
        <v>0</v>
      </c>
      <c r="E25" s="386">
        <f>D25+D26</f>
        <v>8555.2875000000004</v>
      </c>
    </row>
    <row r="26" spans="1:12" x14ac:dyDescent="0.2">
      <c r="A26" s="239" t="s">
        <v>81</v>
      </c>
      <c r="B26" s="240">
        <v>1</v>
      </c>
      <c r="C26" s="241">
        <f>Ayudante!$H$5</f>
        <v>8555.2875000000004</v>
      </c>
      <c r="D26" s="242">
        <f>C26*B26</f>
        <v>8555.2875000000004</v>
      </c>
      <c r="E26" s="387"/>
    </row>
    <row r="27" spans="1:12" ht="15.75" x14ac:dyDescent="0.2">
      <c r="A27" s="238" t="s">
        <v>226</v>
      </c>
      <c r="B27" s="397" t="s">
        <v>275</v>
      </c>
      <c r="C27" s="398"/>
      <c r="D27" s="398"/>
      <c r="E27" s="399"/>
    </row>
    <row r="28" spans="1:12" x14ac:dyDescent="0.2">
      <c r="A28" s="388" t="s">
        <v>216</v>
      </c>
      <c r="B28" s="389"/>
      <c r="C28" s="389"/>
      <c r="D28" s="389"/>
      <c r="E28" s="390"/>
    </row>
    <row r="29" spans="1:12" x14ac:dyDescent="0.2">
      <c r="A29" s="239" t="s">
        <v>210</v>
      </c>
      <c r="B29" s="239" t="s">
        <v>211</v>
      </c>
      <c r="C29" s="239" t="s">
        <v>9</v>
      </c>
      <c r="D29" s="239" t="s">
        <v>212</v>
      </c>
      <c r="E29" s="239" t="s">
        <v>213</v>
      </c>
    </row>
    <row r="30" spans="1:12" x14ac:dyDescent="0.2">
      <c r="A30" s="239" t="s">
        <v>214</v>
      </c>
      <c r="B30" s="240">
        <v>1</v>
      </c>
      <c r="C30" s="241">
        <f>Oficial!$H$5</f>
        <v>11500.424999999999</v>
      </c>
      <c r="D30" s="242">
        <f>C30*B30</f>
        <v>11500.424999999999</v>
      </c>
      <c r="E30" s="400">
        <f>D30+D31</f>
        <v>20055.712500000001</v>
      </c>
    </row>
    <row r="31" spans="1:12" x14ac:dyDescent="0.2">
      <c r="A31" s="239" t="s">
        <v>81</v>
      </c>
      <c r="B31" s="240">
        <v>1</v>
      </c>
      <c r="C31" s="241">
        <f>Ayudante!$H$5</f>
        <v>8555.2875000000004</v>
      </c>
      <c r="D31" s="242">
        <f>C31*B31</f>
        <v>8555.2875000000004</v>
      </c>
      <c r="E31" s="401"/>
    </row>
    <row r="32" spans="1:12" x14ac:dyDescent="0.2">
      <c r="A32" s="388" t="s">
        <v>217</v>
      </c>
      <c r="B32" s="389"/>
      <c r="C32" s="389"/>
      <c r="D32" s="389"/>
      <c r="E32" s="390"/>
    </row>
    <row r="33" spans="1:5" x14ac:dyDescent="0.2">
      <c r="A33" s="239" t="s">
        <v>210</v>
      </c>
      <c r="B33" s="239" t="s">
        <v>211</v>
      </c>
      <c r="C33" s="239" t="s">
        <v>9</v>
      </c>
      <c r="D33" s="239" t="s">
        <v>212</v>
      </c>
      <c r="E33" s="239" t="s">
        <v>213</v>
      </c>
    </row>
    <row r="34" spans="1:5" x14ac:dyDescent="0.2">
      <c r="A34" s="239" t="s">
        <v>214</v>
      </c>
      <c r="B34" s="240">
        <v>1</v>
      </c>
      <c r="C34" s="241">
        <f>Oficial!$H$5</f>
        <v>11500.424999999999</v>
      </c>
      <c r="D34" s="242">
        <f>C34*B34</f>
        <v>11500.424999999999</v>
      </c>
      <c r="E34" s="386">
        <f>D34+D35</f>
        <v>20055.712500000001</v>
      </c>
    </row>
    <row r="35" spans="1:5" x14ac:dyDescent="0.2">
      <c r="A35" s="239" t="s">
        <v>81</v>
      </c>
      <c r="B35" s="240">
        <v>1</v>
      </c>
      <c r="C35" s="241">
        <f>Ayudante!$H$5</f>
        <v>8555.2875000000004</v>
      </c>
      <c r="D35" s="242">
        <f>C35*B35</f>
        <v>8555.2875000000004</v>
      </c>
      <c r="E35" s="387"/>
    </row>
    <row r="36" spans="1:5" x14ac:dyDescent="0.2">
      <c r="A36" s="384" t="s">
        <v>235</v>
      </c>
      <c r="B36" s="385"/>
      <c r="C36" s="385"/>
      <c r="D36" s="385"/>
      <c r="E36" s="385"/>
    </row>
    <row r="37" spans="1:5" x14ac:dyDescent="0.2">
      <c r="A37" s="239" t="s">
        <v>210</v>
      </c>
      <c r="B37" s="239" t="s">
        <v>211</v>
      </c>
      <c r="C37" s="239" t="s">
        <v>9</v>
      </c>
      <c r="D37" s="239" t="s">
        <v>212</v>
      </c>
      <c r="E37" s="239" t="s">
        <v>213</v>
      </c>
    </row>
    <row r="38" spans="1:5" x14ac:dyDescent="0.2">
      <c r="A38" s="239" t="s">
        <v>214</v>
      </c>
      <c r="B38" s="240">
        <v>1</v>
      </c>
      <c r="C38" s="241">
        <f>Oficial!$H$5</f>
        <v>11500.424999999999</v>
      </c>
      <c r="D38" s="242">
        <f>C38*B38</f>
        <v>11500.424999999999</v>
      </c>
      <c r="E38" s="386">
        <f>D38+D39</f>
        <v>20055.712500000001</v>
      </c>
    </row>
    <row r="39" spans="1:5" x14ac:dyDescent="0.2">
      <c r="A39" s="239" t="s">
        <v>81</v>
      </c>
      <c r="B39" s="240">
        <v>1</v>
      </c>
      <c r="C39" s="241">
        <f>Ayudante!$H$5</f>
        <v>8555.2875000000004</v>
      </c>
      <c r="D39" s="242">
        <f>C39*B39</f>
        <v>8555.2875000000004</v>
      </c>
      <c r="E39" s="387"/>
    </row>
    <row r="40" spans="1:5" x14ac:dyDescent="0.2">
      <c r="A40" s="384" t="s">
        <v>218</v>
      </c>
      <c r="B40" s="385"/>
      <c r="C40" s="385"/>
      <c r="D40" s="385"/>
      <c r="E40" s="385"/>
    </row>
    <row r="41" spans="1:5" x14ac:dyDescent="0.2">
      <c r="A41" s="239" t="s">
        <v>210</v>
      </c>
      <c r="B41" s="239" t="s">
        <v>211</v>
      </c>
      <c r="C41" s="239" t="s">
        <v>9</v>
      </c>
      <c r="D41" s="239" t="s">
        <v>212</v>
      </c>
      <c r="E41" s="239" t="s">
        <v>213</v>
      </c>
    </row>
    <row r="42" spans="1:5" x14ac:dyDescent="0.2">
      <c r="A42" s="239" t="s">
        <v>214</v>
      </c>
      <c r="B42" s="240">
        <v>1</v>
      </c>
      <c r="C42" s="241">
        <f>Oficial!$H$5</f>
        <v>11500.424999999999</v>
      </c>
      <c r="D42" s="242">
        <f>C42*B42</f>
        <v>11500.424999999999</v>
      </c>
      <c r="E42" s="386">
        <f>D42+D43</f>
        <v>45721.574999999997</v>
      </c>
    </row>
    <row r="43" spans="1:5" x14ac:dyDescent="0.2">
      <c r="A43" s="239" t="s">
        <v>81</v>
      </c>
      <c r="B43" s="240">
        <v>4</v>
      </c>
      <c r="C43" s="241">
        <f>Ayudante!$H$5</f>
        <v>8555.2875000000004</v>
      </c>
      <c r="D43" s="242">
        <f>C43*B43</f>
        <v>34221.15</v>
      </c>
      <c r="E43" s="387"/>
    </row>
    <row r="44" spans="1:5" x14ac:dyDescent="0.2">
      <c r="A44" s="384" t="s">
        <v>236</v>
      </c>
      <c r="B44" s="385"/>
      <c r="C44" s="385"/>
      <c r="D44" s="385"/>
      <c r="E44" s="385"/>
    </row>
    <row r="45" spans="1:5" x14ac:dyDescent="0.2">
      <c r="A45" s="239" t="s">
        <v>210</v>
      </c>
      <c r="B45" s="239" t="s">
        <v>211</v>
      </c>
      <c r="C45" s="239" t="s">
        <v>9</v>
      </c>
      <c r="D45" s="239" t="s">
        <v>212</v>
      </c>
      <c r="E45" s="239" t="s">
        <v>213</v>
      </c>
    </row>
    <row r="46" spans="1:5" x14ac:dyDescent="0.2">
      <c r="A46" s="239" t="s">
        <v>214</v>
      </c>
      <c r="B46" s="240">
        <v>0</v>
      </c>
      <c r="C46" s="241">
        <f>Oficial!$H$5</f>
        <v>11500.424999999999</v>
      </c>
      <c r="D46" s="242">
        <f>C46*B46</f>
        <v>0</v>
      </c>
      <c r="E46" s="386">
        <f>D46+D47</f>
        <v>8555.2875000000004</v>
      </c>
    </row>
    <row r="47" spans="1:5" x14ac:dyDescent="0.2">
      <c r="A47" s="239" t="s">
        <v>81</v>
      </c>
      <c r="B47" s="240">
        <v>1</v>
      </c>
      <c r="C47" s="241">
        <f>Ayudante!$H$5</f>
        <v>8555.2875000000004</v>
      </c>
      <c r="D47" s="242">
        <f>C47*B47</f>
        <v>8555.2875000000004</v>
      </c>
      <c r="E47" s="387"/>
    </row>
    <row r="48" spans="1:5" x14ac:dyDescent="0.2">
      <c r="A48" s="384" t="s">
        <v>219</v>
      </c>
      <c r="B48" s="385"/>
      <c r="C48" s="385"/>
      <c r="D48" s="385"/>
      <c r="E48" s="385"/>
    </row>
    <row r="49" spans="1:5" x14ac:dyDescent="0.2">
      <c r="A49" s="239" t="s">
        <v>210</v>
      </c>
      <c r="B49" s="239" t="s">
        <v>211</v>
      </c>
      <c r="C49" s="239" t="s">
        <v>9</v>
      </c>
      <c r="D49" s="239" t="s">
        <v>212</v>
      </c>
      <c r="E49" s="239" t="s">
        <v>213</v>
      </c>
    </row>
    <row r="50" spans="1:5" x14ac:dyDescent="0.2">
      <c r="A50" s="239" t="s">
        <v>214</v>
      </c>
      <c r="B50" s="240">
        <v>0</v>
      </c>
      <c r="C50" s="241">
        <f>Oficial!$H$5</f>
        <v>11500.424999999999</v>
      </c>
      <c r="D50" s="242">
        <f>C50*B50</f>
        <v>0</v>
      </c>
      <c r="E50" s="386">
        <f>D50+D51</f>
        <v>8555.2875000000004</v>
      </c>
    </row>
    <row r="51" spans="1:5" x14ac:dyDescent="0.2">
      <c r="A51" s="239" t="s">
        <v>81</v>
      </c>
      <c r="B51" s="240">
        <v>1</v>
      </c>
      <c r="C51" s="241">
        <f>Ayudante!$H$5</f>
        <v>8555.2875000000004</v>
      </c>
      <c r="D51" s="242">
        <f>C51*B51</f>
        <v>8555.2875000000004</v>
      </c>
      <c r="E51" s="387"/>
    </row>
  </sheetData>
  <mergeCells count="36">
    <mergeCell ref="E25:E26"/>
    <mergeCell ref="E13:E14"/>
    <mergeCell ref="A15:E15"/>
    <mergeCell ref="E17:E18"/>
    <mergeCell ref="A19:E19"/>
    <mergeCell ref="E21:E22"/>
    <mergeCell ref="A23:E23"/>
    <mergeCell ref="B2:E2"/>
    <mergeCell ref="A3:E3"/>
    <mergeCell ref="E5:E6"/>
    <mergeCell ref="A7:E7"/>
    <mergeCell ref="E9:E10"/>
    <mergeCell ref="A32:E32"/>
    <mergeCell ref="E34:E35"/>
    <mergeCell ref="B1:E1"/>
    <mergeCell ref="I3:L3"/>
    <mergeCell ref="H4:L4"/>
    <mergeCell ref="L6:L7"/>
    <mergeCell ref="H8:L8"/>
    <mergeCell ref="L10:L11"/>
    <mergeCell ref="H12:L12"/>
    <mergeCell ref="L14:L15"/>
    <mergeCell ref="H16:L16"/>
    <mergeCell ref="A11:E11"/>
    <mergeCell ref="L18:L19"/>
    <mergeCell ref="B27:E27"/>
    <mergeCell ref="A28:E28"/>
    <mergeCell ref="E30:E31"/>
    <mergeCell ref="A48:E48"/>
    <mergeCell ref="E50:E51"/>
    <mergeCell ref="A44:E44"/>
    <mergeCell ref="E46:E47"/>
    <mergeCell ref="A36:E36"/>
    <mergeCell ref="E38:E39"/>
    <mergeCell ref="E42:E43"/>
    <mergeCell ref="A40:E4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437DA-81CB-467A-9AAA-FDE0674D10D3}">
  <dimension ref="A1:T36"/>
  <sheetViews>
    <sheetView topLeftCell="A2" zoomScale="70" zoomScaleNormal="70" workbookViewId="0">
      <pane xSplit="1" topLeftCell="D1" activePane="topRight" state="frozen"/>
      <selection pane="topRight" activeCell="V36" sqref="V36"/>
    </sheetView>
  </sheetViews>
  <sheetFormatPr baseColWidth="10" defaultRowHeight="12.75" x14ac:dyDescent="0.2"/>
  <cols>
    <col min="2" max="2" width="19.7109375" customWidth="1"/>
    <col min="3" max="3" width="77" bestFit="1" customWidth="1"/>
    <col min="4" max="4" width="31.85546875" customWidth="1"/>
    <col min="5" max="5" width="38.28515625" customWidth="1"/>
    <col min="6" max="10" width="3.42578125" customWidth="1"/>
    <col min="11" max="11" width="4.5703125" bestFit="1" customWidth="1"/>
    <col min="12" max="12" width="3.42578125" customWidth="1"/>
    <col min="13" max="13" width="4.85546875" bestFit="1" customWidth="1"/>
    <col min="14" max="14" width="3.42578125" customWidth="1"/>
    <col min="15" max="15" width="4.42578125" bestFit="1" customWidth="1"/>
    <col min="16" max="16" width="4.42578125" customWidth="1"/>
    <col min="17" max="18" width="4.85546875" bestFit="1" customWidth="1"/>
    <col min="19" max="22" width="3.42578125" customWidth="1"/>
  </cols>
  <sheetData>
    <row r="1" spans="1:20" x14ac:dyDescent="0.2">
      <c r="A1" s="402" t="s">
        <v>308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4"/>
    </row>
    <row r="2" spans="1:20" x14ac:dyDescent="0.2">
      <c r="A2" s="405"/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7"/>
    </row>
    <row r="3" spans="1:20" x14ac:dyDescent="0.2">
      <c r="F3" s="308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</row>
    <row r="4" spans="1:20" x14ac:dyDescent="0.2">
      <c r="A4" s="317" t="s">
        <v>309</v>
      </c>
      <c r="B4" s="317" t="s">
        <v>310</v>
      </c>
      <c r="C4" s="317" t="s">
        <v>312</v>
      </c>
      <c r="D4" s="317" t="s">
        <v>311</v>
      </c>
      <c r="E4" s="317" t="s">
        <v>313</v>
      </c>
      <c r="F4" s="308"/>
      <c r="G4" s="322"/>
      <c r="H4" s="322"/>
      <c r="I4" s="322"/>
      <c r="J4" s="323">
        <v>2</v>
      </c>
      <c r="K4" s="328">
        <v>2</v>
      </c>
      <c r="L4" s="323">
        <v>4</v>
      </c>
      <c r="M4" s="322"/>
      <c r="N4" s="322"/>
      <c r="O4" s="322"/>
      <c r="P4" s="322"/>
      <c r="Q4" s="322"/>
      <c r="R4" s="322"/>
      <c r="S4" s="322"/>
      <c r="T4" s="322"/>
    </row>
    <row r="5" spans="1:20" x14ac:dyDescent="0.2">
      <c r="A5" s="318">
        <v>4</v>
      </c>
      <c r="B5" s="408" t="s">
        <v>314</v>
      </c>
      <c r="C5" s="408"/>
      <c r="D5" s="408"/>
      <c r="E5" s="408"/>
      <c r="F5" s="308"/>
      <c r="G5" s="322"/>
      <c r="H5" s="322"/>
      <c r="I5" s="322"/>
      <c r="J5" s="323">
        <v>2</v>
      </c>
      <c r="K5" s="324" t="s">
        <v>282</v>
      </c>
      <c r="L5" s="323">
        <v>4</v>
      </c>
      <c r="M5" s="322"/>
      <c r="N5" s="323">
        <v>4</v>
      </c>
      <c r="O5" s="328">
        <v>4</v>
      </c>
      <c r="P5" s="323">
        <v>8</v>
      </c>
      <c r="Q5" s="322"/>
      <c r="R5" s="322"/>
      <c r="S5" s="322"/>
      <c r="T5" s="322"/>
    </row>
    <row r="6" spans="1:20" x14ac:dyDescent="0.2">
      <c r="A6" s="317" t="s">
        <v>28</v>
      </c>
      <c r="B6" s="243">
        <v>1</v>
      </c>
      <c r="C6" s="319" t="s">
        <v>337</v>
      </c>
      <c r="D6" s="306">
        <v>1</v>
      </c>
      <c r="E6" s="306" t="s">
        <v>315</v>
      </c>
      <c r="F6" s="308"/>
      <c r="G6" s="322"/>
      <c r="H6" s="322"/>
      <c r="I6" s="322"/>
      <c r="J6" s="322"/>
      <c r="K6" s="322"/>
      <c r="L6" s="322"/>
      <c r="M6" s="322"/>
      <c r="N6" s="323">
        <v>4</v>
      </c>
      <c r="O6" s="295">
        <v>4.5</v>
      </c>
      <c r="P6" s="323">
        <v>8</v>
      </c>
      <c r="Q6" s="322"/>
      <c r="R6" s="322"/>
      <c r="S6" s="322"/>
      <c r="T6" s="322"/>
    </row>
    <row r="7" spans="1:20" x14ac:dyDescent="0.2">
      <c r="A7" s="317" t="s">
        <v>226</v>
      </c>
      <c r="B7" s="243">
        <v>2</v>
      </c>
      <c r="C7" s="319" t="s">
        <v>316</v>
      </c>
      <c r="D7" s="243">
        <v>1</v>
      </c>
      <c r="E7" s="243">
        <v>1</v>
      </c>
      <c r="F7" s="308"/>
      <c r="G7" s="322"/>
      <c r="H7" s="322"/>
      <c r="I7" s="322"/>
      <c r="J7" s="322"/>
      <c r="K7" s="322"/>
      <c r="L7" s="322"/>
      <c r="M7" s="322"/>
      <c r="N7" s="323"/>
      <c r="O7" s="323"/>
      <c r="P7" s="323"/>
      <c r="Q7" s="322"/>
      <c r="R7" s="322"/>
      <c r="S7" s="322"/>
      <c r="T7" s="322"/>
    </row>
    <row r="8" spans="1:20" x14ac:dyDescent="0.2">
      <c r="A8" s="317" t="s">
        <v>282</v>
      </c>
      <c r="B8" s="243">
        <v>3</v>
      </c>
      <c r="C8" s="319" t="s">
        <v>328</v>
      </c>
      <c r="D8" s="243">
        <v>2</v>
      </c>
      <c r="E8" s="243">
        <v>2</v>
      </c>
      <c r="F8" s="308"/>
      <c r="G8" s="322"/>
      <c r="H8" s="322"/>
      <c r="I8" s="322"/>
      <c r="J8" s="243"/>
      <c r="K8" s="322"/>
      <c r="L8" s="322"/>
      <c r="M8" s="322"/>
      <c r="N8" s="322"/>
      <c r="O8" s="322"/>
      <c r="P8" s="322"/>
      <c r="Q8" s="322"/>
      <c r="R8" s="322"/>
      <c r="S8" s="322"/>
      <c r="T8" s="322"/>
    </row>
    <row r="9" spans="1:20" x14ac:dyDescent="0.2">
      <c r="A9" s="317" t="s">
        <v>317</v>
      </c>
      <c r="B9" s="243">
        <v>4</v>
      </c>
      <c r="C9" s="319" t="s">
        <v>329</v>
      </c>
      <c r="D9" s="243">
        <v>2</v>
      </c>
      <c r="E9" s="243">
        <v>2</v>
      </c>
      <c r="F9" s="308"/>
      <c r="G9" s="323">
        <v>1</v>
      </c>
      <c r="H9" s="324" t="s">
        <v>226</v>
      </c>
      <c r="I9" s="323">
        <v>2</v>
      </c>
      <c r="J9" s="322"/>
      <c r="K9" s="323">
        <v>2</v>
      </c>
      <c r="L9" s="328">
        <v>2</v>
      </c>
      <c r="M9" s="323">
        <f>L9+K9</f>
        <v>4</v>
      </c>
      <c r="N9" s="322"/>
      <c r="O9" s="322"/>
      <c r="P9" s="322"/>
      <c r="Q9" s="322"/>
      <c r="R9" s="322"/>
      <c r="S9" s="322"/>
      <c r="T9" s="322"/>
    </row>
    <row r="10" spans="1:20" x14ac:dyDescent="0.2">
      <c r="A10" s="317" t="s">
        <v>318</v>
      </c>
      <c r="B10" s="243">
        <v>5</v>
      </c>
      <c r="C10" s="319" t="s">
        <v>330</v>
      </c>
      <c r="D10" s="243">
        <v>4</v>
      </c>
      <c r="E10" s="243">
        <v>3.4</v>
      </c>
      <c r="F10" s="308"/>
      <c r="G10" s="323">
        <v>1</v>
      </c>
      <c r="H10" s="326">
        <v>1</v>
      </c>
      <c r="I10" s="323">
        <v>2</v>
      </c>
      <c r="J10" s="243"/>
      <c r="K10" s="323">
        <v>2</v>
      </c>
      <c r="L10" s="324" t="s">
        <v>317</v>
      </c>
      <c r="M10" s="323">
        <v>4</v>
      </c>
      <c r="N10" s="322"/>
      <c r="O10" s="323">
        <v>8</v>
      </c>
      <c r="P10" s="328">
        <v>3</v>
      </c>
      <c r="Q10" s="323">
        <v>11</v>
      </c>
      <c r="R10" s="322"/>
      <c r="S10" s="322"/>
      <c r="T10" s="322"/>
    </row>
    <row r="11" spans="1:20" x14ac:dyDescent="0.2">
      <c r="A11" s="317" t="s">
        <v>319</v>
      </c>
      <c r="B11" s="243">
        <v>6</v>
      </c>
      <c r="C11" s="319" t="s">
        <v>331</v>
      </c>
      <c r="D11" s="243">
        <v>3</v>
      </c>
      <c r="E11" s="243">
        <v>5</v>
      </c>
      <c r="F11" s="308"/>
      <c r="G11" s="322"/>
      <c r="H11" s="322"/>
      <c r="I11" s="322"/>
      <c r="J11" s="243"/>
      <c r="K11" s="243"/>
      <c r="L11" s="243"/>
      <c r="M11" s="322"/>
      <c r="N11" s="322"/>
      <c r="O11" s="323">
        <f>Q11-P10</f>
        <v>8</v>
      </c>
      <c r="P11" s="324" t="s">
        <v>319</v>
      </c>
      <c r="Q11" s="323">
        <f>Q15</f>
        <v>11</v>
      </c>
      <c r="R11" s="322"/>
      <c r="S11" s="322"/>
      <c r="T11" s="322"/>
    </row>
    <row r="12" spans="1:20" x14ac:dyDescent="0.2">
      <c r="A12" s="317" t="s">
        <v>320</v>
      </c>
      <c r="B12" s="243">
        <v>7</v>
      </c>
      <c r="C12" s="319" t="s">
        <v>346</v>
      </c>
      <c r="D12" s="243">
        <v>2</v>
      </c>
      <c r="E12" s="243">
        <v>6</v>
      </c>
      <c r="F12" s="308"/>
      <c r="G12" s="322"/>
      <c r="H12" s="322"/>
      <c r="I12" s="322"/>
      <c r="J12" s="243"/>
      <c r="K12" s="322"/>
      <c r="L12" s="322"/>
      <c r="M12" s="322"/>
      <c r="N12" s="322"/>
      <c r="O12" s="322"/>
      <c r="P12" s="322"/>
      <c r="Q12" s="322"/>
      <c r="R12" s="322"/>
      <c r="S12" s="322"/>
      <c r="T12" s="322"/>
    </row>
    <row r="13" spans="1:20" x14ac:dyDescent="0.2">
      <c r="A13" s="317" t="s">
        <v>321</v>
      </c>
      <c r="B13" s="243">
        <v>8</v>
      </c>
      <c r="C13" s="319" t="s">
        <v>347</v>
      </c>
      <c r="D13" s="243">
        <v>3</v>
      </c>
      <c r="E13" s="243">
        <v>6</v>
      </c>
      <c r="F13" s="308"/>
      <c r="G13" s="322"/>
      <c r="H13" s="322"/>
      <c r="I13" s="322"/>
      <c r="J13" s="322"/>
      <c r="K13" s="322"/>
      <c r="L13" s="322"/>
      <c r="M13" s="322"/>
      <c r="N13" s="322"/>
      <c r="O13" s="322"/>
      <c r="P13" s="322"/>
      <c r="Q13" s="322"/>
      <c r="R13" s="322"/>
      <c r="S13" s="322"/>
      <c r="T13" s="322"/>
    </row>
    <row r="14" spans="1:20" x14ac:dyDescent="0.2">
      <c r="A14" s="317" t="s">
        <v>322</v>
      </c>
      <c r="B14" s="243">
        <v>9</v>
      </c>
      <c r="C14" s="319" t="s">
        <v>332</v>
      </c>
      <c r="D14" s="243">
        <v>2</v>
      </c>
      <c r="E14" s="243">
        <v>7.8</v>
      </c>
      <c r="F14" s="321">
        <v>0</v>
      </c>
      <c r="G14" s="324" t="s">
        <v>28</v>
      </c>
      <c r="H14" s="323">
        <v>1</v>
      </c>
      <c r="I14" s="322"/>
      <c r="J14" s="322"/>
      <c r="K14" s="322"/>
      <c r="L14" s="322"/>
      <c r="M14" s="323">
        <v>11</v>
      </c>
      <c r="N14" s="328">
        <v>2</v>
      </c>
      <c r="O14" s="323">
        <v>13</v>
      </c>
      <c r="P14" s="322"/>
      <c r="Q14" s="323">
        <v>11</v>
      </c>
      <c r="R14" s="328">
        <v>3</v>
      </c>
      <c r="S14" s="323">
        <v>14</v>
      </c>
      <c r="T14" s="322"/>
    </row>
    <row r="15" spans="1:20" x14ac:dyDescent="0.2">
      <c r="A15" s="317" t="s">
        <v>323</v>
      </c>
      <c r="B15" s="243">
        <v>10</v>
      </c>
      <c r="C15" s="319" t="s">
        <v>340</v>
      </c>
      <c r="D15" s="243">
        <v>5</v>
      </c>
      <c r="E15" s="330">
        <v>9</v>
      </c>
      <c r="F15" s="321">
        <v>0</v>
      </c>
      <c r="G15" s="327">
        <v>1</v>
      </c>
      <c r="H15" s="323">
        <v>1</v>
      </c>
      <c r="I15" s="322"/>
      <c r="J15" s="322"/>
      <c r="K15" s="322"/>
      <c r="L15" s="322"/>
      <c r="M15" s="323">
        <f>O15-N14</f>
        <v>12</v>
      </c>
      <c r="N15" s="324" t="s">
        <v>320</v>
      </c>
      <c r="O15" s="323">
        <f>O18</f>
        <v>14</v>
      </c>
      <c r="P15" s="322"/>
      <c r="Q15" s="323">
        <f>S15-R14</f>
        <v>11</v>
      </c>
      <c r="R15" s="324" t="s">
        <v>321</v>
      </c>
      <c r="S15" s="323">
        <v>14</v>
      </c>
      <c r="T15" s="322"/>
    </row>
    <row r="16" spans="1:20" x14ac:dyDescent="0.2">
      <c r="A16" s="317" t="s">
        <v>324</v>
      </c>
      <c r="B16" s="243">
        <v>11</v>
      </c>
      <c r="C16" s="319" t="s">
        <v>333</v>
      </c>
      <c r="D16" s="243">
        <v>6</v>
      </c>
      <c r="E16" s="243">
        <v>9</v>
      </c>
      <c r="F16" s="308"/>
      <c r="G16" s="322"/>
      <c r="H16" s="322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322"/>
      <c r="T16" s="322"/>
    </row>
    <row r="17" spans="1:20" x14ac:dyDescent="0.2">
      <c r="A17" s="317" t="s">
        <v>325</v>
      </c>
      <c r="B17" s="243">
        <v>12</v>
      </c>
      <c r="C17" s="319" t="s">
        <v>334</v>
      </c>
      <c r="D17" s="243">
        <v>8</v>
      </c>
      <c r="E17" s="243">
        <v>10.11</v>
      </c>
      <c r="G17" s="322"/>
      <c r="H17" s="322"/>
      <c r="I17" s="322"/>
      <c r="J17" s="323">
        <v>2</v>
      </c>
      <c r="K17" s="329">
        <v>34</v>
      </c>
      <c r="L17" s="323">
        <v>36</v>
      </c>
      <c r="M17" s="322"/>
      <c r="N17" s="322"/>
      <c r="O17" s="323">
        <v>14</v>
      </c>
      <c r="P17" s="328">
        <v>2</v>
      </c>
      <c r="Q17" s="323">
        <v>16</v>
      </c>
      <c r="R17" s="322"/>
      <c r="S17" s="322"/>
      <c r="T17" s="322"/>
    </row>
    <row r="18" spans="1:20" x14ac:dyDescent="0.2">
      <c r="A18" s="317" t="s">
        <v>326</v>
      </c>
      <c r="B18" s="243">
        <v>13</v>
      </c>
      <c r="C18" s="319" t="s">
        <v>338</v>
      </c>
      <c r="D18" s="243">
        <v>2</v>
      </c>
      <c r="E18" s="243">
        <v>12</v>
      </c>
      <c r="G18" s="322"/>
      <c r="H18" s="322"/>
      <c r="I18" s="322"/>
      <c r="J18" s="323">
        <v>2</v>
      </c>
      <c r="K18" s="324" t="s">
        <v>341</v>
      </c>
      <c r="L18" s="323">
        <v>36</v>
      </c>
      <c r="M18" s="322"/>
      <c r="N18" s="322"/>
      <c r="O18" s="323">
        <f>Q18-P17</f>
        <v>14</v>
      </c>
      <c r="P18" s="324" t="s">
        <v>322</v>
      </c>
      <c r="Q18" s="323">
        <v>16</v>
      </c>
      <c r="R18" s="322"/>
      <c r="S18" s="322"/>
      <c r="T18" s="322"/>
    </row>
    <row r="19" spans="1:20" x14ac:dyDescent="0.2">
      <c r="A19" s="317" t="s">
        <v>327</v>
      </c>
      <c r="B19" s="243">
        <v>14</v>
      </c>
      <c r="C19" s="319" t="s">
        <v>342</v>
      </c>
      <c r="D19" s="243">
        <v>3</v>
      </c>
      <c r="E19" s="243">
        <v>12</v>
      </c>
      <c r="F19" s="320" t="s">
        <v>315</v>
      </c>
      <c r="G19" s="322"/>
      <c r="H19" s="322"/>
      <c r="I19" s="322"/>
      <c r="J19" s="322"/>
      <c r="K19" s="322"/>
      <c r="L19" s="322"/>
      <c r="M19" s="322"/>
      <c r="N19" s="314"/>
      <c r="O19" s="314"/>
      <c r="P19" s="325"/>
      <c r="Q19" s="314"/>
      <c r="R19" s="314"/>
      <c r="S19" s="322"/>
      <c r="T19" s="322"/>
    </row>
    <row r="20" spans="1:20" x14ac:dyDescent="0.2">
      <c r="A20" s="317" t="s">
        <v>344</v>
      </c>
      <c r="B20" s="243">
        <v>15</v>
      </c>
      <c r="C20" s="319" t="s">
        <v>335</v>
      </c>
      <c r="D20" s="243">
        <v>2</v>
      </c>
      <c r="E20" s="243">
        <v>17</v>
      </c>
      <c r="F20" s="308"/>
      <c r="G20" s="322"/>
      <c r="H20" s="322"/>
      <c r="I20" s="322"/>
      <c r="J20" s="322"/>
      <c r="K20" s="322"/>
      <c r="L20" s="322"/>
      <c r="M20" s="322"/>
      <c r="N20" s="314"/>
      <c r="O20" s="314"/>
      <c r="P20" s="314"/>
      <c r="Q20" s="314"/>
      <c r="R20" s="314"/>
      <c r="S20" s="322"/>
      <c r="T20" s="322"/>
    </row>
    <row r="21" spans="1:20" x14ac:dyDescent="0.2">
      <c r="A21" s="317" t="s">
        <v>341</v>
      </c>
      <c r="B21" s="243">
        <v>16</v>
      </c>
      <c r="C21" s="319" t="s">
        <v>336</v>
      </c>
      <c r="D21" s="243">
        <v>1</v>
      </c>
      <c r="E21" s="243">
        <v>1</v>
      </c>
      <c r="F21" s="308"/>
      <c r="G21" s="322"/>
      <c r="H21" s="322"/>
      <c r="I21" s="322"/>
      <c r="J21" s="323">
        <v>16</v>
      </c>
      <c r="K21" s="328">
        <v>6</v>
      </c>
      <c r="L21" s="323">
        <v>22</v>
      </c>
      <c r="M21" s="322"/>
      <c r="N21" s="322"/>
      <c r="O21" s="323">
        <v>16</v>
      </c>
      <c r="P21" s="328">
        <v>5</v>
      </c>
      <c r="Q21" s="323">
        <v>21</v>
      </c>
      <c r="R21" s="322"/>
      <c r="S21" s="322"/>
      <c r="T21" s="322"/>
    </row>
    <row r="22" spans="1:20" x14ac:dyDescent="0.2">
      <c r="A22" s="317" t="s">
        <v>339</v>
      </c>
      <c r="B22" s="243">
        <v>17</v>
      </c>
      <c r="C22" s="319" t="s">
        <v>345</v>
      </c>
      <c r="D22" s="243">
        <v>2</v>
      </c>
      <c r="E22" s="243">
        <v>13</v>
      </c>
      <c r="F22" s="308"/>
      <c r="G22" s="322"/>
      <c r="H22" s="322"/>
      <c r="I22" s="322"/>
      <c r="J22" s="323">
        <f>L22-K21</f>
        <v>16</v>
      </c>
      <c r="K22" s="324" t="s">
        <v>324</v>
      </c>
      <c r="L22" s="323">
        <v>22</v>
      </c>
      <c r="M22" s="322"/>
      <c r="N22" s="322"/>
      <c r="O22" s="323">
        <f>Q22-P21</f>
        <v>17</v>
      </c>
      <c r="P22" s="324" t="s">
        <v>323</v>
      </c>
      <c r="Q22" s="323">
        <v>22</v>
      </c>
      <c r="R22" s="322"/>
      <c r="S22" s="322"/>
      <c r="T22" s="322"/>
    </row>
    <row r="23" spans="1:20" x14ac:dyDescent="0.2">
      <c r="F23" s="308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</row>
    <row r="24" spans="1:20" x14ac:dyDescent="0.2">
      <c r="F24" s="308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</row>
    <row r="25" spans="1:20" x14ac:dyDescent="0.2">
      <c r="F25" s="308"/>
      <c r="G25" s="322"/>
      <c r="H25" s="322"/>
      <c r="I25" s="322"/>
      <c r="J25" s="322"/>
      <c r="K25" s="322"/>
      <c r="L25" s="323">
        <v>22</v>
      </c>
      <c r="M25" s="328">
        <v>8</v>
      </c>
      <c r="N25" s="323">
        <v>30</v>
      </c>
      <c r="R25" s="322"/>
      <c r="S25" s="322"/>
      <c r="T25" s="322"/>
    </row>
    <row r="26" spans="1:20" x14ac:dyDescent="0.2">
      <c r="F26" s="308"/>
      <c r="G26" s="322"/>
      <c r="H26" s="322"/>
      <c r="I26" s="322"/>
      <c r="J26" s="322"/>
      <c r="K26" s="322"/>
      <c r="L26" s="323">
        <f>N26-M25</f>
        <v>22</v>
      </c>
      <c r="M26" s="324" t="s">
        <v>325</v>
      </c>
      <c r="N26" s="323">
        <v>30</v>
      </c>
      <c r="R26" s="322"/>
      <c r="S26" s="322"/>
      <c r="T26" s="322"/>
    </row>
    <row r="27" spans="1:20" x14ac:dyDescent="0.2">
      <c r="F27" s="308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</row>
    <row r="28" spans="1:20" x14ac:dyDescent="0.2">
      <c r="F28" s="308"/>
      <c r="G28" s="322"/>
      <c r="H28" s="322"/>
      <c r="I28" s="322"/>
      <c r="J28" s="322"/>
      <c r="K28" s="322"/>
      <c r="L28" s="322"/>
      <c r="M28" s="322"/>
      <c r="N28" s="322"/>
      <c r="O28" s="322"/>
      <c r="P28" s="322"/>
      <c r="Q28" s="322"/>
      <c r="R28" s="322"/>
      <c r="S28" s="322"/>
      <c r="T28" s="322"/>
    </row>
    <row r="29" spans="1:20" x14ac:dyDescent="0.2">
      <c r="F29" s="308"/>
      <c r="G29" s="322"/>
      <c r="H29" s="322"/>
      <c r="I29" s="322"/>
      <c r="J29" s="323">
        <v>30</v>
      </c>
      <c r="K29" s="328">
        <v>3</v>
      </c>
      <c r="L29" s="323">
        <v>33</v>
      </c>
      <c r="M29" s="322"/>
      <c r="N29" s="322"/>
      <c r="O29" s="323">
        <v>30</v>
      </c>
      <c r="P29" s="328">
        <v>2</v>
      </c>
      <c r="Q29" s="323">
        <v>32</v>
      </c>
      <c r="R29" s="322"/>
      <c r="S29" s="322"/>
      <c r="T29" s="322"/>
    </row>
    <row r="30" spans="1:20" x14ac:dyDescent="0.2">
      <c r="F30" s="308"/>
      <c r="G30" s="322"/>
      <c r="H30" s="322"/>
      <c r="I30" s="322"/>
      <c r="J30" s="323">
        <f>L30-K29</f>
        <v>32</v>
      </c>
      <c r="K30" s="324" t="s">
        <v>327</v>
      </c>
      <c r="L30" s="323">
        <v>35</v>
      </c>
      <c r="M30" s="322"/>
      <c r="N30" s="322"/>
      <c r="O30" s="323">
        <f>Q30-P29</f>
        <v>30</v>
      </c>
      <c r="P30" s="331" t="s">
        <v>326</v>
      </c>
      <c r="Q30" s="332">
        <v>32</v>
      </c>
      <c r="R30" s="322"/>
      <c r="S30" s="322"/>
      <c r="T30" s="322"/>
    </row>
    <row r="31" spans="1:20" x14ac:dyDescent="0.2">
      <c r="F31" s="308"/>
      <c r="G31" s="322"/>
      <c r="H31" s="322"/>
      <c r="I31" s="322"/>
      <c r="J31" s="322"/>
      <c r="K31" s="322"/>
      <c r="L31" s="322"/>
      <c r="M31" s="322"/>
      <c r="N31" s="322"/>
      <c r="O31" s="322"/>
      <c r="S31" s="322"/>
    </row>
    <row r="32" spans="1:20" x14ac:dyDescent="0.2">
      <c r="F32" s="308"/>
      <c r="G32" s="322"/>
      <c r="H32" s="322"/>
      <c r="I32" s="322"/>
      <c r="J32" s="322"/>
      <c r="K32" s="322"/>
      <c r="L32" s="322"/>
      <c r="M32" s="322"/>
      <c r="N32" s="322"/>
      <c r="O32" s="308"/>
      <c r="P32" s="308"/>
      <c r="Q32" s="323">
        <v>32</v>
      </c>
      <c r="R32" s="328">
        <v>2</v>
      </c>
      <c r="S32" s="323">
        <v>34</v>
      </c>
    </row>
    <row r="33" spans="6:20" x14ac:dyDescent="0.2">
      <c r="F33" s="308"/>
      <c r="G33" s="322"/>
      <c r="H33" s="322"/>
      <c r="I33" s="322"/>
      <c r="J33" s="322"/>
      <c r="K33" s="322"/>
      <c r="L33" s="322"/>
      <c r="M33" s="322"/>
      <c r="N33" s="322"/>
      <c r="O33" s="308"/>
      <c r="P33" s="308"/>
      <c r="Q33" s="17">
        <v>32</v>
      </c>
      <c r="R33" s="333" t="s">
        <v>339</v>
      </c>
      <c r="S33" s="323">
        <v>34</v>
      </c>
      <c r="T33" s="322"/>
    </row>
    <row r="34" spans="6:20" x14ac:dyDescent="0.2">
      <c r="N34" s="17">
        <v>34</v>
      </c>
      <c r="O34" s="328">
        <v>2</v>
      </c>
      <c r="P34" s="321">
        <v>36</v>
      </c>
    </row>
    <row r="35" spans="6:20" x14ac:dyDescent="0.2">
      <c r="J35" s="409" t="s">
        <v>343</v>
      </c>
      <c r="K35" s="409"/>
      <c r="L35" s="409"/>
      <c r="M35" s="409"/>
      <c r="N35" s="335">
        <v>34</v>
      </c>
      <c r="O35" s="336" t="s">
        <v>344</v>
      </c>
      <c r="P35" s="335">
        <v>36</v>
      </c>
    </row>
    <row r="36" spans="6:20" x14ac:dyDescent="0.2">
      <c r="J36" s="409"/>
      <c r="K36" s="409"/>
      <c r="L36" s="409"/>
      <c r="M36" s="409"/>
      <c r="N36" s="334"/>
      <c r="O36" s="334"/>
      <c r="P36" s="334"/>
    </row>
  </sheetData>
  <mergeCells count="3">
    <mergeCell ref="A1:M2"/>
    <mergeCell ref="B5:E5"/>
    <mergeCell ref="J35:M36"/>
  </mergeCells>
  <phoneticPr fontId="3" type="noConversion"/>
  <pageMargins left="0.7" right="0.7" top="0.75" bottom="0.75" header="0.3" footer="0.3"/>
  <pageSetup paperSize="9" orientation="portrait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015C1-34BC-4A9C-940C-45CC69D9B897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4.1 Huella graderia </vt:lpstr>
      <vt:lpstr>4.2 Viga longitudinal</vt:lpstr>
      <vt:lpstr>4.3 Mamposteria</vt:lpstr>
      <vt:lpstr>Cartera de cantidades</vt:lpstr>
      <vt:lpstr>Oficial</vt:lpstr>
      <vt:lpstr>Ayudante</vt:lpstr>
      <vt:lpstr>Costos de cuadrilas</vt:lpstr>
      <vt:lpstr>Ruta Critica</vt:lpstr>
      <vt:lpstr>Hoja1</vt:lpstr>
      <vt:lpstr>Ayudante!AUX._TRANSP.</vt:lpstr>
      <vt:lpstr>Oficial!AUX._TRANSP.</vt:lpstr>
      <vt:lpstr>Ayudante!Periodo_Analisis</vt:lpstr>
      <vt:lpstr>Oficial!Periodo_Analisis</vt:lpstr>
      <vt:lpstr>Ayudante!SMMLV</vt:lpstr>
      <vt:lpstr>Oficial!SMMLV</vt:lpstr>
    </vt:vector>
  </TitlesOfParts>
  <Company>Escuela de Ingeniería Civil -U. I.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de APU</dc:title>
  <dc:subject>Análisis de Precios Unitarios</dc:subject>
  <dc:creator>Guillermo Mejía Aguilar</dc:creator>
  <dc:description>Versión 1.2 noviembre 2008</dc:description>
  <cp:lastModifiedBy>LENOVO</cp:lastModifiedBy>
  <dcterms:created xsi:type="dcterms:W3CDTF">2008-11-24T14:12:00Z</dcterms:created>
  <dcterms:modified xsi:type="dcterms:W3CDTF">2022-03-22T20:01:51Z</dcterms:modified>
</cp:coreProperties>
</file>