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cuments\Proyecto\Plan de Proyecto Maria Juliana León\"/>
    </mc:Choice>
  </mc:AlternateContent>
  <xr:revisionPtr revIDLastSave="0" documentId="13_ncr:1_{6E13E4B3-D50E-432A-BEE2-F04E659D440F}" xr6:coauthVersionLast="47" xr6:coauthVersionMax="47" xr10:uidLastSave="{00000000-0000-0000-0000-000000000000}"/>
  <bookViews>
    <workbookView xWindow="-120" yWindow="-120" windowWidth="20730" windowHeight="11160" tabRatio="953" firstSheet="3" activeTab="3" xr2:uid="{EB73D50C-2A15-41E4-A5C0-18A96E3C04D3}"/>
  </bookViews>
  <sheets>
    <sheet name="Taller II Inicial" sheetId="2" state="hidden" r:id="rId1"/>
    <sheet name="Taller II Final" sheetId="3" state="hidden" r:id="rId2"/>
    <sheet name="Capex" sheetId="4" state="hidden" r:id="rId3"/>
    <sheet name="Estados finan FEL acido" sheetId="11" r:id="rId4"/>
    <sheet name="Proyectado anual acido" sheetId="8" r:id="rId5"/>
    <sheet name="prestamo acido" sheetId="12" r:id="rId6"/>
    <sheet name="Estados finan base" sheetId="5" r:id="rId7"/>
    <sheet name="Proyectado anual base" sheetId="6" r:id="rId8"/>
    <sheet name="prestamo base" sheetId="7" r:id="rId9"/>
    <sheet name="Estados finan FEL optimista" sheetId="15" r:id="rId10"/>
    <sheet name="Proyectado anual optimista" sheetId="14" r:id="rId11"/>
    <sheet name="prestamo optimista" sheetId="16" r:id="rId12"/>
    <sheet name="Hoja1" sheetId="17" r:id="rId13"/>
    <sheet name="Hoja2" sheetId="9" r:id="rId14"/>
  </sheets>
  <definedNames>
    <definedName name="\P" localSheetId="2">#REF!</definedName>
    <definedName name="\P">#REF!</definedName>
    <definedName name="\s" localSheetId="2">#REF!</definedName>
    <definedName name="\s">#REF!</definedName>
    <definedName name="_CIC1" localSheetId="2">#REF!</definedName>
    <definedName name="_CIC1">#REF!</definedName>
    <definedName name="_xlnm._FilterDatabase" hidden="1">#REF!</definedName>
    <definedName name="a" localSheetId="2">#REF!</definedName>
    <definedName name="a">#REF!</definedName>
    <definedName name="aa" localSheetId="2">#REF!</definedName>
    <definedName name="aa">#REF!</definedName>
    <definedName name="anscount" hidden="1">61</definedName>
    <definedName name="API_Number" localSheetId="2">#REF!</definedName>
    <definedName name="API_Number">#REF!</definedName>
    <definedName name="Application_ID" localSheetId="2">#REF!</definedName>
    <definedName name="Application_ID">#REF!</definedName>
    <definedName name="_xlnm.Print_Area">#N/A</definedName>
    <definedName name="AzimColumn" localSheetId="2">#REF!</definedName>
    <definedName name="AzimColumn">#REF!</definedName>
    <definedName name="_xlnm.Database" localSheetId="2">#REF!</definedName>
    <definedName name="_xlnm.Database">#REF!</definedName>
    <definedName name="Borehole" localSheetId="2">#REF!</definedName>
    <definedName name="Borehole">#REF!</definedName>
    <definedName name="BoreholeName" localSheetId="2">#REF!</definedName>
    <definedName name="BoreholeName">#REF!</definedName>
    <definedName name="CCOP" localSheetId="2">#REF!</definedName>
    <definedName name="CCOP">#REF!</definedName>
    <definedName name="Chart_1" localSheetId="2">#REF!</definedName>
    <definedName name="Chart_1">#REF!</definedName>
    <definedName name="Classification_ID" localSheetId="2">#REF!</definedName>
    <definedName name="Classification_ID">#REF!</definedName>
    <definedName name="Client" localSheetId="2">#REF!</definedName>
    <definedName name="Client">#REF!</definedName>
    <definedName name="CommentColumn" localSheetId="2">#REF!</definedName>
    <definedName name="CommentColumn">#REF!</definedName>
    <definedName name="CoordinateReference" localSheetId="2">#REF!</definedName>
    <definedName name="CoordinateReference">#REF!</definedName>
    <definedName name="CoordinateSystem" localSheetId="2">#REF!</definedName>
    <definedName name="CoordinateSystem">#REF!</definedName>
    <definedName name="COP" localSheetId="2">#REF!</definedName>
    <definedName name="COP">#REF!</definedName>
    <definedName name="DataPipe" localSheetId="2">#REF!</definedName>
    <definedName name="DataPipe">#REF!</definedName>
    <definedName name="DataStart" localSheetId="2">#REF!</definedName>
    <definedName name="DataStart">#REF!</definedName>
    <definedName name="Date" localSheetId="2">#REF!</definedName>
    <definedName name="Date">#REF!</definedName>
    <definedName name="DD" localSheetId="2">#REF!</definedName>
    <definedName name="DD">#REF!</definedName>
    <definedName name="DEPTH_IN" localSheetId="2">#REF!</definedName>
    <definedName name="DEPTH_IN">#REF!</definedName>
    <definedName name="DipAngle" localSheetId="2">#REF!</definedName>
    <definedName name="DipAngle">#REF!</definedName>
    <definedName name="DLS_Column" localSheetId="2">#REF!</definedName>
    <definedName name="DLS_Column">#REF!</definedName>
    <definedName name="DLS_CompMethod" localSheetId="2">#REF!</definedName>
    <definedName name="DLS_CompMethod">#REF!</definedName>
    <definedName name="DLS_Unit" localSheetId="2">#REF!</definedName>
    <definedName name="DLS_Unit">#REF!</definedName>
    <definedName name="DrillSiteOrWellPad" localSheetId="2">#REF!</definedName>
    <definedName name="DrillSiteOrWellPad">#REF!</definedName>
    <definedName name="EastingColumn" localSheetId="2">#REF!</definedName>
    <definedName name="EastingColumn">#REF!</definedName>
    <definedName name="EastingUnit" localSheetId="2">#REF!</definedName>
    <definedName name="EastingUnit">#REF!</definedName>
    <definedName name="Elevation" localSheetId="2">#REF!</definedName>
    <definedName name="Elevation">#REF!</definedName>
    <definedName name="ElevationReference" localSheetId="2">#REF!</definedName>
    <definedName name="ElevationReference">#REF!</definedName>
    <definedName name="Energy_ID" localSheetId="2">#REF!</definedName>
    <definedName name="Energy_ID">#REF!</definedName>
    <definedName name="Engine_Speed_ID" localSheetId="2">#REF!</definedName>
    <definedName name="Engine_Speed_ID">#REF!</definedName>
    <definedName name="ESTADO_POZO" localSheetId="2">#REF!</definedName>
    <definedName name="ESTADO_POZO">#REF!</definedName>
    <definedName name="EW_Column" localSheetId="2">#REF!</definedName>
    <definedName name="EW_Column">#REF!</definedName>
    <definedName name="EW_Unit" localSheetId="2">#REF!</definedName>
    <definedName name="EW_Unit">#REF!</definedName>
    <definedName name="fb" localSheetId="2">#REF!</definedName>
    <definedName name="fb">#REF!</definedName>
    <definedName name="fbfb" localSheetId="2">#REF!</definedName>
    <definedName name="fbfb">#REF!</definedName>
    <definedName name="Field" localSheetId="2">#REF!</definedName>
    <definedName name="Field">#REF!</definedName>
    <definedName name="FieldName" localSheetId="2">#REF!</definedName>
    <definedName name="FieldName">#REF!</definedName>
    <definedName name="FieldStrength" localSheetId="2">#REF!</definedName>
    <definedName name="FieldStrength">#REF!</definedName>
    <definedName name="g" localSheetId="2">#REF!</definedName>
    <definedName name="g">#REF!</definedName>
    <definedName name="GeodeticLocation" localSheetId="2">#REF!</definedName>
    <definedName name="GeodeticLocation">#REF!</definedName>
    <definedName name="ghn" localSheetId="2">#REF!</definedName>
    <definedName name="ghn">#REF!</definedName>
    <definedName name="Grade" localSheetId="2">#REF!</definedName>
    <definedName name="Grade">#REF!</definedName>
    <definedName name="GridConvergence" localSheetId="2">#REF!</definedName>
    <definedName name="GridConvergence">#REF!</definedName>
    <definedName name="GridLocation" localSheetId="2">#REF!</definedName>
    <definedName name="GridLocation">#REF!</definedName>
    <definedName name="GroundLevelElevation" localSheetId="2">#REF!</definedName>
    <definedName name="GroundLevelElevation">#REF!</definedName>
    <definedName name="h" localSheetId="2">#REF!</definedName>
    <definedName name="h">#REF!</definedName>
    <definedName name="hhgn" localSheetId="2">#REF!</definedName>
    <definedName name="hhgn">#REF!</definedName>
    <definedName name="hnghn" localSheetId="2">#REF!</definedName>
    <definedName name="hnghn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InclColumn" localSheetId="2">#REF!</definedName>
    <definedName name="InclColumn">#REF!</definedName>
    <definedName name="InsertPoint" localSheetId="2">#REF!</definedName>
    <definedName name="InsertPoint">#REF!</definedName>
    <definedName name="LatColumn" localSheetId="2">#REF!</definedName>
    <definedName name="LatColumn">#REF!</definedName>
    <definedName name="Lead_Dealer_ID" localSheetId="2">#REF!</definedName>
    <definedName name="Lead_Dealer_ID">#REF!</definedName>
    <definedName name="LongColumn" localSheetId="2">#REF!</definedName>
    <definedName name="LongColumn">#REF!</definedName>
    <definedName name="MagneticDeclDate" localSheetId="2">#REF!</definedName>
    <definedName name="MagneticDeclDate">#REF!</definedName>
    <definedName name="MagneticDeclination" localSheetId="2">#REF!</definedName>
    <definedName name="MagneticDeclination">#REF!</definedName>
    <definedName name="MagneticDeclModel" localSheetId="2">#REF!</definedName>
    <definedName name="MagneticDeclModel">#REF!</definedName>
    <definedName name="Max_Net_Output" localSheetId="2">#REF!</definedName>
    <definedName name="Max_Net_Output">#REF!</definedName>
    <definedName name="MC" localSheetId="2">#REF!</definedName>
    <definedName name="MC">#REF!</definedName>
    <definedName name="MD_Column" localSheetId="2">#REF!</definedName>
    <definedName name="MD_Column">#REF!</definedName>
    <definedName name="MD_Unit" localSheetId="2">#REF!</definedName>
    <definedName name="MD_Unit">#REF!</definedName>
    <definedName name="NorthingColumn" localSheetId="2">#REF!</definedName>
    <definedName name="NorthingColumn">#REF!</definedName>
    <definedName name="NorthingUnit" localSheetId="2">#REF!</definedName>
    <definedName name="NorthingUnit">#REF!</definedName>
    <definedName name="NorthReference" localSheetId="2">#REF!</definedName>
    <definedName name="NorthReference">#REF!</definedName>
    <definedName name="NS_Column" localSheetId="2">#REF!</definedName>
    <definedName name="NS_Column">#REF!</definedName>
    <definedName name="NS_Unit" localSheetId="2">#REF!</definedName>
    <definedName name="NS_Unit">#REF!</definedName>
    <definedName name="OrderedLength" localSheetId="2">#REF!</definedName>
    <definedName name="OrderedLength">#REF!</definedName>
    <definedName name="Payback_before_tax" localSheetId="2">#REF!</definedName>
    <definedName name="Payback_before_tax">#REF!</definedName>
    <definedName name="PDAGraphiX01_EGX1110100a_EGTGraficoÐTituloÎEjeÐYÐTituloÊEjeÐXÐTitulo" localSheetId="2">#REF!</definedName>
    <definedName name="PDAGraphiX01_EGX1110100a_EGTGraficoÐTituloÎEjeÐYÐTituloÊEjeÐXÐTitulo">#REF!</definedName>
    <definedName name="PDAGraphiX02_EGX1110100a_EGTGraficoÐTituloÎEjeÐYÐTituloÊEjeÐXÐTitulo" localSheetId="2">#REF!</definedName>
    <definedName name="PDAGraphiX02_EGX1110100a_EGTGraficoÐTituloÎEjeÐYÐTituloÊEjeÐXÐTitulo">#REF!</definedName>
    <definedName name="PipeList" localSheetId="2">#REF!</definedName>
    <definedName name="PipeList">#REF!</definedName>
    <definedName name="Primary_Fuel_ID" localSheetId="2">#REF!</definedName>
    <definedName name="Primary_Fuel_ID">#REF!</definedName>
    <definedName name="Print_Area_1" localSheetId="2">#REF!</definedName>
    <definedName name="Print_Area_1">#REF!</definedName>
    <definedName name="Print_Area_2" localSheetId="2">#REF!</definedName>
    <definedName name="Print_Area_2">#REF!</definedName>
    <definedName name="Print_Area_3" localSheetId="2">#REF!</definedName>
    <definedName name="Print_Area_3">#REF!</definedName>
    <definedName name="PRINT_AREA_MI">#REF!</definedName>
    <definedName name="ScaleFactor" localSheetId="2">#REF!</definedName>
    <definedName name="ScaleFactor">#REF!</definedName>
    <definedName name="Scope_of_Supply_ID" localSheetId="2">#REF!</definedName>
    <definedName name="Scope_of_Supply_ID">#REF!</definedName>
    <definedName name="sencount" hidden="1">1</definedName>
    <definedName name="ss" localSheetId="2">#REF!</definedName>
    <definedName name="ss">#REF!</definedName>
    <definedName name="Structure" localSheetId="2">#REF!</definedName>
    <definedName name="Structure">#REF!</definedName>
    <definedName name="SurveyCompMethod" localSheetId="2">#REF!</definedName>
    <definedName name="SurveyCompMethod">#REF!</definedName>
    <definedName name="SurveyDate" localSheetId="2">#REF!</definedName>
    <definedName name="SurveyDate">#REF!</definedName>
    <definedName name="SurveyProgram" localSheetId="2">#REF!</definedName>
    <definedName name="SurveyProgram">#REF!</definedName>
    <definedName name="SurveyStats" localSheetId="2">#REF!</definedName>
    <definedName name="SurveyStats">#REF!</definedName>
    <definedName name="SvyDLSCompMethod" localSheetId="2">#REF!</definedName>
    <definedName name="SvyDLSCompMethod">#REF!</definedName>
    <definedName name="_xlnm.Print_Titles" localSheetId="2">#REF!</definedName>
    <definedName name="_xlnm.Print_Titles">#REF!</definedName>
    <definedName name="TotalCorrection" localSheetId="2">#REF!</definedName>
    <definedName name="TotalCorrection">#REF!</definedName>
    <definedName name="TotalCorrectionLbl" localSheetId="2">#REF!</definedName>
    <definedName name="TotalCorrectionLbl">#REF!</definedName>
    <definedName name="TVD_Column" localSheetId="2">#REF!</definedName>
    <definedName name="TVD_Column">#REF!</definedName>
    <definedName name="TVD_Unit" localSheetId="2">#REF!</definedName>
    <definedName name="TVD_Unit">#REF!</definedName>
    <definedName name="Type_of_Operation_ID" localSheetId="2">#REF!</definedName>
    <definedName name="Type_of_Operation_ID">#REF!</definedName>
    <definedName name="VirginSheet" localSheetId="2">#REF!</definedName>
    <definedName name="VirginSheet">#REF!</definedName>
    <definedName name="VSEC_Azim" localSheetId="2">#REF!</definedName>
    <definedName name="VSEC_Azim">#REF!</definedName>
    <definedName name="VSEC_Column" localSheetId="2">#REF!</definedName>
    <definedName name="VSEC_Column">#REF!</definedName>
    <definedName name="VSEC_Origin" localSheetId="2">#REF!</definedName>
    <definedName name="VSEC_Origin">#REF!</definedName>
    <definedName name="VSEC_Unit" localSheetId="2">#REF!</definedName>
    <definedName name="VSEC_Unit">#REF!</definedName>
    <definedName name="Well" localSheetId="2">#REF!</definedName>
    <definedName name="Well">#REF!</definedName>
    <definedName name="WellName" localSheetId="2">#REF!</definedName>
    <definedName name="WellNa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6" l="1"/>
  <c r="R4" i="6"/>
  <c r="Q11" i="6"/>
  <c r="Q11" i="8"/>
  <c r="G24" i="9"/>
  <c r="H24" i="9"/>
  <c r="I24" i="9"/>
  <c r="J24" i="9"/>
  <c r="K24" i="9"/>
  <c r="L24" i="9"/>
  <c r="M24" i="9"/>
  <c r="N24" i="9"/>
  <c r="G25" i="9"/>
  <c r="H25" i="9"/>
  <c r="I25" i="9"/>
  <c r="J25" i="9"/>
  <c r="K25" i="9"/>
  <c r="L25" i="9"/>
  <c r="M25" i="9"/>
  <c r="N25" i="9"/>
  <c r="G26" i="9"/>
  <c r="H26" i="9"/>
  <c r="I26" i="9"/>
  <c r="J26" i="9"/>
  <c r="K26" i="9"/>
  <c r="L26" i="9"/>
  <c r="M26" i="9"/>
  <c r="N26" i="9"/>
  <c r="F24" i="9"/>
  <c r="F25" i="9"/>
  <c r="F26" i="9"/>
  <c r="E24" i="9"/>
  <c r="E25" i="9"/>
  <c r="E26" i="9"/>
  <c r="D14" i="17"/>
  <c r="E14" i="17"/>
  <c r="F14" i="17"/>
  <c r="G14" i="17"/>
  <c r="H14" i="17"/>
  <c r="I14" i="17"/>
  <c r="J14" i="17"/>
  <c r="K14" i="17"/>
  <c r="L14" i="17"/>
  <c r="M14" i="17"/>
  <c r="C14" i="17"/>
  <c r="D33" i="17"/>
  <c r="E33" i="17"/>
  <c r="F33" i="17"/>
  <c r="G33" i="17"/>
  <c r="H33" i="17"/>
  <c r="I33" i="17"/>
  <c r="J33" i="17"/>
  <c r="K33" i="17"/>
  <c r="L33" i="17"/>
  <c r="M33" i="17"/>
  <c r="C33" i="17"/>
  <c r="D52" i="17"/>
  <c r="E52" i="17"/>
  <c r="F52" i="17"/>
  <c r="G52" i="17"/>
  <c r="H52" i="17"/>
  <c r="I52" i="17"/>
  <c r="J52" i="17"/>
  <c r="K52" i="17"/>
  <c r="L52" i="17"/>
  <c r="M52" i="17"/>
  <c r="C52" i="17"/>
  <c r="D43" i="17"/>
  <c r="E43" i="17"/>
  <c r="F43" i="17"/>
  <c r="G43" i="17"/>
  <c r="H43" i="17"/>
  <c r="I43" i="17"/>
  <c r="J43" i="17"/>
  <c r="K43" i="17"/>
  <c r="L43" i="17"/>
  <c r="M43" i="17"/>
  <c r="D44" i="17"/>
  <c r="E44" i="17"/>
  <c r="F44" i="17"/>
  <c r="G44" i="17"/>
  <c r="H44" i="17"/>
  <c r="I44" i="17"/>
  <c r="J44" i="17"/>
  <c r="K44" i="17"/>
  <c r="L44" i="17"/>
  <c r="M44" i="17"/>
  <c r="D45" i="17"/>
  <c r="E45" i="17"/>
  <c r="F45" i="17"/>
  <c r="G45" i="17"/>
  <c r="H45" i="17"/>
  <c r="I45" i="17"/>
  <c r="J45" i="17"/>
  <c r="K45" i="17"/>
  <c r="L45" i="17"/>
  <c r="M45" i="17"/>
  <c r="N45" i="17" s="1"/>
  <c r="D46" i="17"/>
  <c r="D47" i="17" s="1"/>
  <c r="E46" i="17"/>
  <c r="F46" i="17"/>
  <c r="F47" i="17" s="1"/>
  <c r="G46" i="17"/>
  <c r="H46" i="17"/>
  <c r="I46" i="17"/>
  <c r="I47" i="17" s="1"/>
  <c r="J46" i="17"/>
  <c r="K46" i="17"/>
  <c r="L46" i="17"/>
  <c r="M46" i="17"/>
  <c r="N46" i="17" s="1"/>
  <c r="D48" i="17"/>
  <c r="E48" i="17"/>
  <c r="F48" i="17"/>
  <c r="G48" i="17"/>
  <c r="H48" i="17"/>
  <c r="I48" i="17"/>
  <c r="J48" i="17"/>
  <c r="K48" i="17"/>
  <c r="L48" i="17"/>
  <c r="M48" i="17"/>
  <c r="N48" i="17" s="1"/>
  <c r="D49" i="17"/>
  <c r="E49" i="17"/>
  <c r="F49" i="17"/>
  <c r="G49" i="17"/>
  <c r="H49" i="17"/>
  <c r="I49" i="17"/>
  <c r="J49" i="17"/>
  <c r="K49" i="17"/>
  <c r="L49" i="17"/>
  <c r="M49" i="17"/>
  <c r="D50" i="17"/>
  <c r="E50" i="17"/>
  <c r="F50" i="17"/>
  <c r="G50" i="17"/>
  <c r="H50" i="17"/>
  <c r="I50" i="17"/>
  <c r="J50" i="17"/>
  <c r="K50" i="17"/>
  <c r="L50" i="17"/>
  <c r="M50" i="17"/>
  <c r="D51" i="17"/>
  <c r="E51" i="17"/>
  <c r="F51" i="17"/>
  <c r="G51" i="17"/>
  <c r="H51" i="17"/>
  <c r="I51" i="17"/>
  <c r="J51" i="17"/>
  <c r="K51" i="17"/>
  <c r="L51" i="17"/>
  <c r="M51" i="17"/>
  <c r="D53" i="17"/>
  <c r="E53" i="17"/>
  <c r="F53" i="17"/>
  <c r="G53" i="17"/>
  <c r="H53" i="17"/>
  <c r="I53" i="17"/>
  <c r="J53" i="17"/>
  <c r="K53" i="17"/>
  <c r="L53" i="17"/>
  <c r="M53" i="17"/>
  <c r="N53" i="17" s="1"/>
  <c r="C55" i="17"/>
  <c r="M54" i="17"/>
  <c r="C53" i="17"/>
  <c r="C51" i="17"/>
  <c r="C50" i="17"/>
  <c r="C49" i="17"/>
  <c r="C48" i="17"/>
  <c r="C46" i="17"/>
  <c r="C45" i="17"/>
  <c r="C44" i="17"/>
  <c r="C43" i="17"/>
  <c r="C42" i="17"/>
  <c r="C41" i="17"/>
  <c r="D24" i="17"/>
  <c r="E24" i="17"/>
  <c r="F24" i="17"/>
  <c r="G24" i="17"/>
  <c r="H24" i="17"/>
  <c r="I24" i="17"/>
  <c r="J24" i="17"/>
  <c r="K24" i="17"/>
  <c r="L24" i="17"/>
  <c r="M24" i="17"/>
  <c r="D25" i="17"/>
  <c r="E25" i="17"/>
  <c r="F25" i="17"/>
  <c r="G25" i="17"/>
  <c r="H25" i="17"/>
  <c r="I25" i="17"/>
  <c r="J25" i="17"/>
  <c r="K25" i="17"/>
  <c r="L25" i="17"/>
  <c r="M25" i="17"/>
  <c r="D26" i="17"/>
  <c r="E26" i="17"/>
  <c r="F26" i="17"/>
  <c r="G26" i="17"/>
  <c r="H26" i="17"/>
  <c r="I26" i="17"/>
  <c r="J26" i="17"/>
  <c r="K26" i="17"/>
  <c r="L26" i="17"/>
  <c r="M26" i="17"/>
  <c r="N26" i="17" s="1"/>
  <c r="D27" i="17"/>
  <c r="E27" i="17"/>
  <c r="F27" i="17"/>
  <c r="G27" i="17"/>
  <c r="H27" i="17"/>
  <c r="I27" i="17"/>
  <c r="J27" i="17"/>
  <c r="J28" i="17" s="1"/>
  <c r="K27" i="17"/>
  <c r="L27" i="17"/>
  <c r="M27" i="17"/>
  <c r="N27" i="17" s="1"/>
  <c r="D29" i="17"/>
  <c r="E29" i="17"/>
  <c r="F29" i="17"/>
  <c r="G29" i="17"/>
  <c r="H29" i="17"/>
  <c r="I29" i="17"/>
  <c r="J29" i="17"/>
  <c r="K29" i="17"/>
  <c r="L29" i="17"/>
  <c r="M29" i="17"/>
  <c r="N29" i="17" s="1"/>
  <c r="D30" i="17"/>
  <c r="E30" i="17"/>
  <c r="F30" i="17"/>
  <c r="G30" i="17"/>
  <c r="H30" i="17"/>
  <c r="I30" i="17"/>
  <c r="J30" i="17"/>
  <c r="K30" i="17"/>
  <c r="L30" i="17"/>
  <c r="M30" i="17"/>
  <c r="D31" i="17"/>
  <c r="E31" i="17"/>
  <c r="F31" i="17"/>
  <c r="G31" i="17"/>
  <c r="H31" i="17"/>
  <c r="I31" i="17"/>
  <c r="J31" i="17"/>
  <c r="K31" i="17"/>
  <c r="L31" i="17"/>
  <c r="M31" i="17"/>
  <c r="D32" i="17"/>
  <c r="E32" i="17"/>
  <c r="F32" i="17"/>
  <c r="G32" i="17"/>
  <c r="H32" i="17"/>
  <c r="I32" i="17"/>
  <c r="J32" i="17"/>
  <c r="K32" i="17"/>
  <c r="L32" i="17"/>
  <c r="M32" i="17"/>
  <c r="D34" i="17"/>
  <c r="E34" i="17"/>
  <c r="F34" i="17"/>
  <c r="G34" i="17"/>
  <c r="H34" i="17"/>
  <c r="I34" i="17"/>
  <c r="J34" i="17"/>
  <c r="K34" i="17"/>
  <c r="L34" i="17"/>
  <c r="M34" i="17"/>
  <c r="N34" i="17" s="1"/>
  <c r="C36" i="17"/>
  <c r="M35" i="17"/>
  <c r="C34" i="17"/>
  <c r="C32" i="17"/>
  <c r="C31" i="17"/>
  <c r="C30" i="17"/>
  <c r="C29" i="17"/>
  <c r="C27" i="17"/>
  <c r="C26" i="17"/>
  <c r="C25" i="17"/>
  <c r="C24" i="17"/>
  <c r="C23" i="17"/>
  <c r="C22" i="17"/>
  <c r="E5" i="17"/>
  <c r="F5" i="17"/>
  <c r="G5" i="17"/>
  <c r="H5" i="17"/>
  <c r="I5" i="17"/>
  <c r="J5" i="17"/>
  <c r="K5" i="17"/>
  <c r="L5" i="17"/>
  <c r="M5" i="17"/>
  <c r="E6" i="17"/>
  <c r="F6" i="17"/>
  <c r="G6" i="17"/>
  <c r="H6" i="17"/>
  <c r="I6" i="17"/>
  <c r="J6" i="17"/>
  <c r="K6" i="17"/>
  <c r="L6" i="17"/>
  <c r="M6" i="17"/>
  <c r="E7" i="17"/>
  <c r="F7" i="17"/>
  <c r="G7" i="17"/>
  <c r="H7" i="17"/>
  <c r="I7" i="17"/>
  <c r="J7" i="17"/>
  <c r="K7" i="17"/>
  <c r="L7" i="17"/>
  <c r="M7" i="17"/>
  <c r="N7" i="17" s="1"/>
  <c r="E8" i="17"/>
  <c r="F8" i="17"/>
  <c r="G8" i="17"/>
  <c r="H8" i="17"/>
  <c r="I8" i="17"/>
  <c r="J8" i="17"/>
  <c r="K8" i="17"/>
  <c r="L8" i="17"/>
  <c r="M8" i="17"/>
  <c r="N8" i="17" s="1"/>
  <c r="E10" i="17"/>
  <c r="F10" i="17"/>
  <c r="G10" i="17"/>
  <c r="H10" i="17"/>
  <c r="I10" i="17"/>
  <c r="J10" i="17"/>
  <c r="K10" i="17"/>
  <c r="L10" i="17"/>
  <c r="M10" i="17"/>
  <c r="N10" i="17" s="1"/>
  <c r="E11" i="17"/>
  <c r="F11" i="17"/>
  <c r="G11" i="17"/>
  <c r="H11" i="17"/>
  <c r="I11" i="17"/>
  <c r="J11" i="17"/>
  <c r="K11" i="17"/>
  <c r="L11" i="17"/>
  <c r="M11" i="17"/>
  <c r="E12" i="17"/>
  <c r="F12" i="17"/>
  <c r="G12" i="17"/>
  <c r="H12" i="17"/>
  <c r="I12" i="17"/>
  <c r="J12" i="17"/>
  <c r="K12" i="17"/>
  <c r="L12" i="17"/>
  <c r="M12" i="17"/>
  <c r="E13" i="17"/>
  <c r="F13" i="17"/>
  <c r="G13" i="17"/>
  <c r="H13" i="17"/>
  <c r="I13" i="17"/>
  <c r="J13" i="17"/>
  <c r="K13" i="17"/>
  <c r="L13" i="17"/>
  <c r="M13" i="17"/>
  <c r="E15" i="17"/>
  <c r="F15" i="17"/>
  <c r="G15" i="17"/>
  <c r="H15" i="17"/>
  <c r="I15" i="17"/>
  <c r="J15" i="17"/>
  <c r="K15" i="17"/>
  <c r="L15" i="17"/>
  <c r="M15" i="17"/>
  <c r="N15" i="17" s="1"/>
  <c r="M16" i="17"/>
  <c r="C17" i="17"/>
  <c r="C5" i="17"/>
  <c r="C6" i="17"/>
  <c r="C7" i="17"/>
  <c r="C8" i="17"/>
  <c r="C10" i="17"/>
  <c r="C11" i="17"/>
  <c r="C15" i="17"/>
  <c r="D15" i="17"/>
  <c r="C13" i="17"/>
  <c r="D13" i="17"/>
  <c r="C12" i="17"/>
  <c r="D12" i="17"/>
  <c r="D11" i="17"/>
  <c r="D10" i="17"/>
  <c r="D8" i="17"/>
  <c r="D7" i="17"/>
  <c r="D6" i="17"/>
  <c r="D5" i="17"/>
  <c r="C4" i="17"/>
  <c r="C3" i="17"/>
  <c r="K15" i="5"/>
  <c r="K15" i="11"/>
  <c r="K15" i="15"/>
  <c r="H91" i="15"/>
  <c r="L50" i="15"/>
  <c r="K50" i="15"/>
  <c r="J50" i="15"/>
  <c r="I50" i="15"/>
  <c r="L49" i="15"/>
  <c r="K49" i="15"/>
  <c r="J49" i="15"/>
  <c r="I49" i="15"/>
  <c r="H50" i="15"/>
  <c r="H49" i="15"/>
  <c r="H46" i="15"/>
  <c r="H48" i="15"/>
  <c r="H15" i="15"/>
  <c r="H91" i="11"/>
  <c r="L50" i="11"/>
  <c r="L49" i="11"/>
  <c r="K50" i="11"/>
  <c r="K49" i="11"/>
  <c r="J50" i="11"/>
  <c r="J49" i="11"/>
  <c r="I50" i="11"/>
  <c r="I49" i="11"/>
  <c r="I48" i="11"/>
  <c r="G48" i="11"/>
  <c r="H50" i="11"/>
  <c r="H49" i="11"/>
  <c r="H48" i="11"/>
  <c r="H15" i="11"/>
  <c r="H91" i="5"/>
  <c r="O73" i="5"/>
  <c r="N73" i="5"/>
  <c r="M73" i="5"/>
  <c r="L73" i="5"/>
  <c r="K73" i="5"/>
  <c r="J73" i="5"/>
  <c r="I73" i="5"/>
  <c r="H15" i="5"/>
  <c r="K50" i="5"/>
  <c r="J50" i="5"/>
  <c r="I50" i="5"/>
  <c r="K49" i="5"/>
  <c r="J49" i="5"/>
  <c r="I49" i="5"/>
  <c r="H50" i="5"/>
  <c r="H49" i="5"/>
  <c r="H48" i="5"/>
  <c r="H73" i="15"/>
  <c r="G73" i="15"/>
  <c r="F73" i="15"/>
  <c r="AV79" i="14"/>
  <c r="AU79" i="14"/>
  <c r="AT79" i="14"/>
  <c r="AS79" i="14"/>
  <c r="AR79" i="14"/>
  <c r="AQ79" i="14"/>
  <c r="AP79" i="14"/>
  <c r="AO79" i="14"/>
  <c r="AN79" i="14"/>
  <c r="AM79" i="14"/>
  <c r="AL79" i="14"/>
  <c r="AK79" i="14"/>
  <c r="AJ79" i="14"/>
  <c r="AF79" i="14"/>
  <c r="AE79" i="14"/>
  <c r="AD79" i="14"/>
  <c r="AC79" i="14"/>
  <c r="AB79" i="14"/>
  <c r="AA79" i="14"/>
  <c r="Z79" i="14"/>
  <c r="Y79" i="14"/>
  <c r="X79" i="14"/>
  <c r="W79" i="14"/>
  <c r="V79" i="14"/>
  <c r="U79" i="14"/>
  <c r="T79" i="14"/>
  <c r="P79" i="14"/>
  <c r="O79" i="14"/>
  <c r="N79" i="14"/>
  <c r="M79" i="14"/>
  <c r="L79" i="14"/>
  <c r="K79" i="14"/>
  <c r="J79" i="14"/>
  <c r="I79" i="14"/>
  <c r="H79" i="14"/>
  <c r="G79" i="14"/>
  <c r="F79" i="14"/>
  <c r="E79" i="14"/>
  <c r="D79" i="14"/>
  <c r="O66" i="5"/>
  <c r="N66" i="5"/>
  <c r="M66" i="5"/>
  <c r="L66" i="5"/>
  <c r="K66" i="5"/>
  <c r="J66" i="5"/>
  <c r="I66" i="5"/>
  <c r="H66" i="5"/>
  <c r="G66" i="5"/>
  <c r="F66" i="5"/>
  <c r="O81" i="5"/>
  <c r="N81" i="5"/>
  <c r="M81" i="5"/>
  <c r="L81" i="5"/>
  <c r="K81" i="5"/>
  <c r="J81" i="5"/>
  <c r="I81" i="5"/>
  <c r="H81" i="5"/>
  <c r="G81" i="5"/>
  <c r="O65" i="5"/>
  <c r="N65" i="5"/>
  <c r="M65" i="5"/>
  <c r="L65" i="5"/>
  <c r="K65" i="5"/>
  <c r="J65" i="5"/>
  <c r="I65" i="5"/>
  <c r="H65" i="5"/>
  <c r="G65" i="5"/>
  <c r="F65" i="5"/>
  <c r="E65" i="5"/>
  <c r="O101" i="5"/>
  <c r="N101" i="5"/>
  <c r="M101" i="5"/>
  <c r="L101" i="5"/>
  <c r="K101" i="5"/>
  <c r="J101" i="5"/>
  <c r="I101" i="5"/>
  <c r="H101" i="5"/>
  <c r="G101" i="5"/>
  <c r="D9" i="17" l="1"/>
  <c r="E9" i="17"/>
  <c r="J47" i="17"/>
  <c r="F9" i="17"/>
  <c r="K28" i="17"/>
  <c r="I28" i="17"/>
  <c r="H47" i="17"/>
  <c r="L47" i="17"/>
  <c r="H28" i="17"/>
  <c r="G47" i="17"/>
  <c r="L9" i="17"/>
  <c r="K9" i="17"/>
  <c r="H9" i="17"/>
  <c r="G9" i="17"/>
  <c r="F28" i="17"/>
  <c r="E47" i="17"/>
  <c r="G28" i="17"/>
  <c r="J9" i="17"/>
  <c r="E28" i="17"/>
  <c r="K47" i="17"/>
  <c r="I9" i="17"/>
  <c r="L28" i="17"/>
  <c r="D28" i="17"/>
  <c r="M47" i="17"/>
  <c r="N6" i="17"/>
  <c r="M9" i="17"/>
  <c r="N25" i="17"/>
  <c r="M28" i="17"/>
  <c r="N43" i="17"/>
  <c r="N24" i="17"/>
  <c r="N5" i="17"/>
  <c r="N44" i="17"/>
  <c r="H51" i="15"/>
  <c r="I48" i="15" s="1"/>
  <c r="H51" i="11"/>
  <c r="H51" i="5"/>
  <c r="I48" i="5" s="1"/>
  <c r="I51" i="5" s="1"/>
  <c r="F81" i="5" l="1"/>
  <c r="E81" i="5"/>
  <c r="F101" i="5"/>
  <c r="E101" i="5"/>
  <c r="AW79" i="14"/>
  <c r="AG79" i="14"/>
  <c r="AK75" i="14"/>
  <c r="AL75" i="14" s="1"/>
  <c r="U75" i="14"/>
  <c r="P75" i="14"/>
  <c r="AV74" i="14"/>
  <c r="AF74" i="14"/>
  <c r="P74" i="14"/>
  <c r="AV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F77" i="8"/>
  <c r="AG77" i="8" s="1"/>
  <c r="AE77" i="8"/>
  <c r="AD77" i="8"/>
  <c r="AC77" i="8"/>
  <c r="AB77" i="8"/>
  <c r="AA77" i="8"/>
  <c r="Z77" i="8"/>
  <c r="Y77" i="8"/>
  <c r="X77" i="8"/>
  <c r="W77" i="8"/>
  <c r="V77" i="8"/>
  <c r="U77" i="8"/>
  <c r="T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AK73" i="8"/>
  <c r="U73" i="8"/>
  <c r="P73" i="8"/>
  <c r="AV72" i="8"/>
  <c r="AF72" i="8"/>
  <c r="P72" i="8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AV73" i="6"/>
  <c r="AV72" i="6"/>
  <c r="AL73" i="6"/>
  <c r="AM73" i="6" s="1"/>
  <c r="AN73" i="6" s="1"/>
  <c r="AO73" i="6" s="1"/>
  <c r="AP73" i="6" s="1"/>
  <c r="AQ73" i="6" s="1"/>
  <c r="AR73" i="6" s="1"/>
  <c r="AS73" i="6" s="1"/>
  <c r="AT73" i="6" s="1"/>
  <c r="AU73" i="6" s="1"/>
  <c r="AK73" i="6"/>
  <c r="V73" i="6"/>
  <c r="W73" i="6" s="1"/>
  <c r="U73" i="6"/>
  <c r="AF72" i="6"/>
  <c r="P73" i="6"/>
  <c r="P72" i="6"/>
  <c r="AF75" i="14" l="1"/>
  <c r="AM75" i="14"/>
  <c r="AN75" i="14" s="1"/>
  <c r="AO75" i="14" s="1"/>
  <c r="AP75" i="14" s="1"/>
  <c r="AQ75" i="14" s="1"/>
  <c r="AR75" i="14" s="1"/>
  <c r="AS75" i="14" s="1"/>
  <c r="AT75" i="14" s="1"/>
  <c r="AU75" i="14" s="1"/>
  <c r="V75" i="14"/>
  <c r="W75" i="14" s="1"/>
  <c r="X75" i="14" s="1"/>
  <c r="Y75" i="14" s="1"/>
  <c r="Z75" i="14" s="1"/>
  <c r="AA75" i="14" s="1"/>
  <c r="AB75" i="14" s="1"/>
  <c r="AC75" i="14" s="1"/>
  <c r="AD75" i="14" s="1"/>
  <c r="AE75" i="14" s="1"/>
  <c r="AW77" i="8"/>
  <c r="V73" i="8"/>
  <c r="W73" i="8" s="1"/>
  <c r="X73" i="8" s="1"/>
  <c r="Y73" i="8" s="1"/>
  <c r="Z73" i="8" s="1"/>
  <c r="AA73" i="8" s="1"/>
  <c r="AB73" i="8" s="1"/>
  <c r="AC73" i="8" s="1"/>
  <c r="AD73" i="8" s="1"/>
  <c r="AE73" i="8" s="1"/>
  <c r="AL73" i="8"/>
  <c r="AM73" i="8" s="1"/>
  <c r="AN73" i="8" s="1"/>
  <c r="AO73" i="8" s="1"/>
  <c r="AP73" i="8" s="1"/>
  <c r="AQ73" i="8" s="1"/>
  <c r="AR73" i="8" s="1"/>
  <c r="AS73" i="8" s="1"/>
  <c r="AT73" i="8" s="1"/>
  <c r="AU73" i="8" s="1"/>
  <c r="AF73" i="6"/>
  <c r="X73" i="6"/>
  <c r="Y73" i="6" s="1"/>
  <c r="Z73" i="6" s="1"/>
  <c r="AA73" i="6" s="1"/>
  <c r="AB73" i="6" s="1"/>
  <c r="AC73" i="6" s="1"/>
  <c r="AD73" i="6" s="1"/>
  <c r="AE73" i="6" s="1"/>
  <c r="E46" i="11"/>
  <c r="E45" i="11"/>
  <c r="E46" i="15"/>
  <c r="E45" i="15"/>
  <c r="AV64" i="14"/>
  <c r="AF57" i="14"/>
  <c r="AF59" i="14"/>
  <c r="AF64" i="14"/>
  <c r="AH9" i="16"/>
  <c r="AH10" i="16" s="1"/>
  <c r="AO8" i="16"/>
  <c r="AN8" i="16"/>
  <c r="AM8" i="16"/>
  <c r="AL8" i="16"/>
  <c r="AK8" i="16"/>
  <c r="AJ8" i="16"/>
  <c r="AI8" i="16"/>
  <c r="AH8" i="16"/>
  <c r="AG8" i="16"/>
  <c r="AF8" i="16"/>
  <c r="AE8" i="16"/>
  <c r="AD8" i="16"/>
  <c r="Z8" i="16"/>
  <c r="Y8" i="16"/>
  <c r="X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AO7" i="16"/>
  <c r="AO9" i="16" s="1"/>
  <c r="AO10" i="16" s="1"/>
  <c r="AN7" i="16"/>
  <c r="AN9" i="16" s="1"/>
  <c r="AN10" i="16" s="1"/>
  <c r="AM7" i="16"/>
  <c r="AM9" i="16" s="1"/>
  <c r="AM10" i="16" s="1"/>
  <c r="AL7" i="16"/>
  <c r="AL9" i="16" s="1"/>
  <c r="AL10" i="16" s="1"/>
  <c r="AK7" i="16"/>
  <c r="AJ7" i="16"/>
  <c r="AJ9" i="16" s="1"/>
  <c r="AJ10" i="16" s="1"/>
  <c r="AI7" i="16"/>
  <c r="AI9" i="16" s="1"/>
  <c r="AI10" i="16" s="1"/>
  <c r="AH7" i="16"/>
  <c r="AG7" i="16"/>
  <c r="AG9" i="16" s="1"/>
  <c r="AG10" i="16" s="1"/>
  <c r="AF7" i="16"/>
  <c r="AF9" i="16" s="1"/>
  <c r="AF10" i="16" s="1"/>
  <c r="AE7" i="16"/>
  <c r="AE9" i="16" s="1"/>
  <c r="AE10" i="16" s="1"/>
  <c r="AD7" i="16"/>
  <c r="AD9" i="16" s="1"/>
  <c r="AD10" i="16" s="1"/>
  <c r="Z7" i="16"/>
  <c r="Y7" i="16"/>
  <c r="Y9" i="16" s="1"/>
  <c r="X7" i="16"/>
  <c r="X9" i="16" s="1"/>
  <c r="W7" i="16"/>
  <c r="W9" i="16" s="1"/>
  <c r="V7" i="16"/>
  <c r="U7" i="16"/>
  <c r="U9" i="16" s="1"/>
  <c r="T7" i="16"/>
  <c r="S7" i="16"/>
  <c r="R7" i="16"/>
  <c r="Q7" i="16"/>
  <c r="Q9" i="16" s="1"/>
  <c r="P7" i="16"/>
  <c r="P9" i="16" s="1"/>
  <c r="O7" i="16"/>
  <c r="O9" i="16" s="1"/>
  <c r="N7" i="16"/>
  <c r="M7" i="16"/>
  <c r="M9" i="16" s="1"/>
  <c r="L7" i="16"/>
  <c r="K7" i="16"/>
  <c r="J7" i="16"/>
  <c r="I7" i="16"/>
  <c r="I9" i="16" s="1"/>
  <c r="H7" i="16"/>
  <c r="H9" i="16" s="1"/>
  <c r="G7" i="16"/>
  <c r="G9" i="16" s="1"/>
  <c r="F7" i="16"/>
  <c r="E7" i="16"/>
  <c r="E9" i="16" s="1"/>
  <c r="D7" i="16"/>
  <c r="C7" i="16"/>
  <c r="AE5" i="16"/>
  <c r="B5" i="16"/>
  <c r="F135" i="15"/>
  <c r="F136" i="15" s="1"/>
  <c r="F138" i="15" s="1"/>
  <c r="E135" i="15"/>
  <c r="E134" i="15"/>
  <c r="E136" i="15" s="1"/>
  <c r="E138" i="15" s="1"/>
  <c r="E112" i="15"/>
  <c r="F112" i="15" s="1"/>
  <c r="G112" i="15" s="1"/>
  <c r="H112" i="15" s="1"/>
  <c r="I112" i="15" s="1"/>
  <c r="J112" i="15" s="1"/>
  <c r="K112" i="15" s="1"/>
  <c r="L112" i="15" s="1"/>
  <c r="M112" i="15" s="1"/>
  <c r="N112" i="15" s="1"/>
  <c r="O112" i="15" s="1"/>
  <c r="E111" i="15"/>
  <c r="E107" i="15"/>
  <c r="E104" i="15"/>
  <c r="E103" i="15"/>
  <c r="E92" i="15"/>
  <c r="E85" i="15"/>
  <c r="E147" i="15" s="1"/>
  <c r="E83" i="15"/>
  <c r="E120" i="15" s="1"/>
  <c r="E72" i="15"/>
  <c r="E70" i="15"/>
  <c r="E68" i="15"/>
  <c r="E69" i="15" s="1"/>
  <c r="E71" i="15" s="1"/>
  <c r="E67" i="15"/>
  <c r="E66" i="15"/>
  <c r="I56" i="15"/>
  <c r="J56" i="15" s="1"/>
  <c r="L55" i="15"/>
  <c r="F55" i="15"/>
  <c r="O54" i="15"/>
  <c r="N54" i="15"/>
  <c r="M54" i="15"/>
  <c r="L54" i="15"/>
  <c r="K54" i="15"/>
  <c r="J54" i="15"/>
  <c r="I54" i="15"/>
  <c r="H54" i="15"/>
  <c r="G54" i="15"/>
  <c r="F54" i="15"/>
  <c r="E48" i="15"/>
  <c r="J92" i="15"/>
  <c r="K28" i="15"/>
  <c r="J28" i="15"/>
  <c r="I28" i="15"/>
  <c r="G28" i="15"/>
  <c r="F28" i="15"/>
  <c r="E28" i="15"/>
  <c r="E121" i="15" s="1"/>
  <c r="O21" i="15"/>
  <c r="N21" i="15"/>
  <c r="M21" i="15"/>
  <c r="L21" i="15"/>
  <c r="K21" i="15"/>
  <c r="N20" i="15"/>
  <c r="K20" i="15"/>
  <c r="O19" i="15"/>
  <c r="N19" i="15"/>
  <c r="M19" i="15"/>
  <c r="L19" i="15"/>
  <c r="K19" i="15"/>
  <c r="J19" i="15"/>
  <c r="I19" i="15"/>
  <c r="M18" i="15"/>
  <c r="K18" i="15"/>
  <c r="H18" i="15"/>
  <c r="K17" i="15"/>
  <c r="J17" i="15"/>
  <c r="I17" i="15"/>
  <c r="H17" i="15"/>
  <c r="L17" i="15" s="1"/>
  <c r="G17" i="15"/>
  <c r="G26" i="15" s="1"/>
  <c r="O16" i="15"/>
  <c r="N16" i="15"/>
  <c r="M16" i="15"/>
  <c r="L16" i="15"/>
  <c r="K16" i="15"/>
  <c r="J16" i="15"/>
  <c r="I16" i="15"/>
  <c r="H16" i="15"/>
  <c r="G16" i="15"/>
  <c r="F16" i="15"/>
  <c r="F26" i="15" s="1"/>
  <c r="J15" i="15"/>
  <c r="O18" i="15"/>
  <c r="N11" i="15"/>
  <c r="L11" i="15"/>
  <c r="K11" i="15"/>
  <c r="F11" i="15"/>
  <c r="F12" i="15" s="1"/>
  <c r="F13" i="15" s="1"/>
  <c r="O10" i="15"/>
  <c r="O11" i="15" s="1"/>
  <c r="N10" i="15"/>
  <c r="M10" i="15"/>
  <c r="L10" i="15"/>
  <c r="K10" i="15"/>
  <c r="J10" i="15"/>
  <c r="J11" i="15" s="1"/>
  <c r="I10" i="15"/>
  <c r="I11" i="15" s="1"/>
  <c r="H10" i="15"/>
  <c r="G10" i="15"/>
  <c r="G11" i="15" s="1"/>
  <c r="F10" i="15"/>
  <c r="E10" i="15"/>
  <c r="E13" i="15" s="1"/>
  <c r="M6" i="15"/>
  <c r="N6" i="15" s="1"/>
  <c r="O6" i="15" s="1"/>
  <c r="F5" i="15"/>
  <c r="G5" i="15" s="1"/>
  <c r="H5" i="15" s="1"/>
  <c r="I5" i="15" s="1"/>
  <c r="J5" i="15" s="1"/>
  <c r="K5" i="15" s="1"/>
  <c r="L5" i="15" s="1"/>
  <c r="M5" i="15" s="1"/>
  <c r="N5" i="15" s="1"/>
  <c r="O5" i="15" s="1"/>
  <c r="H4" i="15"/>
  <c r="I4" i="15" s="1"/>
  <c r="J4" i="15" s="1"/>
  <c r="K4" i="15" s="1"/>
  <c r="L4" i="15" s="1"/>
  <c r="M4" i="15" s="1"/>
  <c r="N4" i="15" s="1"/>
  <c r="O4" i="15" s="1"/>
  <c r="F4" i="15"/>
  <c r="G4" i="15" s="1"/>
  <c r="G3" i="15"/>
  <c r="F3" i="15"/>
  <c r="AK34" i="14"/>
  <c r="AL34" i="14" s="1"/>
  <c r="AN34" i="14"/>
  <c r="AV131" i="14"/>
  <c r="AF131" i="14"/>
  <c r="P131" i="14"/>
  <c r="AV127" i="14"/>
  <c r="AF127" i="14"/>
  <c r="AV126" i="14"/>
  <c r="AF126" i="14"/>
  <c r="AV125" i="14"/>
  <c r="AF125" i="14"/>
  <c r="AV122" i="14"/>
  <c r="AV121" i="14" s="1"/>
  <c r="AF122" i="14"/>
  <c r="AF121" i="14" s="1"/>
  <c r="C122" i="14"/>
  <c r="P122" i="14" s="1"/>
  <c r="P121" i="14" s="1"/>
  <c r="D108" i="14"/>
  <c r="AV107" i="14"/>
  <c r="C107" i="14"/>
  <c r="D107" i="14" s="1"/>
  <c r="E107" i="14" s="1"/>
  <c r="F107" i="14" s="1"/>
  <c r="G107" i="14" s="1"/>
  <c r="H107" i="14" s="1"/>
  <c r="I107" i="14" s="1"/>
  <c r="J107" i="14" s="1"/>
  <c r="K107" i="14" s="1"/>
  <c r="L107" i="14" s="1"/>
  <c r="M107" i="14" s="1"/>
  <c r="N107" i="14" s="1"/>
  <c r="O107" i="14" s="1"/>
  <c r="P104" i="14"/>
  <c r="P118" i="14" s="1"/>
  <c r="AL103" i="14"/>
  <c r="AM103" i="14" s="1"/>
  <c r="AN103" i="14" s="1"/>
  <c r="AO103" i="14" s="1"/>
  <c r="AP103" i="14" s="1"/>
  <c r="AQ103" i="14" s="1"/>
  <c r="AR103" i="14" s="1"/>
  <c r="AS103" i="14" s="1"/>
  <c r="AT103" i="14" s="1"/>
  <c r="AU103" i="14" s="1"/>
  <c r="AV103" i="14" s="1"/>
  <c r="C103" i="14"/>
  <c r="C125" i="14" s="1"/>
  <c r="P125" i="14" s="1"/>
  <c r="AV100" i="14"/>
  <c r="AV114" i="14" s="1"/>
  <c r="O100" i="14"/>
  <c r="N100" i="14"/>
  <c r="N73" i="14" s="1"/>
  <c r="M100" i="14"/>
  <c r="M73" i="14" s="1"/>
  <c r="L100" i="14"/>
  <c r="L73" i="14" s="1"/>
  <c r="K100" i="14"/>
  <c r="K73" i="14" s="1"/>
  <c r="J100" i="14"/>
  <c r="J73" i="14" s="1"/>
  <c r="I100" i="14"/>
  <c r="I73" i="14" s="1"/>
  <c r="H100" i="14"/>
  <c r="H73" i="14" s="1"/>
  <c r="G100" i="14"/>
  <c r="G73" i="14" s="1"/>
  <c r="F100" i="14"/>
  <c r="F73" i="14" s="1"/>
  <c r="E100" i="14"/>
  <c r="E73" i="14" s="1"/>
  <c r="D100" i="14"/>
  <c r="D73" i="14" s="1"/>
  <c r="AV99" i="14"/>
  <c r="D99" i="14"/>
  <c r="E99" i="14" s="1"/>
  <c r="F99" i="14" s="1"/>
  <c r="G99" i="14" s="1"/>
  <c r="H99" i="14" s="1"/>
  <c r="I99" i="14" s="1"/>
  <c r="J99" i="14" s="1"/>
  <c r="K99" i="14" s="1"/>
  <c r="L99" i="14" s="1"/>
  <c r="M99" i="14" s="1"/>
  <c r="N99" i="14" s="1"/>
  <c r="O99" i="14" s="1"/>
  <c r="AV98" i="14"/>
  <c r="D98" i="14"/>
  <c r="AV97" i="14"/>
  <c r="D97" i="14"/>
  <c r="E97" i="14" s="1"/>
  <c r="F97" i="14" s="1"/>
  <c r="G97" i="14" s="1"/>
  <c r="H97" i="14" s="1"/>
  <c r="I97" i="14" s="1"/>
  <c r="J97" i="14" s="1"/>
  <c r="K97" i="14" s="1"/>
  <c r="L97" i="14" s="1"/>
  <c r="M97" i="14" s="1"/>
  <c r="N97" i="14" s="1"/>
  <c r="O97" i="14" s="1"/>
  <c r="C92" i="14"/>
  <c r="AU83" i="14"/>
  <c r="AT83" i="14"/>
  <c r="AS83" i="14"/>
  <c r="AR83" i="14"/>
  <c r="AQ83" i="14"/>
  <c r="AP83" i="14"/>
  <c r="AO83" i="14"/>
  <c r="AN83" i="14"/>
  <c r="AM83" i="14"/>
  <c r="AE83" i="14"/>
  <c r="AD83" i="14"/>
  <c r="AC83" i="14"/>
  <c r="AB83" i="14"/>
  <c r="AA83" i="14"/>
  <c r="Z83" i="14"/>
  <c r="Y83" i="14"/>
  <c r="X83" i="14"/>
  <c r="W83" i="14"/>
  <c r="V83" i="14"/>
  <c r="U83" i="14"/>
  <c r="T83" i="14"/>
  <c r="O83" i="14"/>
  <c r="N83" i="14"/>
  <c r="M83" i="14"/>
  <c r="L83" i="14"/>
  <c r="K83" i="14"/>
  <c r="J83" i="14"/>
  <c r="I83" i="14"/>
  <c r="H83" i="14"/>
  <c r="G83" i="14"/>
  <c r="F83" i="14"/>
  <c r="E83" i="14"/>
  <c r="D83" i="14"/>
  <c r="AK77" i="14"/>
  <c r="Y77" i="14"/>
  <c r="Z77" i="14" s="1"/>
  <c r="AA77" i="14" s="1"/>
  <c r="AB77" i="14" s="1"/>
  <c r="AC77" i="14" s="1"/>
  <c r="AD77" i="14" s="1"/>
  <c r="AE77" i="14" s="1"/>
  <c r="P77" i="14"/>
  <c r="AK71" i="14"/>
  <c r="AL71" i="14" s="1"/>
  <c r="AM71" i="14" s="1"/>
  <c r="AN71" i="14" s="1"/>
  <c r="AO71" i="14" s="1"/>
  <c r="AP71" i="14" s="1"/>
  <c r="AQ71" i="14" s="1"/>
  <c r="AR71" i="14" s="1"/>
  <c r="AS71" i="14" s="1"/>
  <c r="AT71" i="14" s="1"/>
  <c r="AU71" i="14" s="1"/>
  <c r="O71" i="14"/>
  <c r="T71" i="14" s="1"/>
  <c r="W70" i="14"/>
  <c r="E70" i="14"/>
  <c r="F70" i="14" s="1"/>
  <c r="G70" i="14" s="1"/>
  <c r="H70" i="14" s="1"/>
  <c r="I70" i="14" s="1"/>
  <c r="J70" i="14" s="1"/>
  <c r="K70" i="14" s="1"/>
  <c r="L70" i="14" s="1"/>
  <c r="M70" i="14" s="1"/>
  <c r="N70" i="14" s="1"/>
  <c r="O70" i="14" s="1"/>
  <c r="W69" i="14"/>
  <c r="P69" i="14"/>
  <c r="U68" i="14"/>
  <c r="V68" i="14" s="1"/>
  <c r="W68" i="14" s="1"/>
  <c r="X68" i="14" s="1"/>
  <c r="Y68" i="14" s="1"/>
  <c r="Z68" i="14" s="1"/>
  <c r="AA68" i="14" s="1"/>
  <c r="AB68" i="14" s="1"/>
  <c r="AC68" i="14" s="1"/>
  <c r="AD68" i="14" s="1"/>
  <c r="AE68" i="14" s="1"/>
  <c r="AJ68" i="14" s="1"/>
  <c r="P68" i="14"/>
  <c r="H67" i="14"/>
  <c r="E67" i="14"/>
  <c r="E66" i="14"/>
  <c r="AO65" i="14"/>
  <c r="AP65" i="14" s="1"/>
  <c r="AQ65" i="14" s="1"/>
  <c r="AR65" i="14" s="1"/>
  <c r="AS65" i="14" s="1"/>
  <c r="AT65" i="14" s="1"/>
  <c r="AU65" i="14" s="1"/>
  <c r="E65" i="14"/>
  <c r="F65" i="14" s="1"/>
  <c r="P63" i="14"/>
  <c r="P62" i="14"/>
  <c r="AK60" i="14"/>
  <c r="AL60" i="14" s="1"/>
  <c r="AM60" i="14" s="1"/>
  <c r="D60" i="14"/>
  <c r="E60" i="14" s="1"/>
  <c r="P56" i="14"/>
  <c r="P55" i="14"/>
  <c r="P54" i="14"/>
  <c r="AF50" i="14"/>
  <c r="P50" i="14"/>
  <c r="AF49" i="14"/>
  <c r="P49" i="14"/>
  <c r="AF48" i="14"/>
  <c r="P48" i="14"/>
  <c r="P47" i="14"/>
  <c r="L46" i="14"/>
  <c r="D45" i="14"/>
  <c r="AF44" i="14"/>
  <c r="P44" i="14"/>
  <c r="P42" i="14"/>
  <c r="P41" i="14"/>
  <c r="P40" i="14"/>
  <c r="D37" i="14"/>
  <c r="R36" i="14"/>
  <c r="AH36" i="14" s="1"/>
  <c r="AL44" i="14" s="1"/>
  <c r="AO34" i="14"/>
  <c r="Y34" i="14"/>
  <c r="Z34" i="14" s="1"/>
  <c r="AA34" i="14" s="1"/>
  <c r="AB34" i="14" s="1"/>
  <c r="AC34" i="14" s="1"/>
  <c r="AD34" i="14" s="1"/>
  <c r="AE34" i="14" s="1"/>
  <c r="N34" i="14"/>
  <c r="O34" i="14" s="1"/>
  <c r="H34" i="14"/>
  <c r="I34" i="14" s="1"/>
  <c r="J34" i="14" s="1"/>
  <c r="K34" i="14" s="1"/>
  <c r="E34" i="14"/>
  <c r="F34" i="14" s="1"/>
  <c r="S30" i="14"/>
  <c r="D27" i="14"/>
  <c r="D26" i="14"/>
  <c r="D25" i="14"/>
  <c r="E18" i="14"/>
  <c r="E14" i="14" s="1"/>
  <c r="E17" i="14"/>
  <c r="E13" i="14" s="1"/>
  <c r="E16" i="14"/>
  <c r="E12" i="14" s="1"/>
  <c r="D14" i="14"/>
  <c r="D22" i="14" s="1"/>
  <c r="D13" i="14"/>
  <c r="D21" i="14" s="1"/>
  <c r="D58" i="14" s="1"/>
  <c r="E58" i="14" s="1"/>
  <c r="F58" i="14" s="1"/>
  <c r="G58" i="14" s="1"/>
  <c r="H58" i="14" s="1"/>
  <c r="I58" i="14" s="1"/>
  <c r="J58" i="14" s="1"/>
  <c r="K58" i="14" s="1"/>
  <c r="L58" i="14" s="1"/>
  <c r="M58" i="14" s="1"/>
  <c r="N58" i="14" s="1"/>
  <c r="O58" i="14" s="1"/>
  <c r="D12" i="14"/>
  <c r="D20" i="14" s="1"/>
  <c r="D10" i="14"/>
  <c r="D30" i="14" s="1"/>
  <c r="E9" i="14"/>
  <c r="E27" i="14" s="1"/>
  <c r="E8" i="14"/>
  <c r="E7" i="14"/>
  <c r="AL5" i="14"/>
  <c r="AM5" i="14" s="1"/>
  <c r="AN5" i="14" s="1"/>
  <c r="AO5" i="14" s="1"/>
  <c r="AP5" i="14" s="1"/>
  <c r="AQ5" i="14" s="1"/>
  <c r="AR5" i="14" s="1"/>
  <c r="AS5" i="14" s="1"/>
  <c r="AT5" i="14" s="1"/>
  <c r="AU5" i="14" s="1"/>
  <c r="V5" i="14"/>
  <c r="W5" i="14" s="1"/>
  <c r="X5" i="14" s="1"/>
  <c r="Y5" i="14" s="1"/>
  <c r="Z5" i="14" s="1"/>
  <c r="AA5" i="14" s="1"/>
  <c r="AB5" i="14" s="1"/>
  <c r="AC5" i="14" s="1"/>
  <c r="AD5" i="14" s="1"/>
  <c r="AE5" i="14" s="1"/>
  <c r="H5" i="14"/>
  <c r="I5" i="14" s="1"/>
  <c r="J5" i="14" s="1"/>
  <c r="K5" i="14" s="1"/>
  <c r="L5" i="14" s="1"/>
  <c r="M5" i="14" s="1"/>
  <c r="N5" i="14" s="1"/>
  <c r="O5" i="14" s="1"/>
  <c r="F5" i="14"/>
  <c r="AL4" i="14"/>
  <c r="AM4" i="14" s="1"/>
  <c r="AN4" i="14" s="1"/>
  <c r="AO4" i="14" s="1"/>
  <c r="AP4" i="14" s="1"/>
  <c r="AQ4" i="14" s="1"/>
  <c r="AR4" i="14" s="1"/>
  <c r="AS4" i="14" s="1"/>
  <c r="AT4" i="14" s="1"/>
  <c r="AU4" i="14" s="1"/>
  <c r="V4" i="14"/>
  <c r="W4" i="14" s="1"/>
  <c r="X4" i="14" s="1"/>
  <c r="Y4" i="14" s="1"/>
  <c r="Z4" i="14" s="1"/>
  <c r="AA4" i="14" s="1"/>
  <c r="AB4" i="14" s="1"/>
  <c r="AC4" i="14" s="1"/>
  <c r="AD4" i="14" s="1"/>
  <c r="AE4" i="14" s="1"/>
  <c r="Q4" i="14"/>
  <c r="F4" i="14"/>
  <c r="G4" i="14" s="1"/>
  <c r="H4" i="14" s="1"/>
  <c r="I4" i="14" s="1"/>
  <c r="J4" i="14" s="1"/>
  <c r="K4" i="14" s="1"/>
  <c r="L4" i="14" s="1"/>
  <c r="M4" i="14" s="1"/>
  <c r="N4" i="14" s="1"/>
  <c r="O4" i="14" s="1"/>
  <c r="AL3" i="14"/>
  <c r="AM3" i="14" s="1"/>
  <c r="AN3" i="14" s="1"/>
  <c r="AO3" i="14" s="1"/>
  <c r="AP3" i="14" s="1"/>
  <c r="AQ3" i="14" s="1"/>
  <c r="AR3" i="14" s="1"/>
  <c r="AS3" i="14" s="1"/>
  <c r="AT3" i="14" s="1"/>
  <c r="AU3" i="14" s="1"/>
  <c r="AG3" i="14"/>
  <c r="AW3" i="14" s="1"/>
  <c r="AW4" i="14" s="1"/>
  <c r="V3" i="14"/>
  <c r="W3" i="14" s="1"/>
  <c r="X3" i="14" s="1"/>
  <c r="Y3" i="14" s="1"/>
  <c r="Z3" i="14" s="1"/>
  <c r="AA3" i="14" s="1"/>
  <c r="AB3" i="14" s="1"/>
  <c r="AC3" i="14" s="1"/>
  <c r="AD3" i="14" s="1"/>
  <c r="AE3" i="14" s="1"/>
  <c r="F3" i="14"/>
  <c r="F9" i="16" l="1"/>
  <c r="F10" i="16" s="1"/>
  <c r="N9" i="16"/>
  <c r="V9" i="16"/>
  <c r="V10" i="16" s="1"/>
  <c r="E91" i="15"/>
  <c r="E95" i="15" s="1"/>
  <c r="G50" i="15"/>
  <c r="G49" i="15"/>
  <c r="F50" i="15"/>
  <c r="F49" i="15"/>
  <c r="D9" i="16"/>
  <c r="D10" i="16" s="1"/>
  <c r="L9" i="16"/>
  <c r="L10" i="16" s="1"/>
  <c r="T9" i="16"/>
  <c r="T10" i="16" s="1"/>
  <c r="K9" i="16"/>
  <c r="S9" i="16"/>
  <c r="S10" i="16" s="1"/>
  <c r="G10" i="16"/>
  <c r="K10" i="16"/>
  <c r="N10" i="16"/>
  <c r="O10" i="16"/>
  <c r="W10" i="16"/>
  <c r="O50" i="15"/>
  <c r="O92" i="15" s="1"/>
  <c r="AV75" i="14"/>
  <c r="AV71" i="14"/>
  <c r="C106" i="14"/>
  <c r="AV73" i="8"/>
  <c r="AF73" i="8"/>
  <c r="E10" i="16"/>
  <c r="M10" i="16"/>
  <c r="U10" i="16"/>
  <c r="H10" i="16"/>
  <c r="P10" i="16"/>
  <c r="X10" i="16"/>
  <c r="E108" i="15"/>
  <c r="I10" i="16"/>
  <c r="Q10" i="16"/>
  <c r="Y10" i="16"/>
  <c r="C9" i="16"/>
  <c r="C10" i="16" s="1"/>
  <c r="G29" i="15"/>
  <c r="G70" i="15" s="1"/>
  <c r="G83" i="15" s="1"/>
  <c r="G120" i="15" s="1"/>
  <c r="J121" i="15"/>
  <c r="J88" i="15"/>
  <c r="J89" i="15" s="1"/>
  <c r="M11" i="15"/>
  <c r="K26" i="15"/>
  <c r="K29" i="15" s="1"/>
  <c r="K70" i="15" s="1"/>
  <c r="K83" i="15" s="1"/>
  <c r="K120" i="15" s="1"/>
  <c r="G12" i="15"/>
  <c r="H12" i="15" s="1"/>
  <c r="I12" i="15" s="1"/>
  <c r="K56" i="15"/>
  <c r="E128" i="15"/>
  <c r="N50" i="15"/>
  <c r="N92" i="15" s="1"/>
  <c r="H72" i="15"/>
  <c r="M50" i="15"/>
  <c r="M92" i="15" s="1"/>
  <c r="O49" i="15"/>
  <c r="O72" i="15" s="1"/>
  <c r="G52" i="15"/>
  <c r="L92" i="15"/>
  <c r="N49" i="15"/>
  <c r="N72" i="15" s="1"/>
  <c r="F52" i="15"/>
  <c r="K92" i="15"/>
  <c r="M49" i="15"/>
  <c r="M72" i="15" s="1"/>
  <c r="K72" i="15"/>
  <c r="H92" i="15"/>
  <c r="J72" i="15"/>
  <c r="J20" i="15"/>
  <c r="O20" i="15"/>
  <c r="M20" i="15"/>
  <c r="L20" i="15"/>
  <c r="H26" i="15"/>
  <c r="G88" i="15"/>
  <c r="G89" i="15" s="1"/>
  <c r="G121" i="15"/>
  <c r="I72" i="15"/>
  <c r="H11" i="15"/>
  <c r="E117" i="15"/>
  <c r="E74" i="15"/>
  <c r="E78" i="15"/>
  <c r="E145" i="15"/>
  <c r="E148" i="15" s="1"/>
  <c r="G38" i="15"/>
  <c r="H3" i="15"/>
  <c r="I3" i="15" s="1"/>
  <c r="F29" i="15"/>
  <c r="F70" i="15" s="1"/>
  <c r="F83" i="15" s="1"/>
  <c r="F120" i="15" s="1"/>
  <c r="L72" i="15"/>
  <c r="G13" i="15"/>
  <c r="I18" i="15"/>
  <c r="I26" i="15" s="1"/>
  <c r="I29" i="15" s="1"/>
  <c r="I70" i="15" s="1"/>
  <c r="I83" i="15" s="1"/>
  <c r="H28" i="15"/>
  <c r="E51" i="15"/>
  <c r="F48" i="15" s="1"/>
  <c r="J18" i="15"/>
  <c r="I121" i="15"/>
  <c r="M55" i="15"/>
  <c r="L18" i="15"/>
  <c r="K121" i="15"/>
  <c r="K88" i="15"/>
  <c r="K89" i="15" s="1"/>
  <c r="E88" i="15"/>
  <c r="J9" i="16"/>
  <c r="J10" i="16" s="1"/>
  <c r="R9" i="16"/>
  <c r="R10" i="16" s="1"/>
  <c r="Z9" i="16"/>
  <c r="Z10" i="16" s="1"/>
  <c r="AK9" i="16"/>
  <c r="AK10" i="16" s="1"/>
  <c r="E146" i="15"/>
  <c r="N18" i="15"/>
  <c r="I88" i="15"/>
  <c r="I89" i="15" s="1"/>
  <c r="F121" i="15"/>
  <c r="F88" i="15"/>
  <c r="F89" i="15" s="1"/>
  <c r="AQ34" i="14"/>
  <c r="AR34" i="14" s="1"/>
  <c r="AS34" i="14" s="1"/>
  <c r="AT34" i="14" s="1"/>
  <c r="AU34" i="14" s="1"/>
  <c r="P71" i="14"/>
  <c r="D92" i="14"/>
  <c r="AV124" i="14"/>
  <c r="D23" i="14"/>
  <c r="D84" i="14" s="1"/>
  <c r="E98" i="14"/>
  <c r="F98" i="14" s="1"/>
  <c r="E20" i="14"/>
  <c r="AF124" i="14"/>
  <c r="P100" i="14"/>
  <c r="P114" i="14" s="1"/>
  <c r="F9" i="14"/>
  <c r="G9" i="14" s="1"/>
  <c r="F7" i="14"/>
  <c r="E10" i="14"/>
  <c r="E30" i="14" s="1"/>
  <c r="D35" i="14"/>
  <c r="D76" i="14"/>
  <c r="G3" i="14"/>
  <c r="H3" i="14" s="1"/>
  <c r="I3" i="14" s="1"/>
  <c r="J3" i="14" s="1"/>
  <c r="K3" i="14" s="1"/>
  <c r="L3" i="14" s="1"/>
  <c r="M3" i="14" s="1"/>
  <c r="N3" i="14" s="1"/>
  <c r="O3" i="14" s="1"/>
  <c r="F8" i="14"/>
  <c r="AG4" i="14"/>
  <c r="D28" i="14"/>
  <c r="F60" i="14"/>
  <c r="G60" i="14" s="1"/>
  <c r="H60" i="14" s="1"/>
  <c r="I60" i="14" s="1"/>
  <c r="J60" i="14" s="1"/>
  <c r="K60" i="14" s="1"/>
  <c r="L60" i="14" s="1"/>
  <c r="M60" i="14" s="1"/>
  <c r="N60" i="14" s="1"/>
  <c r="O60" i="14" s="1"/>
  <c r="E21" i="14"/>
  <c r="E26" i="14"/>
  <c r="E25" i="14"/>
  <c r="E22" i="14"/>
  <c r="AK68" i="14"/>
  <c r="AL68" i="14" s="1"/>
  <c r="AM68" i="14" s="1"/>
  <c r="AN68" i="14" s="1"/>
  <c r="AO68" i="14" s="1"/>
  <c r="AP68" i="14" s="1"/>
  <c r="AQ68" i="14" s="1"/>
  <c r="AR68" i="14" s="1"/>
  <c r="AS68" i="14" s="1"/>
  <c r="AT68" i="14" s="1"/>
  <c r="AU68" i="14" s="1"/>
  <c r="F16" i="14"/>
  <c r="F17" i="14"/>
  <c r="F18" i="14"/>
  <c r="AM44" i="14"/>
  <c r="AN44" i="14" s="1"/>
  <c r="AO44" i="14" s="1"/>
  <c r="AP44" i="14" s="1"/>
  <c r="AQ44" i="14" s="1"/>
  <c r="AR44" i="14" s="1"/>
  <c r="AS44" i="14" s="1"/>
  <c r="AT44" i="14" s="1"/>
  <c r="AU44" i="14" s="1"/>
  <c r="AN60" i="14"/>
  <c r="AO60" i="14" s="1"/>
  <c r="AP60" i="14" s="1"/>
  <c r="AQ60" i="14" s="1"/>
  <c r="AR60" i="14" s="1"/>
  <c r="AS60" i="14" s="1"/>
  <c r="AT60" i="14" s="1"/>
  <c r="AU60" i="14" s="1"/>
  <c r="T107" i="14"/>
  <c r="U107" i="14" s="1"/>
  <c r="V107" i="14" s="1"/>
  <c r="W107" i="14" s="1"/>
  <c r="X107" i="14" s="1"/>
  <c r="Y107" i="14" s="1"/>
  <c r="Z107" i="14" s="1"/>
  <c r="AA107" i="14" s="1"/>
  <c r="AB107" i="14" s="1"/>
  <c r="AC107" i="14" s="1"/>
  <c r="AD107" i="14" s="1"/>
  <c r="AE107" i="14" s="1"/>
  <c r="AF107" i="14" s="1"/>
  <c r="P107" i="14"/>
  <c r="T97" i="14"/>
  <c r="U97" i="14" s="1"/>
  <c r="V97" i="14" s="1"/>
  <c r="W97" i="14" s="1"/>
  <c r="X97" i="14" s="1"/>
  <c r="Y97" i="14" s="1"/>
  <c r="Z97" i="14" s="1"/>
  <c r="AA97" i="14" s="1"/>
  <c r="AB97" i="14" s="1"/>
  <c r="AC97" i="14" s="1"/>
  <c r="AD97" i="14" s="1"/>
  <c r="AE97" i="14" s="1"/>
  <c r="AF97" i="14" s="1"/>
  <c r="P97" i="14"/>
  <c r="M46" i="14"/>
  <c r="N46" i="14" s="1"/>
  <c r="O46" i="14" s="1"/>
  <c r="T46" i="14" s="1"/>
  <c r="AI30" i="14"/>
  <c r="AJ59" i="14"/>
  <c r="E37" i="14"/>
  <c r="F37" i="14" s="1"/>
  <c r="G37" i="14" s="1"/>
  <c r="H37" i="14" s="1"/>
  <c r="I37" i="14" s="1"/>
  <c r="J37" i="14" s="1"/>
  <c r="K37" i="14" s="1"/>
  <c r="AJ38" i="14"/>
  <c r="AJ40" i="14"/>
  <c r="AJ41" i="14" s="1"/>
  <c r="AJ42" i="14" s="1"/>
  <c r="AK42" i="14" s="1"/>
  <c r="AL42" i="14" s="1"/>
  <c r="AM42" i="14" s="1"/>
  <c r="AN42" i="14" s="1"/>
  <c r="AO42" i="14" s="1"/>
  <c r="E45" i="14"/>
  <c r="F45" i="14" s="1"/>
  <c r="G45" i="14" s="1"/>
  <c r="H45" i="14" s="1"/>
  <c r="I45" i="14" s="1"/>
  <c r="J45" i="14" s="1"/>
  <c r="K45" i="14" s="1"/>
  <c r="L45" i="14" s="1"/>
  <c r="M45" i="14" s="1"/>
  <c r="N45" i="14" s="1"/>
  <c r="O45" i="14" s="1"/>
  <c r="T45" i="14" s="1"/>
  <c r="AJ46" i="14"/>
  <c r="AJ37" i="14"/>
  <c r="AJ45" i="14"/>
  <c r="G65" i="14"/>
  <c r="H65" i="14" s="1"/>
  <c r="I65" i="14" s="1"/>
  <c r="J65" i="14" s="1"/>
  <c r="K65" i="14" s="1"/>
  <c r="L65" i="14" s="1"/>
  <c r="M65" i="14" s="1"/>
  <c r="N65" i="14" s="1"/>
  <c r="O65" i="14" s="1"/>
  <c r="T65" i="14" s="1"/>
  <c r="AF68" i="14"/>
  <c r="P70" i="14"/>
  <c r="P99" i="14"/>
  <c r="T99" i="14"/>
  <c r="U99" i="14" s="1"/>
  <c r="V99" i="14" s="1"/>
  <c r="AJ39" i="14"/>
  <c r="X70" i="14"/>
  <c r="Y70" i="14" s="1"/>
  <c r="Z70" i="14" s="1"/>
  <c r="AA70" i="14" s="1"/>
  <c r="AB70" i="14" s="1"/>
  <c r="AC70" i="14" s="1"/>
  <c r="AD70" i="14" s="1"/>
  <c r="AE70" i="14" s="1"/>
  <c r="AJ70" i="14" s="1"/>
  <c r="F67" i="14"/>
  <c r="X69" i="14"/>
  <c r="Y69" i="14" s="1"/>
  <c r="Z69" i="14" s="1"/>
  <c r="AA69" i="14" s="1"/>
  <c r="AB69" i="14" s="1"/>
  <c r="AC69" i="14" s="1"/>
  <c r="AD69" i="14" s="1"/>
  <c r="AE69" i="14" s="1"/>
  <c r="AJ69" i="14" s="1"/>
  <c r="P83" i="14"/>
  <c r="AV83" i="14"/>
  <c r="O73" i="14"/>
  <c r="P73" i="14" s="1"/>
  <c r="T100" i="14"/>
  <c r="D103" i="14"/>
  <c r="AF77" i="14"/>
  <c r="F66" i="14"/>
  <c r="G66" i="14" s="1"/>
  <c r="H66" i="14" s="1"/>
  <c r="I66" i="14" s="1"/>
  <c r="J66" i="14" s="1"/>
  <c r="K66" i="14" s="1"/>
  <c r="L66" i="14" s="1"/>
  <c r="M66" i="14" s="1"/>
  <c r="N66" i="14" s="1"/>
  <c r="O66" i="14" s="1"/>
  <c r="T66" i="14" s="1"/>
  <c r="AL77" i="14"/>
  <c r="AM77" i="14" s="1"/>
  <c r="AN77" i="14" s="1"/>
  <c r="AO77" i="14" s="1"/>
  <c r="AP77" i="14" s="1"/>
  <c r="AQ77" i="14" s="1"/>
  <c r="AR77" i="14" s="1"/>
  <c r="AS77" i="14" s="1"/>
  <c r="AT77" i="14" s="1"/>
  <c r="AU77" i="14" s="1"/>
  <c r="U71" i="14"/>
  <c r="V71" i="14" s="1"/>
  <c r="W71" i="14" s="1"/>
  <c r="X71" i="14" s="1"/>
  <c r="Y71" i="14" s="1"/>
  <c r="Z71" i="14" s="1"/>
  <c r="AA71" i="14" s="1"/>
  <c r="AB71" i="14" s="1"/>
  <c r="AC71" i="14" s="1"/>
  <c r="AD71" i="14" s="1"/>
  <c r="AE71" i="14" s="1"/>
  <c r="AF83" i="14"/>
  <c r="G72" i="15" s="1"/>
  <c r="C102" i="14"/>
  <c r="AV113" i="14"/>
  <c r="AV115" i="14" s="1"/>
  <c r="C127" i="14"/>
  <c r="P127" i="14" s="1"/>
  <c r="AN81" i="8"/>
  <c r="AO81" i="8"/>
  <c r="AP81" i="8"/>
  <c r="AQ81" i="8"/>
  <c r="AR81" i="8"/>
  <c r="AS81" i="8"/>
  <c r="AT81" i="8"/>
  <c r="AU81" i="8"/>
  <c r="AM81" i="8"/>
  <c r="E48" i="11"/>
  <c r="E51" i="11" s="1"/>
  <c r="F48" i="11" s="1"/>
  <c r="AO8" i="12"/>
  <c r="AN8" i="12"/>
  <c r="AM8" i="12"/>
  <c r="AL8" i="12"/>
  <c r="AK8" i="12"/>
  <c r="AJ8" i="12"/>
  <c r="AI8" i="12"/>
  <c r="AH8" i="12"/>
  <c r="AG8" i="12"/>
  <c r="AF8" i="12"/>
  <c r="AE8" i="12"/>
  <c r="AD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AO7" i="12"/>
  <c r="AO9" i="12" s="1"/>
  <c r="AO10" i="12" s="1"/>
  <c r="AN7" i="12"/>
  <c r="AN9" i="12" s="1"/>
  <c r="AN10" i="12" s="1"/>
  <c r="AM7" i="12"/>
  <c r="AM9" i="12" s="1"/>
  <c r="AM10" i="12" s="1"/>
  <c r="AL7" i="12"/>
  <c r="AL9" i="12" s="1"/>
  <c r="AL10" i="12" s="1"/>
  <c r="AK7" i="12"/>
  <c r="AK9" i="12" s="1"/>
  <c r="AK10" i="12" s="1"/>
  <c r="AJ7" i="12"/>
  <c r="AJ9" i="12" s="1"/>
  <c r="AJ10" i="12" s="1"/>
  <c r="AI7" i="12"/>
  <c r="AI9" i="12" s="1"/>
  <c r="AI10" i="12" s="1"/>
  <c r="AH7" i="12"/>
  <c r="AH9" i="12" s="1"/>
  <c r="AH10" i="12" s="1"/>
  <c r="AG7" i="12"/>
  <c r="AG9" i="12" s="1"/>
  <c r="AG10" i="12" s="1"/>
  <c r="AF7" i="12"/>
  <c r="AF9" i="12" s="1"/>
  <c r="AF10" i="12" s="1"/>
  <c r="AE7" i="12"/>
  <c r="AE9" i="12" s="1"/>
  <c r="AE10" i="12" s="1"/>
  <c r="AD7" i="12"/>
  <c r="AD9" i="12" s="1"/>
  <c r="AD10" i="12" s="1"/>
  <c r="Z7" i="12"/>
  <c r="Z9" i="12" s="1"/>
  <c r="Y7" i="12"/>
  <c r="X7" i="12"/>
  <c r="X9" i="12" s="1"/>
  <c r="W7" i="12"/>
  <c r="V7" i="12"/>
  <c r="U7" i="12"/>
  <c r="Z81" i="8" s="1"/>
  <c r="T7" i="12"/>
  <c r="S7" i="12"/>
  <c r="R7" i="12"/>
  <c r="R9" i="12" s="1"/>
  <c r="Q7" i="12"/>
  <c r="P7" i="12"/>
  <c r="P9" i="12" s="1"/>
  <c r="O7" i="12"/>
  <c r="N7" i="12"/>
  <c r="M7" i="12"/>
  <c r="N81" i="8" s="1"/>
  <c r="L7" i="12"/>
  <c r="K7" i="12"/>
  <c r="J7" i="12"/>
  <c r="J9" i="12" s="1"/>
  <c r="I7" i="12"/>
  <c r="H7" i="12"/>
  <c r="H9" i="12" s="1"/>
  <c r="G7" i="12"/>
  <c r="F7" i="12"/>
  <c r="E7" i="12"/>
  <c r="F81" i="8" s="1"/>
  <c r="D7" i="12"/>
  <c r="C7" i="12"/>
  <c r="AE5" i="12"/>
  <c r="B5" i="12"/>
  <c r="E147" i="11"/>
  <c r="F135" i="11"/>
  <c r="F136" i="11" s="1"/>
  <c r="F138" i="11" s="1"/>
  <c r="E135" i="11"/>
  <c r="E134" i="11"/>
  <c r="E136" i="11" s="1"/>
  <c r="E138" i="11" s="1"/>
  <c r="E112" i="11"/>
  <c r="F112" i="11" s="1"/>
  <c r="G112" i="11" s="1"/>
  <c r="H112" i="11" s="1"/>
  <c r="I112" i="11" s="1"/>
  <c r="J112" i="11" s="1"/>
  <c r="K112" i="11" s="1"/>
  <c r="L112" i="11" s="1"/>
  <c r="M112" i="11" s="1"/>
  <c r="N112" i="11" s="1"/>
  <c r="O112" i="11" s="1"/>
  <c r="E111" i="11"/>
  <c r="E107" i="11"/>
  <c r="E104" i="11"/>
  <c r="E103" i="11"/>
  <c r="E92" i="11"/>
  <c r="E85" i="11"/>
  <c r="E72" i="11"/>
  <c r="E70" i="11"/>
  <c r="E83" i="11" s="1"/>
  <c r="E120" i="11" s="1"/>
  <c r="E68" i="11"/>
  <c r="E67" i="11"/>
  <c r="E66" i="11"/>
  <c r="E69" i="11" s="1"/>
  <c r="E71" i="11" s="1"/>
  <c r="I56" i="11"/>
  <c r="J56" i="11" s="1"/>
  <c r="L55" i="11"/>
  <c r="M55" i="11" s="1"/>
  <c r="F55" i="11"/>
  <c r="O54" i="11"/>
  <c r="N54" i="11"/>
  <c r="M54" i="11"/>
  <c r="L54" i="11"/>
  <c r="K54" i="11"/>
  <c r="J54" i="11"/>
  <c r="I54" i="11"/>
  <c r="H54" i="11"/>
  <c r="G54" i="11"/>
  <c r="F54" i="11"/>
  <c r="K28" i="11"/>
  <c r="K121" i="11" s="1"/>
  <c r="I28" i="11"/>
  <c r="G28" i="11"/>
  <c r="F28" i="11"/>
  <c r="E28" i="11"/>
  <c r="O21" i="11"/>
  <c r="N21" i="11"/>
  <c r="M21" i="11"/>
  <c r="L21" i="11"/>
  <c r="K21" i="11"/>
  <c r="O20" i="11"/>
  <c r="M20" i="11"/>
  <c r="K20" i="11"/>
  <c r="O19" i="11"/>
  <c r="N19" i="11"/>
  <c r="M19" i="11"/>
  <c r="L19" i="11"/>
  <c r="K19" i="11"/>
  <c r="J19" i="11"/>
  <c r="I19" i="11"/>
  <c r="K17" i="11"/>
  <c r="J17" i="11"/>
  <c r="I17" i="11"/>
  <c r="H17" i="11"/>
  <c r="G17" i="11"/>
  <c r="G26" i="11" s="1"/>
  <c r="O16" i="11"/>
  <c r="N16" i="11"/>
  <c r="M16" i="11"/>
  <c r="L16" i="11"/>
  <c r="K16" i="11"/>
  <c r="J16" i="11"/>
  <c r="I16" i="11"/>
  <c r="H16" i="11"/>
  <c r="G16" i="11"/>
  <c r="F16" i="11"/>
  <c r="F26" i="11" s="1"/>
  <c r="F29" i="11" s="1"/>
  <c r="F70" i="11" s="1"/>
  <c r="F83" i="11" s="1"/>
  <c r="F120" i="11" s="1"/>
  <c r="J15" i="11"/>
  <c r="L20" i="11" s="1"/>
  <c r="H28" i="11"/>
  <c r="F12" i="11"/>
  <c r="F13" i="11" s="1"/>
  <c r="N11" i="11"/>
  <c r="M11" i="11"/>
  <c r="K11" i="11"/>
  <c r="H11" i="11"/>
  <c r="F11" i="11"/>
  <c r="O10" i="11"/>
  <c r="N10" i="11"/>
  <c r="M10" i="11"/>
  <c r="L10" i="11"/>
  <c r="L11" i="11" s="1"/>
  <c r="K10" i="11"/>
  <c r="J10" i="11"/>
  <c r="J11" i="11" s="1"/>
  <c r="I10" i="11"/>
  <c r="I11" i="11" s="1"/>
  <c r="H10" i="11"/>
  <c r="G10" i="11"/>
  <c r="F10" i="11"/>
  <c r="E10" i="11"/>
  <c r="E13" i="11" s="1"/>
  <c r="M6" i="11"/>
  <c r="N6" i="11" s="1"/>
  <c r="O6" i="11" s="1"/>
  <c r="H5" i="11"/>
  <c r="I5" i="11" s="1"/>
  <c r="J5" i="11" s="1"/>
  <c r="K5" i="11" s="1"/>
  <c r="L5" i="11" s="1"/>
  <c r="M5" i="11" s="1"/>
  <c r="N5" i="11" s="1"/>
  <c r="O5" i="11" s="1"/>
  <c r="G5" i="11"/>
  <c r="F5" i="11"/>
  <c r="G4" i="11"/>
  <c r="H4" i="11" s="1"/>
  <c r="I4" i="11" s="1"/>
  <c r="J4" i="11" s="1"/>
  <c r="K4" i="11" s="1"/>
  <c r="L4" i="11" s="1"/>
  <c r="M4" i="11" s="1"/>
  <c r="N4" i="11" s="1"/>
  <c r="O4" i="11" s="1"/>
  <c r="F4" i="11"/>
  <c r="G3" i="11"/>
  <c r="H3" i="11" s="1"/>
  <c r="I3" i="11" s="1"/>
  <c r="F3" i="11"/>
  <c r="AL41" i="6"/>
  <c r="C39" i="8"/>
  <c r="C40" i="8" s="1"/>
  <c r="C41" i="8" s="1"/>
  <c r="C42" i="8" s="1"/>
  <c r="D5" i="8"/>
  <c r="D4" i="8"/>
  <c r="D3" i="8"/>
  <c r="F72" i="15" l="1"/>
  <c r="F9" i="12"/>
  <c r="N9" i="12"/>
  <c r="V9" i="12"/>
  <c r="AV77" i="14"/>
  <c r="W99" i="14"/>
  <c r="X99" i="14" s="1"/>
  <c r="Y99" i="14" s="1"/>
  <c r="Z99" i="14" s="1"/>
  <c r="AA99" i="14" s="1"/>
  <c r="AB99" i="14" s="1"/>
  <c r="AC99" i="14" s="1"/>
  <c r="AD99" i="14" s="1"/>
  <c r="AE99" i="14" s="1"/>
  <c r="AF99" i="14" s="1"/>
  <c r="AV60" i="14"/>
  <c r="AV68" i="14"/>
  <c r="E109" i="15"/>
  <c r="I120" i="15"/>
  <c r="I146" i="15"/>
  <c r="H13" i="15"/>
  <c r="G146" i="15"/>
  <c r="H88" i="15"/>
  <c r="H89" i="15" s="1"/>
  <c r="H121" i="15"/>
  <c r="E118" i="15"/>
  <c r="E119" i="15" s="1"/>
  <c r="J12" i="15"/>
  <c r="I13" i="15"/>
  <c r="H29" i="15"/>
  <c r="H70" i="15" s="1"/>
  <c r="H83" i="15" s="1"/>
  <c r="H120" i="15" s="1"/>
  <c r="G128" i="15"/>
  <c r="H128" i="15" s="1"/>
  <c r="F128" i="15"/>
  <c r="H38" i="15"/>
  <c r="E105" i="15"/>
  <c r="F105" i="15" s="1"/>
  <c r="G105" i="15" s="1"/>
  <c r="E89" i="15"/>
  <c r="K146" i="15"/>
  <c r="J26" i="15"/>
  <c r="J29" i="15" s="1"/>
  <c r="J70" i="15" s="1"/>
  <c r="J83" i="15" s="1"/>
  <c r="N55" i="15"/>
  <c r="J3" i="15"/>
  <c r="K3" i="15" s="1"/>
  <c r="L3" i="15" s="1"/>
  <c r="M3" i="15" s="1"/>
  <c r="N3" i="15" s="1"/>
  <c r="O3" i="15" s="1"/>
  <c r="E75" i="15"/>
  <c r="E76" i="15" s="1"/>
  <c r="F146" i="15"/>
  <c r="I92" i="15"/>
  <c r="I51" i="15"/>
  <c r="J48" i="15" s="1"/>
  <c r="J51" i="15" s="1"/>
  <c r="K48" i="15" s="1"/>
  <c r="K51" i="15" s="1"/>
  <c r="L48" i="15" s="1"/>
  <c r="L51" i="15" s="1"/>
  <c r="M48" i="15" s="1"/>
  <c r="M51" i="15" s="1"/>
  <c r="N48" i="15" s="1"/>
  <c r="N51" i="15" s="1"/>
  <c r="O48" i="15" s="1"/>
  <c r="O51" i="15" s="1"/>
  <c r="L56" i="15"/>
  <c r="L17" i="11"/>
  <c r="P65" i="14"/>
  <c r="AP42" i="14"/>
  <c r="AO43" i="14"/>
  <c r="E92" i="14"/>
  <c r="D32" i="14"/>
  <c r="D51" i="14"/>
  <c r="L37" i="14"/>
  <c r="L38" i="14" s="1"/>
  <c r="K38" i="14"/>
  <c r="AV44" i="14"/>
  <c r="D61" i="14"/>
  <c r="D72" i="14"/>
  <c r="P66" i="14"/>
  <c r="E23" i="14"/>
  <c r="E84" i="14" s="1"/>
  <c r="E28" i="14"/>
  <c r="AF71" i="14"/>
  <c r="P45" i="14"/>
  <c r="F14" i="14"/>
  <c r="G18" i="14"/>
  <c r="F26" i="14"/>
  <c r="G8" i="14"/>
  <c r="F13" i="14"/>
  <c r="F21" i="14" s="1"/>
  <c r="G17" i="14"/>
  <c r="F27" i="14"/>
  <c r="AK70" i="14"/>
  <c r="AL70" i="14" s="1"/>
  <c r="AM70" i="14" s="1"/>
  <c r="AN70" i="14" s="1"/>
  <c r="AO70" i="14" s="1"/>
  <c r="AP70" i="14" s="1"/>
  <c r="AQ70" i="14" s="1"/>
  <c r="AR70" i="14" s="1"/>
  <c r="AS70" i="14" s="1"/>
  <c r="AT70" i="14" s="1"/>
  <c r="AU70" i="14" s="1"/>
  <c r="U45" i="14"/>
  <c r="V45" i="14" s="1"/>
  <c r="W45" i="14" s="1"/>
  <c r="X45" i="14" s="1"/>
  <c r="Y45" i="14" s="1"/>
  <c r="Z45" i="14" s="1"/>
  <c r="AA45" i="14" s="1"/>
  <c r="AB45" i="14" s="1"/>
  <c r="AC45" i="14" s="1"/>
  <c r="AD45" i="14" s="1"/>
  <c r="AE45" i="14" s="1"/>
  <c r="G16" i="14"/>
  <c r="F12" i="14"/>
  <c r="U66" i="14"/>
  <c r="V66" i="14" s="1"/>
  <c r="W66" i="14" s="1"/>
  <c r="X66" i="14" s="1"/>
  <c r="Y66" i="14" s="1"/>
  <c r="Z66" i="14" s="1"/>
  <c r="AA66" i="14" s="1"/>
  <c r="AB66" i="14" s="1"/>
  <c r="AC66" i="14" s="1"/>
  <c r="AD66" i="14" s="1"/>
  <c r="AE66" i="14" s="1"/>
  <c r="AJ66" i="14" s="1"/>
  <c r="AK38" i="14"/>
  <c r="AL38" i="14" s="1"/>
  <c r="AM38" i="14" s="1"/>
  <c r="AN38" i="14" s="1"/>
  <c r="AO38" i="14" s="1"/>
  <c r="AP38" i="14" s="1"/>
  <c r="AQ38" i="14" s="1"/>
  <c r="AR38" i="14" s="1"/>
  <c r="AS38" i="14" s="1"/>
  <c r="AT38" i="14" s="1"/>
  <c r="AU38" i="14" s="1"/>
  <c r="U46" i="14"/>
  <c r="V46" i="14" s="1"/>
  <c r="P113" i="14"/>
  <c r="P115" i="14" s="1"/>
  <c r="F10" i="14"/>
  <c r="F30" i="14" s="1"/>
  <c r="AJ47" i="14"/>
  <c r="AK46" i="14"/>
  <c r="AL46" i="14" s="1"/>
  <c r="AK40" i="14"/>
  <c r="AK41" i="14" s="1"/>
  <c r="AK69" i="14"/>
  <c r="AL69" i="14" s="1"/>
  <c r="AM69" i="14" s="1"/>
  <c r="AN69" i="14" s="1"/>
  <c r="AO69" i="14" s="1"/>
  <c r="AP69" i="14" s="1"/>
  <c r="AQ69" i="14" s="1"/>
  <c r="AR69" i="14" s="1"/>
  <c r="AS69" i="14" s="1"/>
  <c r="AT69" i="14" s="1"/>
  <c r="AU69" i="14" s="1"/>
  <c r="AF69" i="14"/>
  <c r="AK45" i="14"/>
  <c r="AL45" i="14" s="1"/>
  <c r="AM45" i="14" s="1"/>
  <c r="AN45" i="14" s="1"/>
  <c r="AO45" i="14" s="1"/>
  <c r="AP45" i="14" s="1"/>
  <c r="AQ45" i="14" s="1"/>
  <c r="AR45" i="14" s="1"/>
  <c r="AS45" i="14" s="1"/>
  <c r="AT45" i="14" s="1"/>
  <c r="AU45" i="14" s="1"/>
  <c r="AF113" i="14"/>
  <c r="G7" i="14"/>
  <c r="T73" i="14"/>
  <c r="U100" i="14"/>
  <c r="AF70" i="14"/>
  <c r="E103" i="14"/>
  <c r="E126" i="14" s="1"/>
  <c r="D102" i="14"/>
  <c r="AK37" i="14"/>
  <c r="G98" i="14"/>
  <c r="H98" i="14" s="1"/>
  <c r="I98" i="14" s="1"/>
  <c r="J98" i="14" s="1"/>
  <c r="K98" i="14" s="1"/>
  <c r="L98" i="14" s="1"/>
  <c r="M98" i="14" s="1"/>
  <c r="N98" i="14" s="1"/>
  <c r="O98" i="14" s="1"/>
  <c r="F92" i="14"/>
  <c r="P46" i="14"/>
  <c r="F25" i="14"/>
  <c r="D126" i="14"/>
  <c r="AK39" i="14"/>
  <c r="AL39" i="14" s="1"/>
  <c r="U65" i="14"/>
  <c r="V65" i="14" s="1"/>
  <c r="W65" i="14" s="1"/>
  <c r="X65" i="14" s="1"/>
  <c r="Y65" i="14" s="1"/>
  <c r="Z65" i="14" s="1"/>
  <c r="AA65" i="14" s="1"/>
  <c r="AB65" i="14" s="1"/>
  <c r="AC65" i="14" s="1"/>
  <c r="AD65" i="14" s="1"/>
  <c r="AE65" i="14" s="1"/>
  <c r="AJ65" i="14" s="1"/>
  <c r="AK59" i="14"/>
  <c r="AL59" i="14" s="1"/>
  <c r="AM59" i="14" s="1"/>
  <c r="AN59" i="14" s="1"/>
  <c r="AO59" i="14" s="1"/>
  <c r="AP59" i="14" s="1"/>
  <c r="AQ59" i="14" s="1"/>
  <c r="AR59" i="14" s="1"/>
  <c r="AS59" i="14" s="1"/>
  <c r="AT59" i="14" s="1"/>
  <c r="AU59" i="14" s="1"/>
  <c r="P60" i="14"/>
  <c r="H9" i="14"/>
  <c r="G9" i="12"/>
  <c r="G10" i="12" s="1"/>
  <c r="O9" i="12"/>
  <c r="O10" i="12" s="1"/>
  <c r="I9" i="12"/>
  <c r="Q9" i="12"/>
  <c r="Q10" i="12" s="1"/>
  <c r="Y9" i="12"/>
  <c r="W9" i="12"/>
  <c r="W10" i="12" s="1"/>
  <c r="D9" i="12"/>
  <c r="L9" i="12"/>
  <c r="T9" i="12"/>
  <c r="O81" i="8"/>
  <c r="G81" i="8"/>
  <c r="AA81" i="8"/>
  <c r="I10" i="12"/>
  <c r="J10" i="12"/>
  <c r="R10" i="12"/>
  <c r="Z10" i="12"/>
  <c r="C9" i="12"/>
  <c r="C10" i="12" s="1"/>
  <c r="K9" i="12"/>
  <c r="K10" i="12" s="1"/>
  <c r="S9" i="12"/>
  <c r="S10" i="12" s="1"/>
  <c r="M81" i="8"/>
  <c r="E81" i="8"/>
  <c r="Y81" i="8"/>
  <c r="D10" i="12"/>
  <c r="L10" i="12"/>
  <c r="T10" i="12"/>
  <c r="L81" i="8"/>
  <c r="T81" i="8"/>
  <c r="X81" i="8"/>
  <c r="E9" i="12"/>
  <c r="E10" i="12" s="1"/>
  <c r="M9" i="12"/>
  <c r="M10" i="12" s="1"/>
  <c r="U9" i="12"/>
  <c r="U10" i="12" s="1"/>
  <c r="K81" i="8"/>
  <c r="AE81" i="8"/>
  <c r="W81" i="8"/>
  <c r="F10" i="12"/>
  <c r="N10" i="12"/>
  <c r="V10" i="12"/>
  <c r="J81" i="8"/>
  <c r="AD81" i="8"/>
  <c r="V81" i="8"/>
  <c r="Y10" i="12"/>
  <c r="I81" i="8"/>
  <c r="AC81" i="8"/>
  <c r="U81" i="8"/>
  <c r="H10" i="12"/>
  <c r="P10" i="12"/>
  <c r="X10" i="12"/>
  <c r="D81" i="8"/>
  <c r="H81" i="8"/>
  <c r="AB81" i="8"/>
  <c r="O50" i="11"/>
  <c r="O92" i="11" s="1"/>
  <c r="J3" i="11"/>
  <c r="K3" i="11" s="1"/>
  <c r="L3" i="11" s="1"/>
  <c r="M3" i="11" s="1"/>
  <c r="N3" i="11" s="1"/>
  <c r="O3" i="11" s="1"/>
  <c r="G29" i="11"/>
  <c r="G70" i="11" s="1"/>
  <c r="G83" i="11" s="1"/>
  <c r="G120" i="11" s="1"/>
  <c r="H121" i="11"/>
  <c r="H88" i="11"/>
  <c r="H89" i="11" s="1"/>
  <c r="G52" i="11"/>
  <c r="K18" i="11"/>
  <c r="K26" i="11" s="1"/>
  <c r="K29" i="11" s="1"/>
  <c r="K70" i="11" s="1"/>
  <c r="K83" i="11" s="1"/>
  <c r="K120" i="11" s="1"/>
  <c r="N20" i="11"/>
  <c r="J28" i="11"/>
  <c r="J18" i="11"/>
  <c r="I121" i="11"/>
  <c r="I88" i="11"/>
  <c r="I89" i="11" s="1"/>
  <c r="N49" i="11"/>
  <c r="N72" i="11" s="1"/>
  <c r="G11" i="11"/>
  <c r="O11" i="11"/>
  <c r="L18" i="11"/>
  <c r="E91" i="11"/>
  <c r="I92" i="11"/>
  <c r="N18" i="11"/>
  <c r="E146" i="11"/>
  <c r="E88" i="11"/>
  <c r="G38" i="11"/>
  <c r="H38" i="11" s="1"/>
  <c r="I38" i="11" s="1"/>
  <c r="J38" i="11" s="1"/>
  <c r="K38" i="11" s="1"/>
  <c r="L38" i="11" s="1"/>
  <c r="M38" i="11" s="1"/>
  <c r="N38" i="11" s="1"/>
  <c r="O38" i="11" s="1"/>
  <c r="H72" i="11"/>
  <c r="L92" i="11"/>
  <c r="N55" i="11"/>
  <c r="E117" i="11"/>
  <c r="E78" i="11"/>
  <c r="E145" i="11"/>
  <c r="E148" i="11" s="1"/>
  <c r="G12" i="11"/>
  <c r="H12" i="11" s="1"/>
  <c r="O18" i="11"/>
  <c r="J20" i="11"/>
  <c r="F146" i="11"/>
  <c r="F121" i="11"/>
  <c r="I72" i="11"/>
  <c r="K56" i="11"/>
  <c r="F88" i="11"/>
  <c r="F89" i="11" s="1"/>
  <c r="E121" i="11"/>
  <c r="F52" i="11"/>
  <c r="K92" i="11"/>
  <c r="M49" i="11"/>
  <c r="M72" i="11" s="1"/>
  <c r="J92" i="11"/>
  <c r="L72" i="11"/>
  <c r="H92" i="11"/>
  <c r="N50" i="11"/>
  <c r="N92" i="11" s="1"/>
  <c r="E128" i="11"/>
  <c r="M50" i="11"/>
  <c r="M92" i="11" s="1"/>
  <c r="O49" i="11"/>
  <c r="O72" i="11" s="1"/>
  <c r="J72" i="11"/>
  <c r="E74" i="11"/>
  <c r="K88" i="11"/>
  <c r="K89" i="11" s="1"/>
  <c r="M18" i="11"/>
  <c r="H18" i="11"/>
  <c r="H26" i="11" s="1"/>
  <c r="H29" i="11" s="1"/>
  <c r="H70" i="11" s="1"/>
  <c r="H83" i="11" s="1"/>
  <c r="H120" i="11" s="1"/>
  <c r="G121" i="11"/>
  <c r="G88" i="11"/>
  <c r="G89" i="11" s="1"/>
  <c r="I18" i="11"/>
  <c r="I26" i="11" s="1"/>
  <c r="I29" i="11" s="1"/>
  <c r="I70" i="11" s="1"/>
  <c r="I83" i="11" s="1"/>
  <c r="K72" i="11"/>
  <c r="J26" i="11" l="1"/>
  <c r="J29" i="11" s="1"/>
  <c r="J70" i="11" s="1"/>
  <c r="J83" i="11" s="1"/>
  <c r="J120" i="11" s="1"/>
  <c r="AF65" i="14"/>
  <c r="AV69" i="14"/>
  <c r="AV70" i="14"/>
  <c r="AV59" i="14"/>
  <c r="I51" i="11"/>
  <c r="J48" i="11" s="1"/>
  <c r="J51" i="11" s="1"/>
  <c r="K48" i="11" s="1"/>
  <c r="K51" i="11" s="1"/>
  <c r="L48" i="11" s="1"/>
  <c r="L51" i="11" s="1"/>
  <c r="M48" i="11" s="1"/>
  <c r="M51" i="11" s="1"/>
  <c r="N48" i="11" s="1"/>
  <c r="N51" i="11" s="1"/>
  <c r="O48" i="11" s="1"/>
  <c r="O51" i="11" s="1"/>
  <c r="E110" i="15"/>
  <c r="E82" i="15"/>
  <c r="E84" i="15" s="1"/>
  <c r="J120" i="15"/>
  <c r="J146" i="15"/>
  <c r="M56" i="15"/>
  <c r="H146" i="15"/>
  <c r="H105" i="15"/>
  <c r="I105" i="15" s="1"/>
  <c r="J105" i="15" s="1"/>
  <c r="K105" i="15" s="1"/>
  <c r="I38" i="15"/>
  <c r="J38" i="15" s="1"/>
  <c r="K38" i="15" s="1"/>
  <c r="L38" i="15" s="1"/>
  <c r="M38" i="15" s="1"/>
  <c r="N38" i="15" s="1"/>
  <c r="O38" i="15" s="1"/>
  <c r="O55" i="15"/>
  <c r="K12" i="15"/>
  <c r="J13" i="15"/>
  <c r="M37" i="14"/>
  <c r="N37" i="14" s="1"/>
  <c r="O37" i="14" s="1"/>
  <c r="T37" i="14" s="1"/>
  <c r="T38" i="14" s="1"/>
  <c r="D36" i="14"/>
  <c r="D86" i="14" s="1"/>
  <c r="D89" i="14" s="1"/>
  <c r="D109" i="14" s="1"/>
  <c r="AP43" i="14"/>
  <c r="AQ43" i="14" s="1"/>
  <c r="AR43" i="14" s="1"/>
  <c r="AS43" i="14" s="1"/>
  <c r="AT43" i="14" s="1"/>
  <c r="AU43" i="14" s="1"/>
  <c r="E32" i="14"/>
  <c r="E51" i="14"/>
  <c r="E61" i="14"/>
  <c r="E36" i="14" s="1"/>
  <c r="E76" i="14"/>
  <c r="E72" i="14"/>
  <c r="E35" i="14"/>
  <c r="G25" i="14"/>
  <c r="G10" i="14"/>
  <c r="G30" i="14" s="1"/>
  <c r="H7" i="14"/>
  <c r="G26" i="14"/>
  <c r="H8" i="14"/>
  <c r="AK65" i="14"/>
  <c r="AL65" i="14" s="1"/>
  <c r="AM65" i="14" s="1"/>
  <c r="AV45" i="14"/>
  <c r="AF66" i="14"/>
  <c r="F103" i="14"/>
  <c r="F126" i="14" s="1"/>
  <c r="E102" i="14"/>
  <c r="G14" i="14"/>
  <c r="G22" i="14" s="1"/>
  <c r="H18" i="14"/>
  <c r="H27" i="14" s="1"/>
  <c r="U37" i="14"/>
  <c r="AL40" i="14"/>
  <c r="AL41" i="14" s="1"/>
  <c r="AM39" i="14"/>
  <c r="T98" i="14"/>
  <c r="U98" i="14" s="1"/>
  <c r="V98" i="14" s="1"/>
  <c r="W98" i="14" s="1"/>
  <c r="X98" i="14" s="1"/>
  <c r="Y98" i="14" s="1"/>
  <c r="Z98" i="14" s="1"/>
  <c r="AA98" i="14" s="1"/>
  <c r="AB98" i="14" s="1"/>
  <c r="AC98" i="14" s="1"/>
  <c r="AD98" i="14" s="1"/>
  <c r="AE98" i="14" s="1"/>
  <c r="AF98" i="14" s="1"/>
  <c r="P98" i="14"/>
  <c r="F20" i="14"/>
  <c r="F22" i="14"/>
  <c r="G27" i="14"/>
  <c r="V100" i="14"/>
  <c r="U73" i="14"/>
  <c r="V47" i="14"/>
  <c r="W46" i="14"/>
  <c r="H16" i="14"/>
  <c r="G12" i="14"/>
  <c r="G20" i="14" s="1"/>
  <c r="H17" i="14"/>
  <c r="G13" i="14"/>
  <c r="G21" i="14" s="1"/>
  <c r="M38" i="14"/>
  <c r="N38" i="14" s="1"/>
  <c r="O38" i="14" s="1"/>
  <c r="O39" i="14" s="1"/>
  <c r="P39" i="14" s="1"/>
  <c r="AK66" i="14"/>
  <c r="AL66" i="14" s="1"/>
  <c r="AM66" i="14" s="1"/>
  <c r="AN66" i="14" s="1"/>
  <c r="AO66" i="14" s="1"/>
  <c r="AP66" i="14" s="1"/>
  <c r="AQ66" i="14" s="1"/>
  <c r="AR66" i="14" s="1"/>
  <c r="AS66" i="14" s="1"/>
  <c r="AT66" i="14" s="1"/>
  <c r="AU66" i="14" s="1"/>
  <c r="P37" i="14"/>
  <c r="AL47" i="14"/>
  <c r="AM47" i="14" s="1"/>
  <c r="AN47" i="14" s="1"/>
  <c r="AO47" i="14" s="1"/>
  <c r="AP47" i="14" s="1"/>
  <c r="AQ47" i="14" s="1"/>
  <c r="AR47" i="14" s="1"/>
  <c r="AS47" i="14" s="1"/>
  <c r="AT47" i="14" s="1"/>
  <c r="AU47" i="14" s="1"/>
  <c r="AM46" i="14"/>
  <c r="AN46" i="14" s="1"/>
  <c r="AO46" i="14" s="1"/>
  <c r="AP46" i="14" s="1"/>
  <c r="AQ46" i="14" s="1"/>
  <c r="AR46" i="14" s="1"/>
  <c r="AS46" i="14" s="1"/>
  <c r="AT46" i="14" s="1"/>
  <c r="AU46" i="14" s="1"/>
  <c r="I9" i="14"/>
  <c r="F28" i="14"/>
  <c r="AL37" i="14"/>
  <c r="AK47" i="14"/>
  <c r="AK48" i="14" s="1"/>
  <c r="AV38" i="14"/>
  <c r="AF45" i="14"/>
  <c r="I120" i="11"/>
  <c r="I146" i="11"/>
  <c r="I12" i="11"/>
  <c r="H13" i="11"/>
  <c r="L56" i="11"/>
  <c r="E95" i="11"/>
  <c r="E108" i="11"/>
  <c r="J88" i="11"/>
  <c r="J89" i="11" s="1"/>
  <c r="J146" i="11"/>
  <c r="J121" i="11"/>
  <c r="G146" i="11"/>
  <c r="E89" i="11"/>
  <c r="E105" i="11"/>
  <c r="F105" i="11" s="1"/>
  <c r="G105" i="11" s="1"/>
  <c r="H105" i="11" s="1"/>
  <c r="I105" i="11" s="1"/>
  <c r="J105" i="11" s="1"/>
  <c r="K105" i="11" s="1"/>
  <c r="E118" i="11"/>
  <c r="E119" i="11" s="1"/>
  <c r="H146" i="11"/>
  <c r="F128" i="11"/>
  <c r="G128" i="11"/>
  <c r="H128" i="11" s="1"/>
  <c r="O55" i="11"/>
  <c r="K146" i="11"/>
  <c r="G13" i="11"/>
  <c r="E75" i="11"/>
  <c r="E76" i="11"/>
  <c r="E86" i="14" l="1"/>
  <c r="E89" i="14" s="1"/>
  <c r="E109" i="14" s="1"/>
  <c r="AV65" i="14"/>
  <c r="AV66" i="14"/>
  <c r="K13" i="15"/>
  <c r="L12" i="15"/>
  <c r="N56" i="15"/>
  <c r="E86" i="15"/>
  <c r="E97" i="15" s="1"/>
  <c r="E99" i="15" s="1"/>
  <c r="E122" i="15"/>
  <c r="E123" i="15" s="1"/>
  <c r="E125" i="15" s="1"/>
  <c r="E113" i="15"/>
  <c r="F111" i="15"/>
  <c r="P38" i="14"/>
  <c r="AV47" i="14"/>
  <c r="AV43" i="14"/>
  <c r="G23" i="14"/>
  <c r="G72" i="14" s="1"/>
  <c r="D106" i="14"/>
  <c r="E108" i="14"/>
  <c r="H26" i="14"/>
  <c r="I8" i="14"/>
  <c r="I16" i="14"/>
  <c r="H12" i="14"/>
  <c r="H20" i="14" s="1"/>
  <c r="X46" i="14"/>
  <c r="Y46" i="14" s="1"/>
  <c r="Z46" i="14" s="1"/>
  <c r="AA46" i="14" s="1"/>
  <c r="AB46" i="14" s="1"/>
  <c r="AC46" i="14" s="1"/>
  <c r="AD46" i="14" s="1"/>
  <c r="AE46" i="14" s="1"/>
  <c r="AM40" i="14"/>
  <c r="AM41" i="14" s="1"/>
  <c r="AN39" i="14"/>
  <c r="AV46" i="14"/>
  <c r="H25" i="14"/>
  <c r="H10" i="14"/>
  <c r="H30" i="14" s="1"/>
  <c r="I7" i="14"/>
  <c r="I18" i="14"/>
  <c r="H14" i="14"/>
  <c r="H22" i="14" s="1"/>
  <c r="V37" i="14"/>
  <c r="G103" i="14"/>
  <c r="G126" i="14" s="1"/>
  <c r="F102" i="14"/>
  <c r="AM37" i="14"/>
  <c r="W47" i="14"/>
  <c r="X47" i="14" s="1"/>
  <c r="Y47" i="14" s="1"/>
  <c r="Z47" i="14" s="1"/>
  <c r="AA47" i="14" s="1"/>
  <c r="AB47" i="14" s="1"/>
  <c r="AC47" i="14" s="1"/>
  <c r="AD47" i="14" s="1"/>
  <c r="AE47" i="14" s="1"/>
  <c r="F23" i="14"/>
  <c r="G28" i="14"/>
  <c r="T39" i="14"/>
  <c r="U38" i="14"/>
  <c r="V38" i="14" s="1"/>
  <c r="W38" i="14" s="1"/>
  <c r="X38" i="14" s="1"/>
  <c r="Y38" i="14" s="1"/>
  <c r="Z38" i="14" s="1"/>
  <c r="AA38" i="14" s="1"/>
  <c r="AB38" i="14" s="1"/>
  <c r="AC38" i="14" s="1"/>
  <c r="AD38" i="14" s="1"/>
  <c r="AE38" i="14" s="1"/>
  <c r="AL48" i="14"/>
  <c r="AM48" i="14" s="1"/>
  <c r="AN48" i="14" s="1"/>
  <c r="AO48" i="14" s="1"/>
  <c r="AO49" i="14" s="1"/>
  <c r="I17" i="14"/>
  <c r="H13" i="14"/>
  <c r="H21" i="14" s="1"/>
  <c r="J9" i="14"/>
  <c r="W100" i="14"/>
  <c r="V73" i="14"/>
  <c r="E109" i="11"/>
  <c r="M56" i="11"/>
  <c r="E82" i="11"/>
  <c r="E84" i="11" s="1"/>
  <c r="E110" i="11"/>
  <c r="J12" i="11"/>
  <c r="I13" i="11"/>
  <c r="O56" i="15" l="1"/>
  <c r="M12" i="15"/>
  <c r="L13" i="15"/>
  <c r="E102" i="15"/>
  <c r="E106" i="15" s="1"/>
  <c r="E114" i="15" s="1"/>
  <c r="F98" i="15"/>
  <c r="AF46" i="14"/>
  <c r="G61" i="14"/>
  <c r="G35" i="14"/>
  <c r="G84" i="14"/>
  <c r="G76" i="14"/>
  <c r="G51" i="14"/>
  <c r="AF47" i="14"/>
  <c r="J18" i="14"/>
  <c r="I14" i="14"/>
  <c r="I22" i="14" s="1"/>
  <c r="G32" i="14"/>
  <c r="I25" i="14"/>
  <c r="I10" i="14"/>
  <c r="I30" i="14" s="1"/>
  <c r="J7" i="14"/>
  <c r="I27" i="14"/>
  <c r="AF38" i="14"/>
  <c r="AN37" i="14"/>
  <c r="F108" i="14"/>
  <c r="E106" i="14"/>
  <c r="F84" i="14"/>
  <c r="F72" i="14"/>
  <c r="F76" i="14"/>
  <c r="F61" i="14"/>
  <c r="F35" i="14"/>
  <c r="F32" i="14"/>
  <c r="F51" i="14"/>
  <c r="J16" i="14"/>
  <c r="I12" i="14"/>
  <c r="I20" i="14" s="1"/>
  <c r="X100" i="14"/>
  <c r="W73" i="14"/>
  <c r="H103" i="14"/>
  <c r="H126" i="14" s="1"/>
  <c r="G102" i="14"/>
  <c r="K9" i="14"/>
  <c r="W37" i="14"/>
  <c r="AO39" i="14"/>
  <c r="AP39" i="14" s="1"/>
  <c r="AQ39" i="14" s="1"/>
  <c r="AR39" i="14" s="1"/>
  <c r="AS39" i="14" s="1"/>
  <c r="AT39" i="14" s="1"/>
  <c r="AU39" i="14" s="1"/>
  <c r="AN40" i="14"/>
  <c r="H28" i="14"/>
  <c r="H23" i="14"/>
  <c r="AP48" i="14"/>
  <c r="AQ48" i="14" s="1"/>
  <c r="AR48" i="14" s="1"/>
  <c r="AS48" i="14" s="1"/>
  <c r="AT48" i="14" s="1"/>
  <c r="AU48" i="14" s="1"/>
  <c r="I26" i="14"/>
  <c r="J8" i="14"/>
  <c r="U39" i="14"/>
  <c r="I13" i="14"/>
  <c r="I21" i="14" s="1"/>
  <c r="J17" i="14"/>
  <c r="K12" i="11"/>
  <c r="J13" i="11"/>
  <c r="E113" i="11"/>
  <c r="F111" i="11"/>
  <c r="N56" i="11"/>
  <c r="E86" i="11"/>
  <c r="E97" i="11" s="1"/>
  <c r="E99" i="11" s="1"/>
  <c r="AV129" i="8"/>
  <c r="AF129" i="8"/>
  <c r="P129" i="8"/>
  <c r="AV125" i="8"/>
  <c r="AF125" i="8"/>
  <c r="AV124" i="8"/>
  <c r="AF124" i="8"/>
  <c r="AV123" i="8"/>
  <c r="AF123" i="8"/>
  <c r="AF122" i="8" s="1"/>
  <c r="AV120" i="8"/>
  <c r="AV119" i="8" s="1"/>
  <c r="AF120" i="8"/>
  <c r="AF119" i="8" s="1"/>
  <c r="C120" i="8"/>
  <c r="P120" i="8" s="1"/>
  <c r="P119" i="8" s="1"/>
  <c r="D106" i="8"/>
  <c r="AV105" i="8"/>
  <c r="C105" i="8"/>
  <c r="D105" i="8" s="1"/>
  <c r="E105" i="8" s="1"/>
  <c r="F105" i="8" s="1"/>
  <c r="G105" i="8" s="1"/>
  <c r="H105" i="8" s="1"/>
  <c r="I105" i="8" s="1"/>
  <c r="J105" i="8" s="1"/>
  <c r="K105" i="8" s="1"/>
  <c r="L105" i="8" s="1"/>
  <c r="M105" i="8" s="1"/>
  <c r="N105" i="8" s="1"/>
  <c r="O105" i="8" s="1"/>
  <c r="P102" i="8"/>
  <c r="P116" i="8" s="1"/>
  <c r="AL101" i="8"/>
  <c r="AM101" i="8" s="1"/>
  <c r="AN101" i="8" s="1"/>
  <c r="AO101" i="8" s="1"/>
  <c r="AP101" i="8" s="1"/>
  <c r="AQ101" i="8" s="1"/>
  <c r="AR101" i="8" s="1"/>
  <c r="AS101" i="8" s="1"/>
  <c r="AT101" i="8" s="1"/>
  <c r="AU101" i="8" s="1"/>
  <c r="AV101" i="8" s="1"/>
  <c r="C101" i="8"/>
  <c r="C123" i="8" s="1"/>
  <c r="P123" i="8" s="1"/>
  <c r="AV98" i="8"/>
  <c r="AV112" i="8" s="1"/>
  <c r="O98" i="8"/>
  <c r="T98" i="8" s="1"/>
  <c r="N98" i="8"/>
  <c r="N71" i="8" s="1"/>
  <c r="M98" i="8"/>
  <c r="M71" i="8" s="1"/>
  <c r="L98" i="8"/>
  <c r="L71" i="8" s="1"/>
  <c r="K98" i="8"/>
  <c r="K71" i="8" s="1"/>
  <c r="J98" i="8"/>
  <c r="J71" i="8" s="1"/>
  <c r="I98" i="8"/>
  <c r="I71" i="8" s="1"/>
  <c r="H98" i="8"/>
  <c r="H71" i="8" s="1"/>
  <c r="G98" i="8"/>
  <c r="G71" i="8" s="1"/>
  <c r="F98" i="8"/>
  <c r="F71" i="8" s="1"/>
  <c r="E98" i="8"/>
  <c r="E71" i="8" s="1"/>
  <c r="D98" i="8"/>
  <c r="AV97" i="8"/>
  <c r="D97" i="8"/>
  <c r="E97" i="8" s="1"/>
  <c r="F97" i="8" s="1"/>
  <c r="G97" i="8" s="1"/>
  <c r="H97" i="8" s="1"/>
  <c r="I97" i="8" s="1"/>
  <c r="J97" i="8" s="1"/>
  <c r="K97" i="8" s="1"/>
  <c r="L97" i="8" s="1"/>
  <c r="M97" i="8" s="1"/>
  <c r="N97" i="8" s="1"/>
  <c r="O97" i="8" s="1"/>
  <c r="AV96" i="8"/>
  <c r="D96" i="8"/>
  <c r="AV95" i="8"/>
  <c r="D95" i="8"/>
  <c r="E95" i="8" s="1"/>
  <c r="F95" i="8" s="1"/>
  <c r="G95" i="8" s="1"/>
  <c r="H95" i="8" s="1"/>
  <c r="I95" i="8" s="1"/>
  <c r="J95" i="8" s="1"/>
  <c r="K95" i="8" s="1"/>
  <c r="L95" i="8" s="1"/>
  <c r="M95" i="8" s="1"/>
  <c r="N95" i="8" s="1"/>
  <c r="O95" i="8" s="1"/>
  <c r="C90" i="8"/>
  <c r="AF81" i="8"/>
  <c r="G49" i="11" s="1"/>
  <c r="G72" i="11" s="1"/>
  <c r="P81" i="8"/>
  <c r="F49" i="11" s="1"/>
  <c r="F72" i="11" s="1"/>
  <c r="AK75" i="8"/>
  <c r="AA75" i="8"/>
  <c r="AB75" i="8" s="1"/>
  <c r="AC75" i="8" s="1"/>
  <c r="AD75" i="8" s="1"/>
  <c r="AE75" i="8" s="1"/>
  <c r="P75" i="8"/>
  <c r="AK69" i="8"/>
  <c r="AL69" i="8" s="1"/>
  <c r="AM69" i="8" s="1"/>
  <c r="AN69" i="8" s="1"/>
  <c r="AO69" i="8" s="1"/>
  <c r="AP69" i="8" s="1"/>
  <c r="AQ69" i="8" s="1"/>
  <c r="AR69" i="8" s="1"/>
  <c r="AS69" i="8" s="1"/>
  <c r="AT69" i="8" s="1"/>
  <c r="AU69" i="8" s="1"/>
  <c r="O69" i="8"/>
  <c r="W68" i="8"/>
  <c r="E68" i="8"/>
  <c r="F68" i="8" s="1"/>
  <c r="G68" i="8" s="1"/>
  <c r="H68" i="8" s="1"/>
  <c r="I68" i="8" s="1"/>
  <c r="J68" i="8" s="1"/>
  <c r="K68" i="8" s="1"/>
  <c r="L68" i="8" s="1"/>
  <c r="M68" i="8" s="1"/>
  <c r="N68" i="8" s="1"/>
  <c r="O68" i="8" s="1"/>
  <c r="W67" i="8"/>
  <c r="X67" i="8" s="1"/>
  <c r="Y67" i="8" s="1"/>
  <c r="Z67" i="8" s="1"/>
  <c r="AA67" i="8" s="1"/>
  <c r="AB67" i="8" s="1"/>
  <c r="AC67" i="8" s="1"/>
  <c r="AD67" i="8" s="1"/>
  <c r="AE67" i="8" s="1"/>
  <c r="AJ67" i="8" s="1"/>
  <c r="P67" i="8"/>
  <c r="U66" i="8"/>
  <c r="P66" i="8"/>
  <c r="H65" i="8"/>
  <c r="E65" i="8"/>
  <c r="E64" i="8"/>
  <c r="F64" i="8" s="1"/>
  <c r="AO63" i="8"/>
  <c r="AP63" i="8" s="1"/>
  <c r="AQ63" i="8" s="1"/>
  <c r="AR63" i="8" s="1"/>
  <c r="AS63" i="8" s="1"/>
  <c r="AT63" i="8" s="1"/>
  <c r="AU63" i="8" s="1"/>
  <c r="E63" i="8"/>
  <c r="F63" i="8" s="1"/>
  <c r="G63" i="8" s="1"/>
  <c r="H63" i="8" s="1"/>
  <c r="I63" i="8" s="1"/>
  <c r="J63" i="8" s="1"/>
  <c r="K63" i="8" s="1"/>
  <c r="L63" i="8" s="1"/>
  <c r="M63" i="8" s="1"/>
  <c r="N63" i="8" s="1"/>
  <c r="O63" i="8" s="1"/>
  <c r="T63" i="8" s="1"/>
  <c r="P61" i="8"/>
  <c r="P60" i="8"/>
  <c r="AK58" i="8"/>
  <c r="AL58" i="8" s="1"/>
  <c r="D58" i="8"/>
  <c r="AF55" i="8"/>
  <c r="P55" i="8"/>
  <c r="P54" i="8"/>
  <c r="P53" i="8"/>
  <c r="AF49" i="8"/>
  <c r="P49" i="8"/>
  <c r="AF48" i="8"/>
  <c r="P48" i="8"/>
  <c r="AF47" i="8"/>
  <c r="P47" i="8"/>
  <c r="P46" i="8"/>
  <c r="D44" i="8"/>
  <c r="AF43" i="8"/>
  <c r="P43" i="8"/>
  <c r="AF42" i="8"/>
  <c r="P42" i="8"/>
  <c r="AL41" i="8"/>
  <c r="AF41" i="8"/>
  <c r="P41" i="8"/>
  <c r="P40" i="8"/>
  <c r="D37" i="8"/>
  <c r="E37" i="8" s="1"/>
  <c r="F37" i="8" s="1"/>
  <c r="G37" i="8" s="1"/>
  <c r="H37" i="8" s="1"/>
  <c r="I37" i="8" s="1"/>
  <c r="J37" i="8" s="1"/>
  <c r="K37" i="8" s="1"/>
  <c r="L37" i="8" s="1"/>
  <c r="R36" i="8"/>
  <c r="AH36" i="8" s="1"/>
  <c r="AN34" i="8"/>
  <c r="AO34" i="8" s="1"/>
  <c r="AP34" i="8" s="1"/>
  <c r="AQ34" i="8" s="1"/>
  <c r="AR34" i="8" s="1"/>
  <c r="AS34" i="8" s="1"/>
  <c r="AT34" i="8" s="1"/>
  <c r="AU34" i="8" s="1"/>
  <c r="Y34" i="8"/>
  <c r="Z34" i="8" s="1"/>
  <c r="AA34" i="8" s="1"/>
  <c r="AB34" i="8" s="1"/>
  <c r="AC34" i="8" s="1"/>
  <c r="AD34" i="8" s="1"/>
  <c r="AE34" i="8" s="1"/>
  <c r="N34" i="8"/>
  <c r="O34" i="8" s="1"/>
  <c r="H34" i="8"/>
  <c r="I34" i="8" s="1"/>
  <c r="J34" i="8" s="1"/>
  <c r="K34" i="8" s="1"/>
  <c r="E34" i="8"/>
  <c r="F34" i="8" s="1"/>
  <c r="S30" i="8"/>
  <c r="AI30" i="8" s="1"/>
  <c r="D27" i="8"/>
  <c r="D26" i="8"/>
  <c r="D25" i="8"/>
  <c r="E18" i="8"/>
  <c r="E14" i="8" s="1"/>
  <c r="E17" i="8"/>
  <c r="F17" i="8" s="1"/>
  <c r="E16" i="8"/>
  <c r="F16" i="8" s="1"/>
  <c r="D14" i="8"/>
  <c r="D22" i="8" s="1"/>
  <c r="D13" i="8"/>
  <c r="D21" i="8" s="1"/>
  <c r="D12" i="8"/>
  <c r="D20" i="8" s="1"/>
  <c r="D10" i="8"/>
  <c r="D30" i="8" s="1"/>
  <c r="E9" i="8"/>
  <c r="E8" i="8"/>
  <c r="E7" i="8"/>
  <c r="AL5" i="8"/>
  <c r="AM5" i="8" s="1"/>
  <c r="AN5" i="8" s="1"/>
  <c r="AO5" i="8" s="1"/>
  <c r="AP5" i="8" s="1"/>
  <c r="AQ5" i="8" s="1"/>
  <c r="AR5" i="8" s="1"/>
  <c r="AS5" i="8" s="1"/>
  <c r="AT5" i="8" s="1"/>
  <c r="AU5" i="8" s="1"/>
  <c r="V5" i="8"/>
  <c r="W5" i="8" s="1"/>
  <c r="X5" i="8" s="1"/>
  <c r="Y5" i="8" s="1"/>
  <c r="Z5" i="8" s="1"/>
  <c r="AA5" i="8" s="1"/>
  <c r="AB5" i="8" s="1"/>
  <c r="AC5" i="8" s="1"/>
  <c r="AD5" i="8" s="1"/>
  <c r="AE5" i="8" s="1"/>
  <c r="H5" i="8"/>
  <c r="I5" i="8" s="1"/>
  <c r="J5" i="8" s="1"/>
  <c r="K5" i="8" s="1"/>
  <c r="L5" i="8" s="1"/>
  <c r="M5" i="8" s="1"/>
  <c r="N5" i="8" s="1"/>
  <c r="O5" i="8" s="1"/>
  <c r="F5" i="8"/>
  <c r="AL4" i="8"/>
  <c r="AM4" i="8" s="1"/>
  <c r="AN4" i="8" s="1"/>
  <c r="AO4" i="8" s="1"/>
  <c r="AP4" i="8" s="1"/>
  <c r="AQ4" i="8" s="1"/>
  <c r="AR4" i="8" s="1"/>
  <c r="AS4" i="8" s="1"/>
  <c r="AT4" i="8" s="1"/>
  <c r="AU4" i="8" s="1"/>
  <c r="V4" i="8"/>
  <c r="W4" i="8" s="1"/>
  <c r="X4" i="8" s="1"/>
  <c r="Y4" i="8" s="1"/>
  <c r="Z4" i="8" s="1"/>
  <c r="AA4" i="8" s="1"/>
  <c r="AB4" i="8" s="1"/>
  <c r="AC4" i="8" s="1"/>
  <c r="AD4" i="8" s="1"/>
  <c r="AE4" i="8" s="1"/>
  <c r="Q4" i="8"/>
  <c r="F4" i="8"/>
  <c r="G4" i="8" s="1"/>
  <c r="H4" i="8" s="1"/>
  <c r="I4" i="8" s="1"/>
  <c r="J4" i="8" s="1"/>
  <c r="K4" i="8" s="1"/>
  <c r="L4" i="8" s="1"/>
  <c r="M4" i="8" s="1"/>
  <c r="N4" i="8" s="1"/>
  <c r="O4" i="8" s="1"/>
  <c r="AL3" i="8"/>
  <c r="AM3" i="8" s="1"/>
  <c r="AN3" i="8" s="1"/>
  <c r="AO3" i="8" s="1"/>
  <c r="AP3" i="8" s="1"/>
  <c r="AQ3" i="8" s="1"/>
  <c r="AR3" i="8" s="1"/>
  <c r="AS3" i="8" s="1"/>
  <c r="AT3" i="8" s="1"/>
  <c r="AU3" i="8" s="1"/>
  <c r="AG3" i="8"/>
  <c r="AW3" i="8" s="1"/>
  <c r="AW4" i="8" s="1"/>
  <c r="V3" i="8"/>
  <c r="W3" i="8" s="1"/>
  <c r="X3" i="8" s="1"/>
  <c r="Y3" i="8" s="1"/>
  <c r="Z3" i="8" s="1"/>
  <c r="AA3" i="8" s="1"/>
  <c r="AB3" i="8" s="1"/>
  <c r="AC3" i="8" s="1"/>
  <c r="AD3" i="8" s="1"/>
  <c r="AE3" i="8" s="1"/>
  <c r="F3" i="8"/>
  <c r="J15" i="5"/>
  <c r="O18" i="5"/>
  <c r="L55" i="5"/>
  <c r="M55" i="5" s="1"/>
  <c r="N55" i="5" s="1"/>
  <c r="O55" i="5" s="1"/>
  <c r="I56" i="5"/>
  <c r="J56" i="5" s="1"/>
  <c r="K56" i="5" s="1"/>
  <c r="L56" i="5" s="1"/>
  <c r="M56" i="5" s="1"/>
  <c r="N56" i="5" s="1"/>
  <c r="O56" i="5" s="1"/>
  <c r="G17" i="5"/>
  <c r="F16" i="5"/>
  <c r="C105" i="6"/>
  <c r="D105" i="6" s="1"/>
  <c r="E105" i="6" s="1"/>
  <c r="F105" i="6" s="1"/>
  <c r="G105" i="6" s="1"/>
  <c r="H105" i="6" s="1"/>
  <c r="I105" i="6" s="1"/>
  <c r="J105" i="6" s="1"/>
  <c r="K105" i="6" s="1"/>
  <c r="L105" i="6" s="1"/>
  <c r="M105" i="6" s="1"/>
  <c r="N105" i="6" s="1"/>
  <c r="O105" i="6" s="1"/>
  <c r="P102" i="6"/>
  <c r="AV129" i="6"/>
  <c r="AV125" i="6"/>
  <c r="AV124" i="6"/>
  <c r="AV123" i="6"/>
  <c r="AV120" i="6"/>
  <c r="AV119" i="6" s="1"/>
  <c r="AV105" i="6"/>
  <c r="AV111" i="6" s="1"/>
  <c r="AV98" i="6"/>
  <c r="AV112" i="6" s="1"/>
  <c r="AV97" i="6"/>
  <c r="AV96" i="6"/>
  <c r="AV95" i="6"/>
  <c r="AF129" i="6"/>
  <c r="AF125" i="6"/>
  <c r="AF124" i="6"/>
  <c r="AF123" i="6"/>
  <c r="AF120" i="6"/>
  <c r="AF119" i="6" s="1"/>
  <c r="AF55" i="6"/>
  <c r="AF49" i="6"/>
  <c r="AF48" i="6"/>
  <c r="AF47" i="6"/>
  <c r="AF43" i="6"/>
  <c r="AF42" i="6"/>
  <c r="AF41" i="6"/>
  <c r="P39" i="6"/>
  <c r="P40" i="6"/>
  <c r="P41" i="6"/>
  <c r="P42" i="6"/>
  <c r="P43" i="6"/>
  <c r="P46" i="6"/>
  <c r="P47" i="6"/>
  <c r="P48" i="6"/>
  <c r="P49" i="6"/>
  <c r="P53" i="6"/>
  <c r="P54" i="6"/>
  <c r="P55" i="6"/>
  <c r="P60" i="6"/>
  <c r="P61" i="6"/>
  <c r="P75" i="6"/>
  <c r="U7" i="7"/>
  <c r="Z81" i="6" s="1"/>
  <c r="V7" i="7"/>
  <c r="AA81" i="6" s="1"/>
  <c r="W7" i="7"/>
  <c r="AB81" i="6" s="1"/>
  <c r="X7" i="7"/>
  <c r="AC81" i="6" s="1"/>
  <c r="Y7" i="7"/>
  <c r="AD81" i="6" s="1"/>
  <c r="Z7" i="7"/>
  <c r="AE81" i="6" s="1"/>
  <c r="U8" i="7"/>
  <c r="V8" i="7"/>
  <c r="W8" i="7"/>
  <c r="X8" i="7"/>
  <c r="Y8" i="7"/>
  <c r="Z8" i="7"/>
  <c r="S30" i="6"/>
  <c r="AG3" i="6"/>
  <c r="AG4" i="6" s="1"/>
  <c r="Q4" i="6"/>
  <c r="N18" i="5" l="1"/>
  <c r="M18" i="5"/>
  <c r="L18" i="5"/>
  <c r="K18" i="5"/>
  <c r="I18" i="5"/>
  <c r="H18" i="5"/>
  <c r="J18" i="5"/>
  <c r="E26" i="8"/>
  <c r="C100" i="8"/>
  <c r="E13" i="8"/>
  <c r="E21" i="8" s="1"/>
  <c r="AG4" i="8"/>
  <c r="AM58" i="8"/>
  <c r="AV122" i="8"/>
  <c r="P98" i="8"/>
  <c r="P112" i="8" s="1"/>
  <c r="E12" i="8"/>
  <c r="E20" i="8" s="1"/>
  <c r="P63" i="8"/>
  <c r="D71" i="8"/>
  <c r="O71" i="8"/>
  <c r="E58" i="8"/>
  <c r="E25" i="8"/>
  <c r="AW3" i="6"/>
  <c r="AW4" i="6" s="1"/>
  <c r="AV122" i="6"/>
  <c r="AF122" i="6"/>
  <c r="N12" i="15"/>
  <c r="M13" i="15"/>
  <c r="G36" i="14"/>
  <c r="V39" i="14"/>
  <c r="W39" i="14" s="1"/>
  <c r="X39" i="14" s="1"/>
  <c r="Y39" i="14" s="1"/>
  <c r="Z39" i="14" s="1"/>
  <c r="AA39" i="14" s="1"/>
  <c r="AB39" i="14" s="1"/>
  <c r="AC39" i="14" s="1"/>
  <c r="AD39" i="14" s="1"/>
  <c r="AE39" i="14" s="1"/>
  <c r="U40" i="14"/>
  <c r="V40" i="14" s="1"/>
  <c r="W40" i="14" s="1"/>
  <c r="X40" i="14" s="1"/>
  <c r="J25" i="14"/>
  <c r="J10" i="14"/>
  <c r="J30" i="14" s="1"/>
  <c r="J20" i="14"/>
  <c r="K7" i="14"/>
  <c r="K8" i="14"/>
  <c r="J26" i="14"/>
  <c r="I103" i="14"/>
  <c r="I126" i="14" s="1"/>
  <c r="H102" i="14"/>
  <c r="I23" i="14"/>
  <c r="H72" i="14"/>
  <c r="H76" i="14"/>
  <c r="H61" i="14"/>
  <c r="H84" i="14"/>
  <c r="H32" i="14"/>
  <c r="H51" i="14"/>
  <c r="H35" i="14"/>
  <c r="J12" i="14"/>
  <c r="K16" i="14"/>
  <c r="X37" i="14"/>
  <c r="AO37" i="14"/>
  <c r="I28" i="14"/>
  <c r="J14" i="14"/>
  <c r="K18" i="14"/>
  <c r="K27" i="14" s="1"/>
  <c r="F36" i="14"/>
  <c r="AV48" i="14"/>
  <c r="AN41" i="14"/>
  <c r="AO40" i="14"/>
  <c r="AP40" i="14" s="1"/>
  <c r="AQ40" i="14" s="1"/>
  <c r="AR40" i="14" s="1"/>
  <c r="AS40" i="14" s="1"/>
  <c r="AT40" i="14" s="1"/>
  <c r="AU40" i="14" s="1"/>
  <c r="J13" i="14"/>
  <c r="J21" i="14" s="1"/>
  <c r="K17" i="14"/>
  <c r="L9" i="14"/>
  <c r="X73" i="14"/>
  <c r="Y100" i="14"/>
  <c r="G86" i="14"/>
  <c r="G89" i="14" s="1"/>
  <c r="G109" i="14" s="1"/>
  <c r="AP49" i="14"/>
  <c r="AQ49" i="14" s="1"/>
  <c r="AR49" i="14" s="1"/>
  <c r="AS49" i="14" s="1"/>
  <c r="AV39" i="14"/>
  <c r="J27" i="14"/>
  <c r="E122" i="11"/>
  <c r="E123" i="11" s="1"/>
  <c r="E125" i="11" s="1"/>
  <c r="K13" i="11"/>
  <c r="L12" i="11"/>
  <c r="O56" i="11"/>
  <c r="F98" i="11"/>
  <c r="E102" i="11"/>
  <c r="E106" i="11" s="1"/>
  <c r="E114" i="11" s="1"/>
  <c r="G17" i="8"/>
  <c r="F13" i="8"/>
  <c r="G16" i="8"/>
  <c r="H16" i="8" s="1"/>
  <c r="F12" i="8"/>
  <c r="F18" i="8"/>
  <c r="E27" i="8"/>
  <c r="E22" i="8"/>
  <c r="F9" i="8"/>
  <c r="F7" i="8"/>
  <c r="G3" i="8"/>
  <c r="H3" i="8" s="1"/>
  <c r="I3" i="8" s="1"/>
  <c r="J3" i="8" s="1"/>
  <c r="K3" i="8" s="1"/>
  <c r="L3" i="8" s="1"/>
  <c r="M3" i="8" s="1"/>
  <c r="N3" i="8" s="1"/>
  <c r="O3" i="8" s="1"/>
  <c r="F8" i="8"/>
  <c r="D23" i="8"/>
  <c r="AM41" i="8"/>
  <c r="E10" i="8"/>
  <c r="E30" i="8" s="1"/>
  <c r="AJ44" i="8"/>
  <c r="AJ45" i="8"/>
  <c r="AJ57" i="8"/>
  <c r="AL43" i="8"/>
  <c r="AJ39" i="8"/>
  <c r="AJ40" i="8"/>
  <c r="AJ37" i="8"/>
  <c r="U63" i="8"/>
  <c r="V63" i="8" s="1"/>
  <c r="W63" i="8" s="1"/>
  <c r="X63" i="8" s="1"/>
  <c r="Y63" i="8" s="1"/>
  <c r="Z63" i="8" s="1"/>
  <c r="AA63" i="8" s="1"/>
  <c r="AB63" i="8" s="1"/>
  <c r="AC63" i="8" s="1"/>
  <c r="AD63" i="8" s="1"/>
  <c r="AE63" i="8" s="1"/>
  <c r="AJ63" i="8" s="1"/>
  <c r="D56" i="8"/>
  <c r="E56" i="8" s="1"/>
  <c r="F56" i="8" s="1"/>
  <c r="G56" i="8" s="1"/>
  <c r="H56" i="8" s="1"/>
  <c r="I56" i="8" s="1"/>
  <c r="J56" i="8" s="1"/>
  <c r="K56" i="8" s="1"/>
  <c r="L56" i="8" s="1"/>
  <c r="M56" i="8" s="1"/>
  <c r="N56" i="8" s="1"/>
  <c r="O56" i="8" s="1"/>
  <c r="AJ38" i="8"/>
  <c r="AK67" i="8"/>
  <c r="AL67" i="8" s="1"/>
  <c r="AM67" i="8" s="1"/>
  <c r="AN67" i="8" s="1"/>
  <c r="AO67" i="8" s="1"/>
  <c r="AP67" i="8" s="1"/>
  <c r="AQ67" i="8" s="1"/>
  <c r="AR67" i="8" s="1"/>
  <c r="AS67" i="8" s="1"/>
  <c r="AT67" i="8" s="1"/>
  <c r="AU67" i="8" s="1"/>
  <c r="M37" i="8"/>
  <c r="D28" i="8"/>
  <c r="G64" i="8"/>
  <c r="H64" i="8" s="1"/>
  <c r="I64" i="8" s="1"/>
  <c r="J64" i="8" s="1"/>
  <c r="K64" i="8" s="1"/>
  <c r="L64" i="8" s="1"/>
  <c r="M64" i="8" s="1"/>
  <c r="N64" i="8" s="1"/>
  <c r="O64" i="8" s="1"/>
  <c r="T64" i="8" s="1"/>
  <c r="T95" i="8"/>
  <c r="U95" i="8" s="1"/>
  <c r="V95" i="8" s="1"/>
  <c r="W95" i="8" s="1"/>
  <c r="X95" i="8" s="1"/>
  <c r="Y95" i="8" s="1"/>
  <c r="Z95" i="8" s="1"/>
  <c r="AA95" i="8" s="1"/>
  <c r="AB95" i="8" s="1"/>
  <c r="AC95" i="8" s="1"/>
  <c r="AD95" i="8" s="1"/>
  <c r="AE95" i="8" s="1"/>
  <c r="AF95" i="8" s="1"/>
  <c r="P95" i="8"/>
  <c r="T105" i="8"/>
  <c r="U105" i="8" s="1"/>
  <c r="V105" i="8" s="1"/>
  <c r="W105" i="8" s="1"/>
  <c r="X105" i="8" s="1"/>
  <c r="Y105" i="8" s="1"/>
  <c r="Z105" i="8" s="1"/>
  <c r="AA105" i="8" s="1"/>
  <c r="AB105" i="8" s="1"/>
  <c r="AC105" i="8" s="1"/>
  <c r="AD105" i="8" s="1"/>
  <c r="AE105" i="8" s="1"/>
  <c r="AF105" i="8" s="1"/>
  <c r="P105" i="8"/>
  <c r="E44" i="8"/>
  <c r="F44" i="8" s="1"/>
  <c r="G44" i="8" s="1"/>
  <c r="H44" i="8" s="1"/>
  <c r="I44" i="8" s="1"/>
  <c r="J44" i="8" s="1"/>
  <c r="K44" i="8" s="1"/>
  <c r="L44" i="8" s="1"/>
  <c r="M44" i="8" s="1"/>
  <c r="V66" i="8"/>
  <c r="W66" i="8" s="1"/>
  <c r="X66" i="8" s="1"/>
  <c r="Y66" i="8" s="1"/>
  <c r="Z66" i="8" s="1"/>
  <c r="AA66" i="8" s="1"/>
  <c r="AB66" i="8" s="1"/>
  <c r="AC66" i="8" s="1"/>
  <c r="AD66" i="8" s="1"/>
  <c r="AE66" i="8" s="1"/>
  <c r="AJ66" i="8" s="1"/>
  <c r="P97" i="8"/>
  <c r="T97" i="8"/>
  <c r="U97" i="8" s="1"/>
  <c r="V97" i="8" s="1"/>
  <c r="T69" i="8"/>
  <c r="P69" i="8"/>
  <c r="AV69" i="8"/>
  <c r="AF67" i="8"/>
  <c r="F65" i="8"/>
  <c r="P68" i="8"/>
  <c r="T71" i="8"/>
  <c r="U98" i="8"/>
  <c r="AF75" i="8"/>
  <c r="AV81" i="8"/>
  <c r="D90" i="8"/>
  <c r="E96" i="8"/>
  <c r="X68" i="8"/>
  <c r="Y68" i="8" s="1"/>
  <c r="Z68" i="8" s="1"/>
  <c r="AA68" i="8" s="1"/>
  <c r="AB68" i="8" s="1"/>
  <c r="AC68" i="8" s="1"/>
  <c r="AD68" i="8" s="1"/>
  <c r="AE68" i="8" s="1"/>
  <c r="AJ68" i="8" s="1"/>
  <c r="AL75" i="8"/>
  <c r="AM75" i="8" s="1"/>
  <c r="AN75" i="8" s="1"/>
  <c r="AO75" i="8" s="1"/>
  <c r="AP75" i="8" s="1"/>
  <c r="AQ75" i="8" s="1"/>
  <c r="AR75" i="8" s="1"/>
  <c r="AS75" i="8" s="1"/>
  <c r="AT75" i="8" s="1"/>
  <c r="AU75" i="8" s="1"/>
  <c r="D101" i="8"/>
  <c r="C104" i="8"/>
  <c r="AV111" i="8"/>
  <c r="AV113" i="8" s="1"/>
  <c r="C125" i="8"/>
  <c r="P125" i="8" s="1"/>
  <c r="T105" i="6"/>
  <c r="U105" i="6" s="1"/>
  <c r="V105" i="6" s="1"/>
  <c r="W105" i="6" s="1"/>
  <c r="X105" i="6" s="1"/>
  <c r="Y105" i="6" s="1"/>
  <c r="Z105" i="6" s="1"/>
  <c r="AA105" i="6" s="1"/>
  <c r="AB105" i="6" s="1"/>
  <c r="AC105" i="6" s="1"/>
  <c r="AD105" i="6" s="1"/>
  <c r="AE105" i="6" s="1"/>
  <c r="AF105" i="6" s="1"/>
  <c r="AF111" i="6" s="1"/>
  <c r="P105" i="6"/>
  <c r="X9" i="7"/>
  <c r="AV113" i="6"/>
  <c r="V9" i="7"/>
  <c r="Y9" i="7"/>
  <c r="W9" i="7"/>
  <c r="U9" i="7"/>
  <c r="Z9" i="7"/>
  <c r="AT49" i="14" l="1"/>
  <c r="AU49" i="14" s="1"/>
  <c r="AU50" i="14" s="1"/>
  <c r="AS50" i="14"/>
  <c r="AT50" i="14" s="1"/>
  <c r="AF63" i="8"/>
  <c r="P71" i="8"/>
  <c r="AV67" i="8"/>
  <c r="G12" i="8"/>
  <c r="E28" i="8"/>
  <c r="W97" i="8"/>
  <c r="X97" i="8" s="1"/>
  <c r="Y97" i="8" s="1"/>
  <c r="Z97" i="8" s="1"/>
  <c r="AA97" i="8" s="1"/>
  <c r="AB97" i="8" s="1"/>
  <c r="AC97" i="8" s="1"/>
  <c r="AD97" i="8" s="1"/>
  <c r="AE97" i="8" s="1"/>
  <c r="AF97" i="8" s="1"/>
  <c r="N44" i="8"/>
  <c r="M45" i="8"/>
  <c r="AN58" i="8"/>
  <c r="AV75" i="8"/>
  <c r="N37" i="8"/>
  <c r="O37" i="8" s="1"/>
  <c r="T37" i="8" s="1"/>
  <c r="M38" i="8"/>
  <c r="N38" i="8" s="1"/>
  <c r="O38" i="8" s="1"/>
  <c r="O39" i="8" s="1"/>
  <c r="P39" i="8" s="1"/>
  <c r="F58" i="8"/>
  <c r="O12" i="15"/>
  <c r="O13" i="15" s="1"/>
  <c r="N13" i="15"/>
  <c r="Z40" i="14"/>
  <c r="Y40" i="14"/>
  <c r="X41" i="14"/>
  <c r="H36" i="14"/>
  <c r="H86" i="14" s="1"/>
  <c r="H89" i="14" s="1"/>
  <c r="H109" i="14" s="1"/>
  <c r="AV40" i="14"/>
  <c r="AA40" i="14"/>
  <c r="AB40" i="14" s="1"/>
  <c r="AC40" i="14" s="1"/>
  <c r="AD40" i="14" s="1"/>
  <c r="AE40" i="14" s="1"/>
  <c r="AO41" i="14"/>
  <c r="AP41" i="14" s="1"/>
  <c r="AQ41" i="14" s="1"/>
  <c r="M9" i="14"/>
  <c r="J22" i="14"/>
  <c r="J23" i="14" s="1"/>
  <c r="L16" i="14"/>
  <c r="K12" i="14"/>
  <c r="K20" i="14" s="1"/>
  <c r="I102" i="14"/>
  <c r="J103" i="14"/>
  <c r="AV49" i="14"/>
  <c r="I76" i="14"/>
  <c r="I84" i="14"/>
  <c r="I61" i="14"/>
  <c r="I67" i="14"/>
  <c r="I52" i="14"/>
  <c r="I72" i="14"/>
  <c r="I51" i="14"/>
  <c r="I32" i="14"/>
  <c r="I35" i="14"/>
  <c r="K14" i="14"/>
  <c r="K22" i="14" s="1"/>
  <c r="L18" i="14"/>
  <c r="L27" i="14" s="1"/>
  <c r="F86" i="14"/>
  <c r="F89" i="14" s="1"/>
  <c r="F109" i="14" s="1"/>
  <c r="L8" i="14"/>
  <c r="K26" i="14"/>
  <c r="AF39" i="14"/>
  <c r="Y37" i="14"/>
  <c r="J28" i="14"/>
  <c r="L17" i="14"/>
  <c r="K13" i="14"/>
  <c r="K21" i="14" s="1"/>
  <c r="Y73" i="14"/>
  <c r="Z100" i="14"/>
  <c r="AP37" i="14"/>
  <c r="K25" i="14"/>
  <c r="K10" i="14"/>
  <c r="K30" i="14" s="1"/>
  <c r="L7" i="14"/>
  <c r="L13" i="11"/>
  <c r="M12" i="11"/>
  <c r="E23" i="8"/>
  <c r="E82" i="8" s="1"/>
  <c r="G18" i="8"/>
  <c r="F14" i="8"/>
  <c r="F22" i="8" s="1"/>
  <c r="H17" i="8"/>
  <c r="G13" i="8"/>
  <c r="AF111" i="8"/>
  <c r="P64" i="8"/>
  <c r="AK63" i="8"/>
  <c r="AL63" i="8" s="1"/>
  <c r="AM63" i="8" s="1"/>
  <c r="U69" i="8"/>
  <c r="V69" i="8" s="1"/>
  <c r="W69" i="8" s="1"/>
  <c r="X69" i="8" s="1"/>
  <c r="Y69" i="8" s="1"/>
  <c r="Z69" i="8" s="1"/>
  <c r="AA69" i="8" s="1"/>
  <c r="AB69" i="8" s="1"/>
  <c r="AC69" i="8" s="1"/>
  <c r="AD69" i="8" s="1"/>
  <c r="AE69" i="8" s="1"/>
  <c r="AK44" i="8"/>
  <c r="AL44" i="8" s="1"/>
  <c r="AM44" i="8" s="1"/>
  <c r="AN44" i="8" s="1"/>
  <c r="AO44" i="8" s="1"/>
  <c r="AP44" i="8" s="1"/>
  <c r="AQ44" i="8" s="1"/>
  <c r="AR44" i="8" s="1"/>
  <c r="AS44" i="8" s="1"/>
  <c r="AT44" i="8" s="1"/>
  <c r="AU44" i="8" s="1"/>
  <c r="F25" i="8"/>
  <c r="F20" i="8"/>
  <c r="F10" i="8"/>
  <c r="F30" i="8" s="1"/>
  <c r="G7" i="8"/>
  <c r="AK68" i="8"/>
  <c r="AL68" i="8" s="1"/>
  <c r="AM68" i="8" s="1"/>
  <c r="AN68" i="8" s="1"/>
  <c r="AO68" i="8" s="1"/>
  <c r="AP68" i="8" s="1"/>
  <c r="AQ68" i="8" s="1"/>
  <c r="AR68" i="8" s="1"/>
  <c r="AS68" i="8" s="1"/>
  <c r="AT68" i="8" s="1"/>
  <c r="AU68" i="8" s="1"/>
  <c r="AF68" i="8"/>
  <c r="AK38" i="8"/>
  <c r="AL38" i="8" s="1"/>
  <c r="AM38" i="8" s="1"/>
  <c r="AN38" i="8" s="1"/>
  <c r="AO38" i="8" s="1"/>
  <c r="AP38" i="8" s="1"/>
  <c r="AQ38" i="8" s="1"/>
  <c r="AR38" i="8" s="1"/>
  <c r="AS38" i="8" s="1"/>
  <c r="AT38" i="8" s="1"/>
  <c r="AU38" i="8" s="1"/>
  <c r="AJ46" i="8"/>
  <c r="AK45" i="8"/>
  <c r="AL45" i="8" s="1"/>
  <c r="I16" i="8"/>
  <c r="H12" i="8"/>
  <c r="F27" i="8"/>
  <c r="G9" i="8"/>
  <c r="U64" i="8"/>
  <c r="V64" i="8" s="1"/>
  <c r="W64" i="8" s="1"/>
  <c r="X64" i="8" s="1"/>
  <c r="Y64" i="8" s="1"/>
  <c r="Z64" i="8" s="1"/>
  <c r="AA64" i="8" s="1"/>
  <c r="AB64" i="8" s="1"/>
  <c r="AC64" i="8" s="1"/>
  <c r="AD64" i="8" s="1"/>
  <c r="AE64" i="8" s="1"/>
  <c r="AJ64" i="8" s="1"/>
  <c r="U37" i="8"/>
  <c r="T38" i="8"/>
  <c r="AK37" i="8"/>
  <c r="AK39" i="8"/>
  <c r="AL39" i="8" s="1"/>
  <c r="F26" i="8"/>
  <c r="F21" i="8"/>
  <c r="G8" i="8"/>
  <c r="E101" i="8"/>
  <c r="D100" i="8"/>
  <c r="V98" i="8"/>
  <c r="U71" i="8"/>
  <c r="AK66" i="8"/>
  <c r="AL66" i="8" s="1"/>
  <c r="AM66" i="8" s="1"/>
  <c r="AN66" i="8" s="1"/>
  <c r="AO66" i="8" s="1"/>
  <c r="AP66" i="8" s="1"/>
  <c r="AQ66" i="8" s="1"/>
  <c r="AR66" i="8" s="1"/>
  <c r="AS66" i="8" s="1"/>
  <c r="AT66" i="8" s="1"/>
  <c r="AU66" i="8" s="1"/>
  <c r="AK40" i="8"/>
  <c r="AM43" i="8"/>
  <c r="AN43" i="8" s="1"/>
  <c r="AO43" i="8" s="1"/>
  <c r="AP43" i="8" s="1"/>
  <c r="AQ43" i="8" s="1"/>
  <c r="AR43" i="8" s="1"/>
  <c r="AS43" i="8" s="1"/>
  <c r="AT43" i="8" s="1"/>
  <c r="AU43" i="8" s="1"/>
  <c r="AK57" i="8"/>
  <c r="AL57" i="8" s="1"/>
  <c r="AM57" i="8" s="1"/>
  <c r="AN57" i="8" s="1"/>
  <c r="AO57" i="8" s="1"/>
  <c r="AP57" i="8" s="1"/>
  <c r="AQ57" i="8" s="1"/>
  <c r="AR57" i="8" s="1"/>
  <c r="AS57" i="8" s="1"/>
  <c r="AT57" i="8" s="1"/>
  <c r="AU57" i="8" s="1"/>
  <c r="D82" i="8"/>
  <c r="D70" i="8"/>
  <c r="D74" i="8"/>
  <c r="D50" i="8"/>
  <c r="D59" i="8"/>
  <c r="D32" i="8"/>
  <c r="D35" i="8"/>
  <c r="E90" i="8"/>
  <c r="F96" i="8"/>
  <c r="D124" i="8"/>
  <c r="AF66" i="8"/>
  <c r="P111" i="8"/>
  <c r="P113" i="8" s="1"/>
  <c r="P66" i="6"/>
  <c r="P67" i="6"/>
  <c r="E48" i="5"/>
  <c r="E91" i="5" s="1"/>
  <c r="E46" i="5"/>
  <c r="E45" i="5"/>
  <c r="P111" i="6"/>
  <c r="C125" i="6"/>
  <c r="P125" i="6" s="1"/>
  <c r="P129" i="6"/>
  <c r="C120" i="6"/>
  <c r="P120" i="6" s="1"/>
  <c r="P119" i="6" s="1"/>
  <c r="C104" i="6"/>
  <c r="C90" i="6"/>
  <c r="D97" i="6"/>
  <c r="E97" i="6" s="1"/>
  <c r="F97" i="6" s="1"/>
  <c r="G97" i="6" s="1"/>
  <c r="H97" i="6" s="1"/>
  <c r="I97" i="6" s="1"/>
  <c r="J97" i="6" s="1"/>
  <c r="K97" i="6" s="1"/>
  <c r="L97" i="6" s="1"/>
  <c r="M97" i="6" s="1"/>
  <c r="N97" i="6" s="1"/>
  <c r="O97" i="6" s="1"/>
  <c r="D96" i="6"/>
  <c r="E96" i="6" s="1"/>
  <c r="F96" i="6" s="1"/>
  <c r="D95" i="6"/>
  <c r="E95" i="6" s="1"/>
  <c r="F95" i="6" s="1"/>
  <c r="G95" i="6" s="1"/>
  <c r="H95" i="6" s="1"/>
  <c r="I95" i="6" s="1"/>
  <c r="J95" i="6" s="1"/>
  <c r="K95" i="6" s="1"/>
  <c r="L95" i="6" s="1"/>
  <c r="M95" i="6" s="1"/>
  <c r="N95" i="6" s="1"/>
  <c r="O95" i="6" s="1"/>
  <c r="E98" i="6"/>
  <c r="E71" i="6" s="1"/>
  <c r="F98" i="6"/>
  <c r="G98" i="6"/>
  <c r="G71" i="6" s="1"/>
  <c r="H98" i="6"/>
  <c r="H71" i="6" s="1"/>
  <c r="I98" i="6"/>
  <c r="I71" i="6" s="1"/>
  <c r="J98" i="6"/>
  <c r="J71" i="6" s="1"/>
  <c r="K98" i="6"/>
  <c r="K71" i="6" s="1"/>
  <c r="L98" i="6"/>
  <c r="L71" i="6" s="1"/>
  <c r="M98" i="6"/>
  <c r="M71" i="6" s="1"/>
  <c r="N98" i="6"/>
  <c r="N71" i="6" s="1"/>
  <c r="O98" i="6"/>
  <c r="D98" i="6"/>
  <c r="D71" i="6" s="1"/>
  <c r="AL101" i="6"/>
  <c r="C101" i="6"/>
  <c r="D106" i="6"/>
  <c r="AN34" i="6"/>
  <c r="AO34" i="6" s="1"/>
  <c r="AK75" i="6"/>
  <c r="AK69" i="6"/>
  <c r="AL5" i="6"/>
  <c r="AM5" i="6" s="1"/>
  <c r="AL4" i="6"/>
  <c r="AM4" i="6" s="1"/>
  <c r="AL3" i="6"/>
  <c r="AM3" i="6" s="1"/>
  <c r="AF7" i="7"/>
  <c r="AG7" i="7"/>
  <c r="AP81" i="6" s="1"/>
  <c r="AH7" i="7"/>
  <c r="AQ81" i="6" s="1"/>
  <c r="AI7" i="7"/>
  <c r="AR81" i="6" s="1"/>
  <c r="AJ7" i="7"/>
  <c r="AS81" i="6" s="1"/>
  <c r="AK7" i="7"/>
  <c r="AT81" i="6" s="1"/>
  <c r="AL7" i="7"/>
  <c r="AU81" i="6" s="1"/>
  <c r="AM7" i="7"/>
  <c r="AN7" i="7"/>
  <c r="AO7" i="7"/>
  <c r="AF8" i="7"/>
  <c r="AG8" i="7"/>
  <c r="AH8" i="7"/>
  <c r="AH9" i="7" s="1"/>
  <c r="AI8" i="7"/>
  <c r="AJ8" i="7"/>
  <c r="AK8" i="7"/>
  <c r="AL8" i="7"/>
  <c r="AM8" i="7"/>
  <c r="AN8" i="7"/>
  <c r="AO8" i="7"/>
  <c r="AE7" i="7"/>
  <c r="AN81" i="6" s="1"/>
  <c r="AE8" i="7"/>
  <c r="AD8" i="7"/>
  <c r="AD7" i="7"/>
  <c r="AM81" i="6" s="1"/>
  <c r="AE5" i="7"/>
  <c r="E7" i="7"/>
  <c r="F81" i="6" s="1"/>
  <c r="F7" i="7"/>
  <c r="G81" i="6" s="1"/>
  <c r="G7" i="7"/>
  <c r="H81" i="6" s="1"/>
  <c r="H7" i="7"/>
  <c r="I81" i="6" s="1"/>
  <c r="I7" i="7"/>
  <c r="J81" i="6" s="1"/>
  <c r="J7" i="7"/>
  <c r="K81" i="6" s="1"/>
  <c r="K7" i="7"/>
  <c r="L81" i="6" s="1"/>
  <c r="L7" i="7"/>
  <c r="M81" i="6" s="1"/>
  <c r="M7" i="7"/>
  <c r="N7" i="7"/>
  <c r="O81" i="6" s="1"/>
  <c r="O7" i="7"/>
  <c r="T81" i="6" s="1"/>
  <c r="P7" i="7"/>
  <c r="U81" i="6" s="1"/>
  <c r="Q7" i="7"/>
  <c r="V81" i="6" s="1"/>
  <c r="R7" i="7"/>
  <c r="W81" i="6" s="1"/>
  <c r="S7" i="7"/>
  <c r="X81" i="6" s="1"/>
  <c r="T7" i="7"/>
  <c r="Y81" i="6" s="1"/>
  <c r="E8" i="7"/>
  <c r="F8" i="7"/>
  <c r="G8" i="7"/>
  <c r="H8" i="7"/>
  <c r="I8" i="7"/>
  <c r="I9" i="7" s="1"/>
  <c r="J8" i="7"/>
  <c r="J9" i="7" s="1"/>
  <c r="K8" i="7"/>
  <c r="L8" i="7"/>
  <c r="M8" i="7"/>
  <c r="N8" i="7"/>
  <c r="O8" i="7"/>
  <c r="P8" i="7"/>
  <c r="Q8" i="7"/>
  <c r="R8" i="7"/>
  <c r="R9" i="7" s="1"/>
  <c r="S8" i="7"/>
  <c r="T8" i="7"/>
  <c r="D7" i="7"/>
  <c r="D8" i="7"/>
  <c r="C7" i="7"/>
  <c r="D81" i="6" s="1"/>
  <c r="C8" i="7"/>
  <c r="B5" i="7"/>
  <c r="U10" i="7" s="1"/>
  <c r="O69" i="6"/>
  <c r="T69" i="6" s="1"/>
  <c r="W67" i="6"/>
  <c r="U66" i="6"/>
  <c r="Y34" i="6"/>
  <c r="Z34" i="6" s="1"/>
  <c r="AA34" i="6" s="1"/>
  <c r="W68" i="6"/>
  <c r="AI30" i="6"/>
  <c r="R36" i="6"/>
  <c r="AH36" i="6" s="1"/>
  <c r="L45" i="6"/>
  <c r="M6" i="5"/>
  <c r="N6" i="5" s="1"/>
  <c r="O6" i="5" s="1"/>
  <c r="E18" i="6"/>
  <c r="E14" i="6" s="1"/>
  <c r="E17" i="6"/>
  <c r="E13" i="6" s="1"/>
  <c r="E16" i="6"/>
  <c r="F16" i="6" s="1"/>
  <c r="G16" i="6" s="1"/>
  <c r="H16" i="6" s="1"/>
  <c r="I16" i="6" s="1"/>
  <c r="J16" i="6" s="1"/>
  <c r="K16" i="6" s="1"/>
  <c r="L16" i="6" s="1"/>
  <c r="M16" i="6" s="1"/>
  <c r="N16" i="6" s="1"/>
  <c r="O16" i="6" s="1"/>
  <c r="S16" i="6" s="1"/>
  <c r="T16" i="6" s="1"/>
  <c r="F5" i="6"/>
  <c r="F4" i="6"/>
  <c r="G4" i="6" s="1"/>
  <c r="H4" i="6" s="1"/>
  <c r="I4" i="6" s="1"/>
  <c r="J4" i="6" s="1"/>
  <c r="K4" i="6" s="1"/>
  <c r="L4" i="6" s="1"/>
  <c r="M4" i="6" s="1"/>
  <c r="N4" i="6" s="1"/>
  <c r="O4" i="6" s="1"/>
  <c r="V4" i="6" s="1"/>
  <c r="W4" i="6" s="1"/>
  <c r="X4" i="6" s="1"/>
  <c r="Y4" i="6" s="1"/>
  <c r="Z4" i="6" s="1"/>
  <c r="AA4" i="6" s="1"/>
  <c r="AB4" i="6" s="1"/>
  <c r="AC4" i="6" s="1"/>
  <c r="AD4" i="6" s="1"/>
  <c r="AE4" i="6" s="1"/>
  <c r="E68" i="6"/>
  <c r="E65" i="6"/>
  <c r="F65" i="6" s="1"/>
  <c r="H65" i="6" s="1"/>
  <c r="E64" i="6"/>
  <c r="F64" i="6" s="1"/>
  <c r="G64" i="6" s="1"/>
  <c r="H64" i="6" s="1"/>
  <c r="I64" i="6" s="1"/>
  <c r="J64" i="6" s="1"/>
  <c r="K64" i="6" s="1"/>
  <c r="L64" i="6" s="1"/>
  <c r="M64" i="6" s="1"/>
  <c r="N64" i="6" s="1"/>
  <c r="O64" i="6" s="1"/>
  <c r="T64" i="6" s="1"/>
  <c r="E63" i="6"/>
  <c r="F63" i="6" s="1"/>
  <c r="G63" i="6" s="1"/>
  <c r="H63" i="6" s="1"/>
  <c r="I63" i="6" s="1"/>
  <c r="J63" i="6" s="1"/>
  <c r="K63" i="6" s="1"/>
  <c r="L63" i="6" s="1"/>
  <c r="M63" i="6" s="1"/>
  <c r="N63" i="6" s="1"/>
  <c r="O63" i="6" s="1"/>
  <c r="T63" i="6" s="1"/>
  <c r="H34" i="6"/>
  <c r="E34" i="6"/>
  <c r="F34" i="6" s="1"/>
  <c r="D58" i="6"/>
  <c r="E58" i="6" s="1"/>
  <c r="F58" i="6" s="1"/>
  <c r="D44" i="6"/>
  <c r="D37" i="6"/>
  <c r="E37" i="6" s="1"/>
  <c r="F37" i="6" s="1"/>
  <c r="G37" i="6" s="1"/>
  <c r="H37" i="6" s="1"/>
  <c r="I37" i="6" s="1"/>
  <c r="J37" i="6" s="1"/>
  <c r="K37" i="6" s="1"/>
  <c r="L37" i="6" s="1"/>
  <c r="D10" i="6"/>
  <c r="D30" i="6" s="1"/>
  <c r="H5" i="6"/>
  <c r="I5" i="6" s="1"/>
  <c r="J5" i="6" s="1"/>
  <c r="K5" i="6" s="1"/>
  <c r="L5" i="6" s="1"/>
  <c r="M5" i="6" s="1"/>
  <c r="N5" i="6" s="1"/>
  <c r="O5" i="6" s="1"/>
  <c r="V5" i="6" s="1"/>
  <c r="W5" i="6" s="1"/>
  <c r="X5" i="6" s="1"/>
  <c r="Y5" i="6" s="1"/>
  <c r="Z5" i="6" s="1"/>
  <c r="AA5" i="6" s="1"/>
  <c r="AB5" i="6" s="1"/>
  <c r="AC5" i="6" s="1"/>
  <c r="AD5" i="6" s="1"/>
  <c r="AE5" i="6" s="1"/>
  <c r="F3" i="6"/>
  <c r="G3" i="6" s="1"/>
  <c r="H3" i="6" s="1"/>
  <c r="I3" i="6" s="1"/>
  <c r="J3" i="6" s="1"/>
  <c r="K3" i="6" s="1"/>
  <c r="L3" i="6" s="1"/>
  <c r="M3" i="6" s="1"/>
  <c r="N3" i="6" s="1"/>
  <c r="O3" i="6" s="1"/>
  <c r="V3" i="6" s="1"/>
  <c r="W3" i="6" s="1"/>
  <c r="X3" i="6" s="1"/>
  <c r="Y3" i="6" s="1"/>
  <c r="Z3" i="6" s="1"/>
  <c r="AA3" i="6" s="1"/>
  <c r="AB3" i="6" s="1"/>
  <c r="AC3" i="6" s="1"/>
  <c r="AD3" i="6" s="1"/>
  <c r="AE3" i="6" s="1"/>
  <c r="E9" i="6"/>
  <c r="E8" i="6"/>
  <c r="E7" i="6"/>
  <c r="D14" i="6"/>
  <c r="D22" i="6" s="1"/>
  <c r="D13" i="6"/>
  <c r="D21" i="6" s="1"/>
  <c r="D56" i="6" s="1"/>
  <c r="E56" i="6" s="1"/>
  <c r="F56" i="6" s="1"/>
  <c r="G56" i="6" s="1"/>
  <c r="H56" i="6" s="1"/>
  <c r="I56" i="6" s="1"/>
  <c r="J56" i="6" s="1"/>
  <c r="K56" i="6" s="1"/>
  <c r="L56" i="6" s="1"/>
  <c r="M56" i="6" s="1"/>
  <c r="N56" i="6" s="1"/>
  <c r="O56" i="6" s="1"/>
  <c r="D12" i="6"/>
  <c r="D27" i="6"/>
  <c r="D26" i="6"/>
  <c r="D25" i="6"/>
  <c r="F5" i="5"/>
  <c r="G5" i="5" s="1"/>
  <c r="H5" i="5" s="1"/>
  <c r="F135" i="5"/>
  <c r="F136" i="5" s="1"/>
  <c r="F138" i="5" s="1"/>
  <c r="E135" i="5"/>
  <c r="E134" i="5"/>
  <c r="E112" i="5"/>
  <c r="F112" i="5" s="1"/>
  <c r="G112" i="5" s="1"/>
  <c r="H112" i="5" s="1"/>
  <c r="I112" i="5" s="1"/>
  <c r="J112" i="5" s="1"/>
  <c r="K112" i="5" s="1"/>
  <c r="L112" i="5" s="1"/>
  <c r="M112" i="5" s="1"/>
  <c r="N112" i="5" s="1"/>
  <c r="O112" i="5" s="1"/>
  <c r="E111" i="5"/>
  <c r="E107" i="5"/>
  <c r="E104" i="5"/>
  <c r="E103" i="5"/>
  <c r="E92" i="5"/>
  <c r="E85" i="5"/>
  <c r="E147" i="5" s="1"/>
  <c r="E72" i="5"/>
  <c r="E70" i="5"/>
  <c r="E83" i="5" s="1"/>
  <c r="E120" i="5" s="1"/>
  <c r="E68" i="5"/>
  <c r="E67" i="5"/>
  <c r="E66" i="5"/>
  <c r="F55" i="5"/>
  <c r="O54" i="5"/>
  <c r="N54" i="5"/>
  <c r="M54" i="5"/>
  <c r="L54" i="5"/>
  <c r="K54" i="5"/>
  <c r="J54" i="5"/>
  <c r="I54" i="5"/>
  <c r="H54" i="5"/>
  <c r="G54" i="5"/>
  <c r="F54" i="5"/>
  <c r="F28" i="5"/>
  <c r="E28" i="5"/>
  <c r="O16" i="5"/>
  <c r="N16" i="5"/>
  <c r="M16" i="5"/>
  <c r="L16" i="5"/>
  <c r="K16" i="5"/>
  <c r="J16" i="5"/>
  <c r="I16" i="5"/>
  <c r="H16" i="5"/>
  <c r="G16" i="5"/>
  <c r="F26" i="5"/>
  <c r="O10" i="5"/>
  <c r="O11" i="5" s="1"/>
  <c r="N10" i="5"/>
  <c r="N11" i="5" s="1"/>
  <c r="M10" i="5"/>
  <c r="M11" i="5" s="1"/>
  <c r="L10" i="5"/>
  <c r="L11" i="5" s="1"/>
  <c r="K10" i="5"/>
  <c r="K11" i="5" s="1"/>
  <c r="J10" i="5"/>
  <c r="I10" i="5"/>
  <c r="I11" i="5" s="1"/>
  <c r="H10" i="5"/>
  <c r="H11" i="5" s="1"/>
  <c r="G10" i="5"/>
  <c r="G11" i="5" s="1"/>
  <c r="F10" i="5"/>
  <c r="F11" i="5" s="1"/>
  <c r="E10" i="5"/>
  <c r="E13" i="5" s="1"/>
  <c r="F4" i="5"/>
  <c r="G4" i="5" s="1"/>
  <c r="H4" i="5" s="1"/>
  <c r="I4" i="5" s="1"/>
  <c r="J4" i="5" s="1"/>
  <c r="K4" i="5" s="1"/>
  <c r="L4" i="5" s="1"/>
  <c r="M4" i="5" s="1"/>
  <c r="N4" i="5" s="1"/>
  <c r="O4" i="5" s="1"/>
  <c r="F3" i="5"/>
  <c r="G3" i="5" s="1"/>
  <c r="E127" i="3"/>
  <c r="O120" i="3"/>
  <c r="I92" i="5" l="1"/>
  <c r="J92" i="5"/>
  <c r="AV50" i="14"/>
  <c r="AV44" i="8"/>
  <c r="P38" i="8"/>
  <c r="AV66" i="8"/>
  <c r="AO58" i="8"/>
  <c r="AV57" i="8"/>
  <c r="O44" i="8"/>
  <c r="T44" i="8" s="1"/>
  <c r="U44" i="8" s="1"/>
  <c r="V44" i="8" s="1"/>
  <c r="W44" i="8" s="1"/>
  <c r="X44" i="8" s="1"/>
  <c r="Y44" i="8" s="1"/>
  <c r="Z44" i="8" s="1"/>
  <c r="AA44" i="8" s="1"/>
  <c r="AB44" i="8" s="1"/>
  <c r="AC44" i="8" s="1"/>
  <c r="AD44" i="8" s="1"/>
  <c r="AE44" i="8" s="1"/>
  <c r="N45" i="8"/>
  <c r="P37" i="8"/>
  <c r="G58" i="8"/>
  <c r="AF64" i="8"/>
  <c r="M45" i="6"/>
  <c r="N45" i="6" s="1"/>
  <c r="O45" i="6" s="1"/>
  <c r="T45" i="6" s="1"/>
  <c r="U45" i="6" s="1"/>
  <c r="V45" i="6" s="1"/>
  <c r="AN5" i="6"/>
  <c r="AO5" i="6" s="1"/>
  <c r="AP5" i="6" s="1"/>
  <c r="AQ5" i="6" s="1"/>
  <c r="AR5" i="6" s="1"/>
  <c r="AS5" i="6" s="1"/>
  <c r="AT5" i="6" s="1"/>
  <c r="AU5" i="6" s="1"/>
  <c r="O71" i="6"/>
  <c r="T98" i="6"/>
  <c r="AN3" i="6"/>
  <c r="AO3" i="6" s="1"/>
  <c r="AP3" i="6" s="1"/>
  <c r="AQ3" i="6" s="1"/>
  <c r="AR3" i="6" s="1"/>
  <c r="AS3" i="6" s="1"/>
  <c r="AT3" i="6" s="1"/>
  <c r="AU3" i="6" s="1"/>
  <c r="AL69" i="6"/>
  <c r="AM69" i="6" s="1"/>
  <c r="AN69" i="6" s="1"/>
  <c r="AO69" i="6" s="1"/>
  <c r="AP69" i="6" s="1"/>
  <c r="AQ69" i="6" s="1"/>
  <c r="AR69" i="6" s="1"/>
  <c r="AS69" i="6" s="1"/>
  <c r="AT69" i="6" s="1"/>
  <c r="AU69" i="6" s="1"/>
  <c r="E44" i="6"/>
  <c r="F44" i="6" s="1"/>
  <c r="G44" i="6" s="1"/>
  <c r="H44" i="6" s="1"/>
  <c r="I44" i="6" s="1"/>
  <c r="J44" i="6" s="1"/>
  <c r="K44" i="6" s="1"/>
  <c r="L44" i="6" s="1"/>
  <c r="M44" i="6" s="1"/>
  <c r="N44" i="6" s="1"/>
  <c r="O44" i="6" s="1"/>
  <c r="T44" i="6" s="1"/>
  <c r="AL75" i="6"/>
  <c r="AM75" i="6" s="1"/>
  <c r="AN75" i="6" s="1"/>
  <c r="AO75" i="6" s="1"/>
  <c r="AP75" i="6" s="1"/>
  <c r="AQ75" i="6" s="1"/>
  <c r="AR75" i="6" s="1"/>
  <c r="AS75" i="6" s="1"/>
  <c r="AT75" i="6" s="1"/>
  <c r="AU75" i="6" s="1"/>
  <c r="AF64" i="6"/>
  <c r="AN4" i="6"/>
  <c r="AO4" i="6" s="1"/>
  <c r="AP4" i="6" s="1"/>
  <c r="AQ4" i="6" s="1"/>
  <c r="AR4" i="6" s="1"/>
  <c r="AS4" i="6" s="1"/>
  <c r="AT4" i="6" s="1"/>
  <c r="AU4" i="6" s="1"/>
  <c r="P95" i="6"/>
  <c r="T95" i="6"/>
  <c r="U95" i="6" s="1"/>
  <c r="V95" i="6" s="1"/>
  <c r="W95" i="6" s="1"/>
  <c r="X95" i="6" s="1"/>
  <c r="Y95" i="6" s="1"/>
  <c r="Z95" i="6" s="1"/>
  <c r="AA95" i="6" s="1"/>
  <c r="AB95" i="6" s="1"/>
  <c r="AC95" i="6" s="1"/>
  <c r="AD95" i="6" s="1"/>
  <c r="AE95" i="6" s="1"/>
  <c r="AF95" i="6" s="1"/>
  <c r="P97" i="6"/>
  <c r="T97" i="6"/>
  <c r="U97" i="6" s="1"/>
  <c r="V97" i="6" s="1"/>
  <c r="AF40" i="14"/>
  <c r="Y41" i="14"/>
  <c r="Z41" i="14" s="1"/>
  <c r="AA41" i="14" s="1"/>
  <c r="AB41" i="14" s="1"/>
  <c r="AC41" i="14" s="1"/>
  <c r="AD41" i="14" s="1"/>
  <c r="J76" i="14"/>
  <c r="J84" i="14"/>
  <c r="J67" i="14"/>
  <c r="J52" i="14"/>
  <c r="J72" i="14"/>
  <c r="J61" i="14"/>
  <c r="J51" i="14"/>
  <c r="J32" i="14"/>
  <c r="J35" i="14"/>
  <c r="AQ42" i="14"/>
  <c r="AR41" i="14"/>
  <c r="AS41" i="14" s="1"/>
  <c r="AT41" i="14" s="1"/>
  <c r="AU41" i="14" s="1"/>
  <c r="AV41" i="14" s="1"/>
  <c r="L25" i="14"/>
  <c r="M7" i="14"/>
  <c r="L10" i="14"/>
  <c r="L30" i="14" s="1"/>
  <c r="Z73" i="14"/>
  <c r="AA100" i="14"/>
  <c r="M17" i="14"/>
  <c r="L13" i="14"/>
  <c r="L21" i="14" s="1"/>
  <c r="L26" i="14"/>
  <c r="M8" i="14"/>
  <c r="K23" i="14"/>
  <c r="K103" i="14"/>
  <c r="J102" i="14"/>
  <c r="K28" i="14"/>
  <c r="J126" i="14"/>
  <c r="N9" i="14"/>
  <c r="F106" i="14"/>
  <c r="G108" i="14"/>
  <c r="AQ37" i="14"/>
  <c r="L14" i="14"/>
  <c r="M18" i="14"/>
  <c r="I36" i="14"/>
  <c r="Z37" i="14"/>
  <c r="M16" i="14"/>
  <c r="L12" i="14"/>
  <c r="L20" i="14" s="1"/>
  <c r="N12" i="11"/>
  <c r="M13" i="11"/>
  <c r="E32" i="8"/>
  <c r="E74" i="8"/>
  <c r="E35" i="8"/>
  <c r="E50" i="8"/>
  <c r="G14" i="8"/>
  <c r="G22" i="8" s="1"/>
  <c r="H18" i="8"/>
  <c r="E59" i="8"/>
  <c r="E70" i="8"/>
  <c r="I17" i="8"/>
  <c r="H13" i="8"/>
  <c r="AL37" i="8"/>
  <c r="G25" i="8"/>
  <c r="G20" i="8"/>
  <c r="G10" i="8"/>
  <c r="G30" i="8" s="1"/>
  <c r="H7" i="8"/>
  <c r="G27" i="8"/>
  <c r="H9" i="8"/>
  <c r="AV38" i="8"/>
  <c r="G26" i="8"/>
  <c r="G21" i="8"/>
  <c r="H8" i="8"/>
  <c r="F23" i="8"/>
  <c r="AF69" i="8"/>
  <c r="W98" i="8"/>
  <c r="V71" i="8"/>
  <c r="F28" i="8"/>
  <c r="D36" i="8"/>
  <c r="AV43" i="8"/>
  <c r="U38" i="8"/>
  <c r="V38" i="8" s="1"/>
  <c r="W38" i="8" s="1"/>
  <c r="X38" i="8" s="1"/>
  <c r="Y38" i="8" s="1"/>
  <c r="Z38" i="8" s="1"/>
  <c r="AA38" i="8" s="1"/>
  <c r="AB38" i="8" s="1"/>
  <c r="AC38" i="8" s="1"/>
  <c r="AD38" i="8" s="1"/>
  <c r="AE38" i="8" s="1"/>
  <c r="T39" i="8"/>
  <c r="I12" i="8"/>
  <c r="J16" i="8"/>
  <c r="G96" i="8"/>
  <c r="H96" i="8" s="1"/>
  <c r="I96" i="8" s="1"/>
  <c r="J96" i="8" s="1"/>
  <c r="K96" i="8" s="1"/>
  <c r="L96" i="8" s="1"/>
  <c r="M96" i="8" s="1"/>
  <c r="N96" i="8" s="1"/>
  <c r="O96" i="8" s="1"/>
  <c r="F90" i="8"/>
  <c r="F101" i="8"/>
  <c r="F124" i="8" s="1"/>
  <c r="E100" i="8"/>
  <c r="AL40" i="8"/>
  <c r="AM39" i="8"/>
  <c r="V37" i="8"/>
  <c r="AL46" i="8"/>
  <c r="AM46" i="8" s="1"/>
  <c r="AN46" i="8" s="1"/>
  <c r="AO46" i="8" s="1"/>
  <c r="AP46" i="8" s="1"/>
  <c r="AM45" i="8"/>
  <c r="AV63" i="8"/>
  <c r="E124" i="8"/>
  <c r="AK64" i="8"/>
  <c r="AL64" i="8" s="1"/>
  <c r="AM64" i="8" s="1"/>
  <c r="AN64" i="8" s="1"/>
  <c r="AO64" i="8" s="1"/>
  <c r="AP64" i="8" s="1"/>
  <c r="AQ64" i="8" s="1"/>
  <c r="AR64" i="8" s="1"/>
  <c r="AS64" i="8" s="1"/>
  <c r="AT64" i="8" s="1"/>
  <c r="AU64" i="8" s="1"/>
  <c r="AK46" i="8"/>
  <c r="AV68" i="8"/>
  <c r="AF81" i="6"/>
  <c r="U64" i="6"/>
  <c r="V64" i="6" s="1"/>
  <c r="W64" i="6" s="1"/>
  <c r="X64" i="6" s="1"/>
  <c r="Y64" i="6" s="1"/>
  <c r="Z64" i="6" s="1"/>
  <c r="AA64" i="6" s="1"/>
  <c r="AB64" i="6" s="1"/>
  <c r="AC64" i="6" s="1"/>
  <c r="AD64" i="6" s="1"/>
  <c r="AE64" i="6" s="1"/>
  <c r="AJ64" i="6" s="1"/>
  <c r="U69" i="6"/>
  <c r="V69" i="6" s="1"/>
  <c r="W69" i="6" s="1"/>
  <c r="P69" i="6"/>
  <c r="M37" i="6"/>
  <c r="N37" i="6" s="1"/>
  <c r="O37" i="6" s="1"/>
  <c r="T37" i="6" s="1"/>
  <c r="L38" i="6"/>
  <c r="M38" i="6" s="1"/>
  <c r="N38" i="6" s="1"/>
  <c r="O38" i="6" s="1"/>
  <c r="X68" i="6"/>
  <c r="Y68" i="6" s="1"/>
  <c r="Z68" i="6" s="1"/>
  <c r="AA68" i="6" s="1"/>
  <c r="AB68" i="6" s="1"/>
  <c r="AC68" i="6" s="1"/>
  <c r="AD68" i="6" s="1"/>
  <c r="AE68" i="6" s="1"/>
  <c r="AJ68" i="6" s="1"/>
  <c r="P64" i="6"/>
  <c r="U16" i="6"/>
  <c r="U63" i="6"/>
  <c r="V63" i="6" s="1"/>
  <c r="W63" i="6" s="1"/>
  <c r="X63" i="6" s="1"/>
  <c r="Y63" i="6" s="1"/>
  <c r="Z63" i="6" s="1"/>
  <c r="AA63" i="6" s="1"/>
  <c r="AB63" i="6" s="1"/>
  <c r="AC63" i="6" s="1"/>
  <c r="AD63" i="6" s="1"/>
  <c r="V66" i="6"/>
  <c r="W66" i="6" s="1"/>
  <c r="X66" i="6" s="1"/>
  <c r="C123" i="6"/>
  <c r="P123" i="6" s="1"/>
  <c r="D101" i="6"/>
  <c r="E101" i="6" s="1"/>
  <c r="F101" i="6" s="1"/>
  <c r="G101" i="6" s="1"/>
  <c r="H101" i="6" s="1"/>
  <c r="I101" i="6" s="1"/>
  <c r="J101" i="6" s="1"/>
  <c r="K101" i="6" s="1"/>
  <c r="L101" i="6" s="1"/>
  <c r="M101" i="6" s="1"/>
  <c r="N101" i="6" s="1"/>
  <c r="O101" i="6" s="1"/>
  <c r="W10" i="7"/>
  <c r="Y10" i="7"/>
  <c r="V10" i="7"/>
  <c r="X10" i="7"/>
  <c r="Z10" i="7"/>
  <c r="AM9" i="7"/>
  <c r="AN9" i="7"/>
  <c r="AN10" i="7" s="1"/>
  <c r="AF9" i="7"/>
  <c r="AF10" i="7" s="1"/>
  <c r="AK9" i="7"/>
  <c r="AK10" i="7" s="1"/>
  <c r="AO81" i="6"/>
  <c r="AV81" i="6" s="1"/>
  <c r="AM101" i="6"/>
  <c r="AN101" i="6" s="1"/>
  <c r="AO101" i="6" s="1"/>
  <c r="AP101" i="6" s="1"/>
  <c r="AQ101" i="6" s="1"/>
  <c r="AR101" i="6" s="1"/>
  <c r="AS101" i="6" s="1"/>
  <c r="AT101" i="6" s="1"/>
  <c r="AU101" i="6" s="1"/>
  <c r="AV101" i="6" s="1"/>
  <c r="O9" i="7"/>
  <c r="O10" i="7" s="1"/>
  <c r="H9" i="7"/>
  <c r="H10" i="7" s="1"/>
  <c r="G9" i="7"/>
  <c r="G10" i="7" s="1"/>
  <c r="P9" i="7"/>
  <c r="P10" i="7" s="1"/>
  <c r="K9" i="7"/>
  <c r="K10" i="7" s="1"/>
  <c r="M9" i="7"/>
  <c r="M10" i="7" s="1"/>
  <c r="F52" i="5"/>
  <c r="G52" i="5"/>
  <c r="E51" i="5"/>
  <c r="F48" i="5" s="1"/>
  <c r="M49" i="5"/>
  <c r="M72" i="5" s="1"/>
  <c r="O49" i="5"/>
  <c r="O72" i="5" s="1"/>
  <c r="H92" i="5"/>
  <c r="H72" i="5"/>
  <c r="N49" i="5"/>
  <c r="N72" i="5" s="1"/>
  <c r="I72" i="5"/>
  <c r="J72" i="5"/>
  <c r="E128" i="5"/>
  <c r="F128" i="5" s="1"/>
  <c r="G128" i="5" s="1"/>
  <c r="H128" i="5" s="1"/>
  <c r="K92" i="5"/>
  <c r="K72" i="5"/>
  <c r="N50" i="5"/>
  <c r="N92" i="5" s="1"/>
  <c r="L50" i="5"/>
  <c r="L92" i="5" s="1"/>
  <c r="L49" i="5"/>
  <c r="L72" i="5" s="1"/>
  <c r="O50" i="5"/>
  <c r="O92" i="5" s="1"/>
  <c r="M50" i="5"/>
  <c r="M92" i="5" s="1"/>
  <c r="N9" i="7"/>
  <c r="N10" i="7" s="1"/>
  <c r="F9" i="7"/>
  <c r="F10" i="7" s="1"/>
  <c r="D9" i="7"/>
  <c r="D10" i="7" s="1"/>
  <c r="I10" i="7"/>
  <c r="Q9" i="7"/>
  <c r="Q10" i="7" s="1"/>
  <c r="R10" i="7"/>
  <c r="E9" i="7"/>
  <c r="E10" i="7" s="1"/>
  <c r="C9" i="7"/>
  <c r="C10" i="7" s="1"/>
  <c r="S9" i="7"/>
  <c r="S10" i="7" s="1"/>
  <c r="E81" i="6"/>
  <c r="J10" i="7"/>
  <c r="N81" i="6"/>
  <c r="T9" i="7"/>
  <c r="T10" i="7" s="1"/>
  <c r="L9" i="7"/>
  <c r="L10" i="7" s="1"/>
  <c r="P98" i="6"/>
  <c r="P112" i="6" s="1"/>
  <c r="P113" i="6" s="1"/>
  <c r="F71" i="6"/>
  <c r="P71" i="6" s="1"/>
  <c r="D90" i="6"/>
  <c r="C100" i="6"/>
  <c r="G96" i="6"/>
  <c r="H96" i="6" s="1"/>
  <c r="I96" i="6" s="1"/>
  <c r="J96" i="6" s="1"/>
  <c r="K96" i="6" s="1"/>
  <c r="L96" i="6" s="1"/>
  <c r="M96" i="6" s="1"/>
  <c r="N96" i="6" s="1"/>
  <c r="O96" i="6" s="1"/>
  <c r="F90" i="6"/>
  <c r="E90" i="6"/>
  <c r="AL43" i="6"/>
  <c r="AP34" i="6"/>
  <c r="AQ34" i="6" s="1"/>
  <c r="AR34" i="6" s="1"/>
  <c r="AJ45" i="6"/>
  <c r="AJ44" i="6"/>
  <c r="AJ39" i="6"/>
  <c r="AJ40" i="6"/>
  <c r="AJ38" i="6"/>
  <c r="AJ37" i="6"/>
  <c r="AJ57" i="6"/>
  <c r="AK64" i="6"/>
  <c r="AL64" i="6" s="1"/>
  <c r="AM64" i="6" s="1"/>
  <c r="AN64" i="6" s="1"/>
  <c r="AO64" i="6" s="1"/>
  <c r="AP64" i="6" s="1"/>
  <c r="AQ64" i="6" s="1"/>
  <c r="AR64" i="6" s="1"/>
  <c r="AS64" i="6" s="1"/>
  <c r="AT64" i="6" s="1"/>
  <c r="AU64" i="6" s="1"/>
  <c r="AD9" i="7"/>
  <c r="AD10" i="7" s="1"/>
  <c r="AI9" i="7"/>
  <c r="AI10" i="7" s="1"/>
  <c r="AM10" i="7"/>
  <c r="AO9" i="7"/>
  <c r="AO10" i="7" s="1"/>
  <c r="AG9" i="7"/>
  <c r="AG10" i="7" s="1"/>
  <c r="AL9" i="7"/>
  <c r="AL10" i="7" s="1"/>
  <c r="AE9" i="7"/>
  <c r="AE10" i="7" s="1"/>
  <c r="AH10" i="7"/>
  <c r="AJ9" i="7"/>
  <c r="AJ10" i="7" s="1"/>
  <c r="Y66" i="6"/>
  <c r="X67" i="6"/>
  <c r="Y67" i="6" s="1"/>
  <c r="Z67" i="6" s="1"/>
  <c r="AA67" i="6" s="1"/>
  <c r="AB67" i="6" s="1"/>
  <c r="AC67" i="6" s="1"/>
  <c r="AD67" i="6" s="1"/>
  <c r="AE67" i="6" s="1"/>
  <c r="AJ67" i="6" s="1"/>
  <c r="V16" i="6"/>
  <c r="U12" i="6"/>
  <c r="AB34" i="6"/>
  <c r="E27" i="6"/>
  <c r="P63" i="6"/>
  <c r="E25" i="6"/>
  <c r="T12" i="6"/>
  <c r="G58" i="6"/>
  <c r="H58" i="6" s="1"/>
  <c r="I58" i="6" s="1"/>
  <c r="J58" i="6" s="1"/>
  <c r="K58" i="6" s="1"/>
  <c r="L58" i="6" s="1"/>
  <c r="M58" i="6" s="1"/>
  <c r="N58" i="6" s="1"/>
  <c r="O58" i="6" s="1"/>
  <c r="E26" i="6"/>
  <c r="F68" i="6"/>
  <c r="G68" i="6" s="1"/>
  <c r="H68" i="6" s="1"/>
  <c r="I68" i="6" s="1"/>
  <c r="J68" i="6" s="1"/>
  <c r="K68" i="6" s="1"/>
  <c r="L68" i="6" s="1"/>
  <c r="M68" i="6" s="1"/>
  <c r="N68" i="6" s="1"/>
  <c r="O68" i="6" s="1"/>
  <c r="F18" i="6"/>
  <c r="F14" i="6" s="1"/>
  <c r="E12" i="6"/>
  <c r="E20" i="6" s="1"/>
  <c r="F17" i="6"/>
  <c r="P37" i="6"/>
  <c r="I5" i="5"/>
  <c r="J5" i="5" s="1"/>
  <c r="K5" i="5" s="1"/>
  <c r="L5" i="5" s="1"/>
  <c r="M5" i="5" s="1"/>
  <c r="N5" i="5" s="1"/>
  <c r="O5" i="5" s="1"/>
  <c r="G12" i="6"/>
  <c r="F12" i="6"/>
  <c r="E10" i="6"/>
  <c r="E30" i="6" s="1"/>
  <c r="F9" i="6"/>
  <c r="F8" i="6"/>
  <c r="F7" i="6"/>
  <c r="E22" i="6"/>
  <c r="E21" i="6"/>
  <c r="D28" i="6"/>
  <c r="D20" i="6"/>
  <c r="D23" i="6" s="1"/>
  <c r="E95" i="5"/>
  <c r="E136" i="5"/>
  <c r="E138" i="5" s="1"/>
  <c r="E69" i="5"/>
  <c r="E71" i="5" s="1"/>
  <c r="E74" i="5" s="1"/>
  <c r="F29" i="5"/>
  <c r="F70" i="5" s="1"/>
  <c r="F83" i="5" s="1"/>
  <c r="F120" i="5" s="1"/>
  <c r="F12" i="5"/>
  <c r="F121" i="5"/>
  <c r="F88" i="5"/>
  <c r="F89" i="5" s="1"/>
  <c r="H3" i="5"/>
  <c r="I3" i="5" s="1"/>
  <c r="J3" i="5" s="1"/>
  <c r="K3" i="5" s="1"/>
  <c r="L3" i="5" s="1"/>
  <c r="M3" i="5" s="1"/>
  <c r="N3" i="5" s="1"/>
  <c r="O3" i="5" s="1"/>
  <c r="J11" i="5"/>
  <c r="G38" i="5"/>
  <c r="E146" i="5"/>
  <c r="E121" i="5"/>
  <c r="E88" i="5"/>
  <c r="E108" i="5"/>
  <c r="E125" i="2"/>
  <c r="F125" i="2" s="1"/>
  <c r="E78" i="5" l="1"/>
  <c r="AF44" i="8"/>
  <c r="P44" i="8"/>
  <c r="O45" i="8"/>
  <c r="T45" i="8" s="1"/>
  <c r="U45" i="8" s="1"/>
  <c r="V45" i="8" s="1"/>
  <c r="W45" i="8" s="1"/>
  <c r="X45" i="8" s="1"/>
  <c r="Y45" i="8" s="1"/>
  <c r="H58" i="8"/>
  <c r="AP58" i="8"/>
  <c r="AQ46" i="8"/>
  <c r="AR46" i="8" s="1"/>
  <c r="AS46" i="8" s="1"/>
  <c r="AT46" i="8" s="1"/>
  <c r="AU46" i="8" s="1"/>
  <c r="AP47" i="8"/>
  <c r="AV64" i="8"/>
  <c r="AF38" i="8"/>
  <c r="P68" i="6"/>
  <c r="AK57" i="6"/>
  <c r="AL57" i="6" s="1"/>
  <c r="AM57" i="6" s="1"/>
  <c r="AN57" i="6" s="1"/>
  <c r="AO57" i="6" s="1"/>
  <c r="AP57" i="6" s="1"/>
  <c r="AQ57" i="6" s="1"/>
  <c r="AR57" i="6" s="1"/>
  <c r="AS57" i="6" s="1"/>
  <c r="AT57" i="6" s="1"/>
  <c r="AU57" i="6" s="1"/>
  <c r="AK68" i="6"/>
  <c r="AL68" i="6" s="1"/>
  <c r="AM68" i="6" s="1"/>
  <c r="AN68" i="6" s="1"/>
  <c r="AO68" i="6" s="1"/>
  <c r="AP68" i="6" s="1"/>
  <c r="AQ68" i="6" s="1"/>
  <c r="AR68" i="6" s="1"/>
  <c r="AS68" i="6" s="1"/>
  <c r="AT68" i="6" s="1"/>
  <c r="AU68" i="6" s="1"/>
  <c r="AV68" i="6"/>
  <c r="P44" i="6"/>
  <c r="U98" i="6"/>
  <c r="T71" i="6"/>
  <c r="D70" i="6"/>
  <c r="D74" i="6"/>
  <c r="P96" i="6"/>
  <c r="T96" i="6"/>
  <c r="U96" i="6" s="1"/>
  <c r="V96" i="6" s="1"/>
  <c r="W96" i="6" s="1"/>
  <c r="X96" i="6" s="1"/>
  <c r="Y96" i="6" s="1"/>
  <c r="Z96" i="6" s="1"/>
  <c r="AA96" i="6" s="1"/>
  <c r="AB96" i="6" s="1"/>
  <c r="AC96" i="6" s="1"/>
  <c r="AD96" i="6" s="1"/>
  <c r="AE96" i="6" s="1"/>
  <c r="AF96" i="6" s="1"/>
  <c r="AF68" i="6"/>
  <c r="AV69" i="6"/>
  <c r="P45" i="6"/>
  <c r="AJ46" i="6"/>
  <c r="W97" i="6"/>
  <c r="X97" i="6" s="1"/>
  <c r="Y97" i="6" s="1"/>
  <c r="Z97" i="6" s="1"/>
  <c r="AA97" i="6" s="1"/>
  <c r="AB97" i="6" s="1"/>
  <c r="AC97" i="6" s="1"/>
  <c r="AD97" i="6" s="1"/>
  <c r="AE97" i="6" s="1"/>
  <c r="AF97" i="6" s="1"/>
  <c r="AK67" i="6"/>
  <c r="AL67" i="6" s="1"/>
  <c r="AM67" i="6" s="1"/>
  <c r="AN67" i="6" s="1"/>
  <c r="AO67" i="6" s="1"/>
  <c r="AP67" i="6" s="1"/>
  <c r="AQ67" i="6" s="1"/>
  <c r="AR67" i="6" s="1"/>
  <c r="AS67" i="6" s="1"/>
  <c r="AT67" i="6" s="1"/>
  <c r="AU67" i="6" s="1"/>
  <c r="AV64" i="6"/>
  <c r="AV75" i="6"/>
  <c r="AF67" i="6"/>
  <c r="AE41" i="14"/>
  <c r="AF41" i="14" s="1"/>
  <c r="AD42" i="14"/>
  <c r="I86" i="14"/>
  <c r="I89" i="14" s="1"/>
  <c r="I109" i="14" s="1"/>
  <c r="M14" i="14"/>
  <c r="M22" i="14" s="1"/>
  <c r="N18" i="14"/>
  <c r="N27" i="14" s="1"/>
  <c r="L28" i="14"/>
  <c r="L22" i="14"/>
  <c r="L23" i="14" s="1"/>
  <c r="J36" i="14"/>
  <c r="J86" i="14" s="1"/>
  <c r="J89" i="14" s="1"/>
  <c r="J109" i="14" s="1"/>
  <c r="L103" i="14"/>
  <c r="K102" i="14"/>
  <c r="N16" i="14"/>
  <c r="M12" i="14"/>
  <c r="M20" i="14" s="1"/>
  <c r="M27" i="14"/>
  <c r="K126" i="14"/>
  <c r="AA73" i="14"/>
  <c r="AB100" i="14"/>
  <c r="AR42" i="14"/>
  <c r="AS42" i="14" s="1"/>
  <c r="AT42" i="14" s="1"/>
  <c r="AU42" i="14" s="1"/>
  <c r="AR37" i="14"/>
  <c r="AA37" i="14"/>
  <c r="K84" i="14"/>
  <c r="K72" i="14"/>
  <c r="K67" i="14"/>
  <c r="K52" i="14"/>
  <c r="K76" i="14"/>
  <c r="K61" i="14"/>
  <c r="K51" i="14"/>
  <c r="K35" i="14"/>
  <c r="K32" i="14"/>
  <c r="N7" i="14"/>
  <c r="M25" i="14"/>
  <c r="M10" i="14"/>
  <c r="M30" i="14" s="1"/>
  <c r="O9" i="14"/>
  <c r="P9" i="14" s="1"/>
  <c r="Q9" i="14" s="1"/>
  <c r="M13" i="14"/>
  <c r="M21" i="14" s="1"/>
  <c r="N17" i="14"/>
  <c r="H108" i="14"/>
  <c r="G106" i="14"/>
  <c r="M26" i="14"/>
  <c r="N8" i="14"/>
  <c r="N13" i="11"/>
  <c r="O12" i="11"/>
  <c r="O13" i="11" s="1"/>
  <c r="E36" i="8"/>
  <c r="E84" i="8" s="1"/>
  <c r="E87" i="8" s="1"/>
  <c r="E107" i="8" s="1"/>
  <c r="H14" i="8"/>
  <c r="H22" i="8" s="1"/>
  <c r="I18" i="8"/>
  <c r="J17" i="8"/>
  <c r="I13" i="8"/>
  <c r="AM40" i="8"/>
  <c r="AN39" i="8"/>
  <c r="F82" i="8"/>
  <c r="F70" i="8"/>
  <c r="F74" i="8"/>
  <c r="F50" i="8"/>
  <c r="F59" i="8"/>
  <c r="F35" i="8"/>
  <c r="F32" i="8"/>
  <c r="H21" i="8"/>
  <c r="H26" i="8"/>
  <c r="I8" i="8"/>
  <c r="H25" i="8"/>
  <c r="H20" i="8"/>
  <c r="H10" i="8"/>
  <c r="H30" i="8" s="1"/>
  <c r="I7" i="8"/>
  <c r="D84" i="8"/>
  <c r="D87" i="8" s="1"/>
  <c r="D107" i="8" s="1"/>
  <c r="G101" i="8"/>
  <c r="F100" i="8"/>
  <c r="J12" i="8"/>
  <c r="K16" i="8"/>
  <c r="X98" i="8"/>
  <c r="W71" i="8"/>
  <c r="G23" i="8"/>
  <c r="G28" i="8"/>
  <c r="U39" i="8"/>
  <c r="AN45" i="8"/>
  <c r="AO45" i="8" s="1"/>
  <c r="AP45" i="8" s="1"/>
  <c r="AQ45" i="8" s="1"/>
  <c r="AR45" i="8" s="1"/>
  <c r="AS45" i="8" s="1"/>
  <c r="AT45" i="8" s="1"/>
  <c r="AU45" i="8" s="1"/>
  <c r="W37" i="8"/>
  <c r="T96" i="8"/>
  <c r="U96" i="8" s="1"/>
  <c r="V96" i="8" s="1"/>
  <c r="W96" i="8" s="1"/>
  <c r="X96" i="8" s="1"/>
  <c r="Y96" i="8" s="1"/>
  <c r="Z96" i="8" s="1"/>
  <c r="AA96" i="8" s="1"/>
  <c r="AB96" i="8" s="1"/>
  <c r="AC96" i="8" s="1"/>
  <c r="AD96" i="8" s="1"/>
  <c r="AE96" i="8" s="1"/>
  <c r="AF96" i="8" s="1"/>
  <c r="P96" i="8"/>
  <c r="H27" i="8"/>
  <c r="I9" i="8"/>
  <c r="AM37" i="8"/>
  <c r="T101" i="6"/>
  <c r="U101" i="6" s="1"/>
  <c r="V101" i="6" s="1"/>
  <c r="W101" i="6" s="1"/>
  <c r="X101" i="6" s="1"/>
  <c r="Y101" i="6" s="1"/>
  <c r="Z101" i="6" s="1"/>
  <c r="AA101" i="6" s="1"/>
  <c r="AB101" i="6" s="1"/>
  <c r="AC101" i="6" s="1"/>
  <c r="AD101" i="6" s="1"/>
  <c r="AE101" i="6" s="1"/>
  <c r="AF101" i="6" s="1"/>
  <c r="P101" i="6"/>
  <c r="D100" i="6"/>
  <c r="AE63" i="6"/>
  <c r="AM43" i="6"/>
  <c r="AN43" i="6" s="1"/>
  <c r="AO43" i="6" s="1"/>
  <c r="AP43" i="6" s="1"/>
  <c r="AQ43" i="6" s="1"/>
  <c r="AR43" i="6" s="1"/>
  <c r="AS43" i="6" s="1"/>
  <c r="AT43" i="6" s="1"/>
  <c r="AU43" i="6" s="1"/>
  <c r="AK40" i="6"/>
  <c r="AM41" i="6" s="1"/>
  <c r="U37" i="6"/>
  <c r="V37" i="6" s="1"/>
  <c r="W37" i="6" s="1"/>
  <c r="X37" i="6" s="1"/>
  <c r="Y37" i="6" s="1"/>
  <c r="T38" i="6"/>
  <c r="G49" i="5"/>
  <c r="G72" i="5" s="1"/>
  <c r="P81" i="6"/>
  <c r="E124" i="6"/>
  <c r="G125" i="2"/>
  <c r="H125" i="2" s="1"/>
  <c r="D124" i="6"/>
  <c r="AS34" i="6"/>
  <c r="X69" i="6"/>
  <c r="D32" i="6"/>
  <c r="U44" i="6"/>
  <c r="V44" i="6" s="1"/>
  <c r="W44" i="6" s="1"/>
  <c r="X44" i="6" s="1"/>
  <c r="Y44" i="6" s="1"/>
  <c r="Z44" i="6" s="1"/>
  <c r="AA44" i="6" s="1"/>
  <c r="AB44" i="6" s="1"/>
  <c r="AC44" i="6" s="1"/>
  <c r="AD44" i="6" s="1"/>
  <c r="AE44" i="6" s="1"/>
  <c r="Z66" i="6"/>
  <c r="V12" i="6"/>
  <c r="W16" i="6"/>
  <c r="V46" i="6"/>
  <c r="W45" i="6"/>
  <c r="X45" i="6" s="1"/>
  <c r="Y45" i="6" s="1"/>
  <c r="Z45" i="6" s="1"/>
  <c r="AA45" i="6" s="1"/>
  <c r="AB45" i="6" s="1"/>
  <c r="AC45" i="6" s="1"/>
  <c r="AD45" i="6" s="1"/>
  <c r="AE45" i="6" s="1"/>
  <c r="AC34" i="6"/>
  <c r="P58" i="6"/>
  <c r="E28" i="6"/>
  <c r="G18" i="6"/>
  <c r="F22" i="6"/>
  <c r="G17" i="6"/>
  <c r="F13" i="6"/>
  <c r="F21" i="6" s="1"/>
  <c r="P38" i="6"/>
  <c r="D82" i="6"/>
  <c r="D59" i="6"/>
  <c r="D50" i="6"/>
  <c r="H12" i="6"/>
  <c r="H38" i="5"/>
  <c r="I38" i="5" s="1"/>
  <c r="J38" i="5" s="1"/>
  <c r="K38" i="5" s="1"/>
  <c r="L38" i="5" s="1"/>
  <c r="M38" i="5" s="1"/>
  <c r="N38" i="5" s="1"/>
  <c r="O38" i="5" s="1"/>
  <c r="I34" i="6"/>
  <c r="J34" i="6" s="1"/>
  <c r="F10" i="6"/>
  <c r="F30" i="6" s="1"/>
  <c r="G9" i="6"/>
  <c r="F27" i="6"/>
  <c r="G7" i="6"/>
  <c r="F20" i="6"/>
  <c r="F25" i="6"/>
  <c r="G8" i="6"/>
  <c r="F26" i="6"/>
  <c r="E23" i="6"/>
  <c r="E117" i="5"/>
  <c r="E118" i="5" s="1"/>
  <c r="E119" i="5" s="1"/>
  <c r="E145" i="5"/>
  <c r="E148" i="5" s="1"/>
  <c r="F146" i="5"/>
  <c r="E109" i="5"/>
  <c r="E89" i="5"/>
  <c r="E105" i="5"/>
  <c r="F105" i="5" s="1"/>
  <c r="K17" i="5"/>
  <c r="I17" i="5"/>
  <c r="J17" i="5"/>
  <c r="G28" i="5"/>
  <c r="H17" i="5"/>
  <c r="L17" i="5" s="1"/>
  <c r="G26" i="5"/>
  <c r="G29" i="5" s="1"/>
  <c r="G70" i="5" s="1"/>
  <c r="G83" i="5" s="1"/>
  <c r="G120" i="5" s="1"/>
  <c r="E75" i="5"/>
  <c r="E76" i="5" s="1"/>
  <c r="F13" i="5"/>
  <c r="G12" i="5"/>
  <c r="E88" i="2"/>
  <c r="AQ58" i="8" l="1"/>
  <c r="AV46" i="8"/>
  <c r="P45" i="8"/>
  <c r="Z45" i="8"/>
  <c r="Y46" i="8"/>
  <c r="Z46" i="8" s="1"/>
  <c r="AA46" i="8" s="1"/>
  <c r="AB46" i="8" s="1"/>
  <c r="AC46" i="8" s="1"/>
  <c r="AD46" i="8" s="1"/>
  <c r="AE46" i="8" s="1"/>
  <c r="I58" i="8"/>
  <c r="AV45" i="8"/>
  <c r="AF45" i="6"/>
  <c r="U71" i="6"/>
  <c r="V98" i="6"/>
  <c r="E70" i="6"/>
  <c r="E74" i="6"/>
  <c r="W46" i="6"/>
  <c r="X46" i="6" s="1"/>
  <c r="Y46" i="6" s="1"/>
  <c r="Z46" i="6" s="1"/>
  <c r="AA46" i="6" s="1"/>
  <c r="AB46" i="6" s="1"/>
  <c r="AC46" i="6" s="1"/>
  <c r="AD46" i="6" s="1"/>
  <c r="AE46" i="6" s="1"/>
  <c r="AF46" i="6"/>
  <c r="AK46" i="6"/>
  <c r="AK47" i="6" s="1"/>
  <c r="AV57" i="6"/>
  <c r="AV67" i="6"/>
  <c r="AF44" i="6"/>
  <c r="AE42" i="14"/>
  <c r="AF42" i="14" s="1"/>
  <c r="M23" i="14"/>
  <c r="M52" i="14" s="1"/>
  <c r="K36" i="14"/>
  <c r="K86" i="14" s="1"/>
  <c r="K89" i="14" s="1"/>
  <c r="K109" i="14" s="1"/>
  <c r="L84" i="14"/>
  <c r="L72" i="14"/>
  <c r="L52" i="14"/>
  <c r="L76" i="14"/>
  <c r="L61" i="14"/>
  <c r="L51" i="14"/>
  <c r="L67" i="14"/>
  <c r="L35" i="14"/>
  <c r="L32" i="14"/>
  <c r="M72" i="14"/>
  <c r="AS37" i="14"/>
  <c r="N26" i="14"/>
  <c r="O8" i="14"/>
  <c r="T9" i="14"/>
  <c r="AV42" i="14"/>
  <c r="N14" i="14"/>
  <c r="N22" i="14" s="1"/>
  <c r="O18" i="14"/>
  <c r="O27" i="14" s="1"/>
  <c r="P27" i="14" s="1"/>
  <c r="Q27" i="14" s="1"/>
  <c r="N25" i="14"/>
  <c r="N10" i="14"/>
  <c r="N30" i="14" s="1"/>
  <c r="O7" i="14"/>
  <c r="O16" i="14"/>
  <c r="N12" i="14"/>
  <c r="N20" i="14" s="1"/>
  <c r="M103" i="14"/>
  <c r="M126" i="14" s="1"/>
  <c r="L102" i="14"/>
  <c r="AB73" i="14"/>
  <c r="AC100" i="14"/>
  <c r="L126" i="14"/>
  <c r="AB37" i="14"/>
  <c r="I108" i="14"/>
  <c r="J108" i="14" s="1"/>
  <c r="K108" i="14" s="1"/>
  <c r="H106" i="14"/>
  <c r="N13" i="14"/>
  <c r="N21" i="14" s="1"/>
  <c r="O17" i="14"/>
  <c r="M28" i="14"/>
  <c r="K17" i="8"/>
  <c r="J13" i="8"/>
  <c r="J18" i="8"/>
  <c r="I14" i="8"/>
  <c r="I22" i="8" s="1"/>
  <c r="H101" i="8"/>
  <c r="H124" i="8" s="1"/>
  <c r="G100" i="8"/>
  <c r="H23" i="8"/>
  <c r="G70" i="8"/>
  <c r="G74" i="8"/>
  <c r="G50" i="8"/>
  <c r="G59" i="8"/>
  <c r="G82" i="8"/>
  <c r="G35" i="8"/>
  <c r="G32" i="8"/>
  <c r="G124" i="8"/>
  <c r="H28" i="8"/>
  <c r="V39" i="8"/>
  <c r="D104" i="8"/>
  <c r="E106" i="8"/>
  <c r="F36" i="8"/>
  <c r="K12" i="8"/>
  <c r="L16" i="8"/>
  <c r="AN37" i="8"/>
  <c r="X37" i="8"/>
  <c r="AQ47" i="8"/>
  <c r="AR47" i="8" s="1"/>
  <c r="AS47" i="8" s="1"/>
  <c r="AT47" i="8" s="1"/>
  <c r="AU47" i="8" s="1"/>
  <c r="AU48" i="8" s="1"/>
  <c r="I25" i="8"/>
  <c r="I10" i="8"/>
  <c r="I30" i="8" s="1"/>
  <c r="J7" i="8"/>
  <c r="I20" i="8"/>
  <c r="I26" i="8"/>
  <c r="I21" i="8"/>
  <c r="J8" i="8"/>
  <c r="AN40" i="8"/>
  <c r="AO39" i="8"/>
  <c r="X71" i="8"/>
  <c r="Y98" i="8"/>
  <c r="I27" i="8"/>
  <c r="J9" i="8"/>
  <c r="F49" i="5"/>
  <c r="F72" i="5" s="1"/>
  <c r="AF63" i="6"/>
  <c r="AJ63" i="6"/>
  <c r="AV43" i="6"/>
  <c r="E100" i="6"/>
  <c r="F124" i="6"/>
  <c r="AT34" i="6"/>
  <c r="AK45" i="6"/>
  <c r="AK44" i="6"/>
  <c r="Y69" i="6"/>
  <c r="Z37" i="6"/>
  <c r="Y75" i="6"/>
  <c r="E32" i="6"/>
  <c r="AA66" i="6"/>
  <c r="W12" i="6"/>
  <c r="X16" i="6"/>
  <c r="T39" i="6"/>
  <c r="U38" i="6"/>
  <c r="AD34" i="6"/>
  <c r="AE34" i="6" s="1"/>
  <c r="H18" i="6"/>
  <c r="G14" i="6"/>
  <c r="G22" i="6" s="1"/>
  <c r="H17" i="6"/>
  <c r="G13" i="6"/>
  <c r="G21" i="6" s="1"/>
  <c r="D36" i="6"/>
  <c r="I12" i="6"/>
  <c r="E59" i="6"/>
  <c r="E35" i="6"/>
  <c r="E50" i="6"/>
  <c r="E82" i="6"/>
  <c r="G20" i="6"/>
  <c r="G10" i="6"/>
  <c r="G30" i="6" s="1"/>
  <c r="H7" i="6"/>
  <c r="G25" i="6"/>
  <c r="G27" i="6"/>
  <c r="H9" i="6"/>
  <c r="F28" i="6"/>
  <c r="F23" i="6"/>
  <c r="G26" i="6"/>
  <c r="H8" i="6"/>
  <c r="E82" i="5"/>
  <c r="E84" i="5" s="1"/>
  <c r="E110" i="5"/>
  <c r="G13" i="5"/>
  <c r="H12" i="5"/>
  <c r="H28" i="5"/>
  <c r="H26" i="5"/>
  <c r="H29" i="5" s="1"/>
  <c r="H70" i="5" s="1"/>
  <c r="H83" i="5" s="1"/>
  <c r="H120" i="5" s="1"/>
  <c r="G146" i="5"/>
  <c r="G121" i="5"/>
  <c r="G88" i="5"/>
  <c r="G89" i="5" s="1"/>
  <c r="F50" i="2"/>
  <c r="F48" i="2"/>
  <c r="F89" i="2" s="1"/>
  <c r="F92" i="2" s="1"/>
  <c r="M32" i="14" l="1"/>
  <c r="M51" i="14"/>
  <c r="M76" i="14"/>
  <c r="AF46" i="8"/>
  <c r="AR58" i="8"/>
  <c r="J58" i="8"/>
  <c r="AA45" i="8"/>
  <c r="AB45" i="8" s="1"/>
  <c r="AC45" i="8" s="1"/>
  <c r="AD45" i="8" s="1"/>
  <c r="AE45" i="8" s="1"/>
  <c r="AF45" i="8"/>
  <c r="AL45" i="6"/>
  <c r="AL46" i="6" s="1"/>
  <c r="V71" i="6"/>
  <c r="W98" i="6"/>
  <c r="F70" i="6"/>
  <c r="F74" i="6"/>
  <c r="AL44" i="6"/>
  <c r="AM44" i="6" s="1"/>
  <c r="AN44" i="6" s="1"/>
  <c r="AO44" i="6" s="1"/>
  <c r="AP44" i="6" s="1"/>
  <c r="AQ44" i="6" s="1"/>
  <c r="AR44" i="6" s="1"/>
  <c r="AS44" i="6" s="1"/>
  <c r="AT44" i="6" s="1"/>
  <c r="AU44" i="6" s="1"/>
  <c r="AV44" i="6"/>
  <c r="AL47" i="6"/>
  <c r="AM47" i="6" s="1"/>
  <c r="AN47" i="6" s="1"/>
  <c r="AO47" i="6" s="1"/>
  <c r="M35" i="14"/>
  <c r="M84" i="14"/>
  <c r="M67" i="14"/>
  <c r="M61" i="14"/>
  <c r="M53" i="14"/>
  <c r="N28" i="14"/>
  <c r="N23" i="14"/>
  <c r="N53" i="14" s="1"/>
  <c r="K106" i="14"/>
  <c r="J106" i="14"/>
  <c r="O25" i="14"/>
  <c r="O10" i="14"/>
  <c r="O30" i="14" s="1"/>
  <c r="P30" i="14" s="1"/>
  <c r="T7" i="14"/>
  <c r="P7" i="14"/>
  <c r="U9" i="14"/>
  <c r="AT37" i="14"/>
  <c r="L36" i="14"/>
  <c r="L86" i="14" s="1"/>
  <c r="L89" i="14" s="1"/>
  <c r="L109" i="14" s="1"/>
  <c r="S16" i="14"/>
  <c r="T16" i="14" s="1"/>
  <c r="O12" i="14"/>
  <c r="P12" i="14" s="1"/>
  <c r="P16" i="14"/>
  <c r="L108" i="14"/>
  <c r="AD100" i="14"/>
  <c r="AC73" i="14"/>
  <c r="I106" i="14"/>
  <c r="O26" i="14"/>
  <c r="P26" i="14" s="1"/>
  <c r="Q26" i="14" s="1"/>
  <c r="T8" i="14"/>
  <c r="P8" i="14"/>
  <c r="Q8" i="14" s="1"/>
  <c r="N103" i="14"/>
  <c r="M102" i="14"/>
  <c r="S18" i="14"/>
  <c r="T18" i="14" s="1"/>
  <c r="O14" i="14"/>
  <c r="P18" i="14"/>
  <c r="S17" i="14"/>
  <c r="T17" i="14" s="1"/>
  <c r="O13" i="14"/>
  <c r="P13" i="14" s="1"/>
  <c r="P17" i="14"/>
  <c r="AC37" i="14"/>
  <c r="G36" i="8"/>
  <c r="G84" i="8" s="1"/>
  <c r="G87" i="8" s="1"/>
  <c r="G107" i="8" s="1"/>
  <c r="K13" i="8"/>
  <c r="L17" i="8"/>
  <c r="K18" i="8"/>
  <c r="J14" i="8"/>
  <c r="J22" i="8" s="1"/>
  <c r="Y71" i="8"/>
  <c r="Z98" i="8"/>
  <c r="J21" i="8"/>
  <c r="J26" i="8"/>
  <c r="K8" i="8"/>
  <c r="AV47" i="8"/>
  <c r="H70" i="8"/>
  <c r="H74" i="8"/>
  <c r="H82" i="8"/>
  <c r="H59" i="8"/>
  <c r="H50" i="8"/>
  <c r="H35" i="8"/>
  <c r="H32" i="8"/>
  <c r="Y37" i="8"/>
  <c r="AP39" i="8"/>
  <c r="AQ39" i="8" s="1"/>
  <c r="AR39" i="8" s="1"/>
  <c r="AS39" i="8" s="1"/>
  <c r="AT39" i="8" s="1"/>
  <c r="AU39" i="8" s="1"/>
  <c r="AV39" i="8"/>
  <c r="AO40" i="8"/>
  <c r="AP40" i="8" s="1"/>
  <c r="AQ40" i="8" s="1"/>
  <c r="AR40" i="8" s="1"/>
  <c r="AS40" i="8" s="1"/>
  <c r="AT40" i="8" s="1"/>
  <c r="AU40" i="8" s="1"/>
  <c r="AV40" i="8" s="1"/>
  <c r="AN41" i="8"/>
  <c r="W39" i="8"/>
  <c r="X39" i="8" s="1"/>
  <c r="J25" i="8"/>
  <c r="J10" i="8"/>
  <c r="J30" i="8" s="1"/>
  <c r="K7" i="8"/>
  <c r="J20" i="8"/>
  <c r="AO37" i="8"/>
  <c r="F84" i="8"/>
  <c r="F87" i="8" s="1"/>
  <c r="F107" i="8" s="1"/>
  <c r="AV49" i="8"/>
  <c r="F106" i="8"/>
  <c r="E104" i="8"/>
  <c r="I101" i="8"/>
  <c r="I124" i="8" s="1"/>
  <c r="H100" i="8"/>
  <c r="L12" i="8"/>
  <c r="M16" i="8"/>
  <c r="I23" i="8"/>
  <c r="J27" i="8"/>
  <c r="K9" i="8"/>
  <c r="I28" i="8"/>
  <c r="AK63" i="6"/>
  <c r="AL63" i="6" s="1"/>
  <c r="AM63" i="6" s="1"/>
  <c r="AO63" i="6" s="1"/>
  <c r="AP63" i="6" s="1"/>
  <c r="AQ63" i="6" s="1"/>
  <c r="AR63" i="6" s="1"/>
  <c r="AS63" i="6" s="1"/>
  <c r="AT63" i="6" s="1"/>
  <c r="AU63" i="6" s="1"/>
  <c r="U39" i="6"/>
  <c r="V39" i="6" s="1"/>
  <c r="W39" i="6" s="1"/>
  <c r="X39" i="6" s="1"/>
  <c r="Y39" i="6" s="1"/>
  <c r="G124" i="6"/>
  <c r="F100" i="6"/>
  <c r="AU34" i="6"/>
  <c r="Z69" i="6"/>
  <c r="D84" i="6"/>
  <c r="D87" i="6" s="1"/>
  <c r="D107" i="6" s="1"/>
  <c r="AA37" i="6"/>
  <c r="Z75" i="6"/>
  <c r="F32" i="6"/>
  <c r="AB66" i="6"/>
  <c r="V38" i="6"/>
  <c r="X12" i="6"/>
  <c r="Y16" i="6"/>
  <c r="E36" i="6"/>
  <c r="I18" i="6"/>
  <c r="H14" i="6"/>
  <c r="H22" i="6" s="1"/>
  <c r="I17" i="6"/>
  <c r="H13" i="6"/>
  <c r="H21" i="6" s="1"/>
  <c r="J12" i="6"/>
  <c r="F35" i="6"/>
  <c r="F82" i="6"/>
  <c r="F59" i="6"/>
  <c r="F50" i="6"/>
  <c r="K34" i="6"/>
  <c r="G23" i="6"/>
  <c r="H25" i="6"/>
  <c r="H10" i="6"/>
  <c r="H30" i="6" s="1"/>
  <c r="H27" i="6"/>
  <c r="G28" i="6"/>
  <c r="I9" i="6"/>
  <c r="I7" i="6"/>
  <c r="H20" i="6"/>
  <c r="I8" i="6"/>
  <c r="H26" i="6"/>
  <c r="G105" i="5"/>
  <c r="H121" i="5"/>
  <c r="H88" i="5"/>
  <c r="H89" i="5" s="1"/>
  <c r="H146" i="5"/>
  <c r="O19" i="5"/>
  <c r="L19" i="5"/>
  <c r="N19" i="5"/>
  <c r="I28" i="5"/>
  <c r="M19" i="5"/>
  <c r="K19" i="5"/>
  <c r="J19" i="5"/>
  <c r="I19" i="5"/>
  <c r="I26" i="5" s="1"/>
  <c r="I29" i="5" s="1"/>
  <c r="I70" i="5" s="1"/>
  <c r="I83" i="5" s="1"/>
  <c r="I120" i="5" s="1"/>
  <c r="H13" i="5"/>
  <c r="I12" i="5"/>
  <c r="E113" i="5"/>
  <c r="F111" i="5"/>
  <c r="E86" i="5"/>
  <c r="E97" i="5" s="1"/>
  <c r="E99" i="5" s="1"/>
  <c r="E89" i="2"/>
  <c r="E92" i="2" s="1"/>
  <c r="E104" i="2"/>
  <c r="E101" i="2"/>
  <c r="E100" i="2"/>
  <c r="E82" i="2"/>
  <c r="E144" i="2" s="1"/>
  <c r="M36" i="14" l="1"/>
  <c r="M86" i="14" s="1"/>
  <c r="M89" i="14" s="1"/>
  <c r="M109" i="14" s="1"/>
  <c r="AS58" i="8"/>
  <c r="K58" i="8"/>
  <c r="AM45" i="6"/>
  <c r="AN45" i="6" s="1"/>
  <c r="AO45" i="6" s="1"/>
  <c r="AP45" i="6" s="1"/>
  <c r="AQ45" i="6" s="1"/>
  <c r="AR45" i="6" s="1"/>
  <c r="AS45" i="6" s="1"/>
  <c r="AT45" i="6" s="1"/>
  <c r="AU45" i="6" s="1"/>
  <c r="AM46" i="6"/>
  <c r="AN46" i="6" s="1"/>
  <c r="AO46" i="6" s="1"/>
  <c r="AP46" i="6" s="1"/>
  <c r="AQ46" i="6" s="1"/>
  <c r="AR46" i="6" s="1"/>
  <c r="AS46" i="6" s="1"/>
  <c r="AT46" i="6" s="1"/>
  <c r="AU46" i="6" s="1"/>
  <c r="AO48" i="6"/>
  <c r="AP47" i="6"/>
  <c r="W71" i="6"/>
  <c r="X98" i="6"/>
  <c r="G70" i="6"/>
  <c r="G74" i="6"/>
  <c r="AV45" i="6"/>
  <c r="AV63" i="6"/>
  <c r="N52" i="14"/>
  <c r="N76" i="14"/>
  <c r="O21" i="14"/>
  <c r="P21" i="14" s="1"/>
  <c r="P58" i="14" s="1"/>
  <c r="N72" i="14"/>
  <c r="N84" i="14"/>
  <c r="N32" i="14"/>
  <c r="N35" i="14"/>
  <c r="N51" i="14"/>
  <c r="N67" i="14"/>
  <c r="N61" i="14"/>
  <c r="L106" i="14"/>
  <c r="P14" i="14"/>
  <c r="O22" i="14"/>
  <c r="P22" i="14" s="1"/>
  <c r="Q22" i="14" s="1"/>
  <c r="U16" i="14"/>
  <c r="T12" i="14"/>
  <c r="P10" i="14"/>
  <c r="F32" i="15" s="1"/>
  <c r="Q7" i="14"/>
  <c r="T14" i="14"/>
  <c r="U18" i="14"/>
  <c r="U27" i="14" s="1"/>
  <c r="O103" i="14"/>
  <c r="O126" i="14" s="1"/>
  <c r="P126" i="14" s="1"/>
  <c r="P124" i="14" s="1"/>
  <c r="N102" i="14"/>
  <c r="AE100" i="14"/>
  <c r="AD73" i="14"/>
  <c r="AU37" i="14"/>
  <c r="O28" i="14"/>
  <c r="P28" i="14" s="1"/>
  <c r="P25" i="14"/>
  <c r="Q25" i="14" s="1"/>
  <c r="N126" i="14"/>
  <c r="M108" i="14"/>
  <c r="O20" i="14"/>
  <c r="T13" i="14"/>
  <c r="T21" i="14" s="1"/>
  <c r="U17" i="14"/>
  <c r="V9" i="14"/>
  <c r="T25" i="14"/>
  <c r="T10" i="14"/>
  <c r="T30" i="14" s="1"/>
  <c r="U7" i="14"/>
  <c r="T26" i="14"/>
  <c r="U8" i="14"/>
  <c r="T27" i="14"/>
  <c r="AD37" i="14"/>
  <c r="F104" i="8"/>
  <c r="K14" i="8"/>
  <c r="K22" i="8" s="1"/>
  <c r="L18" i="8"/>
  <c r="M17" i="8"/>
  <c r="L13" i="8"/>
  <c r="K27" i="8"/>
  <c r="L9" i="8"/>
  <c r="H36" i="8"/>
  <c r="K26" i="8"/>
  <c r="L8" i="8"/>
  <c r="K21" i="8"/>
  <c r="Z37" i="8"/>
  <c r="AO41" i="8"/>
  <c r="AP41" i="8" s="1"/>
  <c r="AQ41" i="8" s="1"/>
  <c r="J23" i="8"/>
  <c r="AV48" i="8"/>
  <c r="M12" i="8"/>
  <c r="N16" i="8"/>
  <c r="G106" i="8"/>
  <c r="H106" i="8" s="1"/>
  <c r="Z71" i="8"/>
  <c r="AA98" i="8"/>
  <c r="L7" i="8"/>
  <c r="K20" i="8"/>
  <c r="K25" i="8"/>
  <c r="K10" i="8"/>
  <c r="K30" i="8" s="1"/>
  <c r="I100" i="8"/>
  <c r="J101" i="8"/>
  <c r="J28" i="8"/>
  <c r="I74" i="8"/>
  <c r="I82" i="8"/>
  <c r="I65" i="8"/>
  <c r="I70" i="8"/>
  <c r="I51" i="8"/>
  <c r="I59" i="8"/>
  <c r="I50" i="8"/>
  <c r="I35" i="8"/>
  <c r="I32" i="8"/>
  <c r="AP37" i="8"/>
  <c r="Z39" i="6"/>
  <c r="G100" i="6"/>
  <c r="E105" i="2"/>
  <c r="H124" i="6"/>
  <c r="I124" i="6"/>
  <c r="H100" i="6"/>
  <c r="E106" i="6"/>
  <c r="D104" i="6"/>
  <c r="AK58" i="6"/>
  <c r="E84" i="6"/>
  <c r="E87" i="6" s="1"/>
  <c r="E107" i="6" s="1"/>
  <c r="AA69" i="6"/>
  <c r="AB37" i="6"/>
  <c r="AA75" i="6"/>
  <c r="AC66" i="6"/>
  <c r="G32" i="6"/>
  <c r="Z16" i="6"/>
  <c r="Y12" i="6"/>
  <c r="W38" i="6"/>
  <c r="J18" i="6"/>
  <c r="I14" i="6"/>
  <c r="I22" i="6" s="1"/>
  <c r="J17" i="6"/>
  <c r="I13" i="6"/>
  <c r="I21" i="6" s="1"/>
  <c r="K12" i="6"/>
  <c r="F36" i="6"/>
  <c r="G35" i="6"/>
  <c r="G82" i="6"/>
  <c r="G59" i="6"/>
  <c r="G50" i="6"/>
  <c r="I25" i="6"/>
  <c r="I10" i="6"/>
  <c r="I30" i="6" s="1"/>
  <c r="H28" i="6"/>
  <c r="J7" i="6"/>
  <c r="I27" i="6"/>
  <c r="H23" i="6"/>
  <c r="J9" i="6"/>
  <c r="I20" i="6"/>
  <c r="J8" i="6"/>
  <c r="I26" i="6"/>
  <c r="E122" i="5"/>
  <c r="E123" i="5" s="1"/>
  <c r="E125" i="5" s="1"/>
  <c r="J12" i="5"/>
  <c r="K12" i="5" s="1"/>
  <c r="L12" i="5" s="1"/>
  <c r="M12" i="5" s="1"/>
  <c r="N12" i="5" s="1"/>
  <c r="I13" i="5"/>
  <c r="F98" i="5"/>
  <c r="E102" i="5"/>
  <c r="E106" i="5" s="1"/>
  <c r="E114" i="5" s="1"/>
  <c r="J28" i="5"/>
  <c r="M20" i="5"/>
  <c r="O20" i="5"/>
  <c r="N20" i="5"/>
  <c r="L20" i="5"/>
  <c r="J20" i="5"/>
  <c r="J26" i="5" s="1"/>
  <c r="J29" i="5" s="1"/>
  <c r="J70" i="5" s="1"/>
  <c r="J83" i="5" s="1"/>
  <c r="J120" i="5" s="1"/>
  <c r="K20" i="5"/>
  <c r="H105" i="5"/>
  <c r="I121" i="5"/>
  <c r="I88" i="5"/>
  <c r="I89" i="5" s="1"/>
  <c r="I146" i="5"/>
  <c r="N108" i="14" l="1"/>
  <c r="F92" i="15"/>
  <c r="F51" i="15"/>
  <c r="Q21" i="14"/>
  <c r="AT58" i="8"/>
  <c r="L58" i="8"/>
  <c r="AQ47" i="6"/>
  <c r="AR47" i="6" s="1"/>
  <c r="AS47" i="6" s="1"/>
  <c r="AT47" i="6" s="1"/>
  <c r="AU47" i="6" s="1"/>
  <c r="AV47" i="6"/>
  <c r="H70" i="6"/>
  <c r="H74" i="6"/>
  <c r="AP48" i="6"/>
  <c r="AQ48" i="6" s="1"/>
  <c r="AR48" i="6" s="1"/>
  <c r="AS48" i="6" s="1"/>
  <c r="AT48" i="6" s="1"/>
  <c r="AU48" i="6" s="1"/>
  <c r="AU49" i="6" s="1"/>
  <c r="AV49" i="6" s="1"/>
  <c r="X71" i="6"/>
  <c r="Y98" i="6"/>
  <c r="AL58" i="6"/>
  <c r="AM58" i="6" s="1"/>
  <c r="AN58" i="6" s="1"/>
  <c r="AO58" i="6" s="1"/>
  <c r="AP58" i="6" s="1"/>
  <c r="AQ58" i="6" s="1"/>
  <c r="AR58" i="6" s="1"/>
  <c r="AS58" i="6" s="1"/>
  <c r="AT58" i="6" s="1"/>
  <c r="AU58" i="6" s="1"/>
  <c r="AV58" i="6"/>
  <c r="AV46" i="6"/>
  <c r="N36" i="14"/>
  <c r="N86" i="14" s="1"/>
  <c r="N89" i="14" s="1"/>
  <c r="N109" i="14" s="1"/>
  <c r="N106" i="14" s="1"/>
  <c r="AE73" i="14"/>
  <c r="AF100" i="14"/>
  <c r="AF114" i="14" s="1"/>
  <c r="AF115" i="14" s="1"/>
  <c r="T58" i="14"/>
  <c r="U26" i="14"/>
  <c r="V8" i="14"/>
  <c r="Q10" i="14"/>
  <c r="Q11" i="14"/>
  <c r="U25" i="14"/>
  <c r="U10" i="14"/>
  <c r="U30" i="14" s="1"/>
  <c r="V7" i="14"/>
  <c r="U13" i="14"/>
  <c r="U21" i="14" s="1"/>
  <c r="U58" i="14" s="1"/>
  <c r="V17" i="14"/>
  <c r="P95" i="14"/>
  <c r="R28" i="14"/>
  <c r="F36" i="15" s="1"/>
  <c r="F37" i="15" s="1"/>
  <c r="F39" i="15" s="1"/>
  <c r="Q28" i="14"/>
  <c r="V18" i="14"/>
  <c r="V27" i="14" s="1"/>
  <c r="U14" i="14"/>
  <c r="U22" i="14" s="1"/>
  <c r="V16" i="14"/>
  <c r="U12" i="14"/>
  <c r="U20" i="14" s="1"/>
  <c r="AV37" i="14"/>
  <c r="T22" i="14"/>
  <c r="M106" i="14"/>
  <c r="T28" i="14"/>
  <c r="W9" i="14"/>
  <c r="T103" i="14"/>
  <c r="U103" i="14" s="1"/>
  <c r="V103" i="14" s="1"/>
  <c r="W103" i="14" s="1"/>
  <c r="X103" i="14" s="1"/>
  <c r="Y103" i="14" s="1"/>
  <c r="Z103" i="14" s="1"/>
  <c r="AA103" i="14" s="1"/>
  <c r="AB103" i="14" s="1"/>
  <c r="AC103" i="14" s="1"/>
  <c r="AD103" i="14" s="1"/>
  <c r="AE103" i="14" s="1"/>
  <c r="AF103" i="14" s="1"/>
  <c r="P103" i="14"/>
  <c r="O102" i="14"/>
  <c r="P102" i="14" s="1"/>
  <c r="AE37" i="14"/>
  <c r="T20" i="14"/>
  <c r="O23" i="14"/>
  <c r="P20" i="14"/>
  <c r="Q20" i="14" s="1"/>
  <c r="K23" i="8"/>
  <c r="K82" i="8" s="1"/>
  <c r="M13" i="8"/>
  <c r="N17" i="8"/>
  <c r="M18" i="8"/>
  <c r="L14" i="8"/>
  <c r="L22" i="8" s="1"/>
  <c r="K28" i="8"/>
  <c r="AA37" i="8"/>
  <c r="H84" i="8"/>
  <c r="H87" i="8" s="1"/>
  <c r="H107" i="8" s="1"/>
  <c r="H104" i="8" s="1"/>
  <c r="L27" i="8"/>
  <c r="M9" i="8"/>
  <c r="L25" i="8"/>
  <c r="M7" i="8"/>
  <c r="L20" i="8"/>
  <c r="L10" i="8"/>
  <c r="L30" i="8" s="1"/>
  <c r="K101" i="8"/>
  <c r="J100" i="8"/>
  <c r="AR41" i="8"/>
  <c r="AQ42" i="8"/>
  <c r="J74" i="8"/>
  <c r="J82" i="8"/>
  <c r="J70" i="8"/>
  <c r="J65" i="8"/>
  <c r="J51" i="8"/>
  <c r="J50" i="8"/>
  <c r="J35" i="8"/>
  <c r="J32" i="8"/>
  <c r="J59" i="8"/>
  <c r="I36" i="8"/>
  <c r="I84" i="8" s="1"/>
  <c r="I87" i="8" s="1"/>
  <c r="I107" i="8" s="1"/>
  <c r="Y39" i="8"/>
  <c r="Y40" i="8" s="1"/>
  <c r="Z40" i="8" s="1"/>
  <c r="AA40" i="8" s="1"/>
  <c r="AB40" i="8" s="1"/>
  <c r="AC40" i="8" s="1"/>
  <c r="AD40" i="8" s="1"/>
  <c r="AE40" i="8" s="1"/>
  <c r="AA71" i="8"/>
  <c r="AB98" i="8"/>
  <c r="AQ37" i="8"/>
  <c r="J124" i="8"/>
  <c r="O16" i="8"/>
  <c r="N12" i="8"/>
  <c r="L21" i="8"/>
  <c r="L26" i="8"/>
  <c r="M8" i="8"/>
  <c r="G104" i="8"/>
  <c r="AA39" i="6"/>
  <c r="Z40" i="6"/>
  <c r="E106" i="2"/>
  <c r="F105" i="2"/>
  <c r="I100" i="6"/>
  <c r="F106" i="6"/>
  <c r="E104" i="6"/>
  <c r="AB69" i="6"/>
  <c r="AC37" i="6"/>
  <c r="AB75" i="6"/>
  <c r="AD66" i="6"/>
  <c r="X38" i="6"/>
  <c r="H32" i="6"/>
  <c r="Z12" i="6"/>
  <c r="AA16" i="6"/>
  <c r="K18" i="6"/>
  <c r="J14" i="6"/>
  <c r="J22" i="6" s="1"/>
  <c r="K17" i="6"/>
  <c r="J13" i="6"/>
  <c r="J21" i="6" s="1"/>
  <c r="L12" i="6"/>
  <c r="G36" i="6"/>
  <c r="H82" i="6"/>
  <c r="H59" i="6"/>
  <c r="H35" i="6"/>
  <c r="H50" i="6"/>
  <c r="K7" i="6"/>
  <c r="L7" i="6" s="1"/>
  <c r="J10" i="6"/>
  <c r="J30" i="6" s="1"/>
  <c r="J20" i="6"/>
  <c r="J25" i="6"/>
  <c r="I23" i="6"/>
  <c r="I28" i="6"/>
  <c r="K9" i="6"/>
  <c r="J27" i="6"/>
  <c r="K8" i="6"/>
  <c r="J26" i="6"/>
  <c r="I105" i="5"/>
  <c r="J13" i="5"/>
  <c r="J88" i="5"/>
  <c r="J89" i="5" s="1"/>
  <c r="J146" i="5"/>
  <c r="J121" i="5"/>
  <c r="L21" i="5"/>
  <c r="K21" i="5"/>
  <c r="K26" i="5" s="1"/>
  <c r="K29" i="5" s="1"/>
  <c r="K70" i="5" s="1"/>
  <c r="K83" i="5" s="1"/>
  <c r="K120" i="5" s="1"/>
  <c r="K28" i="5"/>
  <c r="O21" i="5"/>
  <c r="N21" i="5"/>
  <c r="M21" i="5"/>
  <c r="E70" i="2"/>
  <c r="E68" i="2"/>
  <c r="E80" i="2" s="1"/>
  <c r="E117" i="2" s="1"/>
  <c r="E66" i="2"/>
  <c r="E65" i="2"/>
  <c r="E64" i="2"/>
  <c r="F60" i="15" l="1"/>
  <c r="F104" i="15" s="1"/>
  <c r="F67" i="15"/>
  <c r="F61" i="15"/>
  <c r="F107" i="15" s="1"/>
  <c r="G48" i="15"/>
  <c r="G92" i="15"/>
  <c r="F95" i="15"/>
  <c r="F108" i="15"/>
  <c r="AU58" i="8"/>
  <c r="M58" i="8"/>
  <c r="Z98" i="6"/>
  <c r="Y71" i="6"/>
  <c r="I70" i="6"/>
  <c r="I74" i="6"/>
  <c r="AF39" i="6"/>
  <c r="AV48" i="6"/>
  <c r="O108" i="14"/>
  <c r="AF37" i="14"/>
  <c r="U28" i="14"/>
  <c r="W18" i="14"/>
  <c r="V14" i="14"/>
  <c r="V22" i="14" s="1"/>
  <c r="W7" i="14"/>
  <c r="V25" i="14"/>
  <c r="V10" i="14"/>
  <c r="V30" i="14" s="1"/>
  <c r="U23" i="14"/>
  <c r="P117" i="14"/>
  <c r="W17" i="14"/>
  <c r="V13" i="14"/>
  <c r="AJ73" i="14"/>
  <c r="AF73" i="14"/>
  <c r="O72" i="14"/>
  <c r="P72" i="14" s="1"/>
  <c r="O76" i="14"/>
  <c r="P76" i="14" s="1"/>
  <c r="O84" i="14"/>
  <c r="P84" i="14" s="1"/>
  <c r="O53" i="14"/>
  <c r="P53" i="14" s="1"/>
  <c r="O61" i="14"/>
  <c r="O67" i="14"/>
  <c r="P67" i="14" s="1"/>
  <c r="O35" i="14"/>
  <c r="O52" i="14"/>
  <c r="P52" i="14" s="1"/>
  <c r="O32" i="14"/>
  <c r="O51" i="14"/>
  <c r="P51" i="14" s="1"/>
  <c r="P23" i="14"/>
  <c r="T23" i="14"/>
  <c r="X9" i="14"/>
  <c r="W16" i="14"/>
  <c r="V12" i="14"/>
  <c r="V26" i="14"/>
  <c r="W8" i="14"/>
  <c r="K35" i="8"/>
  <c r="K65" i="8"/>
  <c r="K74" i="8"/>
  <c r="K59" i="8"/>
  <c r="K70" i="8"/>
  <c r="K50" i="8"/>
  <c r="K32" i="8"/>
  <c r="K51" i="8"/>
  <c r="L28" i="8"/>
  <c r="N18" i="8"/>
  <c r="M14" i="8"/>
  <c r="M22" i="8" s="1"/>
  <c r="N13" i="8"/>
  <c r="O17" i="8"/>
  <c r="L23" i="8"/>
  <c r="L50" i="8" s="1"/>
  <c r="AB71" i="8"/>
  <c r="AC98" i="8"/>
  <c r="S16" i="8"/>
  <c r="T16" i="8" s="1"/>
  <c r="O12" i="8"/>
  <c r="P12" i="8" s="1"/>
  <c r="P16" i="8"/>
  <c r="J36" i="8"/>
  <c r="AR42" i="8"/>
  <c r="AS42" i="8" s="1"/>
  <c r="AT42" i="8" s="1"/>
  <c r="AU42" i="8" s="1"/>
  <c r="AS41" i="8"/>
  <c r="AT41" i="8" s="1"/>
  <c r="AU41" i="8" s="1"/>
  <c r="Z39" i="8"/>
  <c r="L101" i="8"/>
  <c r="L124" i="8" s="1"/>
  <c r="K100" i="8"/>
  <c r="M27" i="8"/>
  <c r="N9" i="8"/>
  <c r="AR37" i="8"/>
  <c r="I106" i="8"/>
  <c r="J106" i="8" s="1"/>
  <c r="K124" i="8"/>
  <c r="M25" i="8"/>
  <c r="N7" i="8"/>
  <c r="M20" i="8"/>
  <c r="M10" i="8"/>
  <c r="M30" i="8" s="1"/>
  <c r="M26" i="8"/>
  <c r="M21" i="8"/>
  <c r="N8" i="8"/>
  <c r="AB37" i="8"/>
  <c r="J105" i="5"/>
  <c r="AA40" i="6"/>
  <c r="AB40" i="6" s="1"/>
  <c r="AC40" i="6" s="1"/>
  <c r="AD40" i="6" s="1"/>
  <c r="AE40" i="6" s="1"/>
  <c r="AB39" i="6"/>
  <c r="AC39" i="6" s="1"/>
  <c r="AD39" i="6" s="1"/>
  <c r="AE39" i="6" s="1"/>
  <c r="J124" i="6"/>
  <c r="J100" i="6"/>
  <c r="AC69" i="6"/>
  <c r="AD37" i="6"/>
  <c r="AC75" i="6"/>
  <c r="AE66" i="6"/>
  <c r="AF66" i="6" s="1"/>
  <c r="I32" i="6"/>
  <c r="AA12" i="6"/>
  <c r="AB16" i="6"/>
  <c r="Y38" i="6"/>
  <c r="L18" i="6"/>
  <c r="K14" i="6"/>
  <c r="K22" i="6" s="1"/>
  <c r="G84" i="6"/>
  <c r="G87" i="6" s="1"/>
  <c r="G107" i="6" s="1"/>
  <c r="L17" i="6"/>
  <c r="K13" i="6"/>
  <c r="K21" i="6" s="1"/>
  <c r="M12" i="6"/>
  <c r="I51" i="6"/>
  <c r="I82" i="6"/>
  <c r="I65" i="6"/>
  <c r="I59" i="6"/>
  <c r="I50" i="6"/>
  <c r="I35" i="6"/>
  <c r="F84" i="6"/>
  <c r="H36" i="6"/>
  <c r="N34" i="6"/>
  <c r="L25" i="6"/>
  <c r="M7" i="6"/>
  <c r="M25" i="6" s="1"/>
  <c r="K25" i="6"/>
  <c r="L20" i="6"/>
  <c r="K20" i="6"/>
  <c r="K10" i="6"/>
  <c r="K30" i="6" s="1"/>
  <c r="J28" i="6"/>
  <c r="L9" i="6"/>
  <c r="K27" i="6"/>
  <c r="J23" i="6"/>
  <c r="L8" i="6"/>
  <c r="K26" i="6"/>
  <c r="K146" i="5"/>
  <c r="K121" i="5"/>
  <c r="K88" i="5"/>
  <c r="K89" i="5" s="1"/>
  <c r="K13" i="5"/>
  <c r="AD279" i="4"/>
  <c r="AC279" i="4"/>
  <c r="AB279" i="4"/>
  <c r="AA279" i="4"/>
  <c r="Z279" i="4"/>
  <c r="Y279" i="4"/>
  <c r="X279" i="4"/>
  <c r="W279" i="4"/>
  <c r="V279" i="4"/>
  <c r="U279" i="4"/>
  <c r="T279" i="4"/>
  <c r="S279" i="4"/>
  <c r="R279" i="4"/>
  <c r="Q279" i="4"/>
  <c r="P279" i="4"/>
  <c r="O279" i="4"/>
  <c r="N279" i="4"/>
  <c r="M279" i="4"/>
  <c r="L279" i="4"/>
  <c r="K279" i="4"/>
  <c r="J279" i="4"/>
  <c r="I279" i="4"/>
  <c r="H279" i="4"/>
  <c r="G279" i="4"/>
  <c r="F279" i="4"/>
  <c r="E279" i="4"/>
  <c r="S272" i="4"/>
  <c r="Q272" i="4"/>
  <c r="K272" i="4"/>
  <c r="I272" i="4"/>
  <c r="F272" i="4"/>
  <c r="AA271" i="4"/>
  <c r="U271" i="4"/>
  <c r="T271" i="4"/>
  <c r="S271" i="4"/>
  <c r="M271" i="4"/>
  <c r="K271" i="4"/>
  <c r="E271" i="4"/>
  <c r="W270" i="4"/>
  <c r="U270" i="4"/>
  <c r="O270" i="4"/>
  <c r="N270" i="4"/>
  <c r="M270" i="4"/>
  <c r="G270" i="4"/>
  <c r="E270" i="4"/>
  <c r="Y269" i="4"/>
  <c r="X269" i="4"/>
  <c r="W269" i="4"/>
  <c r="T269" i="4"/>
  <c r="Q269" i="4"/>
  <c r="O269" i="4"/>
  <c r="I269" i="4"/>
  <c r="H269" i="4"/>
  <c r="G269" i="4"/>
  <c r="Y268" i="4"/>
  <c r="S268" i="4"/>
  <c r="Q268" i="4"/>
  <c r="N268" i="4"/>
  <c r="K268" i="4"/>
  <c r="I268" i="4"/>
  <c r="U267" i="4"/>
  <c r="S267" i="4"/>
  <c r="M267" i="4"/>
  <c r="L267" i="4"/>
  <c r="K267" i="4"/>
  <c r="E267" i="4"/>
  <c r="W266" i="4"/>
  <c r="V266" i="4"/>
  <c r="U266" i="4"/>
  <c r="R266" i="4"/>
  <c r="O266" i="4"/>
  <c r="M266" i="4"/>
  <c r="G266" i="4"/>
  <c r="F266" i="4"/>
  <c r="E266" i="4"/>
  <c r="Q265" i="4"/>
  <c r="P265" i="4"/>
  <c r="O265" i="4"/>
  <c r="I265" i="4"/>
  <c r="G265" i="4"/>
  <c r="S264" i="4"/>
  <c r="Q264" i="4"/>
  <c r="K264" i="4"/>
  <c r="J264" i="4"/>
  <c r="I264" i="4"/>
  <c r="AD263" i="4"/>
  <c r="U263" i="4"/>
  <c r="T263" i="4"/>
  <c r="S263" i="4"/>
  <c r="K263" i="4"/>
  <c r="E263" i="4"/>
  <c r="AD262" i="4"/>
  <c r="AC262" i="4"/>
  <c r="O262" i="4"/>
  <c r="N262" i="4"/>
  <c r="M262" i="4"/>
  <c r="AD261" i="4"/>
  <c r="AC261" i="4"/>
  <c r="AB261" i="4"/>
  <c r="O261" i="4"/>
  <c r="L261" i="4"/>
  <c r="H261" i="4"/>
  <c r="AD260" i="4"/>
  <c r="AC260" i="4"/>
  <c r="AB260" i="4"/>
  <c r="AA260" i="4"/>
  <c r="K260" i="4"/>
  <c r="J260" i="4"/>
  <c r="AD259" i="4"/>
  <c r="AC259" i="4"/>
  <c r="AB259" i="4"/>
  <c r="AA259" i="4"/>
  <c r="Z259" i="4"/>
  <c r="K259" i="4"/>
  <c r="H259" i="4"/>
  <c r="AD258" i="4"/>
  <c r="AC258" i="4"/>
  <c r="AB258" i="4"/>
  <c r="AA258" i="4"/>
  <c r="Z258" i="4"/>
  <c r="Y258" i="4"/>
  <c r="G258" i="4"/>
  <c r="F258" i="4"/>
  <c r="AD257" i="4"/>
  <c r="AC257" i="4"/>
  <c r="AB257" i="4"/>
  <c r="AA257" i="4"/>
  <c r="Z257" i="4"/>
  <c r="Y257" i="4"/>
  <c r="X257" i="4"/>
  <c r="I257" i="4"/>
  <c r="H257" i="4"/>
  <c r="AD256" i="4"/>
  <c r="AC256" i="4"/>
  <c r="AB256" i="4"/>
  <c r="AA256" i="4"/>
  <c r="Z256" i="4"/>
  <c r="Y256" i="4"/>
  <c r="X256" i="4"/>
  <c r="W256" i="4"/>
  <c r="K256" i="4"/>
  <c r="AD255" i="4"/>
  <c r="AC255" i="4"/>
  <c r="AB255" i="4"/>
  <c r="AA255" i="4"/>
  <c r="Z255" i="4"/>
  <c r="Y255" i="4"/>
  <c r="X255" i="4"/>
  <c r="W255" i="4"/>
  <c r="V255" i="4"/>
  <c r="AD254" i="4"/>
  <c r="AC254" i="4"/>
  <c r="AB254" i="4"/>
  <c r="AA254" i="4"/>
  <c r="Z254" i="4"/>
  <c r="Y254" i="4"/>
  <c r="X254" i="4"/>
  <c r="W254" i="4"/>
  <c r="V254" i="4"/>
  <c r="U254" i="4"/>
  <c r="E254" i="4"/>
  <c r="AD253" i="4"/>
  <c r="AC253" i="4"/>
  <c r="AB253" i="4"/>
  <c r="AA253" i="4"/>
  <c r="Z253" i="4"/>
  <c r="Y253" i="4"/>
  <c r="X253" i="4"/>
  <c r="W253" i="4"/>
  <c r="V253" i="4"/>
  <c r="U253" i="4"/>
  <c r="T253" i="4"/>
  <c r="I253" i="4"/>
  <c r="H253" i="4"/>
  <c r="AD252" i="4"/>
  <c r="AC252" i="4"/>
  <c r="AB252" i="4"/>
  <c r="AA252" i="4"/>
  <c r="Z252" i="4"/>
  <c r="Y252" i="4"/>
  <c r="X252" i="4"/>
  <c r="W252" i="4"/>
  <c r="V252" i="4"/>
  <c r="U252" i="4"/>
  <c r="T252" i="4"/>
  <c r="S252" i="4"/>
  <c r="AD251" i="4"/>
  <c r="AC251" i="4"/>
  <c r="AB251" i="4"/>
  <c r="AA251" i="4"/>
  <c r="Z251" i="4"/>
  <c r="Y251" i="4"/>
  <c r="X251" i="4"/>
  <c r="W251" i="4"/>
  <c r="V251" i="4"/>
  <c r="U251" i="4"/>
  <c r="T251" i="4"/>
  <c r="S251" i="4"/>
  <c r="R251" i="4"/>
  <c r="E251" i="4"/>
  <c r="AD250" i="4"/>
  <c r="AC250" i="4"/>
  <c r="AB250" i="4"/>
  <c r="AA250" i="4"/>
  <c r="Z250" i="4"/>
  <c r="Y250" i="4"/>
  <c r="X250" i="4"/>
  <c r="W250" i="4"/>
  <c r="V250" i="4"/>
  <c r="U250" i="4"/>
  <c r="T250" i="4"/>
  <c r="S250" i="4"/>
  <c r="R250" i="4"/>
  <c r="Q250" i="4"/>
  <c r="AD249" i="4"/>
  <c r="AC249" i="4"/>
  <c r="AB249" i="4"/>
  <c r="AA249" i="4"/>
  <c r="Z249" i="4"/>
  <c r="Y249" i="4"/>
  <c r="X249" i="4"/>
  <c r="W249" i="4"/>
  <c r="V249" i="4"/>
  <c r="U249" i="4"/>
  <c r="T249" i="4"/>
  <c r="S249" i="4"/>
  <c r="R249" i="4"/>
  <c r="Q249" i="4"/>
  <c r="P249" i="4"/>
  <c r="AD248" i="4"/>
  <c r="AC248" i="4"/>
  <c r="AB248" i="4"/>
  <c r="AA248" i="4"/>
  <c r="Z248" i="4"/>
  <c r="Y248" i="4"/>
  <c r="X248" i="4"/>
  <c r="W248" i="4"/>
  <c r="V248" i="4"/>
  <c r="U248" i="4"/>
  <c r="T248" i="4"/>
  <c r="S248" i="4"/>
  <c r="R248" i="4"/>
  <c r="Q248" i="4"/>
  <c r="P248" i="4"/>
  <c r="O248" i="4"/>
  <c r="AD243" i="4"/>
  <c r="AD272" i="4" s="1"/>
  <c r="AC243" i="4"/>
  <c r="AC272" i="4" s="1"/>
  <c r="AB243" i="4"/>
  <c r="AB272" i="4" s="1"/>
  <c r="AA243" i="4"/>
  <c r="AA272" i="4" s="1"/>
  <c r="Z243" i="4"/>
  <c r="Z272" i="4" s="1"/>
  <c r="Y243" i="4"/>
  <c r="Y272" i="4" s="1"/>
  <c r="X243" i="4"/>
  <c r="X272" i="4" s="1"/>
  <c r="W243" i="4"/>
  <c r="W272" i="4" s="1"/>
  <c r="V243" i="4"/>
  <c r="V272" i="4" s="1"/>
  <c r="U243" i="4"/>
  <c r="U272" i="4" s="1"/>
  <c r="T243" i="4"/>
  <c r="T272" i="4" s="1"/>
  <c r="S243" i="4"/>
  <c r="R243" i="4"/>
  <c r="R272" i="4" s="1"/>
  <c r="Q243" i="4"/>
  <c r="P243" i="4"/>
  <c r="P272" i="4" s="1"/>
  <c r="O243" i="4"/>
  <c r="O272" i="4" s="1"/>
  <c r="N243" i="4"/>
  <c r="N272" i="4" s="1"/>
  <c r="M243" i="4"/>
  <c r="M272" i="4" s="1"/>
  <c r="L243" i="4"/>
  <c r="L272" i="4" s="1"/>
  <c r="K243" i="4"/>
  <c r="J243" i="4"/>
  <c r="J272" i="4" s="1"/>
  <c r="I243" i="4"/>
  <c r="H243" i="4"/>
  <c r="H272" i="4" s="1"/>
  <c r="G243" i="4"/>
  <c r="G272" i="4" s="1"/>
  <c r="F243" i="4"/>
  <c r="E243" i="4"/>
  <c r="E272" i="4" s="1"/>
  <c r="AB242" i="4"/>
  <c r="AC242" i="4" s="1"/>
  <c r="AA242" i="4"/>
  <c r="Z242" i="4"/>
  <c r="Z271" i="4" s="1"/>
  <c r="Y242" i="4"/>
  <c r="Y271" i="4" s="1"/>
  <c r="X242" i="4"/>
  <c r="X271" i="4" s="1"/>
  <c r="W242" i="4"/>
  <c r="W271" i="4" s="1"/>
  <c r="V242" i="4"/>
  <c r="V271" i="4" s="1"/>
  <c r="U242" i="4"/>
  <c r="T242" i="4"/>
  <c r="S242" i="4"/>
  <c r="R242" i="4"/>
  <c r="R271" i="4" s="1"/>
  <c r="Q242" i="4"/>
  <c r="Q271" i="4" s="1"/>
  <c r="P242" i="4"/>
  <c r="P271" i="4" s="1"/>
  <c r="O242" i="4"/>
  <c r="O271" i="4" s="1"/>
  <c r="N242" i="4"/>
  <c r="N271" i="4" s="1"/>
  <c r="M242" i="4"/>
  <c r="L242" i="4"/>
  <c r="L271" i="4" s="1"/>
  <c r="K242" i="4"/>
  <c r="J242" i="4"/>
  <c r="J271" i="4" s="1"/>
  <c r="I242" i="4"/>
  <c r="I271" i="4" s="1"/>
  <c r="H242" i="4"/>
  <c r="H271" i="4" s="1"/>
  <c r="G242" i="4"/>
  <c r="G271" i="4" s="1"/>
  <c r="F242" i="4"/>
  <c r="F271" i="4" s="1"/>
  <c r="E242" i="4"/>
  <c r="AA241" i="4"/>
  <c r="Z241" i="4"/>
  <c r="Z270" i="4" s="1"/>
  <c r="Y241" i="4"/>
  <c r="Y270" i="4" s="1"/>
  <c r="X241" i="4"/>
  <c r="X270" i="4" s="1"/>
  <c r="W241" i="4"/>
  <c r="V241" i="4"/>
  <c r="V270" i="4" s="1"/>
  <c r="U241" i="4"/>
  <c r="T241" i="4"/>
  <c r="T270" i="4" s="1"/>
  <c r="S241" i="4"/>
  <c r="S270" i="4" s="1"/>
  <c r="R241" i="4"/>
  <c r="R270" i="4" s="1"/>
  <c r="Q241" i="4"/>
  <c r="Q270" i="4" s="1"/>
  <c r="P241" i="4"/>
  <c r="P270" i="4" s="1"/>
  <c r="O241" i="4"/>
  <c r="N241" i="4"/>
  <c r="M241" i="4"/>
  <c r="L241" i="4"/>
  <c r="L270" i="4" s="1"/>
  <c r="K241" i="4"/>
  <c r="K270" i="4" s="1"/>
  <c r="J241" i="4"/>
  <c r="J270" i="4" s="1"/>
  <c r="I241" i="4"/>
  <c r="I270" i="4" s="1"/>
  <c r="H241" i="4"/>
  <c r="H270" i="4" s="1"/>
  <c r="G241" i="4"/>
  <c r="F241" i="4"/>
  <c r="F270" i="4" s="1"/>
  <c r="E241" i="4"/>
  <c r="AA240" i="4"/>
  <c r="Z240" i="4"/>
  <c r="Z269" i="4" s="1"/>
  <c r="Y240" i="4"/>
  <c r="X240" i="4"/>
  <c r="W240" i="4"/>
  <c r="V240" i="4"/>
  <c r="V269" i="4" s="1"/>
  <c r="U240" i="4"/>
  <c r="U269" i="4" s="1"/>
  <c r="T240" i="4"/>
  <c r="S240" i="4"/>
  <c r="S269" i="4" s="1"/>
  <c r="R240" i="4"/>
  <c r="R269" i="4" s="1"/>
  <c r="Q240" i="4"/>
  <c r="P240" i="4"/>
  <c r="P269" i="4" s="1"/>
  <c r="O240" i="4"/>
  <c r="N240" i="4"/>
  <c r="N269" i="4" s="1"/>
  <c r="M240" i="4"/>
  <c r="M269" i="4" s="1"/>
  <c r="L240" i="4"/>
  <c r="L269" i="4" s="1"/>
  <c r="K240" i="4"/>
  <c r="K269" i="4" s="1"/>
  <c r="J240" i="4"/>
  <c r="J269" i="4" s="1"/>
  <c r="I240" i="4"/>
  <c r="H240" i="4"/>
  <c r="G240" i="4"/>
  <c r="F240" i="4"/>
  <c r="F269" i="4" s="1"/>
  <c r="E240" i="4"/>
  <c r="E269" i="4" s="1"/>
  <c r="Z239" i="4"/>
  <c r="Y239" i="4"/>
  <c r="X239" i="4"/>
  <c r="X268" i="4" s="1"/>
  <c r="W239" i="4"/>
  <c r="W268" i="4" s="1"/>
  <c r="V239" i="4"/>
  <c r="V268" i="4" s="1"/>
  <c r="U239" i="4"/>
  <c r="U268" i="4" s="1"/>
  <c r="T239" i="4"/>
  <c r="T268" i="4" s="1"/>
  <c r="S239" i="4"/>
  <c r="R239" i="4"/>
  <c r="R268" i="4" s="1"/>
  <c r="Q239" i="4"/>
  <c r="P239" i="4"/>
  <c r="P268" i="4" s="1"/>
  <c r="O239" i="4"/>
  <c r="O268" i="4" s="1"/>
  <c r="N239" i="4"/>
  <c r="M239" i="4"/>
  <c r="M268" i="4" s="1"/>
  <c r="L239" i="4"/>
  <c r="L268" i="4" s="1"/>
  <c r="K239" i="4"/>
  <c r="J239" i="4"/>
  <c r="J268" i="4" s="1"/>
  <c r="I239" i="4"/>
  <c r="H239" i="4"/>
  <c r="H268" i="4" s="1"/>
  <c r="G239" i="4"/>
  <c r="G268" i="4" s="1"/>
  <c r="F239" i="4"/>
  <c r="F268" i="4" s="1"/>
  <c r="E239" i="4"/>
  <c r="E268" i="4" s="1"/>
  <c r="Y238" i="4"/>
  <c r="X238" i="4"/>
  <c r="X267" i="4" s="1"/>
  <c r="W238" i="4"/>
  <c r="W267" i="4" s="1"/>
  <c r="V238" i="4"/>
  <c r="V267" i="4" s="1"/>
  <c r="U238" i="4"/>
  <c r="T238" i="4"/>
  <c r="T267" i="4" s="1"/>
  <c r="S238" i="4"/>
  <c r="R238" i="4"/>
  <c r="R267" i="4" s="1"/>
  <c r="Q238" i="4"/>
  <c r="Q267" i="4" s="1"/>
  <c r="P238" i="4"/>
  <c r="P267" i="4" s="1"/>
  <c r="O238" i="4"/>
  <c r="O267" i="4" s="1"/>
  <c r="N238" i="4"/>
  <c r="N267" i="4" s="1"/>
  <c r="M238" i="4"/>
  <c r="L238" i="4"/>
  <c r="K238" i="4"/>
  <c r="J238" i="4"/>
  <c r="J267" i="4" s="1"/>
  <c r="I238" i="4"/>
  <c r="I267" i="4" s="1"/>
  <c r="H238" i="4"/>
  <c r="H267" i="4" s="1"/>
  <c r="G238" i="4"/>
  <c r="G267" i="4" s="1"/>
  <c r="F238" i="4"/>
  <c r="F267" i="4" s="1"/>
  <c r="E238" i="4"/>
  <c r="Y237" i="4"/>
  <c r="W237" i="4"/>
  <c r="X237" i="4" s="1"/>
  <c r="X266" i="4" s="1"/>
  <c r="V237" i="4"/>
  <c r="U237" i="4"/>
  <c r="T237" i="4"/>
  <c r="T266" i="4" s="1"/>
  <c r="S237" i="4"/>
  <c r="S266" i="4" s="1"/>
  <c r="R237" i="4"/>
  <c r="Q237" i="4"/>
  <c r="Q266" i="4" s="1"/>
  <c r="P237" i="4"/>
  <c r="P266" i="4" s="1"/>
  <c r="O237" i="4"/>
  <c r="N237" i="4"/>
  <c r="N266" i="4" s="1"/>
  <c r="M237" i="4"/>
  <c r="L237" i="4"/>
  <c r="L266" i="4" s="1"/>
  <c r="K237" i="4"/>
  <c r="K266" i="4" s="1"/>
  <c r="J237" i="4"/>
  <c r="J266" i="4" s="1"/>
  <c r="I237" i="4"/>
  <c r="I266" i="4" s="1"/>
  <c r="H237" i="4"/>
  <c r="H266" i="4" s="1"/>
  <c r="G237" i="4"/>
  <c r="F237" i="4"/>
  <c r="E237" i="4"/>
  <c r="V236" i="4"/>
  <c r="U236" i="4"/>
  <c r="U265" i="4" s="1"/>
  <c r="T236" i="4"/>
  <c r="T265" i="4" s="1"/>
  <c r="S236" i="4"/>
  <c r="S265" i="4" s="1"/>
  <c r="R236" i="4"/>
  <c r="R265" i="4" s="1"/>
  <c r="Q236" i="4"/>
  <c r="P236" i="4"/>
  <c r="O236" i="4"/>
  <c r="N236" i="4"/>
  <c r="N265" i="4" s="1"/>
  <c r="M236" i="4"/>
  <c r="M265" i="4" s="1"/>
  <c r="L236" i="4"/>
  <c r="L265" i="4" s="1"/>
  <c r="K236" i="4"/>
  <c r="K265" i="4" s="1"/>
  <c r="J236" i="4"/>
  <c r="J265" i="4" s="1"/>
  <c r="I236" i="4"/>
  <c r="H236" i="4"/>
  <c r="H265" i="4" s="1"/>
  <c r="G236" i="4"/>
  <c r="F236" i="4"/>
  <c r="F265" i="4" s="1"/>
  <c r="E236" i="4"/>
  <c r="E265" i="4" s="1"/>
  <c r="U235" i="4"/>
  <c r="T235" i="4"/>
  <c r="T264" i="4" s="1"/>
  <c r="S235" i="4"/>
  <c r="R235" i="4"/>
  <c r="R264" i="4" s="1"/>
  <c r="Q235" i="4"/>
  <c r="P235" i="4"/>
  <c r="P264" i="4" s="1"/>
  <c r="O235" i="4"/>
  <c r="O264" i="4" s="1"/>
  <c r="N235" i="4"/>
  <c r="N264" i="4" s="1"/>
  <c r="M235" i="4"/>
  <c r="M264" i="4" s="1"/>
  <c r="L235" i="4"/>
  <c r="L264" i="4" s="1"/>
  <c r="K235" i="4"/>
  <c r="J235" i="4"/>
  <c r="I235" i="4"/>
  <c r="H235" i="4"/>
  <c r="H264" i="4" s="1"/>
  <c r="G235" i="4"/>
  <c r="G264" i="4" s="1"/>
  <c r="F235" i="4"/>
  <c r="F264" i="4" s="1"/>
  <c r="E235" i="4"/>
  <c r="E264" i="4" s="1"/>
  <c r="W234" i="4"/>
  <c r="W263" i="4" s="1"/>
  <c r="T234" i="4"/>
  <c r="U234" i="4" s="1"/>
  <c r="V234" i="4" s="1"/>
  <c r="V263" i="4" s="1"/>
  <c r="S234" i="4"/>
  <c r="R234" i="4"/>
  <c r="R263" i="4" s="1"/>
  <c r="Q234" i="4"/>
  <c r="Q263" i="4" s="1"/>
  <c r="P234" i="4"/>
  <c r="P263" i="4" s="1"/>
  <c r="O234" i="4"/>
  <c r="O263" i="4" s="1"/>
  <c r="N234" i="4"/>
  <c r="N263" i="4" s="1"/>
  <c r="M234" i="4"/>
  <c r="M263" i="4" s="1"/>
  <c r="L234" i="4"/>
  <c r="L263" i="4" s="1"/>
  <c r="K234" i="4"/>
  <c r="J234" i="4"/>
  <c r="J263" i="4" s="1"/>
  <c r="I234" i="4"/>
  <c r="I263" i="4" s="1"/>
  <c r="H234" i="4"/>
  <c r="H263" i="4" s="1"/>
  <c r="G234" i="4"/>
  <c r="G263" i="4" s="1"/>
  <c r="F234" i="4"/>
  <c r="F263" i="4" s="1"/>
  <c r="E234" i="4"/>
  <c r="S233" i="4"/>
  <c r="R233" i="4"/>
  <c r="R262" i="4" s="1"/>
  <c r="Q233" i="4"/>
  <c r="Q262" i="4" s="1"/>
  <c r="P233" i="4"/>
  <c r="P262" i="4" s="1"/>
  <c r="O233" i="4"/>
  <c r="N233" i="4"/>
  <c r="M233" i="4"/>
  <c r="L233" i="4"/>
  <c r="L262" i="4" s="1"/>
  <c r="K233" i="4"/>
  <c r="K262" i="4" s="1"/>
  <c r="J233" i="4"/>
  <c r="J262" i="4" s="1"/>
  <c r="I233" i="4"/>
  <c r="I262" i="4" s="1"/>
  <c r="H233" i="4"/>
  <c r="H262" i="4" s="1"/>
  <c r="G233" i="4"/>
  <c r="G262" i="4" s="1"/>
  <c r="F233" i="4"/>
  <c r="F262" i="4" s="1"/>
  <c r="E233" i="4"/>
  <c r="E262" i="4" s="1"/>
  <c r="U232" i="4"/>
  <c r="T232" i="4"/>
  <c r="T261" i="4" s="1"/>
  <c r="S232" i="4"/>
  <c r="S261" i="4" s="1"/>
  <c r="R232" i="4"/>
  <c r="R261" i="4" s="1"/>
  <c r="Q232" i="4"/>
  <c r="Q261" i="4" s="1"/>
  <c r="P232" i="4"/>
  <c r="P261" i="4" s="1"/>
  <c r="O232" i="4"/>
  <c r="N232" i="4"/>
  <c r="N261" i="4" s="1"/>
  <c r="M232" i="4"/>
  <c r="M261" i="4" s="1"/>
  <c r="L232" i="4"/>
  <c r="K232" i="4"/>
  <c r="K261" i="4" s="1"/>
  <c r="J232" i="4"/>
  <c r="J261" i="4" s="1"/>
  <c r="I232" i="4"/>
  <c r="I261" i="4" s="1"/>
  <c r="H232" i="4"/>
  <c r="G232" i="4"/>
  <c r="G261" i="4" s="1"/>
  <c r="F232" i="4"/>
  <c r="F261" i="4" s="1"/>
  <c r="E232" i="4"/>
  <c r="E261" i="4" s="1"/>
  <c r="Q231" i="4"/>
  <c r="R231" i="4" s="1"/>
  <c r="P231" i="4"/>
  <c r="P260" i="4" s="1"/>
  <c r="O231" i="4"/>
  <c r="O260" i="4" s="1"/>
  <c r="N231" i="4"/>
  <c r="N260" i="4" s="1"/>
  <c r="M231" i="4"/>
  <c r="M260" i="4" s="1"/>
  <c r="L231" i="4"/>
  <c r="L260" i="4" s="1"/>
  <c r="K231" i="4"/>
  <c r="J231" i="4"/>
  <c r="I231" i="4"/>
  <c r="I260" i="4" s="1"/>
  <c r="H231" i="4"/>
  <c r="H260" i="4" s="1"/>
  <c r="G231" i="4"/>
  <c r="G260" i="4" s="1"/>
  <c r="F231" i="4"/>
  <c r="F260" i="4" s="1"/>
  <c r="E231" i="4"/>
  <c r="E260" i="4" s="1"/>
  <c r="Q230" i="4"/>
  <c r="P230" i="4"/>
  <c r="P259" i="4" s="1"/>
  <c r="O230" i="4"/>
  <c r="O259" i="4" s="1"/>
  <c r="N230" i="4"/>
  <c r="N259" i="4" s="1"/>
  <c r="M230" i="4"/>
  <c r="M259" i="4" s="1"/>
  <c r="L230" i="4"/>
  <c r="L259" i="4" s="1"/>
  <c r="K230" i="4"/>
  <c r="J230" i="4"/>
  <c r="J259" i="4" s="1"/>
  <c r="I230" i="4"/>
  <c r="I259" i="4" s="1"/>
  <c r="H230" i="4"/>
  <c r="G230" i="4"/>
  <c r="G259" i="4" s="1"/>
  <c r="F230" i="4"/>
  <c r="F259" i="4" s="1"/>
  <c r="E230" i="4"/>
  <c r="E259" i="4" s="1"/>
  <c r="R229" i="4"/>
  <c r="Q229" i="4"/>
  <c r="Q258" i="4" s="1"/>
  <c r="P229" i="4"/>
  <c r="P258" i="4" s="1"/>
  <c r="O229" i="4"/>
  <c r="O258" i="4" s="1"/>
  <c r="N229" i="4"/>
  <c r="N258" i="4" s="1"/>
  <c r="M229" i="4"/>
  <c r="M258" i="4" s="1"/>
  <c r="L229" i="4"/>
  <c r="L258" i="4" s="1"/>
  <c r="K229" i="4"/>
  <c r="K258" i="4" s="1"/>
  <c r="J229" i="4"/>
  <c r="J258" i="4" s="1"/>
  <c r="I229" i="4"/>
  <c r="I258" i="4" s="1"/>
  <c r="H229" i="4"/>
  <c r="H258" i="4" s="1"/>
  <c r="G229" i="4"/>
  <c r="F229" i="4"/>
  <c r="E229" i="4"/>
  <c r="E258" i="4" s="1"/>
  <c r="N228" i="4"/>
  <c r="N257" i="4" s="1"/>
  <c r="M228" i="4"/>
  <c r="M257" i="4" s="1"/>
  <c r="L228" i="4"/>
  <c r="L257" i="4" s="1"/>
  <c r="K228" i="4"/>
  <c r="K257" i="4" s="1"/>
  <c r="J228" i="4"/>
  <c r="J257" i="4" s="1"/>
  <c r="I228" i="4"/>
  <c r="H228" i="4"/>
  <c r="G228" i="4"/>
  <c r="G257" i="4" s="1"/>
  <c r="F228" i="4"/>
  <c r="F257" i="4" s="1"/>
  <c r="E228" i="4"/>
  <c r="E257" i="4" s="1"/>
  <c r="N227" i="4"/>
  <c r="M227" i="4"/>
  <c r="M256" i="4" s="1"/>
  <c r="L227" i="4"/>
  <c r="L256" i="4" s="1"/>
  <c r="K227" i="4"/>
  <c r="J227" i="4"/>
  <c r="J256" i="4" s="1"/>
  <c r="I227" i="4"/>
  <c r="I256" i="4" s="1"/>
  <c r="H227" i="4"/>
  <c r="H256" i="4" s="1"/>
  <c r="G227" i="4"/>
  <c r="G256" i="4" s="1"/>
  <c r="F227" i="4"/>
  <c r="F256" i="4" s="1"/>
  <c r="E227" i="4"/>
  <c r="E256" i="4" s="1"/>
  <c r="P226" i="4"/>
  <c r="O226" i="4"/>
  <c r="O255" i="4" s="1"/>
  <c r="N226" i="4"/>
  <c r="N255" i="4" s="1"/>
  <c r="M226" i="4"/>
  <c r="M255" i="4" s="1"/>
  <c r="L226" i="4"/>
  <c r="L255" i="4" s="1"/>
  <c r="K226" i="4"/>
  <c r="K255" i="4" s="1"/>
  <c r="J226" i="4"/>
  <c r="J255" i="4" s="1"/>
  <c r="I226" i="4"/>
  <c r="I255" i="4" s="1"/>
  <c r="H226" i="4"/>
  <c r="H255" i="4" s="1"/>
  <c r="G226" i="4"/>
  <c r="G255" i="4" s="1"/>
  <c r="F226" i="4"/>
  <c r="F255" i="4" s="1"/>
  <c r="E226" i="4"/>
  <c r="E255" i="4" s="1"/>
  <c r="K225" i="4"/>
  <c r="J225" i="4"/>
  <c r="J254" i="4" s="1"/>
  <c r="I225" i="4"/>
  <c r="I254" i="4" s="1"/>
  <c r="H225" i="4"/>
  <c r="H254" i="4" s="1"/>
  <c r="G225" i="4"/>
  <c r="G254" i="4" s="1"/>
  <c r="F225" i="4"/>
  <c r="F254" i="4" s="1"/>
  <c r="E225" i="4"/>
  <c r="K224" i="4"/>
  <c r="J224" i="4"/>
  <c r="J253" i="4" s="1"/>
  <c r="I224" i="4"/>
  <c r="H224" i="4"/>
  <c r="G224" i="4"/>
  <c r="G253" i="4" s="1"/>
  <c r="F224" i="4"/>
  <c r="F253" i="4" s="1"/>
  <c r="E224" i="4"/>
  <c r="E253" i="4" s="1"/>
  <c r="I223" i="4"/>
  <c r="I252" i="4" s="1"/>
  <c r="H223" i="4"/>
  <c r="H252" i="4" s="1"/>
  <c r="G223" i="4"/>
  <c r="G252" i="4" s="1"/>
  <c r="F223" i="4"/>
  <c r="F252" i="4" s="1"/>
  <c r="E223" i="4"/>
  <c r="E252" i="4" s="1"/>
  <c r="I222" i="4"/>
  <c r="H222" i="4"/>
  <c r="H251" i="4" s="1"/>
  <c r="G222" i="4"/>
  <c r="G251" i="4" s="1"/>
  <c r="F222" i="4"/>
  <c r="F251" i="4" s="1"/>
  <c r="E222" i="4"/>
  <c r="H221" i="4"/>
  <c r="G221" i="4"/>
  <c r="G250" i="4" s="1"/>
  <c r="F221" i="4"/>
  <c r="F250" i="4" s="1"/>
  <c r="E221" i="4"/>
  <c r="E250" i="4" s="1"/>
  <c r="F220" i="4"/>
  <c r="F249" i="4" s="1"/>
  <c r="E220" i="4"/>
  <c r="E249" i="4" s="1"/>
  <c r="E219" i="4"/>
  <c r="AD211" i="4"/>
  <c r="AC211" i="4"/>
  <c r="AB211" i="4"/>
  <c r="AA211" i="4"/>
  <c r="Z211" i="4"/>
  <c r="Y211" i="4"/>
  <c r="X211" i="4"/>
  <c r="W211" i="4"/>
  <c r="V211" i="4"/>
  <c r="U211" i="4"/>
  <c r="T211" i="4"/>
  <c r="S211" i="4"/>
  <c r="R211" i="4"/>
  <c r="Q211" i="4"/>
  <c r="P211" i="4"/>
  <c r="O211" i="4"/>
  <c r="N211" i="4"/>
  <c r="M211" i="4"/>
  <c r="L211" i="4"/>
  <c r="K211" i="4"/>
  <c r="J211" i="4"/>
  <c r="I211" i="4"/>
  <c r="H211" i="4"/>
  <c r="G211" i="4"/>
  <c r="F211" i="4"/>
  <c r="E211" i="4"/>
  <c r="W204" i="4"/>
  <c r="U204" i="4"/>
  <c r="I204" i="4"/>
  <c r="G204" i="4"/>
  <c r="E204" i="4"/>
  <c r="Y203" i="4"/>
  <c r="Q203" i="4"/>
  <c r="I203" i="4"/>
  <c r="Z202" i="4"/>
  <c r="M202" i="4"/>
  <c r="H202" i="4"/>
  <c r="N201" i="4"/>
  <c r="AD200" i="4"/>
  <c r="N200" i="4"/>
  <c r="AD199" i="4"/>
  <c r="AC199" i="4"/>
  <c r="P199" i="4"/>
  <c r="J199" i="4"/>
  <c r="AD198" i="4"/>
  <c r="AC198" i="4"/>
  <c r="AB198" i="4"/>
  <c r="E198" i="4"/>
  <c r="AD197" i="4"/>
  <c r="AC197" i="4"/>
  <c r="AB197" i="4"/>
  <c r="AA197" i="4"/>
  <c r="G197" i="4"/>
  <c r="AD196" i="4"/>
  <c r="AC196" i="4"/>
  <c r="AB196" i="4"/>
  <c r="AA196" i="4"/>
  <c r="Z196" i="4"/>
  <c r="L196" i="4"/>
  <c r="AD195" i="4"/>
  <c r="AC195" i="4"/>
  <c r="AB195" i="4"/>
  <c r="AA195" i="4"/>
  <c r="Z195" i="4"/>
  <c r="Y195" i="4"/>
  <c r="P195" i="4"/>
  <c r="AD194" i="4"/>
  <c r="AC194" i="4"/>
  <c r="AB194" i="4"/>
  <c r="AA194" i="4"/>
  <c r="Z194" i="4"/>
  <c r="Y194" i="4"/>
  <c r="X194" i="4"/>
  <c r="T194" i="4"/>
  <c r="H194" i="4"/>
  <c r="AD193" i="4"/>
  <c r="AC193" i="4"/>
  <c r="AB193" i="4"/>
  <c r="AA193" i="4"/>
  <c r="Z193" i="4"/>
  <c r="Y193" i="4"/>
  <c r="X193" i="4"/>
  <c r="W193" i="4"/>
  <c r="L193" i="4"/>
  <c r="AD192" i="4"/>
  <c r="AC192" i="4"/>
  <c r="AB192" i="4"/>
  <c r="AA192" i="4"/>
  <c r="Z192" i="4"/>
  <c r="Y192" i="4"/>
  <c r="X192" i="4"/>
  <c r="W192" i="4"/>
  <c r="V192" i="4"/>
  <c r="I192" i="4"/>
  <c r="AD191" i="4"/>
  <c r="AC191" i="4"/>
  <c r="AB191" i="4"/>
  <c r="AA191" i="4"/>
  <c r="Z191" i="4"/>
  <c r="Y191" i="4"/>
  <c r="X191" i="4"/>
  <c r="W191" i="4"/>
  <c r="V191" i="4"/>
  <c r="U191" i="4"/>
  <c r="G191" i="4"/>
  <c r="AD190" i="4"/>
  <c r="AC190" i="4"/>
  <c r="AB190" i="4"/>
  <c r="AA190" i="4"/>
  <c r="Z190" i="4"/>
  <c r="Y190" i="4"/>
  <c r="X190" i="4"/>
  <c r="W190" i="4"/>
  <c r="V190" i="4"/>
  <c r="U190" i="4"/>
  <c r="T190" i="4"/>
  <c r="N190" i="4"/>
  <c r="AD189" i="4"/>
  <c r="AC189" i="4"/>
  <c r="AB189" i="4"/>
  <c r="AA189" i="4"/>
  <c r="Z189" i="4"/>
  <c r="Y189" i="4"/>
  <c r="X189" i="4"/>
  <c r="W189" i="4"/>
  <c r="V189" i="4"/>
  <c r="U189" i="4"/>
  <c r="T189" i="4"/>
  <c r="S189" i="4"/>
  <c r="L189" i="4"/>
  <c r="AD188" i="4"/>
  <c r="AC188" i="4"/>
  <c r="AB188" i="4"/>
  <c r="AA188" i="4"/>
  <c r="Z188" i="4"/>
  <c r="Y188" i="4"/>
  <c r="X188" i="4"/>
  <c r="W188" i="4"/>
  <c r="V188" i="4"/>
  <c r="U188" i="4"/>
  <c r="T188" i="4"/>
  <c r="S188" i="4"/>
  <c r="R188" i="4"/>
  <c r="J188" i="4"/>
  <c r="AD187" i="4"/>
  <c r="AC187" i="4"/>
  <c r="AB187" i="4"/>
  <c r="AA187" i="4"/>
  <c r="Z187" i="4"/>
  <c r="Y187" i="4"/>
  <c r="X187" i="4"/>
  <c r="W187" i="4"/>
  <c r="V187" i="4"/>
  <c r="U187" i="4"/>
  <c r="T187" i="4"/>
  <c r="S187" i="4"/>
  <c r="R187" i="4"/>
  <c r="Q187" i="4"/>
  <c r="J187" i="4"/>
  <c r="AD186" i="4"/>
  <c r="AC186" i="4"/>
  <c r="AB186" i="4"/>
  <c r="AA186" i="4"/>
  <c r="Z186" i="4"/>
  <c r="Y186" i="4"/>
  <c r="X186" i="4"/>
  <c r="W186" i="4"/>
  <c r="V186" i="4"/>
  <c r="U186" i="4"/>
  <c r="T186" i="4"/>
  <c r="S186" i="4"/>
  <c r="R186" i="4"/>
  <c r="Q186" i="4"/>
  <c r="P186" i="4"/>
  <c r="H186" i="4"/>
  <c r="AD185" i="4"/>
  <c r="AC185" i="4"/>
  <c r="AB185" i="4"/>
  <c r="AA185" i="4"/>
  <c r="Z185" i="4"/>
  <c r="Y185" i="4"/>
  <c r="X185" i="4"/>
  <c r="W185" i="4"/>
  <c r="V185" i="4"/>
  <c r="U185" i="4"/>
  <c r="T185" i="4"/>
  <c r="S185" i="4"/>
  <c r="R185" i="4"/>
  <c r="Q185" i="4"/>
  <c r="P185" i="4"/>
  <c r="O185" i="4"/>
  <c r="G185" i="4"/>
  <c r="AD184" i="4"/>
  <c r="AC184" i="4"/>
  <c r="AB184" i="4"/>
  <c r="AA184" i="4"/>
  <c r="Z184" i="4"/>
  <c r="Y184" i="4"/>
  <c r="X184" i="4"/>
  <c r="W184" i="4"/>
  <c r="V184" i="4"/>
  <c r="U184" i="4"/>
  <c r="T184" i="4"/>
  <c r="S184" i="4"/>
  <c r="R184" i="4"/>
  <c r="Q184" i="4"/>
  <c r="P184" i="4"/>
  <c r="O184" i="4"/>
  <c r="N184" i="4"/>
  <c r="AD183" i="4"/>
  <c r="AC183" i="4"/>
  <c r="AB183" i="4"/>
  <c r="AA183" i="4"/>
  <c r="Z183" i="4"/>
  <c r="Y183" i="4"/>
  <c r="X183" i="4"/>
  <c r="W183" i="4"/>
  <c r="V183" i="4"/>
  <c r="U183" i="4"/>
  <c r="T183" i="4"/>
  <c r="S183" i="4"/>
  <c r="R183" i="4"/>
  <c r="Q183" i="4"/>
  <c r="P183" i="4"/>
  <c r="O183" i="4"/>
  <c r="N183" i="4"/>
  <c r="M183" i="4"/>
  <c r="AD182" i="4"/>
  <c r="AC182" i="4"/>
  <c r="AB182" i="4"/>
  <c r="AA182" i="4"/>
  <c r="Z182" i="4"/>
  <c r="Y182" i="4"/>
  <c r="X182" i="4"/>
  <c r="W182" i="4"/>
  <c r="V182" i="4"/>
  <c r="U182" i="4"/>
  <c r="T182" i="4"/>
  <c r="S182" i="4"/>
  <c r="R182" i="4"/>
  <c r="Q182" i="4"/>
  <c r="P182" i="4"/>
  <c r="O182" i="4"/>
  <c r="N182" i="4"/>
  <c r="M182" i="4"/>
  <c r="L182" i="4"/>
  <c r="AD181" i="4"/>
  <c r="AC181" i="4"/>
  <c r="AB181" i="4"/>
  <c r="AA181" i="4"/>
  <c r="Z181" i="4"/>
  <c r="Y181" i="4"/>
  <c r="X181" i="4"/>
  <c r="W181" i="4"/>
  <c r="V181" i="4"/>
  <c r="U181" i="4"/>
  <c r="T181" i="4"/>
  <c r="S181" i="4"/>
  <c r="R181" i="4"/>
  <c r="Q181" i="4"/>
  <c r="P181" i="4"/>
  <c r="O181" i="4"/>
  <c r="N181" i="4"/>
  <c r="M181" i="4"/>
  <c r="L181" i="4"/>
  <c r="K181" i="4"/>
  <c r="AD180" i="4"/>
  <c r="AC180" i="4"/>
  <c r="AB180" i="4"/>
  <c r="AA180" i="4"/>
  <c r="Z180" i="4"/>
  <c r="Y180" i="4"/>
  <c r="X180" i="4"/>
  <c r="W180" i="4"/>
  <c r="V180" i="4"/>
  <c r="U180" i="4"/>
  <c r="T180" i="4"/>
  <c r="S180" i="4"/>
  <c r="R180" i="4"/>
  <c r="Q180" i="4"/>
  <c r="P180" i="4"/>
  <c r="O180" i="4"/>
  <c r="N180" i="4"/>
  <c r="M180" i="4"/>
  <c r="L180" i="4"/>
  <c r="K180" i="4"/>
  <c r="J180" i="4"/>
  <c r="AD175" i="4"/>
  <c r="AD204" i="4" s="1"/>
  <c r="AC175" i="4"/>
  <c r="AC204" i="4" s="1"/>
  <c r="AB175" i="4"/>
  <c r="AB204" i="4" s="1"/>
  <c r="AA175" i="4"/>
  <c r="AA204" i="4" s="1"/>
  <c r="Z175" i="4"/>
  <c r="Z204" i="4" s="1"/>
  <c r="Y175" i="4"/>
  <c r="Y204" i="4" s="1"/>
  <c r="X175" i="4"/>
  <c r="X204" i="4" s="1"/>
  <c r="W175" i="4"/>
  <c r="V175" i="4"/>
  <c r="V204" i="4" s="1"/>
  <c r="U175" i="4"/>
  <c r="T175" i="4"/>
  <c r="T204" i="4" s="1"/>
  <c r="S175" i="4"/>
  <c r="S204" i="4" s="1"/>
  <c r="R175" i="4"/>
  <c r="R204" i="4" s="1"/>
  <c r="Q175" i="4"/>
  <c r="Q204" i="4" s="1"/>
  <c r="P175" i="4"/>
  <c r="P204" i="4" s="1"/>
  <c r="O175" i="4"/>
  <c r="O204" i="4" s="1"/>
  <c r="N175" i="4"/>
  <c r="N204" i="4" s="1"/>
  <c r="M175" i="4"/>
  <c r="M204" i="4" s="1"/>
  <c r="L175" i="4"/>
  <c r="L204" i="4" s="1"/>
  <c r="K175" i="4"/>
  <c r="K204" i="4" s="1"/>
  <c r="J175" i="4"/>
  <c r="J204" i="4" s="1"/>
  <c r="I175" i="4"/>
  <c r="H175" i="4"/>
  <c r="H204" i="4" s="1"/>
  <c r="G175" i="4"/>
  <c r="F175" i="4"/>
  <c r="F204" i="4" s="1"/>
  <c r="E175" i="4"/>
  <c r="AB174" i="4"/>
  <c r="AA174" i="4"/>
  <c r="AA203" i="4" s="1"/>
  <c r="Z174" i="4"/>
  <c r="Z203" i="4" s="1"/>
  <c r="Y174" i="4"/>
  <c r="X174" i="4"/>
  <c r="X203" i="4" s="1"/>
  <c r="W174" i="4"/>
  <c r="W203" i="4" s="1"/>
  <c r="V174" i="4"/>
  <c r="V203" i="4" s="1"/>
  <c r="U174" i="4"/>
  <c r="U203" i="4" s="1"/>
  <c r="T174" i="4"/>
  <c r="T203" i="4" s="1"/>
  <c r="S174" i="4"/>
  <c r="S203" i="4" s="1"/>
  <c r="R174" i="4"/>
  <c r="R203" i="4" s="1"/>
  <c r="Q174" i="4"/>
  <c r="P174" i="4"/>
  <c r="P203" i="4" s="1"/>
  <c r="O174" i="4"/>
  <c r="O203" i="4" s="1"/>
  <c r="N174" i="4"/>
  <c r="N203" i="4" s="1"/>
  <c r="M174" i="4"/>
  <c r="M203" i="4" s="1"/>
  <c r="L174" i="4"/>
  <c r="L203" i="4" s="1"/>
  <c r="K174" i="4"/>
  <c r="K203" i="4" s="1"/>
  <c r="J174" i="4"/>
  <c r="J203" i="4" s="1"/>
  <c r="I174" i="4"/>
  <c r="H174" i="4"/>
  <c r="H203" i="4" s="1"/>
  <c r="G174" i="4"/>
  <c r="G203" i="4" s="1"/>
  <c r="F174" i="4"/>
  <c r="F203" i="4" s="1"/>
  <c r="E174" i="4"/>
  <c r="E203" i="4" s="1"/>
  <c r="AB173" i="4"/>
  <c r="AC173" i="4" s="1"/>
  <c r="AA173" i="4"/>
  <c r="AA202" i="4" s="1"/>
  <c r="Z173" i="4"/>
  <c r="Y173" i="4"/>
  <c r="Y202" i="4" s="1"/>
  <c r="X173" i="4"/>
  <c r="X202" i="4" s="1"/>
  <c r="W173" i="4"/>
  <c r="W202" i="4" s="1"/>
  <c r="V173" i="4"/>
  <c r="V202" i="4" s="1"/>
  <c r="U173" i="4"/>
  <c r="U202" i="4" s="1"/>
  <c r="T173" i="4"/>
  <c r="T202" i="4" s="1"/>
  <c r="S173" i="4"/>
  <c r="S202" i="4" s="1"/>
  <c r="R173" i="4"/>
  <c r="R202" i="4" s="1"/>
  <c r="Q173" i="4"/>
  <c r="Q202" i="4" s="1"/>
  <c r="P173" i="4"/>
  <c r="P202" i="4" s="1"/>
  <c r="O173" i="4"/>
  <c r="O202" i="4" s="1"/>
  <c r="N173" i="4"/>
  <c r="N202" i="4" s="1"/>
  <c r="M173" i="4"/>
  <c r="L173" i="4"/>
  <c r="L202" i="4" s="1"/>
  <c r="K173" i="4"/>
  <c r="K202" i="4" s="1"/>
  <c r="J173" i="4"/>
  <c r="J202" i="4" s="1"/>
  <c r="I173" i="4"/>
  <c r="I202" i="4" s="1"/>
  <c r="H173" i="4"/>
  <c r="G173" i="4"/>
  <c r="G202" i="4" s="1"/>
  <c r="F173" i="4"/>
  <c r="F202" i="4" s="1"/>
  <c r="E173" i="4"/>
  <c r="E202" i="4" s="1"/>
  <c r="Z172" i="4"/>
  <c r="Z201" i="4" s="1"/>
  <c r="Y172" i="4"/>
  <c r="Y201" i="4" s="1"/>
  <c r="X172" i="4"/>
  <c r="X201" i="4" s="1"/>
  <c r="W172" i="4"/>
  <c r="W201" i="4" s="1"/>
  <c r="V172" i="4"/>
  <c r="V201" i="4" s="1"/>
  <c r="U172" i="4"/>
  <c r="U201" i="4" s="1"/>
  <c r="T172" i="4"/>
  <c r="T201" i="4" s="1"/>
  <c r="S172" i="4"/>
  <c r="S201" i="4" s="1"/>
  <c r="R172" i="4"/>
  <c r="R201" i="4" s="1"/>
  <c r="Q172" i="4"/>
  <c r="Q201" i="4" s="1"/>
  <c r="P172" i="4"/>
  <c r="P201" i="4" s="1"/>
  <c r="O172" i="4"/>
  <c r="O201" i="4" s="1"/>
  <c r="N172" i="4"/>
  <c r="M172" i="4"/>
  <c r="M201" i="4" s="1"/>
  <c r="L172" i="4"/>
  <c r="L201" i="4" s="1"/>
  <c r="K172" i="4"/>
  <c r="K201" i="4" s="1"/>
  <c r="J172" i="4"/>
  <c r="J201" i="4" s="1"/>
  <c r="I172" i="4"/>
  <c r="I201" i="4" s="1"/>
  <c r="H172" i="4"/>
  <c r="H201" i="4" s="1"/>
  <c r="G172" i="4"/>
  <c r="G201" i="4" s="1"/>
  <c r="F172" i="4"/>
  <c r="F201" i="4" s="1"/>
  <c r="E172" i="4"/>
  <c r="E201" i="4" s="1"/>
  <c r="Y171" i="4"/>
  <c r="X171" i="4"/>
  <c r="X200" i="4" s="1"/>
  <c r="W171" i="4"/>
  <c r="W200" i="4" s="1"/>
  <c r="V171" i="4"/>
  <c r="V200" i="4" s="1"/>
  <c r="U171" i="4"/>
  <c r="U200" i="4" s="1"/>
  <c r="T171" i="4"/>
  <c r="T200" i="4" s="1"/>
  <c r="S171" i="4"/>
  <c r="S200" i="4" s="1"/>
  <c r="R171" i="4"/>
  <c r="R200" i="4" s="1"/>
  <c r="Q171" i="4"/>
  <c r="Q200" i="4" s="1"/>
  <c r="P171" i="4"/>
  <c r="P200" i="4" s="1"/>
  <c r="O171" i="4"/>
  <c r="O200" i="4" s="1"/>
  <c r="N171" i="4"/>
  <c r="M171" i="4"/>
  <c r="M200" i="4" s="1"/>
  <c r="L171" i="4"/>
  <c r="L200" i="4" s="1"/>
  <c r="K171" i="4"/>
  <c r="K200" i="4" s="1"/>
  <c r="J171" i="4"/>
  <c r="J200" i="4" s="1"/>
  <c r="I171" i="4"/>
  <c r="I200" i="4" s="1"/>
  <c r="H171" i="4"/>
  <c r="H200" i="4" s="1"/>
  <c r="G171" i="4"/>
  <c r="G200" i="4" s="1"/>
  <c r="F171" i="4"/>
  <c r="F200" i="4" s="1"/>
  <c r="E171" i="4"/>
  <c r="E200" i="4" s="1"/>
  <c r="Z170" i="4"/>
  <c r="X170" i="4"/>
  <c r="Y170" i="4" s="1"/>
  <c r="Y199" i="4" s="1"/>
  <c r="W170" i="4"/>
  <c r="W199" i="4" s="1"/>
  <c r="V170" i="4"/>
  <c r="V199" i="4" s="1"/>
  <c r="U170" i="4"/>
  <c r="U199" i="4" s="1"/>
  <c r="T170" i="4"/>
  <c r="T199" i="4" s="1"/>
  <c r="S170" i="4"/>
  <c r="S199" i="4" s="1"/>
  <c r="R170" i="4"/>
  <c r="R199" i="4" s="1"/>
  <c r="Q170" i="4"/>
  <c r="Q199" i="4" s="1"/>
  <c r="P170" i="4"/>
  <c r="O170" i="4"/>
  <c r="O199" i="4" s="1"/>
  <c r="N170" i="4"/>
  <c r="N199" i="4" s="1"/>
  <c r="M170" i="4"/>
  <c r="M199" i="4" s="1"/>
  <c r="L170" i="4"/>
  <c r="L199" i="4" s="1"/>
  <c r="K170" i="4"/>
  <c r="K199" i="4" s="1"/>
  <c r="J170" i="4"/>
  <c r="I170" i="4"/>
  <c r="I199" i="4" s="1"/>
  <c r="H170" i="4"/>
  <c r="H199" i="4" s="1"/>
  <c r="G170" i="4"/>
  <c r="G199" i="4" s="1"/>
  <c r="F170" i="4"/>
  <c r="F199" i="4" s="1"/>
  <c r="E170" i="4"/>
  <c r="E199" i="4" s="1"/>
  <c r="W169" i="4"/>
  <c r="W198" i="4" s="1"/>
  <c r="V169" i="4"/>
  <c r="V198" i="4" s="1"/>
  <c r="U169" i="4"/>
  <c r="U198" i="4" s="1"/>
  <c r="T169" i="4"/>
  <c r="T198" i="4" s="1"/>
  <c r="S169" i="4"/>
  <c r="S198" i="4" s="1"/>
  <c r="R169" i="4"/>
  <c r="R198" i="4" s="1"/>
  <c r="Q169" i="4"/>
  <c r="Q198" i="4" s="1"/>
  <c r="P169" i="4"/>
  <c r="P198" i="4" s="1"/>
  <c r="O169" i="4"/>
  <c r="O198" i="4" s="1"/>
  <c r="N169" i="4"/>
  <c r="N198" i="4" s="1"/>
  <c r="M169" i="4"/>
  <c r="M198" i="4" s="1"/>
  <c r="L169" i="4"/>
  <c r="L198" i="4" s="1"/>
  <c r="K169" i="4"/>
  <c r="K198" i="4" s="1"/>
  <c r="J169" i="4"/>
  <c r="J198" i="4" s="1"/>
  <c r="I169" i="4"/>
  <c r="I198" i="4" s="1"/>
  <c r="H169" i="4"/>
  <c r="H198" i="4" s="1"/>
  <c r="G169" i="4"/>
  <c r="G198" i="4" s="1"/>
  <c r="F169" i="4"/>
  <c r="F198" i="4" s="1"/>
  <c r="E169" i="4"/>
  <c r="V168" i="4"/>
  <c r="W168" i="4" s="1"/>
  <c r="U168" i="4"/>
  <c r="U197" i="4" s="1"/>
  <c r="T168" i="4"/>
  <c r="T197" i="4" s="1"/>
  <c r="S168" i="4"/>
  <c r="S197" i="4" s="1"/>
  <c r="R168" i="4"/>
  <c r="R197" i="4" s="1"/>
  <c r="Q168" i="4"/>
  <c r="Q197" i="4" s="1"/>
  <c r="P168" i="4"/>
  <c r="P197" i="4" s="1"/>
  <c r="O168" i="4"/>
  <c r="O197" i="4" s="1"/>
  <c r="N168" i="4"/>
  <c r="N197" i="4" s="1"/>
  <c r="M168" i="4"/>
  <c r="M197" i="4" s="1"/>
  <c r="L168" i="4"/>
  <c r="L197" i="4" s="1"/>
  <c r="K168" i="4"/>
  <c r="K197" i="4" s="1"/>
  <c r="J168" i="4"/>
  <c r="J197" i="4" s="1"/>
  <c r="I168" i="4"/>
  <c r="I197" i="4" s="1"/>
  <c r="H168" i="4"/>
  <c r="H197" i="4" s="1"/>
  <c r="G168" i="4"/>
  <c r="F168" i="4"/>
  <c r="F197" i="4" s="1"/>
  <c r="E168" i="4"/>
  <c r="E197" i="4" s="1"/>
  <c r="V167" i="4"/>
  <c r="U167" i="4"/>
  <c r="U196" i="4" s="1"/>
  <c r="T167" i="4"/>
  <c r="T196" i="4" s="1"/>
  <c r="S167" i="4"/>
  <c r="S196" i="4" s="1"/>
  <c r="R167" i="4"/>
  <c r="R196" i="4" s="1"/>
  <c r="Q167" i="4"/>
  <c r="Q196" i="4" s="1"/>
  <c r="P167" i="4"/>
  <c r="P196" i="4" s="1"/>
  <c r="O167" i="4"/>
  <c r="O196" i="4" s="1"/>
  <c r="N167" i="4"/>
  <c r="N196" i="4" s="1"/>
  <c r="M167" i="4"/>
  <c r="M196" i="4" s="1"/>
  <c r="L167" i="4"/>
  <c r="K167" i="4"/>
  <c r="K196" i="4" s="1"/>
  <c r="J167" i="4"/>
  <c r="J196" i="4" s="1"/>
  <c r="I167" i="4"/>
  <c r="I196" i="4" s="1"/>
  <c r="H167" i="4"/>
  <c r="H196" i="4" s="1"/>
  <c r="G167" i="4"/>
  <c r="G196" i="4" s="1"/>
  <c r="F167" i="4"/>
  <c r="F196" i="4" s="1"/>
  <c r="E167" i="4"/>
  <c r="E196" i="4" s="1"/>
  <c r="T166" i="4"/>
  <c r="T195" i="4" s="1"/>
  <c r="S166" i="4"/>
  <c r="S195" i="4" s="1"/>
  <c r="R166" i="4"/>
  <c r="R195" i="4" s="1"/>
  <c r="Q166" i="4"/>
  <c r="Q195" i="4" s="1"/>
  <c r="P166" i="4"/>
  <c r="O166" i="4"/>
  <c r="O195" i="4" s="1"/>
  <c r="N166" i="4"/>
  <c r="N195" i="4" s="1"/>
  <c r="M166" i="4"/>
  <c r="M195" i="4" s="1"/>
  <c r="L166" i="4"/>
  <c r="L195" i="4" s="1"/>
  <c r="K166" i="4"/>
  <c r="K195" i="4" s="1"/>
  <c r="J166" i="4"/>
  <c r="J195" i="4" s="1"/>
  <c r="I166" i="4"/>
  <c r="I195" i="4" s="1"/>
  <c r="H166" i="4"/>
  <c r="H195" i="4" s="1"/>
  <c r="G166" i="4"/>
  <c r="G195" i="4" s="1"/>
  <c r="F166" i="4"/>
  <c r="F195" i="4" s="1"/>
  <c r="E166" i="4"/>
  <c r="E195" i="4" s="1"/>
  <c r="T165" i="4"/>
  <c r="U165" i="4" s="1"/>
  <c r="S165" i="4"/>
  <c r="S194" i="4" s="1"/>
  <c r="R165" i="4"/>
  <c r="R194" i="4" s="1"/>
  <c r="Q165" i="4"/>
  <c r="Q194" i="4" s="1"/>
  <c r="P165" i="4"/>
  <c r="P194" i="4" s="1"/>
  <c r="O165" i="4"/>
  <c r="O194" i="4" s="1"/>
  <c r="N165" i="4"/>
  <c r="N194" i="4" s="1"/>
  <c r="M165" i="4"/>
  <c r="M194" i="4" s="1"/>
  <c r="L165" i="4"/>
  <c r="L194" i="4" s="1"/>
  <c r="K165" i="4"/>
  <c r="K194" i="4" s="1"/>
  <c r="J165" i="4"/>
  <c r="J194" i="4" s="1"/>
  <c r="I165" i="4"/>
  <c r="I194" i="4" s="1"/>
  <c r="H165" i="4"/>
  <c r="G165" i="4"/>
  <c r="G194" i="4" s="1"/>
  <c r="F165" i="4"/>
  <c r="F194" i="4" s="1"/>
  <c r="E165" i="4"/>
  <c r="E194" i="4" s="1"/>
  <c r="T164" i="4"/>
  <c r="S164" i="4"/>
  <c r="S193" i="4" s="1"/>
  <c r="R164" i="4"/>
  <c r="R193" i="4" s="1"/>
  <c r="Q164" i="4"/>
  <c r="Q193" i="4" s="1"/>
  <c r="P164" i="4"/>
  <c r="P193" i="4" s="1"/>
  <c r="O164" i="4"/>
  <c r="O193" i="4" s="1"/>
  <c r="N164" i="4"/>
  <c r="N193" i="4" s="1"/>
  <c r="M164" i="4"/>
  <c r="M193" i="4" s="1"/>
  <c r="L164" i="4"/>
  <c r="K164" i="4"/>
  <c r="K193" i="4" s="1"/>
  <c r="J164" i="4"/>
  <c r="J193" i="4" s="1"/>
  <c r="I164" i="4"/>
  <c r="I193" i="4" s="1"/>
  <c r="H164" i="4"/>
  <c r="H193" i="4" s="1"/>
  <c r="G164" i="4"/>
  <c r="G193" i="4" s="1"/>
  <c r="F164" i="4"/>
  <c r="F193" i="4" s="1"/>
  <c r="E164" i="4"/>
  <c r="E193" i="4" s="1"/>
  <c r="R163" i="4"/>
  <c r="R192" i="4" s="1"/>
  <c r="Q163" i="4"/>
  <c r="Q192" i="4" s="1"/>
  <c r="P163" i="4"/>
  <c r="P192" i="4" s="1"/>
  <c r="O163" i="4"/>
  <c r="O192" i="4" s="1"/>
  <c r="N163" i="4"/>
  <c r="N192" i="4" s="1"/>
  <c r="M163" i="4"/>
  <c r="M192" i="4" s="1"/>
  <c r="L163" i="4"/>
  <c r="L192" i="4" s="1"/>
  <c r="K163" i="4"/>
  <c r="K192" i="4" s="1"/>
  <c r="J163" i="4"/>
  <c r="J192" i="4" s="1"/>
  <c r="I163" i="4"/>
  <c r="H163" i="4"/>
  <c r="H192" i="4" s="1"/>
  <c r="G163" i="4"/>
  <c r="G192" i="4" s="1"/>
  <c r="F163" i="4"/>
  <c r="F192" i="4" s="1"/>
  <c r="E163" i="4"/>
  <c r="E192" i="4" s="1"/>
  <c r="P162" i="4"/>
  <c r="O162" i="4"/>
  <c r="O191" i="4" s="1"/>
  <c r="N162" i="4"/>
  <c r="N191" i="4" s="1"/>
  <c r="M162" i="4"/>
  <c r="M191" i="4" s="1"/>
  <c r="L162" i="4"/>
  <c r="L191" i="4" s="1"/>
  <c r="K162" i="4"/>
  <c r="K191" i="4" s="1"/>
  <c r="J162" i="4"/>
  <c r="J191" i="4" s="1"/>
  <c r="I162" i="4"/>
  <c r="I191" i="4" s="1"/>
  <c r="H162" i="4"/>
  <c r="H191" i="4" s="1"/>
  <c r="G162" i="4"/>
  <c r="F162" i="4"/>
  <c r="F191" i="4" s="1"/>
  <c r="E162" i="4"/>
  <c r="E191" i="4" s="1"/>
  <c r="O161" i="4"/>
  <c r="O190" i="4" s="1"/>
  <c r="N161" i="4"/>
  <c r="M161" i="4"/>
  <c r="M190" i="4" s="1"/>
  <c r="L161" i="4"/>
  <c r="L190" i="4" s="1"/>
  <c r="K161" i="4"/>
  <c r="K190" i="4" s="1"/>
  <c r="J161" i="4"/>
  <c r="J190" i="4" s="1"/>
  <c r="I161" i="4"/>
  <c r="I190" i="4" s="1"/>
  <c r="H161" i="4"/>
  <c r="H190" i="4" s="1"/>
  <c r="G161" i="4"/>
  <c r="G190" i="4" s="1"/>
  <c r="F161" i="4"/>
  <c r="F190" i="4" s="1"/>
  <c r="E161" i="4"/>
  <c r="E190" i="4" s="1"/>
  <c r="P160" i="4"/>
  <c r="Q160" i="4" s="1"/>
  <c r="O160" i="4"/>
  <c r="O189" i="4" s="1"/>
  <c r="N160" i="4"/>
  <c r="N189" i="4" s="1"/>
  <c r="M160" i="4"/>
  <c r="M189" i="4" s="1"/>
  <c r="L160" i="4"/>
  <c r="K160" i="4"/>
  <c r="K189" i="4" s="1"/>
  <c r="J160" i="4"/>
  <c r="J189" i="4" s="1"/>
  <c r="I160" i="4"/>
  <c r="I189" i="4" s="1"/>
  <c r="H160" i="4"/>
  <c r="H189" i="4" s="1"/>
  <c r="G160" i="4"/>
  <c r="G189" i="4" s="1"/>
  <c r="F160" i="4"/>
  <c r="F189" i="4" s="1"/>
  <c r="E160" i="4"/>
  <c r="E189" i="4" s="1"/>
  <c r="N159" i="4"/>
  <c r="M159" i="4"/>
  <c r="M188" i="4" s="1"/>
  <c r="L159" i="4"/>
  <c r="L188" i="4" s="1"/>
  <c r="K159" i="4"/>
  <c r="K188" i="4" s="1"/>
  <c r="J159" i="4"/>
  <c r="I159" i="4"/>
  <c r="I188" i="4" s="1"/>
  <c r="H159" i="4"/>
  <c r="H188" i="4" s="1"/>
  <c r="G159" i="4"/>
  <c r="G188" i="4" s="1"/>
  <c r="F159" i="4"/>
  <c r="F188" i="4" s="1"/>
  <c r="E159" i="4"/>
  <c r="E188" i="4" s="1"/>
  <c r="L158" i="4"/>
  <c r="K158" i="4"/>
  <c r="K187" i="4" s="1"/>
  <c r="J158" i="4"/>
  <c r="I158" i="4"/>
  <c r="I187" i="4" s="1"/>
  <c r="H158" i="4"/>
  <c r="H187" i="4" s="1"/>
  <c r="G158" i="4"/>
  <c r="G187" i="4" s="1"/>
  <c r="F158" i="4"/>
  <c r="F187" i="4" s="1"/>
  <c r="E158" i="4"/>
  <c r="E187" i="4" s="1"/>
  <c r="N157" i="4"/>
  <c r="M157" i="4"/>
  <c r="M186" i="4" s="1"/>
  <c r="L157" i="4"/>
  <c r="L186" i="4" s="1"/>
  <c r="K157" i="4"/>
  <c r="K186" i="4" s="1"/>
  <c r="J157" i="4"/>
  <c r="J186" i="4" s="1"/>
  <c r="I157" i="4"/>
  <c r="I186" i="4" s="1"/>
  <c r="H157" i="4"/>
  <c r="G157" i="4"/>
  <c r="G186" i="4" s="1"/>
  <c r="F157" i="4"/>
  <c r="F186" i="4" s="1"/>
  <c r="E157" i="4"/>
  <c r="E186" i="4" s="1"/>
  <c r="L156" i="4"/>
  <c r="K156" i="4"/>
  <c r="K185" i="4" s="1"/>
  <c r="J156" i="4"/>
  <c r="J185" i="4" s="1"/>
  <c r="I156" i="4"/>
  <c r="I185" i="4" s="1"/>
  <c r="H156" i="4"/>
  <c r="H185" i="4" s="1"/>
  <c r="G156" i="4"/>
  <c r="F156" i="4"/>
  <c r="F185" i="4" s="1"/>
  <c r="E156" i="4"/>
  <c r="E185" i="4" s="1"/>
  <c r="I155" i="4"/>
  <c r="I184" i="4" s="1"/>
  <c r="H155" i="4"/>
  <c r="H184" i="4" s="1"/>
  <c r="G155" i="4"/>
  <c r="G184" i="4" s="1"/>
  <c r="F155" i="4"/>
  <c r="F184" i="4" s="1"/>
  <c r="E155" i="4"/>
  <c r="E184" i="4" s="1"/>
  <c r="H154" i="4"/>
  <c r="G154" i="4"/>
  <c r="G183" i="4" s="1"/>
  <c r="F154" i="4"/>
  <c r="F183" i="4" s="1"/>
  <c r="E154" i="4"/>
  <c r="E183" i="4" s="1"/>
  <c r="G153" i="4"/>
  <c r="F153" i="4"/>
  <c r="F182" i="4" s="1"/>
  <c r="E153" i="4"/>
  <c r="E182" i="4" s="1"/>
  <c r="G152" i="4"/>
  <c r="F152" i="4"/>
  <c r="F181" i="4" s="1"/>
  <c r="E152" i="4"/>
  <c r="E181" i="4" s="1"/>
  <c r="F151" i="4"/>
  <c r="E151" i="4"/>
  <c r="AD143" i="4"/>
  <c r="AC143" i="4"/>
  <c r="AB143" i="4"/>
  <c r="AA143" i="4"/>
  <c r="Z143" i="4"/>
  <c r="Y143" i="4"/>
  <c r="X143" i="4"/>
  <c r="W143" i="4"/>
  <c r="V143" i="4"/>
  <c r="U143" i="4"/>
  <c r="T143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X136" i="4"/>
  <c r="S136" i="4"/>
  <c r="R136" i="4"/>
  <c r="J136" i="4"/>
  <c r="E136" i="4"/>
  <c r="AB135" i="4"/>
  <c r="Z135" i="4"/>
  <c r="T135" i="4"/>
  <c r="M135" i="4"/>
  <c r="L135" i="4"/>
  <c r="H135" i="4"/>
  <c r="N134" i="4"/>
  <c r="K134" i="4"/>
  <c r="F134" i="4"/>
  <c r="X133" i="4"/>
  <c r="P133" i="4"/>
  <c r="H133" i="4"/>
  <c r="E133" i="4"/>
  <c r="V132" i="4"/>
  <c r="R132" i="4"/>
  <c r="U131" i="4"/>
  <c r="T131" i="4"/>
  <c r="L131" i="4"/>
  <c r="V130" i="4"/>
  <c r="S130" i="4"/>
  <c r="N130" i="4"/>
  <c r="F130" i="4"/>
  <c r="P129" i="4"/>
  <c r="I129" i="4"/>
  <c r="H129" i="4"/>
  <c r="U128" i="4"/>
  <c r="R128" i="4"/>
  <c r="P128" i="4"/>
  <c r="J128" i="4"/>
  <c r="AD127" i="4"/>
  <c r="T127" i="4"/>
  <c r="O127" i="4"/>
  <c r="F127" i="4"/>
  <c r="AD126" i="4"/>
  <c r="AC126" i="4"/>
  <c r="O126" i="4"/>
  <c r="N126" i="4"/>
  <c r="F126" i="4"/>
  <c r="AD125" i="4"/>
  <c r="AC125" i="4"/>
  <c r="AB125" i="4"/>
  <c r="P125" i="4"/>
  <c r="H125" i="4"/>
  <c r="G125" i="4"/>
  <c r="AD124" i="4"/>
  <c r="AC124" i="4"/>
  <c r="AB124" i="4"/>
  <c r="AA124" i="4"/>
  <c r="J124" i="4"/>
  <c r="I124" i="4"/>
  <c r="AD123" i="4"/>
  <c r="AC123" i="4"/>
  <c r="AB123" i="4"/>
  <c r="AA123" i="4"/>
  <c r="Z123" i="4"/>
  <c r="O123" i="4"/>
  <c r="L123" i="4"/>
  <c r="AD122" i="4"/>
  <c r="AC122" i="4"/>
  <c r="AB122" i="4"/>
  <c r="AA122" i="4"/>
  <c r="Z122" i="4"/>
  <c r="Y122" i="4"/>
  <c r="N122" i="4"/>
  <c r="F122" i="4"/>
  <c r="AD121" i="4"/>
  <c r="AC121" i="4"/>
  <c r="AB121" i="4"/>
  <c r="AA121" i="4"/>
  <c r="Z121" i="4"/>
  <c r="Y121" i="4"/>
  <c r="X121" i="4"/>
  <c r="H121" i="4"/>
  <c r="G121" i="4"/>
  <c r="AD120" i="4"/>
  <c r="AC120" i="4"/>
  <c r="AB120" i="4"/>
  <c r="AA120" i="4"/>
  <c r="Z120" i="4"/>
  <c r="Y120" i="4"/>
  <c r="X120" i="4"/>
  <c r="W120" i="4"/>
  <c r="J120" i="4"/>
  <c r="AD119" i="4"/>
  <c r="AC119" i="4"/>
  <c r="AB119" i="4"/>
  <c r="AA119" i="4"/>
  <c r="Z119" i="4"/>
  <c r="Y119" i="4"/>
  <c r="X119" i="4"/>
  <c r="W119" i="4"/>
  <c r="V119" i="4"/>
  <c r="L119" i="4"/>
  <c r="AD118" i="4"/>
  <c r="AC118" i="4"/>
  <c r="AB118" i="4"/>
  <c r="AA118" i="4"/>
  <c r="Z118" i="4"/>
  <c r="Y118" i="4"/>
  <c r="X118" i="4"/>
  <c r="W118" i="4"/>
  <c r="V118" i="4"/>
  <c r="U118" i="4"/>
  <c r="F118" i="4"/>
  <c r="AD117" i="4"/>
  <c r="AC117" i="4"/>
  <c r="AB117" i="4"/>
  <c r="AA117" i="4"/>
  <c r="Z117" i="4"/>
  <c r="Y117" i="4"/>
  <c r="X117" i="4"/>
  <c r="W117" i="4"/>
  <c r="V117" i="4"/>
  <c r="U117" i="4"/>
  <c r="T117" i="4"/>
  <c r="H117" i="4"/>
  <c r="AD116" i="4"/>
  <c r="AC116" i="4"/>
  <c r="AB116" i="4"/>
  <c r="AA116" i="4"/>
  <c r="Z116" i="4"/>
  <c r="Y116" i="4"/>
  <c r="X116" i="4"/>
  <c r="W116" i="4"/>
  <c r="V116" i="4"/>
  <c r="U116" i="4"/>
  <c r="T116" i="4"/>
  <c r="S116" i="4"/>
  <c r="AD115" i="4"/>
  <c r="AC115" i="4"/>
  <c r="AB115" i="4"/>
  <c r="AA115" i="4"/>
  <c r="Z115" i="4"/>
  <c r="Y115" i="4"/>
  <c r="X115" i="4"/>
  <c r="W115" i="4"/>
  <c r="V115" i="4"/>
  <c r="U115" i="4"/>
  <c r="T115" i="4"/>
  <c r="S115" i="4"/>
  <c r="R115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F114" i="4"/>
  <c r="AD113" i="4"/>
  <c r="AC113" i="4"/>
  <c r="AB113" i="4"/>
  <c r="AA113" i="4"/>
  <c r="Z113" i="4"/>
  <c r="Y113" i="4"/>
  <c r="X113" i="4"/>
  <c r="W113" i="4"/>
  <c r="V113" i="4"/>
  <c r="U113" i="4"/>
  <c r="T113" i="4"/>
  <c r="S113" i="4"/>
  <c r="R113" i="4"/>
  <c r="Q113" i="4"/>
  <c r="P113" i="4"/>
  <c r="AD112" i="4"/>
  <c r="AC112" i="4"/>
  <c r="AB112" i="4"/>
  <c r="AA112" i="4"/>
  <c r="Z112" i="4"/>
  <c r="Y112" i="4"/>
  <c r="X112" i="4"/>
  <c r="W112" i="4"/>
  <c r="V112" i="4"/>
  <c r="U112" i="4"/>
  <c r="T112" i="4"/>
  <c r="S112" i="4"/>
  <c r="R112" i="4"/>
  <c r="Q112" i="4"/>
  <c r="P112" i="4"/>
  <c r="O112" i="4"/>
  <c r="AD107" i="4"/>
  <c r="AD136" i="4" s="1"/>
  <c r="AC107" i="4"/>
  <c r="AC136" i="4" s="1"/>
  <c r="AB107" i="4"/>
  <c r="AB136" i="4" s="1"/>
  <c r="AA107" i="4"/>
  <c r="AA136" i="4" s="1"/>
  <c r="Z107" i="4"/>
  <c r="Z136" i="4" s="1"/>
  <c r="Y107" i="4"/>
  <c r="Y136" i="4" s="1"/>
  <c r="X107" i="4"/>
  <c r="W107" i="4"/>
  <c r="W136" i="4" s="1"/>
  <c r="V107" i="4"/>
  <c r="V136" i="4" s="1"/>
  <c r="U107" i="4"/>
  <c r="U136" i="4" s="1"/>
  <c r="T107" i="4"/>
  <c r="T136" i="4" s="1"/>
  <c r="S107" i="4"/>
  <c r="R107" i="4"/>
  <c r="Q107" i="4"/>
  <c r="Q136" i="4" s="1"/>
  <c r="P107" i="4"/>
  <c r="P136" i="4" s="1"/>
  <c r="O107" i="4"/>
  <c r="O136" i="4" s="1"/>
  <c r="N107" i="4"/>
  <c r="N136" i="4" s="1"/>
  <c r="M107" i="4"/>
  <c r="M136" i="4" s="1"/>
  <c r="L107" i="4"/>
  <c r="L136" i="4" s="1"/>
  <c r="K107" i="4"/>
  <c r="K136" i="4" s="1"/>
  <c r="J107" i="4"/>
  <c r="I107" i="4"/>
  <c r="I136" i="4" s="1"/>
  <c r="H107" i="4"/>
  <c r="H136" i="4" s="1"/>
  <c r="G107" i="4"/>
  <c r="G136" i="4" s="1"/>
  <c r="F107" i="4"/>
  <c r="F136" i="4" s="1"/>
  <c r="E107" i="4"/>
  <c r="AD106" i="4"/>
  <c r="AD135" i="4" s="1"/>
  <c r="AC106" i="4"/>
  <c r="AC135" i="4" s="1"/>
  <c r="AB106" i="4"/>
  <c r="AA106" i="4"/>
  <c r="AA135" i="4" s="1"/>
  <c r="Z106" i="4"/>
  <c r="Y106" i="4"/>
  <c r="Y135" i="4" s="1"/>
  <c r="X106" i="4"/>
  <c r="X135" i="4" s="1"/>
  <c r="W106" i="4"/>
  <c r="W135" i="4" s="1"/>
  <c r="V106" i="4"/>
  <c r="V135" i="4" s="1"/>
  <c r="U106" i="4"/>
  <c r="U135" i="4" s="1"/>
  <c r="T106" i="4"/>
  <c r="S106" i="4"/>
  <c r="S135" i="4" s="1"/>
  <c r="R106" i="4"/>
  <c r="R135" i="4" s="1"/>
  <c r="Q106" i="4"/>
  <c r="Q135" i="4" s="1"/>
  <c r="P106" i="4"/>
  <c r="P135" i="4" s="1"/>
  <c r="O106" i="4"/>
  <c r="O135" i="4" s="1"/>
  <c r="N106" i="4"/>
  <c r="N135" i="4" s="1"/>
  <c r="M106" i="4"/>
  <c r="L106" i="4"/>
  <c r="K106" i="4"/>
  <c r="K135" i="4" s="1"/>
  <c r="J106" i="4"/>
  <c r="J135" i="4" s="1"/>
  <c r="I106" i="4"/>
  <c r="I135" i="4" s="1"/>
  <c r="H106" i="4"/>
  <c r="G106" i="4"/>
  <c r="G135" i="4" s="1"/>
  <c r="F106" i="4"/>
  <c r="F135" i="4" s="1"/>
  <c r="E106" i="4"/>
  <c r="E135" i="4" s="1"/>
  <c r="AB105" i="4"/>
  <c r="AB134" i="4" s="1"/>
  <c r="AA105" i="4"/>
  <c r="AA134" i="4" s="1"/>
  <c r="Z105" i="4"/>
  <c r="Z134" i="4" s="1"/>
  <c r="Y105" i="4"/>
  <c r="Y134" i="4" s="1"/>
  <c r="X105" i="4"/>
  <c r="X134" i="4" s="1"/>
  <c r="W105" i="4"/>
  <c r="W134" i="4" s="1"/>
  <c r="V105" i="4"/>
  <c r="V134" i="4" s="1"/>
  <c r="U105" i="4"/>
  <c r="U134" i="4" s="1"/>
  <c r="T105" i="4"/>
  <c r="T134" i="4" s="1"/>
  <c r="S105" i="4"/>
  <c r="S134" i="4" s="1"/>
  <c r="R105" i="4"/>
  <c r="R134" i="4" s="1"/>
  <c r="Q105" i="4"/>
  <c r="Q134" i="4" s="1"/>
  <c r="P105" i="4"/>
  <c r="P134" i="4" s="1"/>
  <c r="O105" i="4"/>
  <c r="O134" i="4" s="1"/>
  <c r="N105" i="4"/>
  <c r="M105" i="4"/>
  <c r="M134" i="4" s="1"/>
  <c r="L105" i="4"/>
  <c r="L134" i="4" s="1"/>
  <c r="K105" i="4"/>
  <c r="J105" i="4"/>
  <c r="J134" i="4" s="1"/>
  <c r="I105" i="4"/>
  <c r="I134" i="4" s="1"/>
  <c r="H105" i="4"/>
  <c r="H134" i="4" s="1"/>
  <c r="G105" i="4"/>
  <c r="G134" i="4" s="1"/>
  <c r="F105" i="4"/>
  <c r="E105" i="4"/>
  <c r="E134" i="4" s="1"/>
  <c r="AB104" i="4"/>
  <c r="AA104" i="4"/>
  <c r="AA133" i="4" s="1"/>
  <c r="Z104" i="4"/>
  <c r="Z133" i="4" s="1"/>
  <c r="Y104" i="4"/>
  <c r="Y133" i="4" s="1"/>
  <c r="X104" i="4"/>
  <c r="W104" i="4"/>
  <c r="W133" i="4" s="1"/>
  <c r="V104" i="4"/>
  <c r="V133" i="4" s="1"/>
  <c r="U104" i="4"/>
  <c r="U133" i="4" s="1"/>
  <c r="T104" i="4"/>
  <c r="T133" i="4" s="1"/>
  <c r="S104" i="4"/>
  <c r="S133" i="4" s="1"/>
  <c r="R104" i="4"/>
  <c r="R133" i="4" s="1"/>
  <c r="Q104" i="4"/>
  <c r="Q133" i="4" s="1"/>
  <c r="P104" i="4"/>
  <c r="O104" i="4"/>
  <c r="O133" i="4" s="1"/>
  <c r="N104" i="4"/>
  <c r="N133" i="4" s="1"/>
  <c r="M104" i="4"/>
  <c r="M133" i="4" s="1"/>
  <c r="L104" i="4"/>
  <c r="L133" i="4" s="1"/>
  <c r="K104" i="4"/>
  <c r="K133" i="4" s="1"/>
  <c r="J104" i="4"/>
  <c r="J133" i="4" s="1"/>
  <c r="I104" i="4"/>
  <c r="I133" i="4" s="1"/>
  <c r="H104" i="4"/>
  <c r="G104" i="4"/>
  <c r="G133" i="4" s="1"/>
  <c r="F104" i="4"/>
  <c r="F133" i="4" s="1"/>
  <c r="E104" i="4"/>
  <c r="Y103" i="4"/>
  <c r="X103" i="4"/>
  <c r="X132" i="4" s="1"/>
  <c r="W103" i="4"/>
  <c r="W132" i="4" s="1"/>
  <c r="V103" i="4"/>
  <c r="U103" i="4"/>
  <c r="U132" i="4" s="1"/>
  <c r="T103" i="4"/>
  <c r="T132" i="4" s="1"/>
  <c r="S103" i="4"/>
  <c r="S132" i="4" s="1"/>
  <c r="R103" i="4"/>
  <c r="Q103" i="4"/>
  <c r="Q132" i="4" s="1"/>
  <c r="P103" i="4"/>
  <c r="P132" i="4" s="1"/>
  <c r="O103" i="4"/>
  <c r="O132" i="4" s="1"/>
  <c r="N103" i="4"/>
  <c r="N132" i="4" s="1"/>
  <c r="M103" i="4"/>
  <c r="M132" i="4" s="1"/>
  <c r="L103" i="4"/>
  <c r="L132" i="4" s="1"/>
  <c r="K103" i="4"/>
  <c r="K132" i="4" s="1"/>
  <c r="J103" i="4"/>
  <c r="J132" i="4" s="1"/>
  <c r="I103" i="4"/>
  <c r="I132" i="4" s="1"/>
  <c r="H103" i="4"/>
  <c r="H132" i="4" s="1"/>
  <c r="G103" i="4"/>
  <c r="G132" i="4" s="1"/>
  <c r="F103" i="4"/>
  <c r="F132" i="4" s="1"/>
  <c r="E103" i="4"/>
  <c r="E132" i="4" s="1"/>
  <c r="X102" i="4"/>
  <c r="X131" i="4" s="1"/>
  <c r="W102" i="4"/>
  <c r="W131" i="4" s="1"/>
  <c r="V102" i="4"/>
  <c r="V131" i="4" s="1"/>
  <c r="U102" i="4"/>
  <c r="T102" i="4"/>
  <c r="S102" i="4"/>
  <c r="S131" i="4" s="1"/>
  <c r="R102" i="4"/>
  <c r="R131" i="4" s="1"/>
  <c r="Q102" i="4"/>
  <c r="Q131" i="4" s="1"/>
  <c r="P102" i="4"/>
  <c r="P131" i="4" s="1"/>
  <c r="O102" i="4"/>
  <c r="O131" i="4" s="1"/>
  <c r="N102" i="4"/>
  <c r="N131" i="4" s="1"/>
  <c r="M102" i="4"/>
  <c r="M131" i="4" s="1"/>
  <c r="L102" i="4"/>
  <c r="K102" i="4"/>
  <c r="K131" i="4" s="1"/>
  <c r="J102" i="4"/>
  <c r="J131" i="4" s="1"/>
  <c r="I102" i="4"/>
  <c r="I131" i="4" s="1"/>
  <c r="H102" i="4"/>
  <c r="H131" i="4" s="1"/>
  <c r="G102" i="4"/>
  <c r="G131" i="4" s="1"/>
  <c r="F102" i="4"/>
  <c r="F131" i="4" s="1"/>
  <c r="E102" i="4"/>
  <c r="E131" i="4" s="1"/>
  <c r="W101" i="4"/>
  <c r="V101" i="4"/>
  <c r="U101" i="4"/>
  <c r="U130" i="4" s="1"/>
  <c r="T101" i="4"/>
  <c r="T130" i="4" s="1"/>
  <c r="S101" i="4"/>
  <c r="R101" i="4"/>
  <c r="R130" i="4" s="1"/>
  <c r="Q101" i="4"/>
  <c r="Q130" i="4" s="1"/>
  <c r="P101" i="4"/>
  <c r="P130" i="4" s="1"/>
  <c r="O101" i="4"/>
  <c r="O130" i="4" s="1"/>
  <c r="N101" i="4"/>
  <c r="M101" i="4"/>
  <c r="M130" i="4" s="1"/>
  <c r="L101" i="4"/>
  <c r="L130" i="4" s="1"/>
  <c r="K101" i="4"/>
  <c r="K130" i="4" s="1"/>
  <c r="J101" i="4"/>
  <c r="J130" i="4" s="1"/>
  <c r="I101" i="4"/>
  <c r="I130" i="4" s="1"/>
  <c r="H101" i="4"/>
  <c r="H130" i="4" s="1"/>
  <c r="G101" i="4"/>
  <c r="G130" i="4" s="1"/>
  <c r="F101" i="4"/>
  <c r="E101" i="4"/>
  <c r="E130" i="4" s="1"/>
  <c r="W100" i="4"/>
  <c r="V100" i="4"/>
  <c r="V129" i="4" s="1"/>
  <c r="U100" i="4"/>
  <c r="U129" i="4" s="1"/>
  <c r="T100" i="4"/>
  <c r="T129" i="4" s="1"/>
  <c r="S100" i="4"/>
  <c r="S129" i="4" s="1"/>
  <c r="R100" i="4"/>
  <c r="R129" i="4" s="1"/>
  <c r="Q100" i="4"/>
  <c r="Q129" i="4" s="1"/>
  <c r="P100" i="4"/>
  <c r="O100" i="4"/>
  <c r="O129" i="4" s="1"/>
  <c r="N100" i="4"/>
  <c r="N129" i="4" s="1"/>
  <c r="M100" i="4"/>
  <c r="M129" i="4" s="1"/>
  <c r="L100" i="4"/>
  <c r="L129" i="4" s="1"/>
  <c r="K100" i="4"/>
  <c r="K129" i="4" s="1"/>
  <c r="J100" i="4"/>
  <c r="J129" i="4" s="1"/>
  <c r="I100" i="4"/>
  <c r="H100" i="4"/>
  <c r="G100" i="4"/>
  <c r="G129" i="4" s="1"/>
  <c r="F100" i="4"/>
  <c r="F129" i="4" s="1"/>
  <c r="E100" i="4"/>
  <c r="E129" i="4" s="1"/>
  <c r="Y99" i="4"/>
  <c r="X99" i="4"/>
  <c r="X128" i="4" s="1"/>
  <c r="W99" i="4"/>
  <c r="W128" i="4" s="1"/>
  <c r="V99" i="4"/>
  <c r="V128" i="4" s="1"/>
  <c r="U99" i="4"/>
  <c r="T99" i="4"/>
  <c r="T128" i="4" s="1"/>
  <c r="S99" i="4"/>
  <c r="S128" i="4" s="1"/>
  <c r="R99" i="4"/>
  <c r="Q99" i="4"/>
  <c r="Q128" i="4" s="1"/>
  <c r="P99" i="4"/>
  <c r="O99" i="4"/>
  <c r="O128" i="4" s="1"/>
  <c r="N99" i="4"/>
  <c r="N128" i="4" s="1"/>
  <c r="M99" i="4"/>
  <c r="M128" i="4" s="1"/>
  <c r="L99" i="4"/>
  <c r="L128" i="4" s="1"/>
  <c r="K99" i="4"/>
  <c r="K128" i="4" s="1"/>
  <c r="J99" i="4"/>
  <c r="I99" i="4"/>
  <c r="I128" i="4" s="1"/>
  <c r="H99" i="4"/>
  <c r="H128" i="4" s="1"/>
  <c r="G99" i="4"/>
  <c r="G128" i="4" s="1"/>
  <c r="F99" i="4"/>
  <c r="F128" i="4" s="1"/>
  <c r="E99" i="4"/>
  <c r="E128" i="4" s="1"/>
  <c r="U98" i="4"/>
  <c r="U127" i="4" s="1"/>
  <c r="T98" i="4"/>
  <c r="S98" i="4"/>
  <c r="S127" i="4" s="1"/>
  <c r="R98" i="4"/>
  <c r="R127" i="4" s="1"/>
  <c r="Q98" i="4"/>
  <c r="Q127" i="4" s="1"/>
  <c r="P98" i="4"/>
  <c r="P127" i="4" s="1"/>
  <c r="O98" i="4"/>
  <c r="N98" i="4"/>
  <c r="N127" i="4" s="1"/>
  <c r="M98" i="4"/>
  <c r="M127" i="4" s="1"/>
  <c r="L98" i="4"/>
  <c r="L127" i="4" s="1"/>
  <c r="K98" i="4"/>
  <c r="K127" i="4" s="1"/>
  <c r="J98" i="4"/>
  <c r="J127" i="4" s="1"/>
  <c r="I98" i="4"/>
  <c r="I127" i="4" s="1"/>
  <c r="H98" i="4"/>
  <c r="H127" i="4" s="1"/>
  <c r="G98" i="4"/>
  <c r="G127" i="4" s="1"/>
  <c r="F98" i="4"/>
  <c r="E98" i="4"/>
  <c r="E127" i="4" s="1"/>
  <c r="T97" i="4"/>
  <c r="T126" i="4" s="1"/>
  <c r="S97" i="4"/>
  <c r="S126" i="4" s="1"/>
  <c r="R97" i="4"/>
  <c r="R126" i="4" s="1"/>
  <c r="Q97" i="4"/>
  <c r="Q126" i="4" s="1"/>
  <c r="P97" i="4"/>
  <c r="P126" i="4" s="1"/>
  <c r="O97" i="4"/>
  <c r="N97" i="4"/>
  <c r="M97" i="4"/>
  <c r="M126" i="4" s="1"/>
  <c r="L97" i="4"/>
  <c r="L126" i="4" s="1"/>
  <c r="K97" i="4"/>
  <c r="K126" i="4" s="1"/>
  <c r="J97" i="4"/>
  <c r="J126" i="4" s="1"/>
  <c r="I97" i="4"/>
  <c r="I126" i="4" s="1"/>
  <c r="H97" i="4"/>
  <c r="H126" i="4" s="1"/>
  <c r="G97" i="4"/>
  <c r="G126" i="4" s="1"/>
  <c r="F97" i="4"/>
  <c r="E97" i="4"/>
  <c r="E126" i="4" s="1"/>
  <c r="S96" i="4"/>
  <c r="R96" i="4"/>
  <c r="R125" i="4" s="1"/>
  <c r="Q96" i="4"/>
  <c r="Q125" i="4" s="1"/>
  <c r="P96" i="4"/>
  <c r="O96" i="4"/>
  <c r="O125" i="4" s="1"/>
  <c r="N96" i="4"/>
  <c r="N125" i="4" s="1"/>
  <c r="M96" i="4"/>
  <c r="M125" i="4" s="1"/>
  <c r="L96" i="4"/>
  <c r="L125" i="4" s="1"/>
  <c r="K96" i="4"/>
  <c r="K125" i="4" s="1"/>
  <c r="J96" i="4"/>
  <c r="J125" i="4" s="1"/>
  <c r="I96" i="4"/>
  <c r="I125" i="4" s="1"/>
  <c r="H96" i="4"/>
  <c r="G96" i="4"/>
  <c r="F96" i="4"/>
  <c r="F125" i="4" s="1"/>
  <c r="E96" i="4"/>
  <c r="E125" i="4" s="1"/>
  <c r="Q95" i="4"/>
  <c r="R95" i="4" s="1"/>
  <c r="R124" i="4" s="1"/>
  <c r="P95" i="4"/>
  <c r="P124" i="4" s="1"/>
  <c r="O95" i="4"/>
  <c r="O124" i="4" s="1"/>
  <c r="N95" i="4"/>
  <c r="N124" i="4" s="1"/>
  <c r="M95" i="4"/>
  <c r="M124" i="4" s="1"/>
  <c r="L95" i="4"/>
  <c r="L124" i="4" s="1"/>
  <c r="K95" i="4"/>
  <c r="K124" i="4" s="1"/>
  <c r="J95" i="4"/>
  <c r="I95" i="4"/>
  <c r="H95" i="4"/>
  <c r="H124" i="4" s="1"/>
  <c r="G95" i="4"/>
  <c r="G124" i="4" s="1"/>
  <c r="F95" i="4"/>
  <c r="F124" i="4" s="1"/>
  <c r="E95" i="4"/>
  <c r="E124" i="4" s="1"/>
  <c r="Q94" i="4"/>
  <c r="Q123" i="4" s="1"/>
  <c r="P94" i="4"/>
  <c r="P123" i="4" s="1"/>
  <c r="O94" i="4"/>
  <c r="N94" i="4"/>
  <c r="N123" i="4" s="1"/>
  <c r="M94" i="4"/>
  <c r="M123" i="4" s="1"/>
  <c r="L94" i="4"/>
  <c r="K94" i="4"/>
  <c r="K123" i="4" s="1"/>
  <c r="J94" i="4"/>
  <c r="J123" i="4" s="1"/>
  <c r="I94" i="4"/>
  <c r="I123" i="4" s="1"/>
  <c r="H94" i="4"/>
  <c r="H123" i="4" s="1"/>
  <c r="G94" i="4"/>
  <c r="G123" i="4" s="1"/>
  <c r="F94" i="4"/>
  <c r="F123" i="4" s="1"/>
  <c r="E94" i="4"/>
  <c r="E123" i="4" s="1"/>
  <c r="Q93" i="4"/>
  <c r="P93" i="4"/>
  <c r="P122" i="4" s="1"/>
  <c r="O93" i="4"/>
  <c r="O122" i="4" s="1"/>
  <c r="N93" i="4"/>
  <c r="M93" i="4"/>
  <c r="M122" i="4" s="1"/>
  <c r="L93" i="4"/>
  <c r="L122" i="4" s="1"/>
  <c r="K93" i="4"/>
  <c r="K122" i="4" s="1"/>
  <c r="J93" i="4"/>
  <c r="J122" i="4" s="1"/>
  <c r="I93" i="4"/>
  <c r="I122" i="4" s="1"/>
  <c r="H93" i="4"/>
  <c r="H122" i="4" s="1"/>
  <c r="G93" i="4"/>
  <c r="G122" i="4" s="1"/>
  <c r="F93" i="4"/>
  <c r="E93" i="4"/>
  <c r="E122" i="4" s="1"/>
  <c r="N92" i="4"/>
  <c r="M92" i="4"/>
  <c r="M121" i="4" s="1"/>
  <c r="L92" i="4"/>
  <c r="L121" i="4" s="1"/>
  <c r="K92" i="4"/>
  <c r="K121" i="4" s="1"/>
  <c r="J92" i="4"/>
  <c r="J121" i="4" s="1"/>
  <c r="I92" i="4"/>
  <c r="I121" i="4" s="1"/>
  <c r="H92" i="4"/>
  <c r="G92" i="4"/>
  <c r="F92" i="4"/>
  <c r="F121" i="4" s="1"/>
  <c r="E92" i="4"/>
  <c r="E121" i="4" s="1"/>
  <c r="N91" i="4"/>
  <c r="M91" i="4"/>
  <c r="M120" i="4" s="1"/>
  <c r="L91" i="4"/>
  <c r="L120" i="4" s="1"/>
  <c r="K91" i="4"/>
  <c r="K120" i="4" s="1"/>
  <c r="J91" i="4"/>
  <c r="I91" i="4"/>
  <c r="I120" i="4" s="1"/>
  <c r="H91" i="4"/>
  <c r="H120" i="4" s="1"/>
  <c r="G91" i="4"/>
  <c r="G120" i="4" s="1"/>
  <c r="F91" i="4"/>
  <c r="F120" i="4" s="1"/>
  <c r="E91" i="4"/>
  <c r="E120" i="4" s="1"/>
  <c r="N90" i="4"/>
  <c r="M90" i="4"/>
  <c r="M119" i="4" s="1"/>
  <c r="L90" i="4"/>
  <c r="K90" i="4"/>
  <c r="K119" i="4" s="1"/>
  <c r="J90" i="4"/>
  <c r="J119" i="4" s="1"/>
  <c r="I90" i="4"/>
  <c r="I119" i="4" s="1"/>
  <c r="H90" i="4"/>
  <c r="H119" i="4" s="1"/>
  <c r="G90" i="4"/>
  <c r="G119" i="4" s="1"/>
  <c r="F90" i="4"/>
  <c r="F119" i="4" s="1"/>
  <c r="E90" i="4"/>
  <c r="E119" i="4" s="1"/>
  <c r="L89" i="4"/>
  <c r="L118" i="4" s="1"/>
  <c r="K89" i="4"/>
  <c r="K118" i="4" s="1"/>
  <c r="J89" i="4"/>
  <c r="J118" i="4" s="1"/>
  <c r="I89" i="4"/>
  <c r="I118" i="4" s="1"/>
  <c r="H89" i="4"/>
  <c r="H118" i="4" s="1"/>
  <c r="G89" i="4"/>
  <c r="G118" i="4" s="1"/>
  <c r="F89" i="4"/>
  <c r="E89" i="4"/>
  <c r="E118" i="4" s="1"/>
  <c r="J88" i="4"/>
  <c r="I88" i="4"/>
  <c r="I117" i="4" s="1"/>
  <c r="H88" i="4"/>
  <c r="G88" i="4"/>
  <c r="G117" i="4" s="1"/>
  <c r="F88" i="4"/>
  <c r="F117" i="4" s="1"/>
  <c r="E88" i="4"/>
  <c r="E117" i="4" s="1"/>
  <c r="I87" i="4"/>
  <c r="J87" i="4" s="1"/>
  <c r="H87" i="4"/>
  <c r="H116" i="4" s="1"/>
  <c r="G87" i="4"/>
  <c r="G116" i="4" s="1"/>
  <c r="F87" i="4"/>
  <c r="F116" i="4" s="1"/>
  <c r="E87" i="4"/>
  <c r="E116" i="4" s="1"/>
  <c r="H86" i="4"/>
  <c r="G86" i="4"/>
  <c r="G115" i="4" s="1"/>
  <c r="F86" i="4"/>
  <c r="F115" i="4" s="1"/>
  <c r="E86" i="4"/>
  <c r="E115" i="4" s="1"/>
  <c r="G85" i="4"/>
  <c r="F85" i="4"/>
  <c r="E85" i="4"/>
  <c r="E114" i="4" s="1"/>
  <c r="F84" i="4"/>
  <c r="E84" i="4"/>
  <c r="E113" i="4" s="1"/>
  <c r="E83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Z68" i="4"/>
  <c r="W68" i="4"/>
  <c r="V68" i="4"/>
  <c r="N68" i="4"/>
  <c r="J68" i="4"/>
  <c r="G68" i="4"/>
  <c r="F68" i="4"/>
  <c r="AA67" i="4"/>
  <c r="Y67" i="4"/>
  <c r="X67" i="4"/>
  <c r="K67" i="4"/>
  <c r="I67" i="4"/>
  <c r="H67" i="4"/>
  <c r="AC66" i="4"/>
  <c r="AA66" i="4"/>
  <c r="Z66" i="4"/>
  <c r="R66" i="4"/>
  <c r="P66" i="4"/>
  <c r="K66" i="4"/>
  <c r="H66" i="4"/>
  <c r="E66" i="4"/>
  <c r="W65" i="4"/>
  <c r="U65" i="4"/>
  <c r="T65" i="4"/>
  <c r="L65" i="4"/>
  <c r="J65" i="4"/>
  <c r="E65" i="4"/>
  <c r="Y64" i="4"/>
  <c r="W64" i="4"/>
  <c r="V64" i="4"/>
  <c r="Q64" i="4"/>
  <c r="O64" i="4"/>
  <c r="N64" i="4"/>
  <c r="F64" i="4"/>
  <c r="Y63" i="4"/>
  <c r="V63" i="4"/>
  <c r="S63" i="4"/>
  <c r="Q63" i="4"/>
  <c r="P63" i="4"/>
  <c r="K63" i="4"/>
  <c r="I63" i="4"/>
  <c r="H63" i="4"/>
  <c r="S62" i="4"/>
  <c r="P62" i="4"/>
  <c r="M62" i="4"/>
  <c r="K62" i="4"/>
  <c r="J62" i="4"/>
  <c r="F62" i="4"/>
  <c r="W61" i="4"/>
  <c r="U61" i="4"/>
  <c r="T61" i="4"/>
  <c r="O61" i="4"/>
  <c r="M61" i="4"/>
  <c r="L61" i="4"/>
  <c r="G61" i="4"/>
  <c r="E61" i="4"/>
  <c r="Q60" i="4"/>
  <c r="O60" i="4"/>
  <c r="N60" i="4"/>
  <c r="I60" i="4"/>
  <c r="G60" i="4"/>
  <c r="F60" i="4"/>
  <c r="S59" i="4"/>
  <c r="Q59" i="4"/>
  <c r="P59" i="4"/>
  <c r="K59" i="4"/>
  <c r="I59" i="4"/>
  <c r="H59" i="4"/>
  <c r="U58" i="4"/>
  <c r="S58" i="4"/>
  <c r="R58" i="4"/>
  <c r="M58" i="4"/>
  <c r="K58" i="4"/>
  <c r="J58" i="4"/>
  <c r="E58" i="4"/>
  <c r="O57" i="4"/>
  <c r="M57" i="4"/>
  <c r="L57" i="4"/>
  <c r="G57" i="4"/>
  <c r="E57" i="4"/>
  <c r="Q56" i="4"/>
  <c r="O56" i="4"/>
  <c r="N56" i="4"/>
  <c r="I56" i="4"/>
  <c r="G56" i="4"/>
  <c r="F56" i="4"/>
  <c r="P55" i="4"/>
  <c r="K55" i="4"/>
  <c r="I55" i="4"/>
  <c r="H55" i="4"/>
  <c r="M54" i="4"/>
  <c r="K54" i="4"/>
  <c r="J54" i="4"/>
  <c r="E54" i="4"/>
  <c r="M53" i="4"/>
  <c r="L53" i="4"/>
  <c r="G53" i="4"/>
  <c r="E53" i="4"/>
  <c r="I52" i="4"/>
  <c r="G52" i="4"/>
  <c r="F52" i="4"/>
  <c r="K51" i="4"/>
  <c r="I51" i="4"/>
  <c r="H51" i="4"/>
  <c r="K50" i="4"/>
  <c r="J50" i="4"/>
  <c r="E50" i="4"/>
  <c r="AD49" i="4"/>
  <c r="G49" i="4"/>
  <c r="E49" i="4"/>
  <c r="AD48" i="4"/>
  <c r="AC48" i="4"/>
  <c r="I48" i="4"/>
  <c r="G48" i="4"/>
  <c r="F48" i="4"/>
  <c r="AD47" i="4"/>
  <c r="AC47" i="4"/>
  <c r="AB47" i="4"/>
  <c r="H47" i="4"/>
  <c r="AD46" i="4"/>
  <c r="AC46" i="4"/>
  <c r="AB46" i="4"/>
  <c r="AA46" i="4"/>
  <c r="E46" i="4"/>
  <c r="AD45" i="4"/>
  <c r="AC45" i="4"/>
  <c r="AB45" i="4"/>
  <c r="AA45" i="4"/>
  <c r="Z45" i="4"/>
  <c r="G45" i="4"/>
  <c r="E45" i="4"/>
  <c r="AD44" i="4"/>
  <c r="AC44" i="4"/>
  <c r="AB44" i="4"/>
  <c r="AA44" i="4"/>
  <c r="Z44" i="4"/>
  <c r="Y44" i="4"/>
  <c r="AC39" i="4"/>
  <c r="AB39" i="4"/>
  <c r="AB68" i="4" s="1"/>
  <c r="AA39" i="4"/>
  <c r="AA68" i="4" s="1"/>
  <c r="Z39" i="4"/>
  <c r="Y39" i="4"/>
  <c r="Y68" i="4" s="1"/>
  <c r="X39" i="4"/>
  <c r="X68" i="4" s="1"/>
  <c r="W39" i="4"/>
  <c r="V39" i="4"/>
  <c r="U39" i="4"/>
  <c r="U68" i="4" s="1"/>
  <c r="T39" i="4"/>
  <c r="T68" i="4" s="1"/>
  <c r="S39" i="4"/>
  <c r="S68" i="4" s="1"/>
  <c r="R39" i="4"/>
  <c r="R68" i="4" s="1"/>
  <c r="Q39" i="4"/>
  <c r="Q68" i="4" s="1"/>
  <c r="P39" i="4"/>
  <c r="P68" i="4" s="1"/>
  <c r="O39" i="4"/>
  <c r="O68" i="4" s="1"/>
  <c r="N39" i="4"/>
  <c r="M39" i="4"/>
  <c r="M68" i="4" s="1"/>
  <c r="L39" i="4"/>
  <c r="L68" i="4" s="1"/>
  <c r="K39" i="4"/>
  <c r="K68" i="4" s="1"/>
  <c r="J39" i="4"/>
  <c r="I39" i="4"/>
  <c r="I68" i="4" s="1"/>
  <c r="H39" i="4"/>
  <c r="H68" i="4" s="1"/>
  <c r="G39" i="4"/>
  <c r="F39" i="4"/>
  <c r="E39" i="4"/>
  <c r="E68" i="4" s="1"/>
  <c r="AC38" i="4"/>
  <c r="AB38" i="4"/>
  <c r="AB67" i="4" s="1"/>
  <c r="AA38" i="4"/>
  <c r="Z38" i="4"/>
  <c r="Z67" i="4" s="1"/>
  <c r="Y38" i="4"/>
  <c r="X38" i="4"/>
  <c r="W38" i="4"/>
  <c r="W67" i="4" s="1"/>
  <c r="V38" i="4"/>
  <c r="V67" i="4" s="1"/>
  <c r="U38" i="4"/>
  <c r="U67" i="4" s="1"/>
  <c r="T38" i="4"/>
  <c r="T67" i="4" s="1"/>
  <c r="S38" i="4"/>
  <c r="S67" i="4" s="1"/>
  <c r="R38" i="4"/>
  <c r="R67" i="4" s="1"/>
  <c r="Q38" i="4"/>
  <c r="Q67" i="4" s="1"/>
  <c r="P38" i="4"/>
  <c r="P67" i="4" s="1"/>
  <c r="O38" i="4"/>
  <c r="O67" i="4" s="1"/>
  <c r="N38" i="4"/>
  <c r="N67" i="4" s="1"/>
  <c r="M38" i="4"/>
  <c r="M67" i="4" s="1"/>
  <c r="L38" i="4"/>
  <c r="L67" i="4" s="1"/>
  <c r="K38" i="4"/>
  <c r="J38" i="4"/>
  <c r="J67" i="4" s="1"/>
  <c r="I38" i="4"/>
  <c r="H38" i="4"/>
  <c r="G38" i="4"/>
  <c r="G67" i="4" s="1"/>
  <c r="F38" i="4"/>
  <c r="F67" i="4" s="1"/>
  <c r="E38" i="4"/>
  <c r="E67" i="4" s="1"/>
  <c r="AC37" i="4"/>
  <c r="AD37" i="4" s="1"/>
  <c r="AD66" i="4" s="1"/>
  <c r="AB37" i="4"/>
  <c r="AB66" i="4" s="1"/>
  <c r="AA37" i="4"/>
  <c r="Z37" i="4"/>
  <c r="Y37" i="4"/>
  <c r="Y66" i="4" s="1"/>
  <c r="X37" i="4"/>
  <c r="X66" i="4" s="1"/>
  <c r="W37" i="4"/>
  <c r="W66" i="4" s="1"/>
  <c r="V37" i="4"/>
  <c r="V66" i="4" s="1"/>
  <c r="U37" i="4"/>
  <c r="U66" i="4" s="1"/>
  <c r="T37" i="4"/>
  <c r="T66" i="4" s="1"/>
  <c r="S37" i="4"/>
  <c r="S66" i="4" s="1"/>
  <c r="R37" i="4"/>
  <c r="Q37" i="4"/>
  <c r="Q66" i="4" s="1"/>
  <c r="P37" i="4"/>
  <c r="O37" i="4"/>
  <c r="O66" i="4" s="1"/>
  <c r="N37" i="4"/>
  <c r="N66" i="4" s="1"/>
  <c r="M37" i="4"/>
  <c r="M66" i="4" s="1"/>
  <c r="L37" i="4"/>
  <c r="L66" i="4" s="1"/>
  <c r="K37" i="4"/>
  <c r="J37" i="4"/>
  <c r="J66" i="4" s="1"/>
  <c r="I37" i="4"/>
  <c r="I66" i="4" s="1"/>
  <c r="H37" i="4"/>
  <c r="G37" i="4"/>
  <c r="G66" i="4" s="1"/>
  <c r="F37" i="4"/>
  <c r="F66" i="4" s="1"/>
  <c r="E37" i="4"/>
  <c r="AA36" i="4"/>
  <c r="Z36" i="4"/>
  <c r="Z65" i="4" s="1"/>
  <c r="Y36" i="4"/>
  <c r="Y65" i="4" s="1"/>
  <c r="X36" i="4"/>
  <c r="X65" i="4" s="1"/>
  <c r="W36" i="4"/>
  <c r="V36" i="4"/>
  <c r="V65" i="4" s="1"/>
  <c r="U36" i="4"/>
  <c r="T36" i="4"/>
  <c r="S36" i="4"/>
  <c r="S65" i="4" s="1"/>
  <c r="R36" i="4"/>
  <c r="R65" i="4" s="1"/>
  <c r="Q36" i="4"/>
  <c r="Q65" i="4" s="1"/>
  <c r="P36" i="4"/>
  <c r="P65" i="4" s="1"/>
  <c r="O36" i="4"/>
  <c r="O65" i="4" s="1"/>
  <c r="N36" i="4"/>
  <c r="N65" i="4" s="1"/>
  <c r="M36" i="4"/>
  <c r="M65" i="4" s="1"/>
  <c r="L36" i="4"/>
  <c r="K36" i="4"/>
  <c r="K65" i="4" s="1"/>
  <c r="J36" i="4"/>
  <c r="I36" i="4"/>
  <c r="I65" i="4" s="1"/>
  <c r="H36" i="4"/>
  <c r="H65" i="4" s="1"/>
  <c r="G36" i="4"/>
  <c r="G65" i="4" s="1"/>
  <c r="F36" i="4"/>
  <c r="F65" i="4" s="1"/>
  <c r="E36" i="4"/>
  <c r="Y35" i="4"/>
  <c r="Z35" i="4" s="1"/>
  <c r="Z64" i="4" s="1"/>
  <c r="X35" i="4"/>
  <c r="X64" i="4" s="1"/>
  <c r="W35" i="4"/>
  <c r="V35" i="4"/>
  <c r="U35" i="4"/>
  <c r="U64" i="4" s="1"/>
  <c r="T35" i="4"/>
  <c r="T64" i="4" s="1"/>
  <c r="S35" i="4"/>
  <c r="S64" i="4" s="1"/>
  <c r="R35" i="4"/>
  <c r="R64" i="4" s="1"/>
  <c r="Q35" i="4"/>
  <c r="P35" i="4"/>
  <c r="P64" i="4" s="1"/>
  <c r="O35" i="4"/>
  <c r="N35" i="4"/>
  <c r="M35" i="4"/>
  <c r="M64" i="4" s="1"/>
  <c r="L35" i="4"/>
  <c r="L64" i="4" s="1"/>
  <c r="K35" i="4"/>
  <c r="K64" i="4" s="1"/>
  <c r="J35" i="4"/>
  <c r="J64" i="4" s="1"/>
  <c r="I35" i="4"/>
  <c r="I64" i="4" s="1"/>
  <c r="H35" i="4"/>
  <c r="H64" i="4" s="1"/>
  <c r="G35" i="4"/>
  <c r="G64" i="4" s="1"/>
  <c r="F35" i="4"/>
  <c r="E35" i="4"/>
  <c r="E64" i="4" s="1"/>
  <c r="AA34" i="4"/>
  <c r="AB34" i="4" s="1"/>
  <c r="AB63" i="4" s="1"/>
  <c r="Z34" i="4"/>
  <c r="Z63" i="4" s="1"/>
  <c r="Y34" i="4"/>
  <c r="X34" i="4"/>
  <c r="X63" i="4" s="1"/>
  <c r="W34" i="4"/>
  <c r="W63" i="4" s="1"/>
  <c r="V34" i="4"/>
  <c r="U34" i="4"/>
  <c r="U63" i="4" s="1"/>
  <c r="T34" i="4"/>
  <c r="T63" i="4" s="1"/>
  <c r="S34" i="4"/>
  <c r="R34" i="4"/>
  <c r="R63" i="4" s="1"/>
  <c r="Q34" i="4"/>
  <c r="P34" i="4"/>
  <c r="O34" i="4"/>
  <c r="O63" i="4" s="1"/>
  <c r="N34" i="4"/>
  <c r="N63" i="4" s="1"/>
  <c r="M34" i="4"/>
  <c r="M63" i="4" s="1"/>
  <c r="L34" i="4"/>
  <c r="L63" i="4" s="1"/>
  <c r="K34" i="4"/>
  <c r="J34" i="4"/>
  <c r="J63" i="4" s="1"/>
  <c r="I34" i="4"/>
  <c r="H34" i="4"/>
  <c r="G34" i="4"/>
  <c r="G63" i="4" s="1"/>
  <c r="F34" i="4"/>
  <c r="F63" i="4" s="1"/>
  <c r="E34" i="4"/>
  <c r="E63" i="4" s="1"/>
  <c r="W33" i="4"/>
  <c r="V33" i="4"/>
  <c r="V62" i="4" s="1"/>
  <c r="U33" i="4"/>
  <c r="U62" i="4" s="1"/>
  <c r="T33" i="4"/>
  <c r="T62" i="4" s="1"/>
  <c r="S33" i="4"/>
  <c r="R33" i="4"/>
  <c r="R62" i="4" s="1"/>
  <c r="Q33" i="4"/>
  <c r="Q62" i="4" s="1"/>
  <c r="P33" i="4"/>
  <c r="O33" i="4"/>
  <c r="O62" i="4" s="1"/>
  <c r="N33" i="4"/>
  <c r="N62" i="4" s="1"/>
  <c r="M33" i="4"/>
  <c r="L33" i="4"/>
  <c r="L62" i="4" s="1"/>
  <c r="K33" i="4"/>
  <c r="J33" i="4"/>
  <c r="I33" i="4"/>
  <c r="I62" i="4" s="1"/>
  <c r="H33" i="4"/>
  <c r="H62" i="4" s="1"/>
  <c r="G33" i="4"/>
  <c r="G62" i="4" s="1"/>
  <c r="F33" i="4"/>
  <c r="E33" i="4"/>
  <c r="E62" i="4" s="1"/>
  <c r="W32" i="4"/>
  <c r="X32" i="4" s="1"/>
  <c r="X61" i="4" s="1"/>
  <c r="V32" i="4"/>
  <c r="V61" i="4" s="1"/>
  <c r="U32" i="4"/>
  <c r="T32" i="4"/>
  <c r="S32" i="4"/>
  <c r="S61" i="4" s="1"/>
  <c r="R32" i="4"/>
  <c r="R61" i="4" s="1"/>
  <c r="Q32" i="4"/>
  <c r="Q61" i="4" s="1"/>
  <c r="P32" i="4"/>
  <c r="P61" i="4" s="1"/>
  <c r="O32" i="4"/>
  <c r="N32" i="4"/>
  <c r="N61" i="4" s="1"/>
  <c r="M32" i="4"/>
  <c r="L32" i="4"/>
  <c r="K32" i="4"/>
  <c r="K61" i="4" s="1"/>
  <c r="J32" i="4"/>
  <c r="J61" i="4" s="1"/>
  <c r="I32" i="4"/>
  <c r="I61" i="4" s="1"/>
  <c r="H32" i="4"/>
  <c r="H61" i="4" s="1"/>
  <c r="G32" i="4"/>
  <c r="F32" i="4"/>
  <c r="F61" i="4" s="1"/>
  <c r="E32" i="4"/>
  <c r="U31" i="4"/>
  <c r="T31" i="4"/>
  <c r="T60" i="4" s="1"/>
  <c r="S31" i="4"/>
  <c r="S60" i="4" s="1"/>
  <c r="R31" i="4"/>
  <c r="R60" i="4" s="1"/>
  <c r="Q31" i="4"/>
  <c r="P31" i="4"/>
  <c r="P60" i="4" s="1"/>
  <c r="O31" i="4"/>
  <c r="N31" i="4"/>
  <c r="M31" i="4"/>
  <c r="M60" i="4" s="1"/>
  <c r="L31" i="4"/>
  <c r="L60" i="4" s="1"/>
  <c r="K31" i="4"/>
  <c r="K60" i="4" s="1"/>
  <c r="J31" i="4"/>
  <c r="J60" i="4" s="1"/>
  <c r="I31" i="4"/>
  <c r="H31" i="4"/>
  <c r="H60" i="4" s="1"/>
  <c r="G31" i="4"/>
  <c r="F31" i="4"/>
  <c r="E31" i="4"/>
  <c r="E60" i="4" s="1"/>
  <c r="U30" i="4"/>
  <c r="T30" i="4"/>
  <c r="T59" i="4" s="1"/>
  <c r="S30" i="4"/>
  <c r="R30" i="4"/>
  <c r="R59" i="4" s="1"/>
  <c r="Q30" i="4"/>
  <c r="P30" i="4"/>
  <c r="O30" i="4"/>
  <c r="O59" i="4" s="1"/>
  <c r="N30" i="4"/>
  <c r="N59" i="4" s="1"/>
  <c r="M30" i="4"/>
  <c r="M59" i="4" s="1"/>
  <c r="L30" i="4"/>
  <c r="L59" i="4" s="1"/>
  <c r="K30" i="4"/>
  <c r="J30" i="4"/>
  <c r="J59" i="4" s="1"/>
  <c r="I30" i="4"/>
  <c r="H30" i="4"/>
  <c r="G30" i="4"/>
  <c r="G59" i="4" s="1"/>
  <c r="F30" i="4"/>
  <c r="F59" i="4" s="1"/>
  <c r="E30" i="4"/>
  <c r="E59" i="4" s="1"/>
  <c r="U29" i="4"/>
  <c r="V29" i="4" s="1"/>
  <c r="V58" i="4" s="1"/>
  <c r="T29" i="4"/>
  <c r="T58" i="4" s="1"/>
  <c r="S29" i="4"/>
  <c r="R29" i="4"/>
  <c r="Q29" i="4"/>
  <c r="Q58" i="4" s="1"/>
  <c r="P29" i="4"/>
  <c r="P58" i="4" s="1"/>
  <c r="O29" i="4"/>
  <c r="O58" i="4" s="1"/>
  <c r="N29" i="4"/>
  <c r="N58" i="4" s="1"/>
  <c r="M29" i="4"/>
  <c r="L29" i="4"/>
  <c r="L58" i="4" s="1"/>
  <c r="K29" i="4"/>
  <c r="J29" i="4"/>
  <c r="I29" i="4"/>
  <c r="I58" i="4" s="1"/>
  <c r="H29" i="4"/>
  <c r="H58" i="4" s="1"/>
  <c r="G29" i="4"/>
  <c r="G58" i="4" s="1"/>
  <c r="F29" i="4"/>
  <c r="F58" i="4" s="1"/>
  <c r="E29" i="4"/>
  <c r="S28" i="4"/>
  <c r="R28" i="4"/>
  <c r="R57" i="4" s="1"/>
  <c r="Q28" i="4"/>
  <c r="Q57" i="4" s="1"/>
  <c r="P28" i="4"/>
  <c r="P57" i="4" s="1"/>
  <c r="O28" i="4"/>
  <c r="N28" i="4"/>
  <c r="N57" i="4" s="1"/>
  <c r="M28" i="4"/>
  <c r="L28" i="4"/>
  <c r="K28" i="4"/>
  <c r="K57" i="4" s="1"/>
  <c r="J28" i="4"/>
  <c r="J57" i="4" s="1"/>
  <c r="I28" i="4"/>
  <c r="I57" i="4" s="1"/>
  <c r="H28" i="4"/>
  <c r="H57" i="4" s="1"/>
  <c r="G28" i="4"/>
  <c r="F28" i="4"/>
  <c r="F57" i="4" s="1"/>
  <c r="E28" i="4"/>
  <c r="S27" i="4"/>
  <c r="Q27" i="4"/>
  <c r="R27" i="4" s="1"/>
  <c r="R56" i="4" s="1"/>
  <c r="P27" i="4"/>
  <c r="P56" i="4" s="1"/>
  <c r="O27" i="4"/>
  <c r="N27" i="4"/>
  <c r="M27" i="4"/>
  <c r="M56" i="4" s="1"/>
  <c r="L27" i="4"/>
  <c r="L56" i="4" s="1"/>
  <c r="K27" i="4"/>
  <c r="K56" i="4" s="1"/>
  <c r="J27" i="4"/>
  <c r="J56" i="4" s="1"/>
  <c r="I27" i="4"/>
  <c r="H27" i="4"/>
  <c r="H56" i="4" s="1"/>
  <c r="G27" i="4"/>
  <c r="F27" i="4"/>
  <c r="E27" i="4"/>
  <c r="E56" i="4" s="1"/>
  <c r="P26" i="4"/>
  <c r="Q26" i="4" s="1"/>
  <c r="R26" i="4" s="1"/>
  <c r="O26" i="4"/>
  <c r="O55" i="4" s="1"/>
  <c r="N26" i="4"/>
  <c r="N55" i="4" s="1"/>
  <c r="M26" i="4"/>
  <c r="M55" i="4" s="1"/>
  <c r="L26" i="4"/>
  <c r="L55" i="4" s="1"/>
  <c r="K26" i="4"/>
  <c r="J26" i="4"/>
  <c r="J55" i="4" s="1"/>
  <c r="I26" i="4"/>
  <c r="H26" i="4"/>
  <c r="G26" i="4"/>
  <c r="G55" i="4" s="1"/>
  <c r="F26" i="4"/>
  <c r="F55" i="4" s="1"/>
  <c r="E26" i="4"/>
  <c r="E55" i="4" s="1"/>
  <c r="O25" i="4"/>
  <c r="N25" i="4"/>
  <c r="N54" i="4" s="1"/>
  <c r="M25" i="4"/>
  <c r="L25" i="4"/>
  <c r="L54" i="4" s="1"/>
  <c r="K25" i="4"/>
  <c r="J25" i="4"/>
  <c r="I25" i="4"/>
  <c r="I54" i="4" s="1"/>
  <c r="H25" i="4"/>
  <c r="H54" i="4" s="1"/>
  <c r="G25" i="4"/>
  <c r="G54" i="4" s="1"/>
  <c r="F25" i="4"/>
  <c r="F54" i="4" s="1"/>
  <c r="E25" i="4"/>
  <c r="N24" i="4"/>
  <c r="O24" i="4" s="1"/>
  <c r="M24" i="4"/>
  <c r="L24" i="4"/>
  <c r="K24" i="4"/>
  <c r="K53" i="4" s="1"/>
  <c r="J24" i="4"/>
  <c r="J53" i="4" s="1"/>
  <c r="I24" i="4"/>
  <c r="I53" i="4" s="1"/>
  <c r="H24" i="4"/>
  <c r="H53" i="4" s="1"/>
  <c r="G24" i="4"/>
  <c r="F24" i="4"/>
  <c r="F53" i="4" s="1"/>
  <c r="E24" i="4"/>
  <c r="M23" i="4"/>
  <c r="L23" i="4"/>
  <c r="L52" i="4" s="1"/>
  <c r="K23" i="4"/>
  <c r="K52" i="4" s="1"/>
  <c r="J23" i="4"/>
  <c r="J52" i="4" s="1"/>
  <c r="I23" i="4"/>
  <c r="H23" i="4"/>
  <c r="H52" i="4" s="1"/>
  <c r="G23" i="4"/>
  <c r="F23" i="4"/>
  <c r="E23" i="4"/>
  <c r="E52" i="4" s="1"/>
  <c r="M22" i="4"/>
  <c r="L22" i="4"/>
  <c r="L51" i="4" s="1"/>
  <c r="K22" i="4"/>
  <c r="J22" i="4"/>
  <c r="J51" i="4" s="1"/>
  <c r="I22" i="4"/>
  <c r="H22" i="4"/>
  <c r="G22" i="4"/>
  <c r="G51" i="4" s="1"/>
  <c r="F22" i="4"/>
  <c r="F51" i="4" s="1"/>
  <c r="E22" i="4"/>
  <c r="E51" i="4" s="1"/>
  <c r="L21" i="4"/>
  <c r="M21" i="4" s="1"/>
  <c r="K21" i="4"/>
  <c r="J21" i="4"/>
  <c r="I21" i="4"/>
  <c r="I50" i="4" s="1"/>
  <c r="H21" i="4"/>
  <c r="H50" i="4" s="1"/>
  <c r="G21" i="4"/>
  <c r="G50" i="4" s="1"/>
  <c r="F21" i="4"/>
  <c r="F50" i="4" s="1"/>
  <c r="E21" i="4"/>
  <c r="K20" i="4"/>
  <c r="J20" i="4"/>
  <c r="J49" i="4" s="1"/>
  <c r="I20" i="4"/>
  <c r="I49" i="4" s="1"/>
  <c r="H20" i="4"/>
  <c r="H49" i="4" s="1"/>
  <c r="G20" i="4"/>
  <c r="F20" i="4"/>
  <c r="F49" i="4" s="1"/>
  <c r="E20" i="4"/>
  <c r="I19" i="4"/>
  <c r="J19" i="4" s="1"/>
  <c r="J48" i="4" s="1"/>
  <c r="H19" i="4"/>
  <c r="H48" i="4" s="1"/>
  <c r="G19" i="4"/>
  <c r="F19" i="4"/>
  <c r="E19" i="4"/>
  <c r="E48" i="4" s="1"/>
  <c r="H18" i="4"/>
  <c r="I18" i="4" s="1"/>
  <c r="J18" i="4" s="1"/>
  <c r="G18" i="4"/>
  <c r="G47" i="4" s="1"/>
  <c r="F18" i="4"/>
  <c r="F47" i="4" s="1"/>
  <c r="E18" i="4"/>
  <c r="E47" i="4" s="1"/>
  <c r="G17" i="4"/>
  <c r="F17" i="4"/>
  <c r="F46" i="4" s="1"/>
  <c r="E17" i="4"/>
  <c r="F16" i="4"/>
  <c r="G16" i="4" s="1"/>
  <c r="H16" i="4" s="1"/>
  <c r="H45" i="4" s="1"/>
  <c r="E16" i="4"/>
  <c r="E15" i="4"/>
  <c r="F145" i="3"/>
  <c r="G145" i="3"/>
  <c r="H145" i="3"/>
  <c r="I145" i="3"/>
  <c r="J145" i="3"/>
  <c r="K145" i="3"/>
  <c r="L145" i="3"/>
  <c r="M145" i="3"/>
  <c r="N145" i="3"/>
  <c r="O145" i="3"/>
  <c r="E145" i="3"/>
  <c r="G143" i="3"/>
  <c r="H143" i="3"/>
  <c r="I143" i="3"/>
  <c r="I144" i="3" s="1"/>
  <c r="J143" i="3"/>
  <c r="J144" i="3" s="1"/>
  <c r="K143" i="3"/>
  <c r="L143" i="3"/>
  <c r="M143" i="3"/>
  <c r="N143" i="3"/>
  <c r="O143" i="3"/>
  <c r="F143" i="3"/>
  <c r="E143" i="3"/>
  <c r="I142" i="3"/>
  <c r="J142" i="3"/>
  <c r="K142" i="3"/>
  <c r="K144" i="3" s="1"/>
  <c r="L142" i="3"/>
  <c r="M142" i="3"/>
  <c r="N142" i="3"/>
  <c r="O142" i="3"/>
  <c r="F142" i="3"/>
  <c r="G142" i="3"/>
  <c r="H142" i="3"/>
  <c r="E142" i="3"/>
  <c r="F141" i="3"/>
  <c r="F144" i="3" s="1"/>
  <c r="G141" i="3"/>
  <c r="G144" i="3" s="1"/>
  <c r="H141" i="3"/>
  <c r="I141" i="3"/>
  <c r="J141" i="3"/>
  <c r="K141" i="3"/>
  <c r="L141" i="3"/>
  <c r="M141" i="3"/>
  <c r="N141" i="3"/>
  <c r="O141" i="3"/>
  <c r="E141" i="3"/>
  <c r="H144" i="3"/>
  <c r="F132" i="2"/>
  <c r="F133" i="2" s="1"/>
  <c r="E132" i="2"/>
  <c r="E131" i="2"/>
  <c r="E135" i="3"/>
  <c r="F132" i="3"/>
  <c r="F134" i="3" s="1"/>
  <c r="E130" i="3"/>
  <c r="E132" i="3" s="1"/>
  <c r="E134" i="3" s="1"/>
  <c r="F131" i="3"/>
  <c r="E131" i="3"/>
  <c r="E118" i="3"/>
  <c r="E103" i="3"/>
  <c r="E100" i="3"/>
  <c r="E99" i="3"/>
  <c r="E88" i="3"/>
  <c r="E87" i="3"/>
  <c r="E91" i="3" s="1"/>
  <c r="E69" i="3"/>
  <c r="E67" i="3"/>
  <c r="E65" i="3"/>
  <c r="E64" i="3"/>
  <c r="E63" i="3"/>
  <c r="E66" i="3" s="1"/>
  <c r="E68" i="3" s="1"/>
  <c r="E113" i="3" s="1"/>
  <c r="E116" i="3"/>
  <c r="E108" i="3"/>
  <c r="F108" i="3" s="1"/>
  <c r="G108" i="3" s="1"/>
  <c r="H108" i="3" s="1"/>
  <c r="I108" i="3" s="1"/>
  <c r="J108" i="3" s="1"/>
  <c r="K108" i="3" s="1"/>
  <c r="L108" i="3" s="1"/>
  <c r="M108" i="3" s="1"/>
  <c r="N108" i="3" s="1"/>
  <c r="O108" i="3" s="1"/>
  <c r="E107" i="3"/>
  <c r="O54" i="3"/>
  <c r="N54" i="3"/>
  <c r="M54" i="3"/>
  <c r="L54" i="3"/>
  <c r="K54" i="3"/>
  <c r="J54" i="3"/>
  <c r="I54" i="3"/>
  <c r="H54" i="3"/>
  <c r="G54" i="3"/>
  <c r="F54" i="3"/>
  <c r="O53" i="3"/>
  <c r="N53" i="3"/>
  <c r="M53" i="3"/>
  <c r="L53" i="3"/>
  <c r="K53" i="3"/>
  <c r="J53" i="3"/>
  <c r="I53" i="3"/>
  <c r="H53" i="3"/>
  <c r="G53" i="3"/>
  <c r="F53" i="3"/>
  <c r="O52" i="3"/>
  <c r="N52" i="3"/>
  <c r="M52" i="3"/>
  <c r="L52" i="3"/>
  <c r="K52" i="3"/>
  <c r="J52" i="3"/>
  <c r="I52" i="3"/>
  <c r="H52" i="3"/>
  <c r="G52" i="3"/>
  <c r="F52" i="3"/>
  <c r="O50" i="3"/>
  <c r="N50" i="3"/>
  <c r="M50" i="3"/>
  <c r="L50" i="3"/>
  <c r="K50" i="3"/>
  <c r="J50" i="3"/>
  <c r="I50" i="3"/>
  <c r="H50" i="3"/>
  <c r="G50" i="3"/>
  <c r="F50" i="3"/>
  <c r="E49" i="3"/>
  <c r="O48" i="3"/>
  <c r="O88" i="3" s="1"/>
  <c r="N48" i="3"/>
  <c r="N88" i="3" s="1"/>
  <c r="M48" i="3"/>
  <c r="M88" i="3" s="1"/>
  <c r="L48" i="3"/>
  <c r="L88" i="3" s="1"/>
  <c r="K48" i="3"/>
  <c r="K88" i="3" s="1"/>
  <c r="J48" i="3"/>
  <c r="J88" i="3" s="1"/>
  <c r="I48" i="3"/>
  <c r="I88" i="3" s="1"/>
  <c r="H48" i="3"/>
  <c r="H88" i="3" s="1"/>
  <c r="G48" i="3"/>
  <c r="G88" i="3" s="1"/>
  <c r="F48" i="3"/>
  <c r="F88" i="3" s="1"/>
  <c r="O47" i="3"/>
  <c r="O69" i="3" s="1"/>
  <c r="N47" i="3"/>
  <c r="N69" i="3" s="1"/>
  <c r="M47" i="3"/>
  <c r="M69" i="3" s="1"/>
  <c r="L47" i="3"/>
  <c r="L69" i="3" s="1"/>
  <c r="K47" i="3"/>
  <c r="K69" i="3" s="1"/>
  <c r="J47" i="3"/>
  <c r="J69" i="3" s="1"/>
  <c r="I47" i="3"/>
  <c r="I69" i="3" s="1"/>
  <c r="H47" i="3"/>
  <c r="H69" i="3" s="1"/>
  <c r="G47" i="3"/>
  <c r="G69" i="3" s="1"/>
  <c r="F47" i="3"/>
  <c r="F69" i="3" s="1"/>
  <c r="F46" i="3"/>
  <c r="F35" i="3"/>
  <c r="F37" i="3" s="1"/>
  <c r="F32" i="3"/>
  <c r="F39" i="3" s="1"/>
  <c r="F41" i="3" s="1"/>
  <c r="F65" i="3" s="1"/>
  <c r="G30" i="3"/>
  <c r="H30" i="3" s="1"/>
  <c r="I30" i="3" s="1"/>
  <c r="F26" i="3"/>
  <c r="F84" i="3" s="1"/>
  <c r="F85" i="3" s="1"/>
  <c r="E26" i="3"/>
  <c r="E84" i="3" s="1"/>
  <c r="O14" i="3"/>
  <c r="N14" i="3"/>
  <c r="M14" i="3"/>
  <c r="L14" i="3"/>
  <c r="K14" i="3"/>
  <c r="J14" i="3"/>
  <c r="I14" i="3"/>
  <c r="H14" i="3"/>
  <c r="G14" i="3"/>
  <c r="F14" i="3"/>
  <c r="F24" i="3" s="1"/>
  <c r="N9" i="3"/>
  <c r="O8" i="3"/>
  <c r="N8" i="3"/>
  <c r="M8" i="3"/>
  <c r="M9" i="3" s="1"/>
  <c r="L8" i="3"/>
  <c r="L9" i="3" s="1"/>
  <c r="K8" i="3"/>
  <c r="K9" i="3" s="1"/>
  <c r="J8" i="3"/>
  <c r="J9" i="3" s="1"/>
  <c r="I8" i="3"/>
  <c r="I9" i="3" s="1"/>
  <c r="H8" i="3"/>
  <c r="G8" i="3"/>
  <c r="F8" i="3"/>
  <c r="F9" i="3" s="1"/>
  <c r="F10" i="3" s="1"/>
  <c r="E8" i="3"/>
  <c r="E11" i="3" s="1"/>
  <c r="F4" i="3"/>
  <c r="G4" i="3" s="1"/>
  <c r="H4" i="3" s="1"/>
  <c r="I4" i="3" s="1"/>
  <c r="J4" i="3" s="1"/>
  <c r="K4" i="3" s="1"/>
  <c r="L4" i="3" s="1"/>
  <c r="M4" i="3" s="1"/>
  <c r="N4" i="3" s="1"/>
  <c r="O4" i="3" s="1"/>
  <c r="F3" i="3"/>
  <c r="G3" i="3" s="1"/>
  <c r="G13" i="3" s="1"/>
  <c r="E108" i="2"/>
  <c r="E109" i="2"/>
  <c r="F109" i="2" s="1"/>
  <c r="G109" i="2" s="1"/>
  <c r="H109" i="2" s="1"/>
  <c r="I109" i="2" s="1"/>
  <c r="J109" i="2" s="1"/>
  <c r="K109" i="2" s="1"/>
  <c r="L109" i="2" s="1"/>
  <c r="M109" i="2" s="1"/>
  <c r="N109" i="2" s="1"/>
  <c r="O109" i="2" s="1"/>
  <c r="F26" i="2"/>
  <c r="E26" i="2"/>
  <c r="F32" i="2"/>
  <c r="E67" i="2"/>
  <c r="O54" i="2"/>
  <c r="N54" i="2"/>
  <c r="M54" i="2"/>
  <c r="L54" i="2"/>
  <c r="K54" i="2"/>
  <c r="J54" i="2"/>
  <c r="I54" i="2"/>
  <c r="H54" i="2"/>
  <c r="G54" i="2"/>
  <c r="F54" i="2"/>
  <c r="O53" i="2"/>
  <c r="N53" i="2"/>
  <c r="M53" i="2"/>
  <c r="L53" i="2"/>
  <c r="K53" i="2"/>
  <c r="J53" i="2"/>
  <c r="I53" i="2"/>
  <c r="H53" i="2"/>
  <c r="G53" i="2"/>
  <c r="F53" i="2"/>
  <c r="O52" i="2"/>
  <c r="N52" i="2"/>
  <c r="M52" i="2"/>
  <c r="L52" i="2"/>
  <c r="K52" i="2"/>
  <c r="J52" i="2"/>
  <c r="I52" i="2"/>
  <c r="H52" i="2"/>
  <c r="G52" i="2"/>
  <c r="F52" i="2"/>
  <c r="O50" i="2"/>
  <c r="N50" i="2"/>
  <c r="M50" i="2"/>
  <c r="L50" i="2"/>
  <c r="K50" i="2"/>
  <c r="J50" i="2"/>
  <c r="I50" i="2"/>
  <c r="H50" i="2"/>
  <c r="G50" i="2"/>
  <c r="E49" i="2"/>
  <c r="F46" i="2" s="1"/>
  <c r="O48" i="2"/>
  <c r="O89" i="2" s="1"/>
  <c r="N48" i="2"/>
  <c r="N89" i="2" s="1"/>
  <c r="M48" i="2"/>
  <c r="M89" i="2" s="1"/>
  <c r="L48" i="2"/>
  <c r="L89" i="2" s="1"/>
  <c r="K48" i="2"/>
  <c r="K89" i="2" s="1"/>
  <c r="J48" i="2"/>
  <c r="J89" i="2" s="1"/>
  <c r="I48" i="2"/>
  <c r="I89" i="2" s="1"/>
  <c r="H48" i="2"/>
  <c r="H89" i="2" s="1"/>
  <c r="G48" i="2"/>
  <c r="G89" i="2" s="1"/>
  <c r="G105" i="2" s="1"/>
  <c r="O47" i="2"/>
  <c r="O70" i="2" s="1"/>
  <c r="N47" i="2"/>
  <c r="N70" i="2" s="1"/>
  <c r="M47" i="2"/>
  <c r="M70" i="2" s="1"/>
  <c r="L47" i="2"/>
  <c r="L70" i="2" s="1"/>
  <c r="K47" i="2"/>
  <c r="K70" i="2" s="1"/>
  <c r="J47" i="2"/>
  <c r="J70" i="2" s="1"/>
  <c r="I47" i="2"/>
  <c r="I70" i="2" s="1"/>
  <c r="H47" i="2"/>
  <c r="H70" i="2" s="1"/>
  <c r="G47" i="2"/>
  <c r="G70" i="2" s="1"/>
  <c r="F47" i="2"/>
  <c r="F70" i="2" s="1"/>
  <c r="F35" i="2"/>
  <c r="F37" i="2" s="1"/>
  <c r="F65" i="2" s="1"/>
  <c r="G30" i="2"/>
  <c r="H30" i="2" s="1"/>
  <c r="O14" i="2"/>
  <c r="N14" i="2"/>
  <c r="M14" i="2"/>
  <c r="L14" i="2"/>
  <c r="K14" i="2"/>
  <c r="J14" i="2"/>
  <c r="I14" i="2"/>
  <c r="H14" i="2"/>
  <c r="G14" i="2"/>
  <c r="F14" i="2"/>
  <c r="F24" i="2" s="1"/>
  <c r="O8" i="2"/>
  <c r="O9" i="2" s="1"/>
  <c r="N8" i="2"/>
  <c r="M8" i="2"/>
  <c r="M9" i="2" s="1"/>
  <c r="L8" i="2"/>
  <c r="L9" i="2" s="1"/>
  <c r="K8" i="2"/>
  <c r="K9" i="2" s="1"/>
  <c r="J8" i="2"/>
  <c r="J9" i="2" s="1"/>
  <c r="I8" i="2"/>
  <c r="H8" i="2"/>
  <c r="H9" i="2" s="1"/>
  <c r="G8" i="2"/>
  <c r="G9" i="2" s="1"/>
  <c r="F8" i="2"/>
  <c r="F9" i="2" s="1"/>
  <c r="E8" i="2"/>
  <c r="E11" i="2" s="1"/>
  <c r="F4" i="2"/>
  <c r="G4" i="2" s="1"/>
  <c r="H4" i="2" s="1"/>
  <c r="I4" i="2" s="1"/>
  <c r="J4" i="2" s="1"/>
  <c r="K4" i="2" s="1"/>
  <c r="L4" i="2" s="1"/>
  <c r="M4" i="2" s="1"/>
  <c r="N4" i="2" s="1"/>
  <c r="O4" i="2" s="1"/>
  <c r="F3" i="2"/>
  <c r="G3" i="2" s="1"/>
  <c r="G51" i="15" l="1"/>
  <c r="F109" i="15"/>
  <c r="G108" i="15"/>
  <c r="H108" i="15" s="1"/>
  <c r="I108" i="15" s="1"/>
  <c r="J108" i="15" s="1"/>
  <c r="K108" i="15" s="1"/>
  <c r="L108" i="15" s="1"/>
  <c r="M108" i="15" s="1"/>
  <c r="N108" i="15" s="1"/>
  <c r="O108" i="15" s="1"/>
  <c r="AV41" i="8"/>
  <c r="AV42" i="8"/>
  <c r="N58" i="8"/>
  <c r="AV58" i="8"/>
  <c r="AF40" i="6"/>
  <c r="AA98" i="6"/>
  <c r="Z71" i="6"/>
  <c r="J70" i="6"/>
  <c r="J74" i="6"/>
  <c r="V21" i="14"/>
  <c r="P94" i="14"/>
  <c r="R23" i="14"/>
  <c r="F33" i="15" s="1"/>
  <c r="F34" i="15" s="1"/>
  <c r="Q23" i="14"/>
  <c r="X7" i="14"/>
  <c r="W25" i="14"/>
  <c r="W10" i="14"/>
  <c r="W30" i="14" s="1"/>
  <c r="V20" i="14"/>
  <c r="O36" i="14"/>
  <c r="P61" i="14"/>
  <c r="V28" i="14"/>
  <c r="X16" i="14"/>
  <c r="W12" i="14"/>
  <c r="W20" i="14" s="1"/>
  <c r="P32" i="14"/>
  <c r="Y9" i="14"/>
  <c r="X18" i="14"/>
  <c r="X27" i="14" s="1"/>
  <c r="W14" i="14"/>
  <c r="W26" i="14"/>
  <c r="X8" i="14"/>
  <c r="X17" i="14"/>
  <c r="W13" i="14"/>
  <c r="W21" i="14" s="1"/>
  <c r="W58" i="14" s="1"/>
  <c r="T76" i="14"/>
  <c r="T84" i="14"/>
  <c r="T67" i="14"/>
  <c r="T54" i="14"/>
  <c r="T72" i="14"/>
  <c r="T51" i="14"/>
  <c r="T32" i="14"/>
  <c r="T53" i="14"/>
  <c r="T35" i="14"/>
  <c r="T52" i="14"/>
  <c r="T63" i="14"/>
  <c r="T62" i="14"/>
  <c r="T61" i="14"/>
  <c r="T60" i="14"/>
  <c r="W27" i="14"/>
  <c r="AK73" i="14"/>
  <c r="AL73" i="14" s="1"/>
  <c r="AM73" i="14" s="1"/>
  <c r="AN73" i="14" s="1"/>
  <c r="AO73" i="14" s="1"/>
  <c r="AP73" i="14" s="1"/>
  <c r="AQ73" i="14" s="1"/>
  <c r="AR73" i="14" s="1"/>
  <c r="AS73" i="14" s="1"/>
  <c r="AT73" i="14" s="1"/>
  <c r="AU73" i="14" s="1"/>
  <c r="U76" i="14"/>
  <c r="U84" i="14"/>
  <c r="U67" i="14"/>
  <c r="U54" i="14"/>
  <c r="U72" i="14"/>
  <c r="U52" i="14"/>
  <c r="U51" i="14"/>
  <c r="U32" i="14"/>
  <c r="U53" i="14"/>
  <c r="U35" i="14"/>
  <c r="U63" i="14"/>
  <c r="U61" i="14"/>
  <c r="U62" i="14"/>
  <c r="K36" i="8"/>
  <c r="K84" i="8" s="1"/>
  <c r="K87" i="8" s="1"/>
  <c r="K107" i="8" s="1"/>
  <c r="L70" i="8"/>
  <c r="L82" i="8"/>
  <c r="L35" i="8"/>
  <c r="L32" i="8"/>
  <c r="L51" i="8"/>
  <c r="L74" i="8"/>
  <c r="S17" i="8"/>
  <c r="T17" i="8" s="1"/>
  <c r="O13" i="8"/>
  <c r="P13" i="8" s="1"/>
  <c r="M23" i="8"/>
  <c r="M50" i="8" s="1"/>
  <c r="L65" i="8"/>
  <c r="P17" i="8"/>
  <c r="L59" i="8"/>
  <c r="N14" i="8"/>
  <c r="N22" i="8" s="1"/>
  <c r="O18" i="8"/>
  <c r="J84" i="8"/>
  <c r="J87" i="8" s="1"/>
  <c r="J107" i="8" s="1"/>
  <c r="J104" i="8" s="1"/>
  <c r="AS37" i="8"/>
  <c r="N25" i="8"/>
  <c r="N20" i="8"/>
  <c r="N10" i="8"/>
  <c r="N30" i="8" s="1"/>
  <c r="O7" i="8"/>
  <c r="N27" i="8"/>
  <c r="O9" i="8"/>
  <c r="AA39" i="8"/>
  <c r="AC37" i="8"/>
  <c r="M28" i="8"/>
  <c r="T12" i="8"/>
  <c r="U16" i="8"/>
  <c r="M101" i="8"/>
  <c r="L100" i="8"/>
  <c r="AD98" i="8"/>
  <c r="AC71" i="8"/>
  <c r="N26" i="8"/>
  <c r="N21" i="8"/>
  <c r="O8" i="8"/>
  <c r="I104" i="8"/>
  <c r="AJ66" i="6"/>
  <c r="H105" i="2"/>
  <c r="I105" i="2" s="1"/>
  <c r="J105" i="2" s="1"/>
  <c r="K105" i="2" s="1"/>
  <c r="L105" i="2" s="1"/>
  <c r="M105" i="2" s="1"/>
  <c r="N105" i="2" s="1"/>
  <c r="O105" i="2" s="1"/>
  <c r="E118" i="2"/>
  <c r="E85" i="2"/>
  <c r="E143" i="2"/>
  <c r="G13" i="2"/>
  <c r="N15" i="2" s="1"/>
  <c r="F85" i="2"/>
  <c r="F86" i="2" s="1"/>
  <c r="F118" i="2"/>
  <c r="E133" i="2"/>
  <c r="E135" i="2" s="1"/>
  <c r="F39" i="2"/>
  <c r="F41" i="2" s="1"/>
  <c r="F66" i="2" s="1"/>
  <c r="F64" i="2"/>
  <c r="K124" i="6"/>
  <c r="L124" i="6"/>
  <c r="K100" i="6"/>
  <c r="AD69" i="6"/>
  <c r="AE37" i="6"/>
  <c r="AF37" i="6" s="1"/>
  <c r="AD75" i="6"/>
  <c r="J59" i="6"/>
  <c r="J32" i="6"/>
  <c r="Z38" i="6"/>
  <c r="AB12" i="6"/>
  <c r="AC16" i="6"/>
  <c r="M18" i="6"/>
  <c r="L14" i="6"/>
  <c r="L22" i="6" s="1"/>
  <c r="M17" i="6"/>
  <c r="L13" i="6"/>
  <c r="L21" i="6" s="1"/>
  <c r="N12" i="6"/>
  <c r="N7" i="6"/>
  <c r="O7" i="6" s="1"/>
  <c r="T7" i="6" s="1"/>
  <c r="F87" i="6"/>
  <c r="F107" i="6" s="1"/>
  <c r="J65" i="6"/>
  <c r="J82" i="6"/>
  <c r="J51" i="6"/>
  <c r="J35" i="6"/>
  <c r="J50" i="6"/>
  <c r="I36" i="6"/>
  <c r="O34" i="6"/>
  <c r="M20" i="6"/>
  <c r="L10" i="6"/>
  <c r="L30" i="6" s="1"/>
  <c r="K23" i="6"/>
  <c r="M9" i="6"/>
  <c r="L27" i="6"/>
  <c r="K28" i="6"/>
  <c r="L26" i="6"/>
  <c r="M8" i="6"/>
  <c r="K105" i="5"/>
  <c r="L13" i="5"/>
  <c r="S57" i="4"/>
  <c r="T28" i="4"/>
  <c r="O54" i="4"/>
  <c r="P25" i="4"/>
  <c r="S56" i="4"/>
  <c r="T27" i="4"/>
  <c r="U59" i="4"/>
  <c r="V30" i="4"/>
  <c r="K19" i="4"/>
  <c r="N21" i="4"/>
  <c r="M50" i="4"/>
  <c r="P24" i="4"/>
  <c r="O53" i="4"/>
  <c r="Y32" i="4"/>
  <c r="E44" i="4"/>
  <c r="E69" i="4" s="1"/>
  <c r="E71" i="4" s="1"/>
  <c r="E40" i="4"/>
  <c r="E73" i="4" s="1"/>
  <c r="F15" i="4"/>
  <c r="AA35" i="4"/>
  <c r="AA65" i="4"/>
  <c r="AB36" i="4"/>
  <c r="M52" i="4"/>
  <c r="N23" i="4"/>
  <c r="I16" i="4"/>
  <c r="G46" i="4"/>
  <c r="H17" i="4"/>
  <c r="K49" i="4"/>
  <c r="L20" i="4"/>
  <c r="W62" i="4"/>
  <c r="X33" i="4"/>
  <c r="Q55" i="4"/>
  <c r="U60" i="4"/>
  <c r="V31" i="4"/>
  <c r="K18" i="4"/>
  <c r="J47" i="4"/>
  <c r="M51" i="4"/>
  <c r="N22" i="4"/>
  <c r="W29" i="4"/>
  <c r="AC34" i="4"/>
  <c r="AC67" i="4"/>
  <c r="AD38" i="4"/>
  <c r="AD67" i="4" s="1"/>
  <c r="I47" i="4"/>
  <c r="S26" i="4"/>
  <c r="R55" i="4"/>
  <c r="AC68" i="4"/>
  <c r="AD39" i="4"/>
  <c r="AD68" i="4" s="1"/>
  <c r="F45" i="4"/>
  <c r="L50" i="4"/>
  <c r="N53" i="4"/>
  <c r="N121" i="4"/>
  <c r="O92" i="4"/>
  <c r="M89" i="4"/>
  <c r="I116" i="4"/>
  <c r="G114" i="4"/>
  <c r="H85" i="4"/>
  <c r="H115" i="4"/>
  <c r="I86" i="4"/>
  <c r="N119" i="4"/>
  <c r="O90" i="4"/>
  <c r="R93" i="4"/>
  <c r="Q122" i="4"/>
  <c r="S125" i="4"/>
  <c r="T96" i="4"/>
  <c r="W130" i="4"/>
  <c r="X101" i="4"/>
  <c r="G181" i="4"/>
  <c r="H152" i="4"/>
  <c r="AA63" i="4"/>
  <c r="F113" i="4"/>
  <c r="G84" i="4"/>
  <c r="J116" i="4"/>
  <c r="K87" i="4"/>
  <c r="Y128" i="4"/>
  <c r="Z99" i="4"/>
  <c r="E108" i="4"/>
  <c r="E141" i="4" s="1"/>
  <c r="E112" i="4"/>
  <c r="E137" i="4" s="1"/>
  <c r="E139" i="4" s="1"/>
  <c r="F83" i="4"/>
  <c r="J117" i="4"/>
  <c r="K88" i="4"/>
  <c r="N120" i="4"/>
  <c r="O91" i="4"/>
  <c r="AB133" i="4"/>
  <c r="AC104" i="4"/>
  <c r="Q259" i="4"/>
  <c r="R230" i="4"/>
  <c r="U97" i="4"/>
  <c r="Y102" i="4"/>
  <c r="AC105" i="4"/>
  <c r="Q124" i="4"/>
  <c r="V98" i="4"/>
  <c r="Y132" i="4"/>
  <c r="Z103" i="4"/>
  <c r="P191" i="4"/>
  <c r="Q162" i="4"/>
  <c r="Y200" i="4"/>
  <c r="Z171" i="4"/>
  <c r="R94" i="4"/>
  <c r="S95" i="4"/>
  <c r="W129" i="4"/>
  <c r="X100" i="4"/>
  <c r="T193" i="4"/>
  <c r="U164" i="4"/>
  <c r="X168" i="4"/>
  <c r="W197" i="4"/>
  <c r="Q226" i="4"/>
  <c r="P255" i="4"/>
  <c r="E176" i="4"/>
  <c r="E180" i="4"/>
  <c r="E205" i="4" s="1"/>
  <c r="E207" i="4" s="1"/>
  <c r="F207" i="4" s="1"/>
  <c r="V165" i="4"/>
  <c r="U194" i="4"/>
  <c r="H250" i="4"/>
  <c r="I221" i="4"/>
  <c r="F180" i="4"/>
  <c r="F205" i="4" s="1"/>
  <c r="F176" i="4"/>
  <c r="G151" i="4"/>
  <c r="M158" i="4"/>
  <c r="L187" i="4"/>
  <c r="Z199" i="4"/>
  <c r="AA170" i="4"/>
  <c r="G182" i="4"/>
  <c r="H153" i="4"/>
  <c r="Q189" i="4"/>
  <c r="R160" i="4"/>
  <c r="H183" i="4"/>
  <c r="I154" i="4"/>
  <c r="J155" i="4"/>
  <c r="V196" i="4"/>
  <c r="W167" i="4"/>
  <c r="AD173" i="4"/>
  <c r="AD202" i="4" s="1"/>
  <c r="AC202" i="4"/>
  <c r="L185" i="4"/>
  <c r="M156" i="4"/>
  <c r="N186" i="4"/>
  <c r="O157" i="4"/>
  <c r="N188" i="4"/>
  <c r="O159" i="4"/>
  <c r="Y266" i="4"/>
  <c r="Z237" i="4"/>
  <c r="V197" i="4"/>
  <c r="AB202" i="4"/>
  <c r="E248" i="4"/>
  <c r="E273" i="4" s="1"/>
  <c r="E275" i="4" s="1"/>
  <c r="E244" i="4"/>
  <c r="E277" i="4" s="1"/>
  <c r="R258" i="4"/>
  <c r="S229" i="4"/>
  <c r="U264" i="4"/>
  <c r="V235" i="4"/>
  <c r="AA269" i="4"/>
  <c r="AB240" i="4"/>
  <c r="AA172" i="4"/>
  <c r="P189" i="4"/>
  <c r="F219" i="4"/>
  <c r="AA239" i="4"/>
  <c r="Z268" i="4"/>
  <c r="I251" i="4"/>
  <c r="J222" i="4"/>
  <c r="N256" i="4"/>
  <c r="O227" i="4"/>
  <c r="W236" i="4"/>
  <c r="V265" i="4"/>
  <c r="S163" i="4"/>
  <c r="U166" i="4"/>
  <c r="X199" i="4"/>
  <c r="K253" i="4"/>
  <c r="L224" i="4"/>
  <c r="Z238" i="4"/>
  <c r="Y267" i="4"/>
  <c r="P161" i="4"/>
  <c r="X169" i="4"/>
  <c r="AB203" i="4"/>
  <c r="AC174" i="4"/>
  <c r="U261" i="4"/>
  <c r="V232" i="4"/>
  <c r="S231" i="4"/>
  <c r="R260" i="4"/>
  <c r="K254" i="4"/>
  <c r="L225" i="4"/>
  <c r="S262" i="4"/>
  <c r="T233" i="4"/>
  <c r="AB241" i="4"/>
  <c r="AA270" i="4"/>
  <c r="G220" i="4"/>
  <c r="O228" i="4"/>
  <c r="AC271" i="4"/>
  <c r="AD242" i="4"/>
  <c r="AD271" i="4" s="1"/>
  <c r="Q260" i="4"/>
  <c r="J223" i="4"/>
  <c r="X234" i="4"/>
  <c r="AB271" i="4"/>
  <c r="N144" i="3"/>
  <c r="M144" i="3"/>
  <c r="O144" i="3"/>
  <c r="L144" i="3"/>
  <c r="E144" i="3"/>
  <c r="F135" i="2"/>
  <c r="F63" i="3"/>
  <c r="F91" i="3"/>
  <c r="E114" i="3"/>
  <c r="E115" i="3" s="1"/>
  <c r="E101" i="3"/>
  <c r="E117" i="3"/>
  <c r="E85" i="3"/>
  <c r="F117" i="3"/>
  <c r="F57" i="3"/>
  <c r="F100" i="3" s="1"/>
  <c r="F64" i="3"/>
  <c r="F66" i="3" s="1"/>
  <c r="E104" i="3"/>
  <c r="E70" i="3"/>
  <c r="E74" i="3"/>
  <c r="F58" i="3"/>
  <c r="F103" i="3" s="1"/>
  <c r="N15" i="3"/>
  <c r="J15" i="3"/>
  <c r="G31" i="3"/>
  <c r="G32" i="3" s="1"/>
  <c r="G56" i="3"/>
  <c r="G36" i="3"/>
  <c r="J30" i="3"/>
  <c r="G9" i="3"/>
  <c r="O9" i="3"/>
  <c r="G10" i="3"/>
  <c r="F11" i="3"/>
  <c r="H9" i="3"/>
  <c r="F27" i="3"/>
  <c r="L15" i="3"/>
  <c r="M15" i="3"/>
  <c r="F49" i="3"/>
  <c r="G46" i="3" s="1"/>
  <c r="G49" i="3" s="1"/>
  <c r="H46" i="3" s="1"/>
  <c r="H49" i="3" s="1"/>
  <c r="I46" i="3" s="1"/>
  <c r="I49" i="3" s="1"/>
  <c r="J46" i="3" s="1"/>
  <c r="J49" i="3" s="1"/>
  <c r="K46" i="3" s="1"/>
  <c r="K49" i="3" s="1"/>
  <c r="L46" i="3" s="1"/>
  <c r="L49" i="3" s="1"/>
  <c r="M46" i="3" s="1"/>
  <c r="M49" i="3" s="1"/>
  <c r="N46" i="3" s="1"/>
  <c r="N49" i="3" s="1"/>
  <c r="O46" i="3" s="1"/>
  <c r="O49" i="3" s="1"/>
  <c r="H3" i="3"/>
  <c r="I3" i="3" s="1"/>
  <c r="J3" i="3" s="1"/>
  <c r="K3" i="3" s="1"/>
  <c r="L3" i="3" s="1"/>
  <c r="M3" i="3" s="1"/>
  <c r="N3" i="3" s="1"/>
  <c r="O3" i="3" s="1"/>
  <c r="G34" i="3"/>
  <c r="G40" i="3"/>
  <c r="K15" i="3"/>
  <c r="I15" i="3"/>
  <c r="O15" i="3"/>
  <c r="G26" i="3"/>
  <c r="G84" i="3" s="1"/>
  <c r="G85" i="3" s="1"/>
  <c r="H15" i="3"/>
  <c r="G15" i="3"/>
  <c r="G24" i="3" s="1"/>
  <c r="G27" i="3" s="1"/>
  <c r="F56" i="3"/>
  <c r="G26" i="2"/>
  <c r="E69" i="2"/>
  <c r="F57" i="2"/>
  <c r="F100" i="2" s="1"/>
  <c r="F49" i="2"/>
  <c r="G46" i="2" s="1"/>
  <c r="G49" i="2" s="1"/>
  <c r="H46" i="2" s="1"/>
  <c r="H49" i="2" s="1"/>
  <c r="I46" i="2" s="1"/>
  <c r="I49" i="2" s="1"/>
  <c r="J46" i="2" s="1"/>
  <c r="J49" i="2" s="1"/>
  <c r="K46" i="2" s="1"/>
  <c r="K49" i="2" s="1"/>
  <c r="L46" i="2" s="1"/>
  <c r="L49" i="2" s="1"/>
  <c r="M46" i="2" s="1"/>
  <c r="M49" i="2" s="1"/>
  <c r="N46" i="2" s="1"/>
  <c r="N49" i="2" s="1"/>
  <c r="O46" i="2" s="1"/>
  <c r="O49" i="2" s="1"/>
  <c r="F58" i="2"/>
  <c r="F59" i="2"/>
  <c r="F104" i="2" s="1"/>
  <c r="G36" i="2"/>
  <c r="G40" i="2"/>
  <c r="I9" i="2"/>
  <c r="M15" i="2"/>
  <c r="K15" i="2"/>
  <c r="J15" i="2"/>
  <c r="H15" i="2"/>
  <c r="G15" i="2"/>
  <c r="G24" i="2" s="1"/>
  <c r="G27" i="2" s="1"/>
  <c r="G68" i="2" s="1"/>
  <c r="G80" i="2" s="1"/>
  <c r="G117" i="2" s="1"/>
  <c r="O15" i="2"/>
  <c r="N9" i="2"/>
  <c r="F10" i="2"/>
  <c r="G10" i="2" s="1"/>
  <c r="F27" i="2"/>
  <c r="F68" i="2" s="1"/>
  <c r="F80" i="2" s="1"/>
  <c r="F117" i="2" s="1"/>
  <c r="G34" i="2"/>
  <c r="H3" i="2"/>
  <c r="I3" i="2" s="1"/>
  <c r="J3" i="2" s="1"/>
  <c r="K3" i="2" s="1"/>
  <c r="L3" i="2" s="1"/>
  <c r="M3" i="2" s="1"/>
  <c r="N3" i="2" s="1"/>
  <c r="O3" i="2" s="1"/>
  <c r="I15" i="2"/>
  <c r="L15" i="2"/>
  <c r="I30" i="2"/>
  <c r="G31" i="2"/>
  <c r="G32" i="2" s="1"/>
  <c r="G64" i="2" s="1"/>
  <c r="AV73" i="14" l="1"/>
  <c r="F66" i="15"/>
  <c r="F59" i="15"/>
  <c r="O58" i="8"/>
  <c r="AB98" i="6"/>
  <c r="AA71" i="6"/>
  <c r="K70" i="6"/>
  <c r="K74" i="6"/>
  <c r="AK66" i="6"/>
  <c r="AL66" i="6" s="1"/>
  <c r="AM66" i="6" s="1"/>
  <c r="AN66" i="6" s="1"/>
  <c r="AO66" i="6" s="1"/>
  <c r="AP66" i="6" s="1"/>
  <c r="AQ66" i="6" s="1"/>
  <c r="AR66" i="6" s="1"/>
  <c r="AS66" i="6" s="1"/>
  <c r="AT66" i="6" s="1"/>
  <c r="AU66" i="6" s="1"/>
  <c r="AV66" i="6"/>
  <c r="X26" i="14"/>
  <c r="Y8" i="14"/>
  <c r="Z9" i="14"/>
  <c r="O86" i="14"/>
  <c r="O89" i="14" s="1"/>
  <c r="O109" i="14" s="1"/>
  <c r="P36" i="14"/>
  <c r="P116" i="14"/>
  <c r="P119" i="14" s="1"/>
  <c r="P112" i="14" s="1"/>
  <c r="P130" i="14" s="1"/>
  <c r="P132" i="14" s="1"/>
  <c r="P93" i="14" s="1"/>
  <c r="P92" i="14" s="1"/>
  <c r="U60" i="14"/>
  <c r="V60" i="14" s="1"/>
  <c r="W60" i="14" s="1"/>
  <c r="X60" i="14" s="1"/>
  <c r="Y60" i="14" s="1"/>
  <c r="Z60" i="14" s="1"/>
  <c r="AA60" i="14" s="1"/>
  <c r="AB60" i="14" s="1"/>
  <c r="AC60" i="14" s="1"/>
  <c r="AD60" i="14" s="1"/>
  <c r="AE60" i="14" s="1"/>
  <c r="W22" i="14"/>
  <c r="W23" i="14" s="1"/>
  <c r="V23" i="14"/>
  <c r="T36" i="14"/>
  <c r="Y18" i="14"/>
  <c r="Y27" i="14" s="1"/>
  <c r="X14" i="14"/>
  <c r="X22" i="14" s="1"/>
  <c r="Y16" i="14"/>
  <c r="X12" i="14"/>
  <c r="W28" i="14"/>
  <c r="Q32" i="14"/>
  <c r="V58" i="14"/>
  <c r="X13" i="14"/>
  <c r="X21" i="14" s="1"/>
  <c r="Y17" i="14"/>
  <c r="X25" i="14"/>
  <c r="X10" i="14"/>
  <c r="X30" i="14" s="1"/>
  <c r="Y7" i="14"/>
  <c r="L36" i="8"/>
  <c r="L84" i="8" s="1"/>
  <c r="L87" i="8" s="1"/>
  <c r="L107" i="8" s="1"/>
  <c r="M70" i="8"/>
  <c r="M32" i="8"/>
  <c r="M82" i="8"/>
  <c r="M35" i="8"/>
  <c r="M65" i="8"/>
  <c r="M51" i="8"/>
  <c r="M59" i="8"/>
  <c r="M74" i="8"/>
  <c r="O14" i="8"/>
  <c r="P14" i="8" s="1"/>
  <c r="P18" i="8"/>
  <c r="S18" i="8"/>
  <c r="T18" i="8" s="1"/>
  <c r="K106" i="8"/>
  <c r="T13" i="8"/>
  <c r="U17" i="8"/>
  <c r="AT37" i="8"/>
  <c r="AE98" i="8"/>
  <c r="AD71" i="8"/>
  <c r="O25" i="8"/>
  <c r="O20" i="8"/>
  <c r="O10" i="8"/>
  <c r="O30" i="8" s="1"/>
  <c r="P30" i="8" s="1"/>
  <c r="T7" i="8"/>
  <c r="P7" i="8"/>
  <c r="N23" i="8"/>
  <c r="N101" i="8"/>
  <c r="M100" i="8"/>
  <c r="AF40" i="8"/>
  <c r="N28" i="8"/>
  <c r="O26" i="8"/>
  <c r="P26" i="8" s="1"/>
  <c r="Q26" i="8" s="1"/>
  <c r="T8" i="8"/>
  <c r="O21" i="8"/>
  <c r="P21" i="8" s="1"/>
  <c r="P8" i="8"/>
  <c r="Q8" i="8" s="1"/>
  <c r="M124" i="8"/>
  <c r="AB39" i="8"/>
  <c r="U12" i="8"/>
  <c r="V16" i="8"/>
  <c r="AD37" i="8"/>
  <c r="O27" i="8"/>
  <c r="P27" i="8" s="1"/>
  <c r="Q27" i="8" s="1"/>
  <c r="T9" i="8"/>
  <c r="P9" i="8"/>
  <c r="Q9" i="8" s="1"/>
  <c r="F67" i="2"/>
  <c r="F60" i="2"/>
  <c r="F101" i="2"/>
  <c r="E75" i="2"/>
  <c r="E114" i="2"/>
  <c r="E115" i="2" s="1"/>
  <c r="E142" i="2"/>
  <c r="E145" i="2" s="1"/>
  <c r="E102" i="2"/>
  <c r="F102" i="2" s="1"/>
  <c r="G102" i="2" s="1"/>
  <c r="E86" i="2"/>
  <c r="G85" i="2"/>
  <c r="G86" i="2" s="1"/>
  <c r="G118" i="2"/>
  <c r="G143" i="2"/>
  <c r="L100" i="6"/>
  <c r="G106" i="6"/>
  <c r="F104" i="6"/>
  <c r="AK37" i="6"/>
  <c r="AE69" i="6"/>
  <c r="AF69" i="6" s="1"/>
  <c r="AE75" i="6"/>
  <c r="AF75" i="6" s="1"/>
  <c r="U7" i="6"/>
  <c r="V7" i="6" s="1"/>
  <c r="K32" i="6"/>
  <c r="AC12" i="6"/>
  <c r="AD16" i="6"/>
  <c r="AA38" i="6"/>
  <c r="T25" i="6"/>
  <c r="T20" i="6"/>
  <c r="N18" i="6"/>
  <c r="M14" i="6"/>
  <c r="M22" i="6" s="1"/>
  <c r="I84" i="6"/>
  <c r="I87" i="6" s="1"/>
  <c r="I107" i="6" s="1"/>
  <c r="N17" i="6"/>
  <c r="M13" i="6"/>
  <c r="M21" i="6" s="1"/>
  <c r="N20" i="6"/>
  <c r="N25" i="6"/>
  <c r="O12" i="6"/>
  <c r="P12" i="6" s="1"/>
  <c r="P16" i="6"/>
  <c r="H84" i="6"/>
  <c r="K82" i="6"/>
  <c r="K51" i="6"/>
  <c r="K65" i="6"/>
  <c r="K59" i="6"/>
  <c r="K50" i="6"/>
  <c r="K35" i="6"/>
  <c r="J36" i="6"/>
  <c r="P7" i="6"/>
  <c r="M10" i="6"/>
  <c r="M30" i="6" s="1"/>
  <c r="L28" i="6"/>
  <c r="L23" i="6"/>
  <c r="L74" i="6" s="1"/>
  <c r="N9" i="6"/>
  <c r="M27" i="6"/>
  <c r="M26" i="6"/>
  <c r="N8" i="6"/>
  <c r="O25" i="6"/>
  <c r="M13" i="5"/>
  <c r="F143" i="2"/>
  <c r="F244" i="4"/>
  <c r="F248" i="4"/>
  <c r="F273" i="4" s="1"/>
  <c r="G219" i="4"/>
  <c r="K155" i="4"/>
  <c r="J184" i="4"/>
  <c r="M185" i="4"/>
  <c r="N156" i="4"/>
  <c r="X129" i="4"/>
  <c r="Y100" i="4"/>
  <c r="X130" i="4"/>
  <c r="Y101" i="4"/>
  <c r="T262" i="4"/>
  <c r="U233" i="4"/>
  <c r="AC203" i="4"/>
  <c r="AD174" i="4"/>
  <c r="AD203" i="4" s="1"/>
  <c r="AB172" i="4"/>
  <c r="AA201" i="4"/>
  <c r="F275" i="4"/>
  <c r="Z266" i="4"/>
  <c r="AA237" i="4"/>
  <c r="F112" i="4"/>
  <c r="F137" i="4" s="1"/>
  <c r="F139" i="4" s="1"/>
  <c r="F108" i="4"/>
  <c r="G83" i="4"/>
  <c r="H84" i="4"/>
  <c r="G113" i="4"/>
  <c r="W58" i="4"/>
  <c r="X29" i="4"/>
  <c r="N52" i="4"/>
  <c r="O23" i="4"/>
  <c r="I250" i="4"/>
  <c r="J221" i="4"/>
  <c r="V127" i="4"/>
  <c r="W98" i="4"/>
  <c r="AC241" i="4"/>
  <c r="AB270" i="4"/>
  <c r="J251" i="4"/>
  <c r="K222" i="4"/>
  <c r="Q255" i="4"/>
  <c r="R226" i="4"/>
  <c r="I115" i="4"/>
  <c r="J86" i="4"/>
  <c r="AC63" i="4"/>
  <c r="AD34" i="4"/>
  <c r="AD63" i="4" s="1"/>
  <c r="I45" i="4"/>
  <c r="J16" i="4"/>
  <c r="V59" i="4"/>
  <c r="W30" i="4"/>
  <c r="U195" i="4"/>
  <c r="V166" i="4"/>
  <c r="AB269" i="4"/>
  <c r="AC240" i="4"/>
  <c r="S160" i="4"/>
  <c r="T160" i="4" s="1"/>
  <c r="U160" i="4" s="1"/>
  <c r="V160" i="4" s="1"/>
  <c r="W160" i="4" s="1"/>
  <c r="X160" i="4" s="1"/>
  <c r="Y160" i="4" s="1"/>
  <c r="Z160" i="4" s="1"/>
  <c r="AA160" i="4" s="1"/>
  <c r="AB160" i="4" s="1"/>
  <c r="AC160" i="4" s="1"/>
  <c r="AD160" i="4" s="1"/>
  <c r="R189" i="4"/>
  <c r="V194" i="4"/>
  <c r="W165" i="4"/>
  <c r="S124" i="4"/>
  <c r="T95" i="4"/>
  <c r="T125" i="4"/>
  <c r="U96" i="4"/>
  <c r="H114" i="4"/>
  <c r="I85" i="4"/>
  <c r="P92" i="4"/>
  <c r="O121" i="4"/>
  <c r="N51" i="4"/>
  <c r="O22" i="4"/>
  <c r="Y33" i="4"/>
  <c r="X62" i="4"/>
  <c r="Y61" i="4"/>
  <c r="Z32" i="4"/>
  <c r="T56" i="4"/>
  <c r="U27" i="4"/>
  <c r="V60" i="4"/>
  <c r="W31" i="4"/>
  <c r="AA199" i="4"/>
  <c r="AB170" i="4"/>
  <c r="P228" i="4"/>
  <c r="O257" i="4"/>
  <c r="S192" i="4"/>
  <c r="T163" i="4"/>
  <c r="H220" i="4"/>
  <c r="G249" i="4"/>
  <c r="V264" i="4"/>
  <c r="W235" i="4"/>
  <c r="O188" i="4"/>
  <c r="P159" i="4"/>
  <c r="H182" i="4"/>
  <c r="I153" i="4"/>
  <c r="G180" i="4"/>
  <c r="G205" i="4" s="1"/>
  <c r="G176" i="4"/>
  <c r="H151" i="4"/>
  <c r="E209" i="4"/>
  <c r="X197" i="4"/>
  <c r="Y168" i="4"/>
  <c r="Z200" i="4"/>
  <c r="AA171" i="4"/>
  <c r="Z102" i="4"/>
  <c r="Y131" i="4"/>
  <c r="H181" i="4"/>
  <c r="I152" i="4"/>
  <c r="L49" i="4"/>
  <c r="M20" i="4"/>
  <c r="P53" i="4"/>
  <c r="Q24" i="4"/>
  <c r="P54" i="4"/>
  <c r="Q25" i="4"/>
  <c r="L253" i="4"/>
  <c r="M224" i="4"/>
  <c r="K116" i="4"/>
  <c r="L87" i="4"/>
  <c r="I183" i="4"/>
  <c r="J154" i="4"/>
  <c r="L254" i="4"/>
  <c r="M225" i="4"/>
  <c r="M187" i="4"/>
  <c r="N158" i="4"/>
  <c r="R123" i="4"/>
  <c r="S94" i="4"/>
  <c r="AC134" i="4"/>
  <c r="AD105" i="4"/>
  <c r="AD134" i="4" s="1"/>
  <c r="AC133" i="4"/>
  <c r="AD104" i="4"/>
  <c r="AD133" i="4" s="1"/>
  <c r="T26" i="4"/>
  <c r="S55" i="4"/>
  <c r="Y234" i="4"/>
  <c r="X263" i="4"/>
  <c r="Q161" i="4"/>
  <c r="P190" i="4"/>
  <c r="J252" i="4"/>
  <c r="K223" i="4"/>
  <c r="T231" i="4"/>
  <c r="S260" i="4"/>
  <c r="W265" i="4"/>
  <c r="X236" i="4"/>
  <c r="W196" i="4"/>
  <c r="X167" i="4"/>
  <c r="F209" i="4"/>
  <c r="U193" i="4"/>
  <c r="V164" i="4"/>
  <c r="Z132" i="4"/>
  <c r="AA103" i="4"/>
  <c r="U126" i="4"/>
  <c r="V97" i="4"/>
  <c r="O120" i="4"/>
  <c r="P91" i="4"/>
  <c r="Z128" i="4"/>
  <c r="AA99" i="4"/>
  <c r="R122" i="4"/>
  <c r="S93" i="4"/>
  <c r="L18" i="4"/>
  <c r="K47" i="4"/>
  <c r="AA64" i="4"/>
  <c r="AB35" i="4"/>
  <c r="K117" i="4"/>
  <c r="L88" i="4"/>
  <c r="N89" i="4"/>
  <c r="M118" i="4"/>
  <c r="K48" i="4"/>
  <c r="L19" i="4"/>
  <c r="Y169" i="4"/>
  <c r="X198" i="4"/>
  <c r="G207" i="4"/>
  <c r="AB65" i="4"/>
  <c r="AC36" i="4"/>
  <c r="V261" i="4"/>
  <c r="W232" i="4"/>
  <c r="AA238" i="4"/>
  <c r="Z267" i="4"/>
  <c r="O256" i="4"/>
  <c r="P227" i="4"/>
  <c r="AB239" i="4"/>
  <c r="AA268" i="4"/>
  <c r="S258" i="4"/>
  <c r="T229" i="4"/>
  <c r="O186" i="4"/>
  <c r="P157" i="4"/>
  <c r="Q157" i="4" s="1"/>
  <c r="R157" i="4" s="1"/>
  <c r="S157" i="4" s="1"/>
  <c r="T157" i="4" s="1"/>
  <c r="U157" i="4" s="1"/>
  <c r="V157" i="4" s="1"/>
  <c r="W157" i="4" s="1"/>
  <c r="X157" i="4" s="1"/>
  <c r="Y157" i="4" s="1"/>
  <c r="Z157" i="4" s="1"/>
  <c r="AA157" i="4" s="1"/>
  <c r="AB157" i="4" s="1"/>
  <c r="AC157" i="4" s="1"/>
  <c r="AD157" i="4" s="1"/>
  <c r="Q191" i="4"/>
  <c r="R162" i="4"/>
  <c r="R259" i="4"/>
  <c r="S230" i="4"/>
  <c r="P90" i="4"/>
  <c r="O119" i="4"/>
  <c r="H46" i="4"/>
  <c r="I17" i="4"/>
  <c r="F44" i="4"/>
  <c r="F69" i="4" s="1"/>
  <c r="F71" i="4" s="1"/>
  <c r="F40" i="4"/>
  <c r="G15" i="4"/>
  <c r="N50" i="4"/>
  <c r="O21" i="4"/>
  <c r="T57" i="4"/>
  <c r="U28" i="4"/>
  <c r="H36" i="3"/>
  <c r="I36" i="3" s="1"/>
  <c r="J36" i="3" s="1"/>
  <c r="K36" i="3" s="1"/>
  <c r="L36" i="3" s="1"/>
  <c r="M36" i="3" s="1"/>
  <c r="N36" i="3" s="1"/>
  <c r="O36" i="3" s="1"/>
  <c r="E119" i="3"/>
  <c r="E121" i="3" s="1"/>
  <c r="H40" i="3"/>
  <c r="I40" i="3" s="1"/>
  <c r="J40" i="3" s="1"/>
  <c r="K40" i="3" s="1"/>
  <c r="L40" i="3" s="1"/>
  <c r="M40" i="3" s="1"/>
  <c r="N40" i="3" s="1"/>
  <c r="O40" i="3" s="1"/>
  <c r="F116" i="3"/>
  <c r="F67" i="3"/>
  <c r="E71" i="3"/>
  <c r="E72" i="3" s="1"/>
  <c r="E78" i="3" s="1"/>
  <c r="E80" i="3" s="1"/>
  <c r="E82" i="3" s="1"/>
  <c r="G116" i="3"/>
  <c r="G67" i="3"/>
  <c r="G79" i="3" s="1"/>
  <c r="G99" i="3"/>
  <c r="G39" i="3"/>
  <c r="G41" i="3" s="1"/>
  <c r="G65" i="3" s="1"/>
  <c r="G63" i="3"/>
  <c r="F99" i="3"/>
  <c r="F59" i="3"/>
  <c r="F60" i="3" s="1"/>
  <c r="F81" i="3" s="1"/>
  <c r="F118" i="3" s="1"/>
  <c r="H31" i="3"/>
  <c r="G117" i="3"/>
  <c r="E105" i="3"/>
  <c r="F104" i="3"/>
  <c r="G104" i="3" s="1"/>
  <c r="H104" i="3" s="1"/>
  <c r="I104" i="3"/>
  <c r="H13" i="3"/>
  <c r="N16" i="3" s="1"/>
  <c r="K30" i="3"/>
  <c r="H10" i="3"/>
  <c r="G35" i="3"/>
  <c r="G37" i="3" s="1"/>
  <c r="G64" i="3" s="1"/>
  <c r="H34" i="3"/>
  <c r="I16" i="3"/>
  <c r="H16" i="3"/>
  <c r="H24" i="3" s="1"/>
  <c r="H27" i="3" s="1"/>
  <c r="O16" i="3"/>
  <c r="M16" i="3"/>
  <c r="L16" i="3"/>
  <c r="I13" i="3"/>
  <c r="G11" i="3"/>
  <c r="E71" i="2"/>
  <c r="F11" i="2"/>
  <c r="H13" i="2"/>
  <c r="E116" i="2"/>
  <c r="G39" i="2"/>
  <c r="G57" i="2"/>
  <c r="G100" i="2" s="1"/>
  <c r="F106" i="2"/>
  <c r="J30" i="2"/>
  <c r="H31" i="2"/>
  <c r="H34" i="2"/>
  <c r="G35" i="2"/>
  <c r="G37" i="2" s="1"/>
  <c r="G65" i="2" s="1"/>
  <c r="H36" i="2"/>
  <c r="I36" i="2" s="1"/>
  <c r="J36" i="2" s="1"/>
  <c r="K36" i="2" s="1"/>
  <c r="L36" i="2" s="1"/>
  <c r="M36" i="2" s="1"/>
  <c r="N36" i="2" s="1"/>
  <c r="O36" i="2" s="1"/>
  <c r="H40" i="2"/>
  <c r="H10" i="2"/>
  <c r="G11" i="2"/>
  <c r="P81" i="14" l="1"/>
  <c r="F42" i="15"/>
  <c r="F43" i="15"/>
  <c r="F103" i="15"/>
  <c r="F62" i="15"/>
  <c r="Q67" i="15"/>
  <c r="AF60" i="14"/>
  <c r="P58" i="8"/>
  <c r="O22" i="8"/>
  <c r="P22" i="8" s="1"/>
  <c r="Q22" i="8" s="1"/>
  <c r="AC98" i="6"/>
  <c r="AB71" i="6"/>
  <c r="P86" i="14"/>
  <c r="P87" i="14" s="1"/>
  <c r="P89" i="14" s="1"/>
  <c r="P109" i="14" s="1"/>
  <c r="X58" i="14"/>
  <c r="W84" i="14"/>
  <c r="W72" i="14"/>
  <c r="W54" i="14"/>
  <c r="W76" i="14"/>
  <c r="W52" i="14"/>
  <c r="W53" i="14"/>
  <c r="W51" i="14"/>
  <c r="W67" i="14"/>
  <c r="W32" i="14"/>
  <c r="W35" i="14"/>
  <c r="W61" i="14"/>
  <c r="W63" i="14"/>
  <c r="W62" i="14"/>
  <c r="Y13" i="14"/>
  <c r="Y21" i="14" s="1"/>
  <c r="Y58" i="14" s="1"/>
  <c r="Z17" i="14"/>
  <c r="T86" i="14"/>
  <c r="T89" i="14" s="1"/>
  <c r="T109" i="14" s="1"/>
  <c r="U36" i="14"/>
  <c r="U86" i="14" s="1"/>
  <c r="U89" i="14" s="1"/>
  <c r="U109" i="14" s="1"/>
  <c r="AA9" i="14"/>
  <c r="Z16" i="14"/>
  <c r="Y12" i="14"/>
  <c r="Y20" i="14" s="1"/>
  <c r="Y25" i="14"/>
  <c r="Y10" i="14"/>
  <c r="Y30" i="14" s="1"/>
  <c r="Z7" i="14"/>
  <c r="X28" i="14"/>
  <c r="O106" i="14"/>
  <c r="T108" i="14"/>
  <c r="V84" i="14"/>
  <c r="V72" i="14"/>
  <c r="V67" i="14"/>
  <c r="V54" i="14"/>
  <c r="V76" i="14"/>
  <c r="V52" i="14"/>
  <c r="V53" i="14"/>
  <c r="V51" i="14"/>
  <c r="V32" i="14"/>
  <c r="V35" i="14"/>
  <c r="V63" i="14"/>
  <c r="V61" i="14"/>
  <c r="V62" i="14"/>
  <c r="X20" i="14"/>
  <c r="Z18" i="14"/>
  <c r="Y14" i="14"/>
  <c r="Y22" i="14" s="1"/>
  <c r="Y26" i="14"/>
  <c r="Z8" i="14"/>
  <c r="M36" i="8"/>
  <c r="M84" i="8" s="1"/>
  <c r="M87" i="8" s="1"/>
  <c r="M107" i="8" s="1"/>
  <c r="U13" i="8"/>
  <c r="V17" i="8"/>
  <c r="T14" i="8"/>
  <c r="T22" i="8" s="1"/>
  <c r="U18" i="8"/>
  <c r="L106" i="8"/>
  <c r="K104" i="8"/>
  <c r="O101" i="8"/>
  <c r="N100" i="8"/>
  <c r="AE37" i="8"/>
  <c r="P56" i="8"/>
  <c r="Q21" i="8"/>
  <c r="N124" i="8"/>
  <c r="P20" i="8"/>
  <c r="Q20" i="8" s="1"/>
  <c r="V12" i="8"/>
  <c r="W16" i="8"/>
  <c r="T21" i="8"/>
  <c r="T26" i="8"/>
  <c r="U8" i="8"/>
  <c r="O28" i="8"/>
  <c r="P28" i="8" s="1"/>
  <c r="P25" i="8"/>
  <c r="Q25" i="8" s="1"/>
  <c r="N82" i="8"/>
  <c r="N70" i="8"/>
  <c r="N74" i="8"/>
  <c r="N52" i="8"/>
  <c r="N50" i="8"/>
  <c r="N59" i="8"/>
  <c r="N65" i="8"/>
  <c r="N35" i="8"/>
  <c r="N32" i="8"/>
  <c r="N51" i="8"/>
  <c r="AU37" i="8"/>
  <c r="T27" i="8"/>
  <c r="U9" i="8"/>
  <c r="AC39" i="8"/>
  <c r="P10" i="8"/>
  <c r="F32" i="11" s="1"/>
  <c r="Q7" i="8"/>
  <c r="T25" i="8"/>
  <c r="T10" i="8"/>
  <c r="T30" i="8" s="1"/>
  <c r="U7" i="8"/>
  <c r="T20" i="8"/>
  <c r="AE71" i="8"/>
  <c r="AF98" i="8"/>
  <c r="AF112" i="8" s="1"/>
  <c r="AF113" i="8" s="1"/>
  <c r="E72" i="2"/>
  <c r="E73" i="2" s="1"/>
  <c r="F56" i="2"/>
  <c r="F61" i="2"/>
  <c r="F82" i="2" s="1"/>
  <c r="F144" i="2" s="1"/>
  <c r="M124" i="6"/>
  <c r="N124" i="6"/>
  <c r="M100" i="6"/>
  <c r="H106" i="6"/>
  <c r="G104" i="6"/>
  <c r="AL37" i="6"/>
  <c r="L32" i="6"/>
  <c r="L70" i="6"/>
  <c r="U25" i="6"/>
  <c r="U20" i="6"/>
  <c r="AB38" i="6"/>
  <c r="AD12" i="6"/>
  <c r="AE16" i="6"/>
  <c r="AF16" i="6" s="1"/>
  <c r="V20" i="6"/>
  <c r="W7" i="6"/>
  <c r="V25" i="6"/>
  <c r="O18" i="6"/>
  <c r="N14" i="6"/>
  <c r="N22" i="6" s="1"/>
  <c r="O17" i="6"/>
  <c r="S17" i="6" s="1"/>
  <c r="T17" i="6" s="1"/>
  <c r="N13" i="6"/>
  <c r="N21" i="6" s="1"/>
  <c r="O20" i="6"/>
  <c r="P20" i="6" s="1"/>
  <c r="Q20" i="6" s="1"/>
  <c r="J84" i="6"/>
  <c r="J87" i="6" s="1"/>
  <c r="J107" i="6" s="1"/>
  <c r="P25" i="6"/>
  <c r="Q25" i="6" s="1"/>
  <c r="L51" i="6"/>
  <c r="L65" i="6"/>
  <c r="L59" i="6"/>
  <c r="L82" i="6"/>
  <c r="L35" i="6"/>
  <c r="L50" i="6"/>
  <c r="H87" i="6"/>
  <c r="H107" i="6" s="1"/>
  <c r="K36" i="6"/>
  <c r="N10" i="6"/>
  <c r="N30" i="6" s="1"/>
  <c r="Q7" i="6"/>
  <c r="M23" i="6"/>
  <c r="M28" i="6"/>
  <c r="O9" i="6"/>
  <c r="T9" i="6" s="1"/>
  <c r="N27" i="6"/>
  <c r="O8" i="6"/>
  <c r="T8" i="6" s="1"/>
  <c r="N26" i="6"/>
  <c r="N13" i="5"/>
  <c r="O12" i="5"/>
  <c r="O13" i="5" s="1"/>
  <c r="V126" i="4"/>
  <c r="W97" i="4"/>
  <c r="P121" i="4"/>
  <c r="Q92" i="4"/>
  <c r="W261" i="4"/>
  <c r="X232" i="4"/>
  <c r="Y236" i="4"/>
  <c r="X265" i="4"/>
  <c r="Y197" i="4"/>
  <c r="Z168" i="4"/>
  <c r="Z61" i="4"/>
  <c r="AA32" i="4"/>
  <c r="N185" i="4"/>
  <c r="N205" i="4" s="1"/>
  <c r="O156" i="4"/>
  <c r="P156" i="4" s="1"/>
  <c r="Q156" i="4" s="1"/>
  <c r="R156" i="4" s="1"/>
  <c r="S156" i="4" s="1"/>
  <c r="T156" i="4" s="1"/>
  <c r="U156" i="4" s="1"/>
  <c r="V156" i="4" s="1"/>
  <c r="W156" i="4" s="1"/>
  <c r="X156" i="4" s="1"/>
  <c r="Y156" i="4" s="1"/>
  <c r="Z156" i="4" s="1"/>
  <c r="AA156" i="4" s="1"/>
  <c r="AB156" i="4" s="1"/>
  <c r="AC156" i="4" s="1"/>
  <c r="AD156" i="4" s="1"/>
  <c r="O50" i="4"/>
  <c r="P21" i="4"/>
  <c r="P119" i="4"/>
  <c r="Q90" i="4"/>
  <c r="S122" i="4"/>
  <c r="T93" i="4"/>
  <c r="AA132" i="4"/>
  <c r="AB103" i="4"/>
  <c r="Y263" i="4"/>
  <c r="Z234" i="4"/>
  <c r="Q228" i="4"/>
  <c r="P257" i="4"/>
  <c r="J45" i="4"/>
  <c r="K16" i="4"/>
  <c r="L222" i="4"/>
  <c r="K251" i="4"/>
  <c r="P23" i="4"/>
  <c r="O52" i="4"/>
  <c r="V233" i="4"/>
  <c r="U262" i="4"/>
  <c r="N118" i="4"/>
  <c r="O89" i="4"/>
  <c r="O158" i="4"/>
  <c r="N187" i="4"/>
  <c r="M253" i="4"/>
  <c r="N224" i="4"/>
  <c r="I181" i="4"/>
  <c r="J152" i="4"/>
  <c r="W264" i="4"/>
  <c r="X235" i="4"/>
  <c r="AB199" i="4"/>
  <c r="AC170" i="4"/>
  <c r="AD170" i="4" s="1"/>
  <c r="U125" i="4"/>
  <c r="V96" i="4"/>
  <c r="AB237" i="4"/>
  <c r="AA266" i="4"/>
  <c r="W59" i="4"/>
  <c r="X30" i="4"/>
  <c r="T258" i="4"/>
  <c r="U229" i="4"/>
  <c r="N20" i="4"/>
  <c r="M49" i="4"/>
  <c r="F141" i="4"/>
  <c r="AC65" i="4"/>
  <c r="AD36" i="4"/>
  <c r="AD65" i="4" s="1"/>
  <c r="G40" i="4"/>
  <c r="H15" i="4"/>
  <c r="G44" i="4"/>
  <c r="G69" i="4" s="1"/>
  <c r="G71" i="4" s="1"/>
  <c r="AB268" i="4"/>
  <c r="AC239" i="4"/>
  <c r="L117" i="4"/>
  <c r="M88" i="4"/>
  <c r="AA128" i="4"/>
  <c r="AB99" i="4"/>
  <c r="V193" i="4"/>
  <c r="W164" i="4"/>
  <c r="X164" i="4" s="1"/>
  <c r="Y164" i="4" s="1"/>
  <c r="Z164" i="4" s="1"/>
  <c r="AA164" i="4" s="1"/>
  <c r="AB164" i="4" s="1"/>
  <c r="AC164" i="4" s="1"/>
  <c r="AD164" i="4" s="1"/>
  <c r="T260" i="4"/>
  <c r="U231" i="4"/>
  <c r="T55" i="4"/>
  <c r="U26" i="4"/>
  <c r="H176" i="4"/>
  <c r="H209" i="4" s="1"/>
  <c r="I151" i="4"/>
  <c r="H180" i="4"/>
  <c r="H205" i="4" s="1"/>
  <c r="Z33" i="4"/>
  <c r="Y62" i="4"/>
  <c r="AD240" i="4"/>
  <c r="AD269" i="4" s="1"/>
  <c r="AC269" i="4"/>
  <c r="X58" i="4"/>
  <c r="Y29" i="4"/>
  <c r="K184" i="4"/>
  <c r="L155" i="4"/>
  <c r="R255" i="4"/>
  <c r="S226" i="4"/>
  <c r="F73" i="4"/>
  <c r="S162" i="4"/>
  <c r="R191" i="4"/>
  <c r="P256" i="4"/>
  <c r="Q227" i="4"/>
  <c r="H207" i="4"/>
  <c r="K252" i="4"/>
  <c r="L223" i="4"/>
  <c r="M254" i="4"/>
  <c r="N225" i="4"/>
  <c r="Q54" i="4"/>
  <c r="R25" i="4"/>
  <c r="G209" i="4"/>
  <c r="X31" i="4"/>
  <c r="W60" i="4"/>
  <c r="O51" i="4"/>
  <c r="P22" i="4"/>
  <c r="AD241" i="4"/>
  <c r="AD270" i="4" s="1"/>
  <c r="AC270" i="4"/>
  <c r="G275" i="4"/>
  <c r="Y130" i="4"/>
  <c r="Z101" i="4"/>
  <c r="G244" i="4"/>
  <c r="G277" i="4" s="1"/>
  <c r="G248" i="4"/>
  <c r="G273" i="4" s="1"/>
  <c r="H219" i="4"/>
  <c r="V28" i="4"/>
  <c r="U57" i="4"/>
  <c r="L48" i="4"/>
  <c r="M19" i="4"/>
  <c r="J250" i="4"/>
  <c r="K221" i="4"/>
  <c r="L47" i="4"/>
  <c r="M18" i="4"/>
  <c r="T94" i="4"/>
  <c r="S123" i="4"/>
  <c r="P188" i="4"/>
  <c r="Q159" i="4"/>
  <c r="I114" i="4"/>
  <c r="J85" i="4"/>
  <c r="S259" i="4"/>
  <c r="T230" i="4"/>
  <c r="AB64" i="4"/>
  <c r="AC35" i="4"/>
  <c r="P120" i="4"/>
  <c r="Q91" i="4"/>
  <c r="Z131" i="4"/>
  <c r="AA102" i="4"/>
  <c r="I220" i="4"/>
  <c r="H249" i="4"/>
  <c r="T124" i="4"/>
  <c r="U95" i="4"/>
  <c r="W166" i="4"/>
  <c r="V195" i="4"/>
  <c r="J115" i="4"/>
  <c r="K86" i="4"/>
  <c r="W127" i="4"/>
  <c r="X98" i="4"/>
  <c r="AB238" i="4"/>
  <c r="AA267" i="4"/>
  <c r="Q190" i="4"/>
  <c r="R161" i="4"/>
  <c r="W194" i="4"/>
  <c r="X165" i="4"/>
  <c r="Y165" i="4" s="1"/>
  <c r="Z165" i="4" s="1"/>
  <c r="AA165" i="4" s="1"/>
  <c r="AB165" i="4" s="1"/>
  <c r="AC165" i="4" s="1"/>
  <c r="AD165" i="4" s="1"/>
  <c r="G112" i="4"/>
  <c r="G137" i="4" s="1"/>
  <c r="G139" i="4" s="1"/>
  <c r="G108" i="4"/>
  <c r="H83" i="4"/>
  <c r="L116" i="4"/>
  <c r="M87" i="4"/>
  <c r="I46" i="4"/>
  <c r="J17" i="4"/>
  <c r="Y198" i="4"/>
  <c r="Z169" i="4"/>
  <c r="Y167" i="4"/>
  <c r="X196" i="4"/>
  <c r="J183" i="4"/>
  <c r="K154" i="4"/>
  <c r="Q53" i="4"/>
  <c r="R24" i="4"/>
  <c r="AA200" i="4"/>
  <c r="AB171" i="4"/>
  <c r="I182" i="4"/>
  <c r="J153" i="4"/>
  <c r="U163" i="4"/>
  <c r="T192" i="4"/>
  <c r="U56" i="4"/>
  <c r="V27" i="4"/>
  <c r="H113" i="4"/>
  <c r="I84" i="4"/>
  <c r="AC172" i="4"/>
  <c r="AB201" i="4"/>
  <c r="Y129" i="4"/>
  <c r="Z100" i="4"/>
  <c r="F277" i="4"/>
  <c r="G66" i="3"/>
  <c r="G68" i="3" s="1"/>
  <c r="G74" i="3" s="1"/>
  <c r="E93" i="3"/>
  <c r="E95" i="3" s="1"/>
  <c r="E106" i="3"/>
  <c r="I31" i="3"/>
  <c r="H32" i="3"/>
  <c r="H116" i="3"/>
  <c r="H67" i="3"/>
  <c r="H79" i="3" s="1"/>
  <c r="F105" i="3"/>
  <c r="F79" i="3"/>
  <c r="F101" i="3" s="1"/>
  <c r="G101" i="3" s="1"/>
  <c r="F68" i="3"/>
  <c r="G113" i="3"/>
  <c r="G75" i="3"/>
  <c r="H26" i="3"/>
  <c r="H84" i="3" s="1"/>
  <c r="H85" i="3" s="1"/>
  <c r="G70" i="3"/>
  <c r="K16" i="3"/>
  <c r="J104" i="3"/>
  <c r="J16" i="3"/>
  <c r="L17" i="3"/>
  <c r="J17" i="3"/>
  <c r="I17" i="3"/>
  <c r="I24" i="3" s="1"/>
  <c r="I27" i="3" s="1"/>
  <c r="J13" i="3"/>
  <c r="N17" i="3"/>
  <c r="M17" i="3"/>
  <c r="I26" i="3"/>
  <c r="I84" i="3" s="1"/>
  <c r="I85" i="3" s="1"/>
  <c r="O17" i="3"/>
  <c r="K17" i="3"/>
  <c r="I10" i="3"/>
  <c r="H11" i="3"/>
  <c r="I34" i="3"/>
  <c r="H35" i="3"/>
  <c r="H37" i="3" s="1"/>
  <c r="H64" i="3" s="1"/>
  <c r="L30" i="3"/>
  <c r="G57" i="3"/>
  <c r="G58" i="3"/>
  <c r="G103" i="3" s="1"/>
  <c r="G105" i="3" s="1"/>
  <c r="O16" i="2"/>
  <c r="H26" i="2"/>
  <c r="N16" i="2"/>
  <c r="H16" i="2"/>
  <c r="H24" i="2" s="1"/>
  <c r="H27" i="2" s="1"/>
  <c r="H68" i="2" s="1"/>
  <c r="H80" i="2" s="1"/>
  <c r="H117" i="2" s="1"/>
  <c r="I13" i="2"/>
  <c r="K16" i="2"/>
  <c r="J16" i="2"/>
  <c r="I16" i="2"/>
  <c r="M16" i="2"/>
  <c r="L16" i="2"/>
  <c r="I40" i="2"/>
  <c r="I31" i="2"/>
  <c r="H32" i="2"/>
  <c r="H64" i="2" s="1"/>
  <c r="K30" i="2"/>
  <c r="G41" i="2"/>
  <c r="G66" i="2" s="1"/>
  <c r="G67" i="2" s="1"/>
  <c r="I34" i="2"/>
  <c r="H35" i="2"/>
  <c r="H37" i="2" s="1"/>
  <c r="H65" i="2" s="1"/>
  <c r="H11" i="2"/>
  <c r="I10" i="2"/>
  <c r="G59" i="2"/>
  <c r="G58" i="2"/>
  <c r="F69" i="2"/>
  <c r="F71" i="2" s="1"/>
  <c r="F63" i="15" l="1"/>
  <c r="F85" i="15" s="1"/>
  <c r="F147" i="15" s="1"/>
  <c r="F58" i="15"/>
  <c r="F68" i="15"/>
  <c r="F41" i="15"/>
  <c r="O23" i="8"/>
  <c r="O65" i="8" s="1"/>
  <c r="P65" i="8" s="1"/>
  <c r="M70" i="6"/>
  <c r="M74" i="6"/>
  <c r="AC71" i="6"/>
  <c r="AD98" i="6"/>
  <c r="Y23" i="14"/>
  <c r="Y84" i="14" s="1"/>
  <c r="T106" i="14"/>
  <c r="AA18" i="14"/>
  <c r="Z14" i="14"/>
  <c r="V36" i="14"/>
  <c r="Z26" i="14"/>
  <c r="AA8" i="14"/>
  <c r="AA16" i="14"/>
  <c r="Z12" i="14"/>
  <c r="Z20" i="14" s="1"/>
  <c r="X23" i="14"/>
  <c r="AF108" i="14"/>
  <c r="P106" i="14"/>
  <c r="AB9" i="14"/>
  <c r="Z25" i="14"/>
  <c r="Z10" i="14"/>
  <c r="Z30" i="14" s="1"/>
  <c r="AA7" i="14"/>
  <c r="U108" i="14"/>
  <c r="V108" i="14" s="1"/>
  <c r="Z27" i="14"/>
  <c r="AA17" i="14"/>
  <c r="Z13" i="14"/>
  <c r="Z21" i="14" s="1"/>
  <c r="Z58" i="14" s="1"/>
  <c r="W36" i="14"/>
  <c r="W86" i="14" s="1"/>
  <c r="W89" i="14" s="1"/>
  <c r="W109" i="14" s="1"/>
  <c r="Y28" i="14"/>
  <c r="N36" i="8"/>
  <c r="N84" i="8" s="1"/>
  <c r="N87" i="8" s="1"/>
  <c r="N107" i="8" s="1"/>
  <c r="L104" i="8"/>
  <c r="M106" i="8"/>
  <c r="N106" i="8" s="1"/>
  <c r="V13" i="8"/>
  <c r="W17" i="8"/>
  <c r="V18" i="8"/>
  <c r="U14" i="8"/>
  <c r="U22" i="8" s="1"/>
  <c r="T23" i="8"/>
  <c r="T56" i="8"/>
  <c r="V7" i="8"/>
  <c r="U25" i="8"/>
  <c r="U20" i="8"/>
  <c r="U10" i="8"/>
  <c r="U30" i="8" s="1"/>
  <c r="AD39" i="8"/>
  <c r="AF37" i="8"/>
  <c r="W12" i="8"/>
  <c r="X16" i="8"/>
  <c r="U27" i="8"/>
  <c r="V9" i="8"/>
  <c r="T28" i="8"/>
  <c r="P93" i="8"/>
  <c r="R28" i="8"/>
  <c r="F36" i="11" s="1"/>
  <c r="F37" i="11" s="1"/>
  <c r="F39" i="11" s="1"/>
  <c r="Q28" i="8"/>
  <c r="T101" i="8"/>
  <c r="U101" i="8" s="1"/>
  <c r="V101" i="8" s="1"/>
  <c r="W101" i="8" s="1"/>
  <c r="X101" i="8" s="1"/>
  <c r="Y101" i="8" s="1"/>
  <c r="Z101" i="8" s="1"/>
  <c r="AA101" i="8" s="1"/>
  <c r="AB101" i="8" s="1"/>
  <c r="AC101" i="8" s="1"/>
  <c r="AD101" i="8" s="1"/>
  <c r="AE101" i="8" s="1"/>
  <c r="AF101" i="8" s="1"/>
  <c r="P101" i="8"/>
  <c r="O100" i="8"/>
  <c r="P100" i="8" s="1"/>
  <c r="O50" i="8"/>
  <c r="P50" i="8" s="1"/>
  <c r="O59" i="8"/>
  <c r="O124" i="8"/>
  <c r="P124" i="8" s="1"/>
  <c r="Q10" i="8"/>
  <c r="U26" i="8"/>
  <c r="V8" i="8"/>
  <c r="U21" i="8"/>
  <c r="U56" i="8" s="1"/>
  <c r="AJ71" i="8"/>
  <c r="AF71" i="8"/>
  <c r="AV37" i="8"/>
  <c r="AI16" i="6"/>
  <c r="AJ16" i="6" s="1"/>
  <c r="H104" i="6"/>
  <c r="E79" i="2"/>
  <c r="E81" i="2" s="1"/>
  <c r="E107" i="2"/>
  <c r="F108" i="2" s="1"/>
  <c r="H143" i="2"/>
  <c r="H85" i="2"/>
  <c r="H118" i="2"/>
  <c r="G60" i="2"/>
  <c r="G101" i="2"/>
  <c r="G106" i="2"/>
  <c r="G104" i="2"/>
  <c r="N100" i="6"/>
  <c r="I106" i="6"/>
  <c r="AM37" i="6"/>
  <c r="U9" i="6"/>
  <c r="V9" i="6" s="1"/>
  <c r="AE12" i="6"/>
  <c r="AF12" i="6" s="1"/>
  <c r="U8" i="6"/>
  <c r="U17" i="6"/>
  <c r="U13" i="6" s="1"/>
  <c r="X7" i="6"/>
  <c r="W25" i="6"/>
  <c r="W20" i="6"/>
  <c r="M32" i="6"/>
  <c r="AC38" i="6"/>
  <c r="T26" i="6"/>
  <c r="T13" i="6"/>
  <c r="T10" i="6"/>
  <c r="T30" i="6" s="1"/>
  <c r="S18" i="6"/>
  <c r="T18" i="6" s="1"/>
  <c r="O14" i="6"/>
  <c r="P14" i="6" s="1"/>
  <c r="P18" i="6"/>
  <c r="K84" i="6"/>
  <c r="K87" i="6" s="1"/>
  <c r="K107" i="6" s="1"/>
  <c r="O13" i="6"/>
  <c r="P13" i="6" s="1"/>
  <c r="P17" i="6"/>
  <c r="M65" i="6"/>
  <c r="M59" i="6"/>
  <c r="M52" i="6"/>
  <c r="M82" i="6"/>
  <c r="M50" i="6"/>
  <c r="M51" i="6"/>
  <c r="M35" i="6"/>
  <c r="L36" i="6"/>
  <c r="P8" i="6"/>
  <c r="O10" i="6"/>
  <c r="O30" i="6" s="1"/>
  <c r="P30" i="6" s="1"/>
  <c r="N23" i="6"/>
  <c r="N28" i="6"/>
  <c r="P9" i="6"/>
  <c r="Q9" i="6" s="1"/>
  <c r="O27" i="6"/>
  <c r="P27" i="6" s="1"/>
  <c r="Q27" i="6" s="1"/>
  <c r="O26" i="6"/>
  <c r="F75" i="2"/>
  <c r="F76" i="2"/>
  <c r="F114" i="2"/>
  <c r="F115" i="2" s="1"/>
  <c r="F116" i="2" s="1"/>
  <c r="F142" i="2"/>
  <c r="F145" i="2" s="1"/>
  <c r="E110" i="2"/>
  <c r="H71" i="4"/>
  <c r="X261" i="4"/>
  <c r="Y232" i="4"/>
  <c r="Z129" i="4"/>
  <c r="AA100" i="4"/>
  <c r="K183" i="4"/>
  <c r="L154" i="4"/>
  <c r="N87" i="4"/>
  <c r="M116" i="4"/>
  <c r="W195" i="4"/>
  <c r="X166" i="4"/>
  <c r="H275" i="4"/>
  <c r="R54" i="4"/>
  <c r="S25" i="4"/>
  <c r="Y58" i="4"/>
  <c r="Z29" i="4"/>
  <c r="Y235" i="4"/>
  <c r="X264" i="4"/>
  <c r="O118" i="4"/>
  <c r="P89" i="4"/>
  <c r="K45" i="4"/>
  <c r="L16" i="4"/>
  <c r="R91" i="4"/>
  <c r="Q120" i="4"/>
  <c r="AB128" i="4"/>
  <c r="AC99" i="4"/>
  <c r="O187" i="4"/>
  <c r="O205" i="4" s="1"/>
  <c r="P158" i="4"/>
  <c r="Q121" i="4"/>
  <c r="R92" i="4"/>
  <c r="J182" i="4"/>
  <c r="K153" i="4"/>
  <c r="H112" i="4"/>
  <c r="H137" i="4" s="1"/>
  <c r="H139" i="4" s="1"/>
  <c r="H108" i="4"/>
  <c r="I83" i="4"/>
  <c r="AC238" i="4"/>
  <c r="AB267" i="4"/>
  <c r="T123" i="4"/>
  <c r="U94" i="4"/>
  <c r="W28" i="4"/>
  <c r="V57" i="4"/>
  <c r="N254" i="4"/>
  <c r="O225" i="4"/>
  <c r="T162" i="4"/>
  <c r="S191" i="4"/>
  <c r="J181" i="4"/>
  <c r="K152" i="4"/>
  <c r="L152" i="4" s="1"/>
  <c r="M152" i="4" s="1"/>
  <c r="N152" i="4" s="1"/>
  <c r="O152" i="4" s="1"/>
  <c r="P152" i="4" s="1"/>
  <c r="Q152" i="4" s="1"/>
  <c r="R152" i="4" s="1"/>
  <c r="S152" i="4" s="1"/>
  <c r="T152" i="4" s="1"/>
  <c r="U152" i="4" s="1"/>
  <c r="V152" i="4" s="1"/>
  <c r="W152" i="4" s="1"/>
  <c r="X152" i="4" s="1"/>
  <c r="Y152" i="4" s="1"/>
  <c r="Z152" i="4" s="1"/>
  <c r="AA152" i="4" s="1"/>
  <c r="AB152" i="4" s="1"/>
  <c r="AC152" i="4" s="1"/>
  <c r="AD152" i="4" s="1"/>
  <c r="R227" i="4"/>
  <c r="Q256" i="4"/>
  <c r="AC64" i="4"/>
  <c r="AD35" i="4"/>
  <c r="AD64" i="4" s="1"/>
  <c r="AA61" i="4"/>
  <c r="AB32" i="4"/>
  <c r="AC201" i="4"/>
  <c r="AD172" i="4"/>
  <c r="AD201" i="4" s="1"/>
  <c r="AD205" i="4" s="1"/>
  <c r="Z167" i="4"/>
  <c r="AA167" i="4" s="1"/>
  <c r="AB167" i="4" s="1"/>
  <c r="AC167" i="4" s="1"/>
  <c r="AD167" i="4" s="1"/>
  <c r="Y196" i="4"/>
  <c r="Y205" i="4" s="1"/>
  <c r="G141" i="4"/>
  <c r="Y98" i="4"/>
  <c r="X127" i="4"/>
  <c r="T259" i="4"/>
  <c r="U230" i="4"/>
  <c r="M47" i="4"/>
  <c r="N18" i="4"/>
  <c r="H248" i="4"/>
  <c r="H273" i="4" s="1"/>
  <c r="H244" i="4"/>
  <c r="I219" i="4"/>
  <c r="P51" i="4"/>
  <c r="Q22" i="4"/>
  <c r="U260" i="4"/>
  <c r="V231" i="4"/>
  <c r="AC268" i="4"/>
  <c r="AD239" i="4"/>
  <c r="AD268" i="4" s="1"/>
  <c r="AC237" i="4"/>
  <c r="AB266" i="4"/>
  <c r="W233" i="4"/>
  <c r="V262" i="4"/>
  <c r="Q119" i="4"/>
  <c r="R90" i="4"/>
  <c r="AA168" i="4"/>
  <c r="AB168" i="4" s="1"/>
  <c r="AC168" i="4" s="1"/>
  <c r="AD168" i="4" s="1"/>
  <c r="Z197" i="4"/>
  <c r="W126" i="4"/>
  <c r="X97" i="4"/>
  <c r="R190" i="4"/>
  <c r="R205" i="4" s="1"/>
  <c r="S161" i="4"/>
  <c r="M222" i="4"/>
  <c r="L251" i="4"/>
  <c r="M117" i="4"/>
  <c r="N88" i="4"/>
  <c r="I113" i="4"/>
  <c r="J84" i="4"/>
  <c r="AC171" i="4"/>
  <c r="AB200" i="4"/>
  <c r="AB205" i="4" s="1"/>
  <c r="AA169" i="4"/>
  <c r="Z198" i="4"/>
  <c r="I249" i="4"/>
  <c r="J220" i="4"/>
  <c r="L252" i="4"/>
  <c r="M223" i="4"/>
  <c r="T226" i="4"/>
  <c r="S255" i="4"/>
  <c r="O20" i="4"/>
  <c r="N49" i="4"/>
  <c r="V125" i="4"/>
  <c r="W96" i="4"/>
  <c r="N253" i="4"/>
  <c r="O224" i="4"/>
  <c r="Q257" i="4"/>
  <c r="R228" i="4"/>
  <c r="M48" i="4"/>
  <c r="N19" i="4"/>
  <c r="I176" i="4"/>
  <c r="I209" i="4" s="1"/>
  <c r="I180" i="4"/>
  <c r="I205" i="4" s="1"/>
  <c r="J151" i="4"/>
  <c r="AB132" i="4"/>
  <c r="AC103" i="4"/>
  <c r="U124" i="4"/>
  <c r="V95" i="4"/>
  <c r="U55" i="4"/>
  <c r="V26" i="4"/>
  <c r="T122" i="4"/>
  <c r="U93" i="4"/>
  <c r="L86" i="4"/>
  <c r="K115" i="4"/>
  <c r="J114" i="4"/>
  <c r="K85" i="4"/>
  <c r="AA33" i="4"/>
  <c r="Z62" i="4"/>
  <c r="U258" i="4"/>
  <c r="V229" i="4"/>
  <c r="Q23" i="4"/>
  <c r="P52" i="4"/>
  <c r="AA234" i="4"/>
  <c r="Z263" i="4"/>
  <c r="P50" i="4"/>
  <c r="Q21" i="4"/>
  <c r="Q188" i="4"/>
  <c r="Q205" i="4" s="1"/>
  <c r="R159" i="4"/>
  <c r="S159" i="4" s="1"/>
  <c r="T159" i="4" s="1"/>
  <c r="U159" i="4" s="1"/>
  <c r="V159" i="4" s="1"/>
  <c r="W159" i="4" s="1"/>
  <c r="X159" i="4" s="1"/>
  <c r="Y159" i="4" s="1"/>
  <c r="Z159" i="4" s="1"/>
  <c r="AA159" i="4" s="1"/>
  <c r="AB159" i="4" s="1"/>
  <c r="AC159" i="4" s="1"/>
  <c r="AD159" i="4" s="1"/>
  <c r="G73" i="4"/>
  <c r="X59" i="4"/>
  <c r="Y30" i="4"/>
  <c r="U192" i="4"/>
  <c r="U205" i="4" s="1"/>
  <c r="V163" i="4"/>
  <c r="W163" i="4" s="1"/>
  <c r="X163" i="4" s="1"/>
  <c r="Y163" i="4" s="1"/>
  <c r="Z163" i="4" s="1"/>
  <c r="AA163" i="4" s="1"/>
  <c r="AB163" i="4" s="1"/>
  <c r="AC163" i="4" s="1"/>
  <c r="AD163" i="4" s="1"/>
  <c r="AA131" i="4"/>
  <c r="AB102" i="4"/>
  <c r="K250" i="4"/>
  <c r="L221" i="4"/>
  <c r="V56" i="4"/>
  <c r="W27" i="4"/>
  <c r="R53" i="4"/>
  <c r="S24" i="4"/>
  <c r="J46" i="4"/>
  <c r="K17" i="4"/>
  <c r="W205" i="4"/>
  <c r="Z130" i="4"/>
  <c r="AA101" i="4"/>
  <c r="Y31" i="4"/>
  <c r="X60" i="4"/>
  <c r="I207" i="4"/>
  <c r="L184" i="4"/>
  <c r="M155" i="4"/>
  <c r="V205" i="4"/>
  <c r="H40" i="4"/>
  <c r="I15" i="4"/>
  <c r="H44" i="4"/>
  <c r="H69" i="4" s="1"/>
  <c r="Z236" i="4"/>
  <c r="Y265" i="4"/>
  <c r="H101" i="3"/>
  <c r="G71" i="3"/>
  <c r="G72" i="3" s="1"/>
  <c r="G78" i="3" s="1"/>
  <c r="G80" i="3" s="1"/>
  <c r="G100" i="3"/>
  <c r="G59" i="3"/>
  <c r="G60" i="3" s="1"/>
  <c r="G81" i="3" s="1"/>
  <c r="G118" i="3" s="1"/>
  <c r="I116" i="3"/>
  <c r="I67" i="3"/>
  <c r="I79" i="3" s="1"/>
  <c r="I117" i="3"/>
  <c r="J31" i="3"/>
  <c r="I32" i="3"/>
  <c r="E109" i="3"/>
  <c r="F107" i="3"/>
  <c r="H117" i="3"/>
  <c r="H63" i="3"/>
  <c r="H39" i="3"/>
  <c r="H41" i="3" s="1"/>
  <c r="H65" i="3" s="1"/>
  <c r="H56" i="3"/>
  <c r="G114" i="3"/>
  <c r="G115" i="3" s="1"/>
  <c r="G119" i="3" s="1"/>
  <c r="G121" i="3" s="1"/>
  <c r="F70" i="3"/>
  <c r="F113" i="3"/>
  <c r="F114" i="3" s="1"/>
  <c r="F115" i="3" s="1"/>
  <c r="F119" i="3" s="1"/>
  <c r="F121" i="3" s="1"/>
  <c r="F75" i="3"/>
  <c r="F74" i="3"/>
  <c r="F94" i="3"/>
  <c r="E98" i="3"/>
  <c r="E102" i="3" s="1"/>
  <c r="K104" i="3"/>
  <c r="J10" i="3"/>
  <c r="I11" i="3"/>
  <c r="J26" i="3"/>
  <c r="J84" i="3" s="1"/>
  <c r="J85" i="3" s="1"/>
  <c r="N18" i="3"/>
  <c r="L18" i="3"/>
  <c r="J18" i="3"/>
  <c r="J24" i="3" s="1"/>
  <c r="J27" i="3" s="1"/>
  <c r="K18" i="3"/>
  <c r="K13" i="3"/>
  <c r="O18" i="3"/>
  <c r="M18" i="3"/>
  <c r="M30" i="3"/>
  <c r="H58" i="3"/>
  <c r="H103" i="3" s="1"/>
  <c r="H105" i="3" s="1"/>
  <c r="H57" i="3"/>
  <c r="H100" i="3" s="1"/>
  <c r="I35" i="3"/>
  <c r="I37" i="3" s="1"/>
  <c r="I64" i="3" s="1"/>
  <c r="J34" i="3"/>
  <c r="G69" i="2"/>
  <c r="G71" i="2" s="1"/>
  <c r="I17" i="2"/>
  <c r="I24" i="2" s="1"/>
  <c r="I27" i="2" s="1"/>
  <c r="I68" i="2" s="1"/>
  <c r="I80" i="2" s="1"/>
  <c r="I117" i="2" s="1"/>
  <c r="I26" i="2"/>
  <c r="K17" i="2"/>
  <c r="L17" i="2"/>
  <c r="J13" i="2"/>
  <c r="L18" i="2" s="1"/>
  <c r="N17" i="2"/>
  <c r="J17" i="2"/>
  <c r="O17" i="2"/>
  <c r="M17" i="2"/>
  <c r="I35" i="2"/>
  <c r="I37" i="2" s="1"/>
  <c r="I65" i="2" s="1"/>
  <c r="J34" i="2"/>
  <c r="H59" i="2"/>
  <c r="H58" i="2"/>
  <c r="F72" i="2"/>
  <c r="H39" i="2"/>
  <c r="H57" i="2"/>
  <c r="H100" i="2" s="1"/>
  <c r="J31" i="2"/>
  <c r="I32" i="2"/>
  <c r="I64" i="2" s="1"/>
  <c r="J40" i="2"/>
  <c r="J10" i="2"/>
  <c r="I11" i="2"/>
  <c r="L30" i="2"/>
  <c r="Q68" i="15" l="1"/>
  <c r="C41" i="15"/>
  <c r="Q97" i="15"/>
  <c r="F69" i="15"/>
  <c r="P23" i="8"/>
  <c r="O74" i="8"/>
  <c r="P74" i="8" s="1"/>
  <c r="O32" i="8"/>
  <c r="O70" i="8"/>
  <c r="P70" i="8" s="1"/>
  <c r="O51" i="8"/>
  <c r="P51" i="8" s="1"/>
  <c r="O82" i="8"/>
  <c r="P82" i="8" s="1"/>
  <c r="O52" i="8"/>
  <c r="P52" i="8" s="1"/>
  <c r="O35" i="8"/>
  <c r="P122" i="8"/>
  <c r="F50" i="11"/>
  <c r="F67" i="11"/>
  <c r="F60" i="11"/>
  <c r="F104" i="11" s="1"/>
  <c r="F61" i="11"/>
  <c r="F107" i="11" s="1"/>
  <c r="N70" i="6"/>
  <c r="N74" i="6"/>
  <c r="AE98" i="6"/>
  <c r="AE71" i="6" s="1"/>
  <c r="AD71" i="6"/>
  <c r="AF98" i="6"/>
  <c r="AF112" i="6" s="1"/>
  <c r="AF113" i="6" s="1"/>
  <c r="AJ12" i="6"/>
  <c r="Y51" i="14"/>
  <c r="Y67" i="14"/>
  <c r="Y53" i="14"/>
  <c r="Y61" i="14"/>
  <c r="Y52" i="14"/>
  <c r="Y55" i="14"/>
  <c r="Y62" i="14"/>
  <c r="Y76" i="14"/>
  <c r="Y63" i="14"/>
  <c r="Y54" i="14"/>
  <c r="Y72" i="14"/>
  <c r="Y32" i="14"/>
  <c r="Y35" i="14"/>
  <c r="U106" i="14"/>
  <c r="AA13" i="14"/>
  <c r="AA21" i="14" s="1"/>
  <c r="AA58" i="14" s="1"/>
  <c r="AB17" i="14"/>
  <c r="AB18" i="14"/>
  <c r="AA14" i="14"/>
  <c r="AA22" i="14" s="1"/>
  <c r="AC9" i="14"/>
  <c r="X84" i="14"/>
  <c r="X72" i="14"/>
  <c r="X76" i="14"/>
  <c r="X54" i="14"/>
  <c r="X55" i="14"/>
  <c r="X52" i="14"/>
  <c r="X53" i="14"/>
  <c r="X51" i="14"/>
  <c r="X67" i="14"/>
  <c r="X32" i="14"/>
  <c r="X35" i="14"/>
  <c r="X61" i="14"/>
  <c r="X63" i="14"/>
  <c r="X62" i="14"/>
  <c r="AA26" i="14"/>
  <c r="AB8" i="14"/>
  <c r="AA25" i="14"/>
  <c r="AA10" i="14"/>
  <c r="AA30" i="14" s="1"/>
  <c r="AB7" i="14"/>
  <c r="AA27" i="14"/>
  <c r="AB16" i="14"/>
  <c r="AA12" i="14"/>
  <c r="AA20" i="14" s="1"/>
  <c r="V86" i="14"/>
  <c r="V89" i="14" s="1"/>
  <c r="V109" i="14" s="1"/>
  <c r="V106" i="14" s="1"/>
  <c r="Z28" i="14"/>
  <c r="Z22" i="14"/>
  <c r="Z23" i="14" s="1"/>
  <c r="N104" i="8"/>
  <c r="V14" i="8"/>
  <c r="V22" i="8" s="1"/>
  <c r="W18" i="8"/>
  <c r="X17" i="8"/>
  <c r="W13" i="8"/>
  <c r="M104" i="8"/>
  <c r="P32" i="8"/>
  <c r="O106" i="8"/>
  <c r="X12" i="8"/>
  <c r="Y16" i="8"/>
  <c r="AE39" i="8"/>
  <c r="P59" i="8"/>
  <c r="U23" i="8"/>
  <c r="T74" i="8"/>
  <c r="T82" i="8"/>
  <c r="T70" i="8"/>
  <c r="T65" i="8"/>
  <c r="T51" i="8"/>
  <c r="T52" i="8"/>
  <c r="T32" i="8"/>
  <c r="T35" i="8"/>
  <c r="T50" i="8"/>
  <c r="T61" i="8"/>
  <c r="T60" i="8"/>
  <c r="T59" i="8"/>
  <c r="T58" i="8"/>
  <c r="AK71" i="8"/>
  <c r="AL71" i="8" s="1"/>
  <c r="AM71" i="8" s="1"/>
  <c r="AN71" i="8" s="1"/>
  <c r="AO71" i="8" s="1"/>
  <c r="AP71" i="8" s="1"/>
  <c r="AQ71" i="8" s="1"/>
  <c r="AR71" i="8" s="1"/>
  <c r="AS71" i="8" s="1"/>
  <c r="AT71" i="8" s="1"/>
  <c r="AU71" i="8" s="1"/>
  <c r="U28" i="8"/>
  <c r="P92" i="8"/>
  <c r="P114" i="8" s="1"/>
  <c r="Q23" i="8"/>
  <c r="R23" i="8"/>
  <c r="F33" i="11" s="1"/>
  <c r="F34" i="11" s="1"/>
  <c r="V27" i="8"/>
  <c r="W9" i="8"/>
  <c r="V25" i="8"/>
  <c r="W7" i="8"/>
  <c r="V20" i="8"/>
  <c r="V10" i="8"/>
  <c r="V30" i="8" s="1"/>
  <c r="V21" i="8"/>
  <c r="V56" i="8" s="1"/>
  <c r="V26" i="8"/>
  <c r="W8" i="8"/>
  <c r="P115" i="8"/>
  <c r="AJ71" i="6"/>
  <c r="AF71" i="6"/>
  <c r="AK16" i="6"/>
  <c r="AL16" i="6" s="1"/>
  <c r="G56" i="2"/>
  <c r="G61" i="2"/>
  <c r="G82" i="2" s="1"/>
  <c r="G144" i="2" s="1"/>
  <c r="G114" i="2"/>
  <c r="G142" i="2"/>
  <c r="G76" i="2"/>
  <c r="H102" i="2"/>
  <c r="I102" i="2" s="1"/>
  <c r="H86" i="2"/>
  <c r="I118" i="2"/>
  <c r="I85" i="2"/>
  <c r="I86" i="2" s="1"/>
  <c r="I143" i="2"/>
  <c r="H104" i="2"/>
  <c r="H106" i="2" s="1"/>
  <c r="H60" i="2"/>
  <c r="H61" i="2" s="1"/>
  <c r="H82" i="2" s="1"/>
  <c r="H144" i="2" s="1"/>
  <c r="H101" i="2"/>
  <c r="E83" i="2"/>
  <c r="O124" i="6"/>
  <c r="P124" i="6" s="1"/>
  <c r="O100" i="6"/>
  <c r="P100" i="6" s="1"/>
  <c r="J106" i="6"/>
  <c r="I104" i="6"/>
  <c r="AN37" i="6"/>
  <c r="V17" i="6"/>
  <c r="U10" i="6"/>
  <c r="U30" i="6" s="1"/>
  <c r="U26" i="6"/>
  <c r="V8" i="6"/>
  <c r="N32" i="6"/>
  <c r="U21" i="6"/>
  <c r="U56" i="6" s="1"/>
  <c r="T21" i="6"/>
  <c r="T14" i="6"/>
  <c r="U18" i="6"/>
  <c r="W9" i="6"/>
  <c r="AD38" i="6"/>
  <c r="Y7" i="6"/>
  <c r="X25" i="6"/>
  <c r="X20" i="6"/>
  <c r="O22" i="6"/>
  <c r="P22" i="6" s="1"/>
  <c r="Q22" i="6" s="1"/>
  <c r="T27" i="6"/>
  <c r="O21" i="6"/>
  <c r="N82" i="6"/>
  <c r="N65" i="6"/>
  <c r="N52" i="6"/>
  <c r="N59" i="6"/>
  <c r="N51" i="6"/>
  <c r="N35" i="6"/>
  <c r="N50" i="6"/>
  <c r="M36" i="6"/>
  <c r="Q8" i="6"/>
  <c r="P10" i="6"/>
  <c r="O28" i="6"/>
  <c r="P28" i="6" s="1"/>
  <c r="P26" i="6"/>
  <c r="Q26" i="6" s="1"/>
  <c r="G72" i="2"/>
  <c r="N48" i="4"/>
  <c r="O19" i="4"/>
  <c r="R119" i="4"/>
  <c r="S90" i="4"/>
  <c r="S227" i="4"/>
  <c r="R256" i="4"/>
  <c r="X28" i="4"/>
  <c r="W57" i="4"/>
  <c r="K182" i="4"/>
  <c r="K205" i="4" s="1"/>
  <c r="L153" i="4"/>
  <c r="M153" i="4" s="1"/>
  <c r="N153" i="4" s="1"/>
  <c r="O153" i="4" s="1"/>
  <c r="P153" i="4" s="1"/>
  <c r="Q153" i="4" s="1"/>
  <c r="R153" i="4" s="1"/>
  <c r="S153" i="4" s="1"/>
  <c r="T153" i="4" s="1"/>
  <c r="U153" i="4" s="1"/>
  <c r="V153" i="4" s="1"/>
  <c r="W153" i="4" s="1"/>
  <c r="X153" i="4" s="1"/>
  <c r="Y153" i="4" s="1"/>
  <c r="Z153" i="4" s="1"/>
  <c r="AA153" i="4" s="1"/>
  <c r="AB153" i="4" s="1"/>
  <c r="AC153" i="4" s="1"/>
  <c r="AD153" i="4" s="1"/>
  <c r="Z58" i="4"/>
  <c r="AA29" i="4"/>
  <c r="N116" i="4"/>
  <c r="O87" i="4"/>
  <c r="Z265" i="4"/>
  <c r="AA236" i="4"/>
  <c r="K114" i="4"/>
  <c r="L85" i="4"/>
  <c r="V124" i="4"/>
  <c r="W95" i="4"/>
  <c r="P20" i="4"/>
  <c r="O49" i="4"/>
  <c r="AA198" i="4"/>
  <c r="AA205" i="4" s="1"/>
  <c r="AB169" i="4"/>
  <c r="AC169" i="4" s="1"/>
  <c r="AD169" i="4" s="1"/>
  <c r="M251" i="4"/>
  <c r="N222" i="4"/>
  <c r="U259" i="4"/>
  <c r="V230" i="4"/>
  <c r="U123" i="4"/>
  <c r="V94" i="4"/>
  <c r="R120" i="4"/>
  <c r="S91" i="4"/>
  <c r="M154" i="4"/>
  <c r="N154" i="4" s="1"/>
  <c r="O154" i="4" s="1"/>
  <c r="P154" i="4" s="1"/>
  <c r="Q154" i="4" s="1"/>
  <c r="R154" i="4" s="1"/>
  <c r="S154" i="4" s="1"/>
  <c r="T154" i="4" s="1"/>
  <c r="U154" i="4" s="1"/>
  <c r="V154" i="4" s="1"/>
  <c r="W154" i="4" s="1"/>
  <c r="X154" i="4" s="1"/>
  <c r="Y154" i="4" s="1"/>
  <c r="Z154" i="4" s="1"/>
  <c r="AA154" i="4" s="1"/>
  <c r="AB154" i="4" s="1"/>
  <c r="AC154" i="4" s="1"/>
  <c r="AD154" i="4" s="1"/>
  <c r="L183" i="4"/>
  <c r="L205" i="4" s="1"/>
  <c r="Z31" i="4"/>
  <c r="Y60" i="4"/>
  <c r="X27" i="4"/>
  <c r="W56" i="4"/>
  <c r="Z30" i="4"/>
  <c r="Y59" i="4"/>
  <c r="AB234" i="4"/>
  <c r="AA263" i="4"/>
  <c r="R257" i="4"/>
  <c r="S228" i="4"/>
  <c r="S190" i="4"/>
  <c r="S205" i="4" s="1"/>
  <c r="T161" i="4"/>
  <c r="U161" i="4" s="1"/>
  <c r="V161" i="4" s="1"/>
  <c r="W161" i="4" s="1"/>
  <c r="X161" i="4" s="1"/>
  <c r="Y161" i="4" s="1"/>
  <c r="Z161" i="4" s="1"/>
  <c r="AA161" i="4" s="1"/>
  <c r="AB161" i="4" s="1"/>
  <c r="AC161" i="4" s="1"/>
  <c r="AD161" i="4" s="1"/>
  <c r="R22" i="4"/>
  <c r="Q51" i="4"/>
  <c r="AB61" i="4"/>
  <c r="AC32" i="4"/>
  <c r="J205" i="4"/>
  <c r="R121" i="4"/>
  <c r="S92" i="4"/>
  <c r="L45" i="4"/>
  <c r="M16" i="4"/>
  <c r="T25" i="4"/>
  <c r="S54" i="4"/>
  <c r="Q50" i="4"/>
  <c r="R21" i="4"/>
  <c r="N47" i="4"/>
  <c r="O18" i="4"/>
  <c r="J207" i="4"/>
  <c r="K207" i="4" s="1"/>
  <c r="L207" i="4" s="1"/>
  <c r="AB33" i="4"/>
  <c r="AA62" i="4"/>
  <c r="V260" i="4"/>
  <c r="W231" i="4"/>
  <c r="J15" i="4"/>
  <c r="I44" i="4"/>
  <c r="I69" i="4" s="1"/>
  <c r="I40" i="4"/>
  <c r="U226" i="4"/>
  <c r="T255" i="4"/>
  <c r="AD171" i="4"/>
  <c r="AC200" i="4"/>
  <c r="AC205" i="4" s="1"/>
  <c r="X233" i="4"/>
  <c r="W262" i="4"/>
  <c r="AA129" i="4"/>
  <c r="AB100" i="4"/>
  <c r="L115" i="4"/>
  <c r="M86" i="4"/>
  <c r="P224" i="4"/>
  <c r="O253" i="4"/>
  <c r="J113" i="4"/>
  <c r="K84" i="4"/>
  <c r="I244" i="4"/>
  <c r="I248" i="4"/>
  <c r="I273" i="4" s="1"/>
  <c r="J219" i="4"/>
  <c r="V93" i="4"/>
  <c r="U122" i="4"/>
  <c r="AC266" i="4"/>
  <c r="AD237" i="4"/>
  <c r="AD266" i="4" s="1"/>
  <c r="H277" i="4"/>
  <c r="O254" i="4"/>
  <c r="P225" i="4"/>
  <c r="I108" i="4"/>
  <c r="J83" i="4"/>
  <c r="I112" i="4"/>
  <c r="I137" i="4" s="1"/>
  <c r="I139" i="4" s="1"/>
  <c r="X195" i="4"/>
  <c r="X205" i="4" s="1"/>
  <c r="Y166" i="4"/>
  <c r="Z166" i="4" s="1"/>
  <c r="AA166" i="4" s="1"/>
  <c r="AB166" i="4" s="1"/>
  <c r="AC166" i="4" s="1"/>
  <c r="AD166" i="4" s="1"/>
  <c r="Y261" i="4"/>
  <c r="Z232" i="4"/>
  <c r="V55" i="4"/>
  <c r="W26" i="4"/>
  <c r="I71" i="4"/>
  <c r="S53" i="4"/>
  <c r="T24" i="4"/>
  <c r="AA130" i="4"/>
  <c r="AB101" i="4"/>
  <c r="AC132" i="4"/>
  <c r="AD103" i="4"/>
  <c r="AD132" i="4" s="1"/>
  <c r="H73" i="4"/>
  <c r="L250" i="4"/>
  <c r="M221" i="4"/>
  <c r="R23" i="4"/>
  <c r="Q52" i="4"/>
  <c r="M252" i="4"/>
  <c r="N223" i="4"/>
  <c r="Y97" i="4"/>
  <c r="X126" i="4"/>
  <c r="Y127" i="4"/>
  <c r="Z98" i="4"/>
  <c r="U162" i="4"/>
  <c r="V162" i="4" s="1"/>
  <c r="W162" i="4" s="1"/>
  <c r="X162" i="4" s="1"/>
  <c r="Y162" i="4" s="1"/>
  <c r="Z162" i="4" s="1"/>
  <c r="AA162" i="4" s="1"/>
  <c r="AB162" i="4" s="1"/>
  <c r="AC162" i="4" s="1"/>
  <c r="AD162" i="4" s="1"/>
  <c r="T191" i="4"/>
  <c r="T205" i="4" s="1"/>
  <c r="AD238" i="4"/>
  <c r="AD267" i="4" s="1"/>
  <c r="AC267" i="4"/>
  <c r="P187" i="4"/>
  <c r="P205" i="4" s="1"/>
  <c r="Q158" i="4"/>
  <c r="R158" i="4" s="1"/>
  <c r="S158" i="4" s="1"/>
  <c r="T158" i="4" s="1"/>
  <c r="U158" i="4" s="1"/>
  <c r="V158" i="4" s="1"/>
  <c r="W158" i="4" s="1"/>
  <c r="X158" i="4" s="1"/>
  <c r="Y158" i="4" s="1"/>
  <c r="Z158" i="4" s="1"/>
  <c r="AA158" i="4" s="1"/>
  <c r="AB158" i="4" s="1"/>
  <c r="AC158" i="4" s="1"/>
  <c r="AD158" i="4" s="1"/>
  <c r="P118" i="4"/>
  <c r="Q89" i="4"/>
  <c r="I275" i="4"/>
  <c r="V258" i="4"/>
  <c r="W229" i="4"/>
  <c r="J176" i="4"/>
  <c r="K151" i="4"/>
  <c r="M184" i="4"/>
  <c r="M205" i="4" s="1"/>
  <c r="N155" i="4"/>
  <c r="O155" i="4" s="1"/>
  <c r="P155" i="4" s="1"/>
  <c r="Q155" i="4" s="1"/>
  <c r="R155" i="4" s="1"/>
  <c r="S155" i="4" s="1"/>
  <c r="T155" i="4" s="1"/>
  <c r="U155" i="4" s="1"/>
  <c r="V155" i="4" s="1"/>
  <c r="W155" i="4" s="1"/>
  <c r="X155" i="4" s="1"/>
  <c r="Y155" i="4" s="1"/>
  <c r="Z155" i="4" s="1"/>
  <c r="AA155" i="4" s="1"/>
  <c r="AB155" i="4" s="1"/>
  <c r="AC155" i="4" s="1"/>
  <c r="AD155" i="4" s="1"/>
  <c r="L17" i="4"/>
  <c r="K46" i="4"/>
  <c r="AB131" i="4"/>
  <c r="AC102" i="4"/>
  <c r="X96" i="4"/>
  <c r="W125" i="4"/>
  <c r="J249" i="4"/>
  <c r="K220" i="4"/>
  <c r="N117" i="4"/>
  <c r="O88" i="4"/>
  <c r="Z205" i="4"/>
  <c r="H141" i="4"/>
  <c r="AC128" i="4"/>
  <c r="AD99" i="4"/>
  <c r="AD128" i="4" s="1"/>
  <c r="Z235" i="4"/>
  <c r="Y264" i="4"/>
  <c r="G82" i="3"/>
  <c r="G90" i="3" s="1"/>
  <c r="G106" i="3"/>
  <c r="J116" i="3"/>
  <c r="J67" i="3"/>
  <c r="J79" i="3" s="1"/>
  <c r="F71" i="3"/>
  <c r="F72" i="3" s="1"/>
  <c r="F78" i="3" s="1"/>
  <c r="F80" i="3" s="1"/>
  <c r="F82" i="3" s="1"/>
  <c r="H59" i="3"/>
  <c r="H60" i="3" s="1"/>
  <c r="H81" i="3" s="1"/>
  <c r="H118" i="3" s="1"/>
  <c r="H99" i="3"/>
  <c r="K31" i="3"/>
  <c r="J32" i="3"/>
  <c r="I63" i="3"/>
  <c r="I56" i="3"/>
  <c r="I39" i="3"/>
  <c r="I41" i="3" s="1"/>
  <c r="I65" i="3" s="1"/>
  <c r="J117" i="3"/>
  <c r="H66" i="3"/>
  <c r="H68" i="3" s="1"/>
  <c r="I101" i="3"/>
  <c r="J101" i="3" s="1"/>
  <c r="E110" i="3"/>
  <c r="G75" i="2"/>
  <c r="L104" i="3"/>
  <c r="J11" i="3"/>
  <c r="K10" i="3"/>
  <c r="N30" i="3"/>
  <c r="K34" i="3"/>
  <c r="J35" i="3"/>
  <c r="J37" i="3" s="1"/>
  <c r="J64" i="3" s="1"/>
  <c r="O19" i="3"/>
  <c r="L13" i="3"/>
  <c r="N19" i="3"/>
  <c r="M19" i="3"/>
  <c r="L19" i="3"/>
  <c r="K26" i="3"/>
  <c r="K84" i="3" s="1"/>
  <c r="K85" i="3" s="1"/>
  <c r="K19" i="3"/>
  <c r="K24" i="3" s="1"/>
  <c r="K27" i="3" s="1"/>
  <c r="I57" i="3"/>
  <c r="I100" i="3" s="1"/>
  <c r="I58" i="3"/>
  <c r="I103" i="3" s="1"/>
  <c r="I105" i="3" s="1"/>
  <c r="O18" i="2"/>
  <c r="J26" i="2"/>
  <c r="J18" i="2"/>
  <c r="J24" i="2" s="1"/>
  <c r="J27" i="2" s="1"/>
  <c r="J68" i="2" s="1"/>
  <c r="J80" i="2" s="1"/>
  <c r="J117" i="2" s="1"/>
  <c r="K18" i="2"/>
  <c r="M18" i="2"/>
  <c r="K13" i="2"/>
  <c r="K19" i="2" s="1"/>
  <c r="N18" i="2"/>
  <c r="H41" i="2"/>
  <c r="H66" i="2" s="1"/>
  <c r="H67" i="2"/>
  <c r="K34" i="2"/>
  <c r="J35" i="2"/>
  <c r="J37" i="2" s="1"/>
  <c r="J65" i="2" s="1"/>
  <c r="M30" i="2"/>
  <c r="I39" i="2"/>
  <c r="I57" i="2"/>
  <c r="I100" i="2" s="1"/>
  <c r="I59" i="2"/>
  <c r="I58" i="2"/>
  <c r="K10" i="2"/>
  <c r="J11" i="2"/>
  <c r="K31" i="2"/>
  <c r="J32" i="2"/>
  <c r="J64" i="2" s="1"/>
  <c r="F73" i="2"/>
  <c r="K40" i="2"/>
  <c r="F71" i="15" l="1"/>
  <c r="Q69" i="15"/>
  <c r="O36" i="8"/>
  <c r="F73" i="11"/>
  <c r="F92" i="11"/>
  <c r="F51" i="11"/>
  <c r="F66" i="11"/>
  <c r="F59" i="11"/>
  <c r="AK12" i="6"/>
  <c r="W8" i="6"/>
  <c r="AV71" i="8"/>
  <c r="Y36" i="14"/>
  <c r="Y86" i="14" s="1"/>
  <c r="Y89" i="14" s="1"/>
  <c r="Y109" i="14" s="1"/>
  <c r="AA23" i="14"/>
  <c r="AB26" i="14"/>
  <c r="AC8" i="14"/>
  <c r="AC18" i="14"/>
  <c r="AC27" i="14" s="1"/>
  <c r="AB14" i="14"/>
  <c r="AB22" i="14" s="1"/>
  <c r="AB25" i="14"/>
  <c r="AB10" i="14"/>
  <c r="AB30" i="14" s="1"/>
  <c r="AC7" i="14"/>
  <c r="X36" i="14"/>
  <c r="AD9" i="14"/>
  <c r="Z72" i="14"/>
  <c r="Z76" i="14"/>
  <c r="Z53" i="14"/>
  <c r="Z51" i="14"/>
  <c r="Z67" i="14"/>
  <c r="Z32" i="14"/>
  <c r="Z35" i="14"/>
  <c r="Z84" i="14"/>
  <c r="Z54" i="14"/>
  <c r="Z52" i="14"/>
  <c r="Z55" i="14"/>
  <c r="Z63" i="14"/>
  <c r="Z62" i="14"/>
  <c r="Z61" i="14"/>
  <c r="AB13" i="14"/>
  <c r="AB21" i="14" s="1"/>
  <c r="AB58" i="14" s="1"/>
  <c r="AC17" i="14"/>
  <c r="W108" i="14"/>
  <c r="AB27" i="14"/>
  <c r="AB12" i="14"/>
  <c r="AB20" i="14" s="1"/>
  <c r="AC16" i="14"/>
  <c r="AA28" i="14"/>
  <c r="V23" i="8"/>
  <c r="V51" i="8" s="1"/>
  <c r="P117" i="8"/>
  <c r="P110" i="8" s="1"/>
  <c r="P128" i="8" s="1"/>
  <c r="P130" i="8" s="1"/>
  <c r="P91" i="8" s="1"/>
  <c r="P90" i="8" s="1"/>
  <c r="X13" i="8"/>
  <c r="Y17" i="8"/>
  <c r="X18" i="8"/>
  <c r="W14" i="8"/>
  <c r="W22" i="8" s="1"/>
  <c r="Z16" i="8"/>
  <c r="Y12" i="8"/>
  <c r="V28" i="8"/>
  <c r="O84" i="8"/>
  <c r="O87" i="8" s="1"/>
  <c r="O107" i="8" s="1"/>
  <c r="O104" i="8" s="1"/>
  <c r="P36" i="8"/>
  <c r="W27" i="8"/>
  <c r="X9" i="8"/>
  <c r="T36" i="8"/>
  <c r="W25" i="8"/>
  <c r="X7" i="8"/>
  <c r="W20" i="8"/>
  <c r="W10" i="8"/>
  <c r="W30" i="8" s="1"/>
  <c r="Q32" i="8"/>
  <c r="U74" i="8"/>
  <c r="U82" i="8"/>
  <c r="U70" i="8"/>
  <c r="U65" i="8"/>
  <c r="U51" i="8"/>
  <c r="U52" i="8"/>
  <c r="U50" i="8"/>
  <c r="U32" i="8"/>
  <c r="U35" i="8"/>
  <c r="U60" i="8"/>
  <c r="U61" i="8"/>
  <c r="U59" i="8"/>
  <c r="W26" i="8"/>
  <c r="W21" i="8"/>
  <c r="X8" i="8"/>
  <c r="U58" i="8"/>
  <c r="AF39" i="8"/>
  <c r="AK71" i="6"/>
  <c r="AL71" i="6" s="1"/>
  <c r="AM71" i="6" s="1"/>
  <c r="AN71" i="6" s="1"/>
  <c r="AO71" i="6" s="1"/>
  <c r="AP71" i="6" s="1"/>
  <c r="AQ71" i="6" s="1"/>
  <c r="AR71" i="6" s="1"/>
  <c r="AS71" i="6" s="1"/>
  <c r="AT71" i="6" s="1"/>
  <c r="AU71" i="6" s="1"/>
  <c r="V13" i="6"/>
  <c r="P122" i="6"/>
  <c r="F50" i="5"/>
  <c r="G145" i="2"/>
  <c r="I104" i="2"/>
  <c r="I106" i="2" s="1"/>
  <c r="E94" i="2"/>
  <c r="E96" i="2" s="1"/>
  <c r="G115" i="2"/>
  <c r="G116" i="2"/>
  <c r="J143" i="2"/>
  <c r="J85" i="2"/>
  <c r="J86" i="2" s="1"/>
  <c r="J118" i="2"/>
  <c r="G73" i="2"/>
  <c r="I60" i="2"/>
  <c r="I61" i="2" s="1"/>
  <c r="I82" i="2" s="1"/>
  <c r="I144" i="2" s="1"/>
  <c r="I101" i="2"/>
  <c r="E119" i="2"/>
  <c r="E120" i="2" s="1"/>
  <c r="E122" i="2" s="1"/>
  <c r="P93" i="6"/>
  <c r="P115" i="6" s="1"/>
  <c r="K106" i="6"/>
  <c r="J104" i="6"/>
  <c r="AM16" i="6"/>
  <c r="AL12" i="6"/>
  <c r="AO37" i="6"/>
  <c r="V10" i="6"/>
  <c r="V30" i="6" s="1"/>
  <c r="W17" i="6"/>
  <c r="X17" i="6" s="1"/>
  <c r="V26" i="6"/>
  <c r="T22" i="6"/>
  <c r="T56" i="6"/>
  <c r="T28" i="6"/>
  <c r="AE38" i="6"/>
  <c r="AF38" i="6" s="1"/>
  <c r="X9" i="6"/>
  <c r="V18" i="6"/>
  <c r="U14" i="6"/>
  <c r="U27" i="6"/>
  <c r="U28" i="6" s="1"/>
  <c r="Z7" i="6"/>
  <c r="Y25" i="6"/>
  <c r="Y20" i="6"/>
  <c r="P21" i="6"/>
  <c r="O23" i="6"/>
  <c r="O74" i="6" s="1"/>
  <c r="P74" i="6" s="1"/>
  <c r="M84" i="6"/>
  <c r="M87" i="6" s="1"/>
  <c r="M107" i="6" s="1"/>
  <c r="L84" i="6"/>
  <c r="L87" i="6" s="1"/>
  <c r="L107" i="6" s="1"/>
  <c r="Q10" i="6"/>
  <c r="F32" i="5"/>
  <c r="Q28" i="6"/>
  <c r="R28" i="6"/>
  <c r="F36" i="5" s="1"/>
  <c r="N36" i="6"/>
  <c r="F79" i="2"/>
  <c r="F81" i="2" s="1"/>
  <c r="F83" i="2" s="1"/>
  <c r="F94" i="2" s="1"/>
  <c r="F107" i="2"/>
  <c r="AA235" i="4"/>
  <c r="Z264" i="4"/>
  <c r="I141" i="4"/>
  <c r="J244" i="4"/>
  <c r="J248" i="4"/>
  <c r="J273" i="4" s="1"/>
  <c r="K219" i="4"/>
  <c r="U255" i="4"/>
  <c r="V226" i="4"/>
  <c r="W226" i="4" s="1"/>
  <c r="X226" i="4" s="1"/>
  <c r="Y226" i="4" s="1"/>
  <c r="Z226" i="4" s="1"/>
  <c r="AA226" i="4" s="1"/>
  <c r="AB226" i="4" s="1"/>
  <c r="AC226" i="4" s="1"/>
  <c r="AD226" i="4" s="1"/>
  <c r="M207" i="4"/>
  <c r="N207" i="4" s="1"/>
  <c r="O207" i="4" s="1"/>
  <c r="P207" i="4" s="1"/>
  <c r="Q207" i="4" s="1"/>
  <c r="R207" i="4" s="1"/>
  <c r="S207" i="4" s="1"/>
  <c r="T207" i="4" s="1"/>
  <c r="U207" i="4" s="1"/>
  <c r="V207" i="4" s="1"/>
  <c r="W207" i="4" s="1"/>
  <c r="X207" i="4" s="1"/>
  <c r="Y207" i="4" s="1"/>
  <c r="Z207" i="4" s="1"/>
  <c r="AA207" i="4" s="1"/>
  <c r="AB207" i="4" s="1"/>
  <c r="AC207" i="4" s="1"/>
  <c r="AD207" i="4" s="1"/>
  <c r="V123" i="4"/>
  <c r="W94" i="4"/>
  <c r="O116" i="4"/>
  <c r="P87" i="4"/>
  <c r="K176" i="4"/>
  <c r="K209" i="4" s="1"/>
  <c r="L151" i="4"/>
  <c r="AB129" i="4"/>
  <c r="AC100" i="4"/>
  <c r="I73" i="4"/>
  <c r="O47" i="4"/>
  <c r="P18" i="4"/>
  <c r="S121" i="4"/>
  <c r="T92" i="4"/>
  <c r="Y27" i="4"/>
  <c r="X56" i="4"/>
  <c r="P49" i="4"/>
  <c r="Q20" i="4"/>
  <c r="S256" i="4"/>
  <c r="T227" i="4"/>
  <c r="M115" i="4"/>
  <c r="N86" i="4"/>
  <c r="N16" i="4"/>
  <c r="M45" i="4"/>
  <c r="W55" i="4"/>
  <c r="X26" i="4"/>
  <c r="X125" i="4"/>
  <c r="Y96" i="4"/>
  <c r="N252" i="4"/>
  <c r="O223" i="4"/>
  <c r="I277" i="4"/>
  <c r="S257" i="4"/>
  <c r="T228" i="4"/>
  <c r="V259" i="4"/>
  <c r="W230" i="4"/>
  <c r="W124" i="4"/>
  <c r="X95" i="4"/>
  <c r="AB29" i="4"/>
  <c r="AA58" i="4"/>
  <c r="T90" i="4"/>
  <c r="S119" i="4"/>
  <c r="V122" i="4"/>
  <c r="W93" i="4"/>
  <c r="AB62" i="4"/>
  <c r="AC33" i="4"/>
  <c r="X57" i="4"/>
  <c r="Y28" i="4"/>
  <c r="Y126" i="4"/>
  <c r="Z97" i="4"/>
  <c r="P254" i="4"/>
  <c r="Q225" i="4"/>
  <c r="J209" i="4"/>
  <c r="Z261" i="4"/>
  <c r="AA232" i="4"/>
  <c r="AC131" i="4"/>
  <c r="AD102" i="4"/>
  <c r="AD131" i="4" s="1"/>
  <c r="X229" i="4"/>
  <c r="W258" i="4"/>
  <c r="AC101" i="4"/>
  <c r="AB130" i="4"/>
  <c r="L84" i="4"/>
  <c r="K113" i="4"/>
  <c r="J44" i="4"/>
  <c r="J69" i="4" s="1"/>
  <c r="J40" i="4"/>
  <c r="K15" i="4"/>
  <c r="R50" i="4"/>
  <c r="S21" i="4"/>
  <c r="Z60" i="4"/>
  <c r="AA31" i="4"/>
  <c r="J71" i="4"/>
  <c r="X262" i="4"/>
  <c r="Y233" i="4"/>
  <c r="W260" i="4"/>
  <c r="X231" i="4"/>
  <c r="AD32" i="4"/>
  <c r="AD61" i="4" s="1"/>
  <c r="AC61" i="4"/>
  <c r="N251" i="4"/>
  <c r="O222" i="4"/>
  <c r="L114" i="4"/>
  <c r="M85" i="4"/>
  <c r="P19" i="4"/>
  <c r="O48" i="4"/>
  <c r="J108" i="4"/>
  <c r="J112" i="4"/>
  <c r="J137" i="4" s="1"/>
  <c r="J139" i="4" s="1"/>
  <c r="K83" i="4"/>
  <c r="S22" i="4"/>
  <c r="R51" i="4"/>
  <c r="R52" i="4"/>
  <c r="S23" i="4"/>
  <c r="AC234" i="4"/>
  <c r="AB263" i="4"/>
  <c r="K249" i="4"/>
  <c r="L220" i="4"/>
  <c r="AA30" i="4"/>
  <c r="Z59" i="4"/>
  <c r="P88" i="4"/>
  <c r="O117" i="4"/>
  <c r="J275" i="4"/>
  <c r="T53" i="4"/>
  <c r="U24" i="4"/>
  <c r="M17" i="4"/>
  <c r="L46" i="4"/>
  <c r="Q118" i="4"/>
  <c r="R89" i="4"/>
  <c r="Z127" i="4"/>
  <c r="AA98" i="4"/>
  <c r="N221" i="4"/>
  <c r="M250" i="4"/>
  <c r="Q224" i="4"/>
  <c r="P253" i="4"/>
  <c r="U25" i="4"/>
  <c r="T54" i="4"/>
  <c r="S120" i="4"/>
  <c r="T91" i="4"/>
  <c r="AA265" i="4"/>
  <c r="AB236" i="4"/>
  <c r="G131" i="3"/>
  <c r="G132" i="3" s="1"/>
  <c r="G134" i="3" s="1"/>
  <c r="G91" i="3"/>
  <c r="G93" i="3" s="1"/>
  <c r="I66" i="3"/>
  <c r="I68" i="3" s="1"/>
  <c r="F93" i="3"/>
  <c r="F95" i="3" s="1"/>
  <c r="F106" i="3"/>
  <c r="K116" i="3"/>
  <c r="K67" i="3"/>
  <c r="K79" i="3" s="1"/>
  <c r="K117" i="3"/>
  <c r="I99" i="3"/>
  <c r="I59" i="3"/>
  <c r="I60" i="3" s="1"/>
  <c r="I81" i="3" s="1"/>
  <c r="I118" i="3" s="1"/>
  <c r="I75" i="3"/>
  <c r="I113" i="3"/>
  <c r="I74" i="3"/>
  <c r="I70" i="3"/>
  <c r="K101" i="3"/>
  <c r="L31" i="3"/>
  <c r="K32" i="3"/>
  <c r="J63" i="3"/>
  <c r="J66" i="3" s="1"/>
  <c r="J68" i="3" s="1"/>
  <c r="J39" i="3"/>
  <c r="J41" i="3" s="1"/>
  <c r="J65" i="3" s="1"/>
  <c r="J56" i="3"/>
  <c r="H75" i="3"/>
  <c r="H113" i="3"/>
  <c r="H70" i="3"/>
  <c r="H74" i="3"/>
  <c r="M104" i="3"/>
  <c r="M20" i="3"/>
  <c r="L26" i="3"/>
  <c r="L84" i="3" s="1"/>
  <c r="L85" i="3" s="1"/>
  <c r="O20" i="3"/>
  <c r="N20" i="3"/>
  <c r="M13" i="3"/>
  <c r="L20" i="3"/>
  <c r="L24" i="3" s="1"/>
  <c r="L27" i="3" s="1"/>
  <c r="O30" i="3"/>
  <c r="J58" i="3"/>
  <c r="J103" i="3" s="1"/>
  <c r="J105" i="3" s="1"/>
  <c r="J57" i="3"/>
  <c r="J100" i="3" s="1"/>
  <c r="K11" i="3"/>
  <c r="L10" i="3"/>
  <c r="L34" i="3"/>
  <c r="K35" i="3"/>
  <c r="K37" i="3" s="1"/>
  <c r="K64" i="3" s="1"/>
  <c r="K24" i="2"/>
  <c r="K27" i="2" s="1"/>
  <c r="K68" i="2" s="1"/>
  <c r="K80" i="2" s="1"/>
  <c r="K117" i="2" s="1"/>
  <c r="H69" i="2"/>
  <c r="M19" i="2"/>
  <c r="L13" i="2"/>
  <c r="L26" i="2" s="1"/>
  <c r="L19" i="2"/>
  <c r="N19" i="2"/>
  <c r="K26" i="2"/>
  <c r="O19" i="2"/>
  <c r="I41" i="2"/>
  <c r="I66" i="2" s="1"/>
  <c r="N30" i="2"/>
  <c r="L40" i="2"/>
  <c r="L10" i="2"/>
  <c r="K11" i="2"/>
  <c r="J58" i="2"/>
  <c r="J59" i="2"/>
  <c r="K35" i="2"/>
  <c r="K37" i="2" s="1"/>
  <c r="K65" i="2" s="1"/>
  <c r="L34" i="2"/>
  <c r="I67" i="2"/>
  <c r="J39" i="2"/>
  <c r="J57" i="2"/>
  <c r="J100" i="2" s="1"/>
  <c r="L31" i="2"/>
  <c r="K32" i="2"/>
  <c r="K64" i="2" s="1"/>
  <c r="F78" i="15" l="1"/>
  <c r="Q71" i="15"/>
  <c r="F79" i="15"/>
  <c r="F117" i="15"/>
  <c r="F118" i="15" s="1"/>
  <c r="F119" i="15" s="1"/>
  <c r="F145" i="15"/>
  <c r="F148" i="15" s="1"/>
  <c r="F74" i="15"/>
  <c r="F75" i="15" s="1"/>
  <c r="F76" i="15" s="1"/>
  <c r="V58" i="8"/>
  <c r="P84" i="8"/>
  <c r="P85" i="8" s="1"/>
  <c r="P87" i="8" s="1"/>
  <c r="P107" i="8" s="1"/>
  <c r="F43" i="11"/>
  <c r="F42" i="11"/>
  <c r="F103" i="11"/>
  <c r="F62" i="11"/>
  <c r="G50" i="11"/>
  <c r="G92" i="11" s="1"/>
  <c r="F95" i="11"/>
  <c r="F108" i="11"/>
  <c r="F37" i="5"/>
  <c r="F39" i="5" s="1"/>
  <c r="F67" i="5" s="1"/>
  <c r="X8" i="6"/>
  <c r="X26" i="6" s="1"/>
  <c r="V21" i="6"/>
  <c r="W10" i="6"/>
  <c r="W30" i="6" s="1"/>
  <c r="AB23" i="14"/>
  <c r="AB76" i="14" s="1"/>
  <c r="AB28" i="14"/>
  <c r="AD16" i="14"/>
  <c r="AC12" i="14"/>
  <c r="AC20" i="14" s="1"/>
  <c r="AC13" i="14"/>
  <c r="AC21" i="14" s="1"/>
  <c r="AC58" i="14" s="1"/>
  <c r="AD17" i="14"/>
  <c r="AC25" i="14"/>
  <c r="AC10" i="14"/>
  <c r="AC30" i="14" s="1"/>
  <c r="AD7" i="14"/>
  <c r="AC26" i="14"/>
  <c r="AD8" i="14"/>
  <c r="AD18" i="14"/>
  <c r="AD27" i="14" s="1"/>
  <c r="AC14" i="14"/>
  <c r="AC22" i="14" s="1"/>
  <c r="AE9" i="14"/>
  <c r="Z36" i="14"/>
  <c r="Z86" i="14" s="1"/>
  <c r="Z89" i="14" s="1"/>
  <c r="Z109" i="14" s="1"/>
  <c r="X86" i="14"/>
  <c r="X89" i="14" s="1"/>
  <c r="X109" i="14" s="1"/>
  <c r="X108" i="14"/>
  <c r="W106" i="14"/>
  <c r="AA72" i="14"/>
  <c r="AA76" i="14"/>
  <c r="AA53" i="14"/>
  <c r="AA51" i="14"/>
  <c r="AA67" i="14"/>
  <c r="AA54" i="14"/>
  <c r="AA35" i="14"/>
  <c r="AA84" i="14"/>
  <c r="AA52" i="14"/>
  <c r="AA32" i="14"/>
  <c r="AA55" i="14"/>
  <c r="AA63" i="14"/>
  <c r="AA61" i="14"/>
  <c r="AA62" i="14"/>
  <c r="V60" i="8"/>
  <c r="V53" i="8"/>
  <c r="V35" i="8"/>
  <c r="V52" i="8"/>
  <c r="V59" i="8"/>
  <c r="V70" i="8"/>
  <c r="V74" i="8"/>
  <c r="V82" i="8"/>
  <c r="V32" i="8"/>
  <c r="V65" i="8"/>
  <c r="V50" i="8"/>
  <c r="V61" i="8"/>
  <c r="P79" i="8"/>
  <c r="T106" i="8"/>
  <c r="U36" i="8"/>
  <c r="U84" i="8" s="1"/>
  <c r="U87" i="8" s="1"/>
  <c r="U107" i="8" s="1"/>
  <c r="Y13" i="8"/>
  <c r="Z17" i="8"/>
  <c r="Y18" i="8"/>
  <c r="X14" i="8"/>
  <c r="X22" i="8" s="1"/>
  <c r="AA16" i="8"/>
  <c r="Z12" i="8"/>
  <c r="W56" i="8"/>
  <c r="T84" i="8"/>
  <c r="T87" i="8" s="1"/>
  <c r="T107" i="8" s="1"/>
  <c r="X27" i="8"/>
  <c r="Y9" i="8"/>
  <c r="X26" i="8"/>
  <c r="X21" i="8"/>
  <c r="X56" i="8" s="1"/>
  <c r="Y8" i="8"/>
  <c r="W23" i="8"/>
  <c r="X25" i="8"/>
  <c r="X20" i="8"/>
  <c r="X10" i="8"/>
  <c r="X30" i="8" s="1"/>
  <c r="Y7" i="8"/>
  <c r="W28" i="8"/>
  <c r="AV71" i="6"/>
  <c r="F92" i="5"/>
  <c r="F51" i="5"/>
  <c r="J102" i="2"/>
  <c r="L85" i="2"/>
  <c r="L118" i="2"/>
  <c r="E99" i="2"/>
  <c r="E103" i="2" s="1"/>
  <c r="E111" i="2" s="1"/>
  <c r="F95" i="2"/>
  <c r="F96" i="2" s="1"/>
  <c r="F99" i="2" s="1"/>
  <c r="F103" i="2" s="1"/>
  <c r="J104" i="2"/>
  <c r="J106" i="2" s="1"/>
  <c r="J60" i="2"/>
  <c r="J61" i="2" s="1"/>
  <c r="J82" i="2" s="1"/>
  <c r="J144" i="2" s="1"/>
  <c r="J101" i="2"/>
  <c r="G79" i="2"/>
  <c r="G81" i="2" s="1"/>
  <c r="G107" i="2"/>
  <c r="K85" i="2"/>
  <c r="K86" i="2" s="1"/>
  <c r="K118" i="2"/>
  <c r="K143" i="2"/>
  <c r="H76" i="2"/>
  <c r="H142" i="2"/>
  <c r="H145" i="2" s="1"/>
  <c r="H114" i="2"/>
  <c r="P116" i="6"/>
  <c r="L106" i="6"/>
  <c r="M106" i="6" s="1"/>
  <c r="N106" i="6" s="1"/>
  <c r="K104" i="6"/>
  <c r="W26" i="6"/>
  <c r="AP37" i="6"/>
  <c r="AK39" i="6"/>
  <c r="AK38" i="6"/>
  <c r="AM12" i="6"/>
  <c r="AN16" i="6"/>
  <c r="O32" i="6"/>
  <c r="P32" i="6" s="1"/>
  <c r="Q32" i="6" s="1"/>
  <c r="O70" i="6"/>
  <c r="P70" i="6" s="1"/>
  <c r="W13" i="6"/>
  <c r="T23" i="6"/>
  <c r="U22" i="6"/>
  <c r="U23" i="6" s="1"/>
  <c r="U74" i="6" s="1"/>
  <c r="V14" i="6"/>
  <c r="V22" i="6" s="1"/>
  <c r="V23" i="6" s="1"/>
  <c r="V74" i="6" s="1"/>
  <c r="W18" i="6"/>
  <c r="V27" i="6"/>
  <c r="Y9" i="6"/>
  <c r="Y17" i="6"/>
  <c r="X13" i="6"/>
  <c r="X21" i="6" s="1"/>
  <c r="AA7" i="6"/>
  <c r="Z25" i="6"/>
  <c r="Z20" i="6"/>
  <c r="O51" i="6"/>
  <c r="P51" i="6" s="1"/>
  <c r="P23" i="6"/>
  <c r="O59" i="6"/>
  <c r="P59" i="6" s="1"/>
  <c r="O35" i="6"/>
  <c r="O50" i="6"/>
  <c r="P50" i="6" s="1"/>
  <c r="O52" i="6"/>
  <c r="P52" i="6" s="1"/>
  <c r="O65" i="6"/>
  <c r="P65" i="6" s="1"/>
  <c r="O82" i="6"/>
  <c r="P82" i="6" s="1"/>
  <c r="F73" i="5" s="1"/>
  <c r="Q21" i="6"/>
  <c r="P56" i="6"/>
  <c r="F119" i="2"/>
  <c r="F120" i="2" s="1"/>
  <c r="F122" i="2" s="1"/>
  <c r="F110" i="2"/>
  <c r="H75" i="2"/>
  <c r="O251" i="4"/>
  <c r="P222" i="4"/>
  <c r="Q253" i="4"/>
  <c r="R224" i="4"/>
  <c r="N17" i="4"/>
  <c r="M46" i="4"/>
  <c r="L249" i="4"/>
  <c r="M220" i="4"/>
  <c r="K112" i="4"/>
  <c r="K137" i="4" s="1"/>
  <c r="K139" i="4" s="1"/>
  <c r="K108" i="4"/>
  <c r="L83" i="4"/>
  <c r="AA60" i="4"/>
  <c r="AB31" i="4"/>
  <c r="L113" i="4"/>
  <c r="M84" i="4"/>
  <c r="AC29" i="4"/>
  <c r="AB58" i="4"/>
  <c r="O252" i="4"/>
  <c r="P223" i="4"/>
  <c r="N115" i="4"/>
  <c r="O86" i="4"/>
  <c r="T121" i="4"/>
  <c r="U92" i="4"/>
  <c r="K248" i="4"/>
  <c r="K273" i="4" s="1"/>
  <c r="K244" i="4"/>
  <c r="L219" i="4"/>
  <c r="T22" i="4"/>
  <c r="S51" i="4"/>
  <c r="Y57" i="4"/>
  <c r="Z28" i="4"/>
  <c r="Z27" i="4"/>
  <c r="Y56" i="4"/>
  <c r="AB265" i="4"/>
  <c r="AC236" i="4"/>
  <c r="AD33" i="4"/>
  <c r="AD62" i="4" s="1"/>
  <c r="AC62" i="4"/>
  <c r="X124" i="4"/>
  <c r="Y95" i="4"/>
  <c r="P116" i="4"/>
  <c r="Q87" i="4"/>
  <c r="L176" i="4"/>
  <c r="L209" i="4" s="1"/>
  <c r="M151" i="4"/>
  <c r="O221" i="4"/>
  <c r="N250" i="4"/>
  <c r="J141" i="4"/>
  <c r="T21" i="4"/>
  <c r="S50" i="4"/>
  <c r="AC130" i="4"/>
  <c r="AD101" i="4"/>
  <c r="AD130" i="4" s="1"/>
  <c r="Q254" i="4"/>
  <c r="R225" i="4"/>
  <c r="Y125" i="4"/>
  <c r="Z96" i="4"/>
  <c r="T256" i="4"/>
  <c r="U227" i="4"/>
  <c r="P47" i="4"/>
  <c r="Q18" i="4"/>
  <c r="J277" i="4"/>
  <c r="V24" i="4"/>
  <c r="U53" i="4"/>
  <c r="T120" i="4"/>
  <c r="U91" i="4"/>
  <c r="AA127" i="4"/>
  <c r="AB98" i="4"/>
  <c r="K275" i="4"/>
  <c r="AD234" i="4"/>
  <c r="AC263" i="4"/>
  <c r="X260" i="4"/>
  <c r="Y231" i="4"/>
  <c r="W122" i="4"/>
  <c r="X93" i="4"/>
  <c r="W259" i="4"/>
  <c r="X230" i="4"/>
  <c r="X94" i="4"/>
  <c r="W123" i="4"/>
  <c r="K44" i="4"/>
  <c r="K69" i="4" s="1"/>
  <c r="K71" i="4" s="1"/>
  <c r="L15" i="4"/>
  <c r="K40" i="4"/>
  <c r="X258" i="4"/>
  <c r="Y229" i="4"/>
  <c r="Z229" i="4" s="1"/>
  <c r="AA229" i="4" s="1"/>
  <c r="AB229" i="4" s="1"/>
  <c r="AC229" i="4" s="1"/>
  <c r="AD229" i="4" s="1"/>
  <c r="Z126" i="4"/>
  <c r="AA97" i="4"/>
  <c r="X55" i="4"/>
  <c r="Y26" i="4"/>
  <c r="Q49" i="4"/>
  <c r="R20" i="4"/>
  <c r="O16" i="4"/>
  <c r="N45" i="4"/>
  <c r="S52" i="4"/>
  <c r="T23" i="4"/>
  <c r="R118" i="4"/>
  <c r="S89" i="4"/>
  <c r="P117" i="4"/>
  <c r="Q88" i="4"/>
  <c r="N85" i="4"/>
  <c r="M114" i="4"/>
  <c r="Y262" i="4"/>
  <c r="Z233" i="4"/>
  <c r="J73" i="4"/>
  <c r="T257" i="4"/>
  <c r="U228" i="4"/>
  <c r="AC129" i="4"/>
  <c r="AD100" i="4"/>
  <c r="AD129" i="4" s="1"/>
  <c r="AD137" i="4" s="1"/>
  <c r="AB235" i="4"/>
  <c r="AA264" i="4"/>
  <c r="AB30" i="4"/>
  <c r="AA59" i="4"/>
  <c r="AA261" i="4"/>
  <c r="AB232" i="4"/>
  <c r="AC232" i="4" s="1"/>
  <c r="AD232" i="4" s="1"/>
  <c r="Q19" i="4"/>
  <c r="P48" i="4"/>
  <c r="V25" i="4"/>
  <c r="U54" i="4"/>
  <c r="T119" i="4"/>
  <c r="U90" i="4"/>
  <c r="J75" i="3"/>
  <c r="J113" i="3"/>
  <c r="J114" i="3" s="1"/>
  <c r="J115" i="3" s="1"/>
  <c r="J74" i="3"/>
  <c r="J70" i="3"/>
  <c r="H71" i="3"/>
  <c r="H72" i="3" s="1"/>
  <c r="H78" i="3" s="1"/>
  <c r="H80" i="3" s="1"/>
  <c r="H82" i="3" s="1"/>
  <c r="H90" i="3" s="1"/>
  <c r="K63" i="3"/>
  <c r="K56" i="3"/>
  <c r="K39" i="3"/>
  <c r="K41" i="3" s="1"/>
  <c r="K65" i="3" s="1"/>
  <c r="M31" i="3"/>
  <c r="L32" i="3"/>
  <c r="I71" i="3"/>
  <c r="I72" i="3" s="1"/>
  <c r="I78" i="3" s="1"/>
  <c r="I80" i="3" s="1"/>
  <c r="I82" i="3" s="1"/>
  <c r="I90" i="3" s="1"/>
  <c r="H114" i="3"/>
  <c r="H115" i="3" s="1"/>
  <c r="H119" i="3" s="1"/>
  <c r="H121" i="3" s="1"/>
  <c r="L116" i="3"/>
  <c r="L67" i="3"/>
  <c r="L79" i="3" s="1"/>
  <c r="L101" i="3" s="1"/>
  <c r="I114" i="3"/>
  <c r="I115" i="3" s="1"/>
  <c r="I119" i="3" s="1"/>
  <c r="I121" i="3" s="1"/>
  <c r="F109" i="3"/>
  <c r="G107" i="3"/>
  <c r="L117" i="3"/>
  <c r="J99" i="3"/>
  <c r="J59" i="3"/>
  <c r="J60" i="3" s="1"/>
  <c r="J81" i="3" s="1"/>
  <c r="J118" i="3" s="1"/>
  <c r="G94" i="3"/>
  <c r="G95" i="3" s="1"/>
  <c r="F98" i="3"/>
  <c r="F102" i="3" s="1"/>
  <c r="M20" i="2"/>
  <c r="L20" i="2"/>
  <c r="L24" i="2" s="1"/>
  <c r="L27" i="2" s="1"/>
  <c r="L68" i="2" s="1"/>
  <c r="L80" i="2" s="1"/>
  <c r="L117" i="2" s="1"/>
  <c r="N104" i="3"/>
  <c r="M10" i="3"/>
  <c r="L11" i="3"/>
  <c r="K58" i="3"/>
  <c r="K103" i="3" s="1"/>
  <c r="K105" i="3" s="1"/>
  <c r="K57" i="3"/>
  <c r="K100" i="3" s="1"/>
  <c r="N13" i="3"/>
  <c r="N21" i="3"/>
  <c r="O21" i="3"/>
  <c r="M21" i="3"/>
  <c r="M24" i="3" s="1"/>
  <c r="M27" i="3" s="1"/>
  <c r="M26" i="3"/>
  <c r="M84" i="3" s="1"/>
  <c r="M85" i="3" s="1"/>
  <c r="L35" i="3"/>
  <c r="L37" i="3" s="1"/>
  <c r="L64" i="3" s="1"/>
  <c r="M34" i="3"/>
  <c r="O20" i="2"/>
  <c r="H71" i="2"/>
  <c r="I69" i="2"/>
  <c r="M13" i="2"/>
  <c r="M26" i="2" s="1"/>
  <c r="N20" i="2"/>
  <c r="K59" i="2"/>
  <c r="K58" i="2"/>
  <c r="L11" i="2"/>
  <c r="M10" i="2"/>
  <c r="J41" i="2"/>
  <c r="J66" i="2" s="1"/>
  <c r="J67" i="2"/>
  <c r="M40" i="2"/>
  <c r="O30" i="2"/>
  <c r="M31" i="2"/>
  <c r="L32" i="2"/>
  <c r="L64" i="2" s="1"/>
  <c r="L86" i="2"/>
  <c r="K39" i="2"/>
  <c r="K57" i="2"/>
  <c r="K100" i="2" s="1"/>
  <c r="L35" i="2"/>
  <c r="L37" i="2" s="1"/>
  <c r="L65" i="2" s="1"/>
  <c r="M34" i="2"/>
  <c r="F110" i="15" l="1"/>
  <c r="F113" i="15" s="1"/>
  <c r="Q76" i="15"/>
  <c r="F77" i="15"/>
  <c r="F82" i="15"/>
  <c r="F84" i="15" s="1"/>
  <c r="F86" i="15" s="1"/>
  <c r="F97" i="15" s="1"/>
  <c r="F99" i="15" s="1"/>
  <c r="F102" i="15" s="1"/>
  <c r="F106" i="15" s="1"/>
  <c r="AB52" i="14"/>
  <c r="AB51" i="14"/>
  <c r="T104" i="8"/>
  <c r="G51" i="11"/>
  <c r="F58" i="11"/>
  <c r="F63" i="11"/>
  <c r="F85" i="11" s="1"/>
  <c r="F147" i="11" s="1"/>
  <c r="G108" i="11"/>
  <c r="H108" i="11" s="1"/>
  <c r="I108" i="11" s="1"/>
  <c r="J108" i="11" s="1"/>
  <c r="K108" i="11" s="1"/>
  <c r="L108" i="11" s="1"/>
  <c r="M108" i="11" s="1"/>
  <c r="N108" i="11" s="1"/>
  <c r="O108" i="11" s="1"/>
  <c r="F109" i="11"/>
  <c r="F68" i="11"/>
  <c r="F69" i="11" s="1"/>
  <c r="F71" i="11" s="1"/>
  <c r="F41" i="11"/>
  <c r="C41" i="11" s="1"/>
  <c r="W58" i="8"/>
  <c r="X10" i="6"/>
  <c r="X30" i="6" s="1"/>
  <c r="V56" i="6"/>
  <c r="T74" i="6"/>
  <c r="Y8" i="6"/>
  <c r="AB62" i="14"/>
  <c r="AB63" i="14"/>
  <c r="AB54" i="14"/>
  <c r="AB55" i="14"/>
  <c r="AB61" i="14"/>
  <c r="AB72" i="14"/>
  <c r="AC28" i="14"/>
  <c r="AB32" i="14"/>
  <c r="AB67" i="14"/>
  <c r="AB35" i="14"/>
  <c r="AB84" i="14"/>
  <c r="AB53" i="14"/>
  <c r="Y108" i="14"/>
  <c r="Z108" i="14" s="1"/>
  <c r="AA108" i="14" s="1"/>
  <c r="AC23" i="14"/>
  <c r="AE16" i="14"/>
  <c r="AD12" i="14"/>
  <c r="AD20" i="14" s="1"/>
  <c r="AD25" i="14"/>
  <c r="AE7" i="14"/>
  <c r="AD10" i="14"/>
  <c r="AD30" i="14" s="1"/>
  <c r="AE18" i="14"/>
  <c r="AE27" i="14" s="1"/>
  <c r="AF27" i="14" s="1"/>
  <c r="AG27" i="14" s="1"/>
  <c r="AD14" i="14"/>
  <c r="AD22" i="14" s="1"/>
  <c r="AE17" i="14"/>
  <c r="AD13" i="14"/>
  <c r="AD21" i="14" s="1"/>
  <c r="AD58" i="14" s="1"/>
  <c r="X106" i="14"/>
  <c r="AD26" i="14"/>
  <c r="AE8" i="14"/>
  <c r="AJ9" i="14"/>
  <c r="AF9" i="14"/>
  <c r="AG9" i="14" s="1"/>
  <c r="AA36" i="14"/>
  <c r="V36" i="8"/>
  <c r="V84" i="8" s="1"/>
  <c r="V87" i="8" s="1"/>
  <c r="V107" i="8" s="1"/>
  <c r="X28" i="8"/>
  <c r="Z18" i="8"/>
  <c r="Y14" i="8"/>
  <c r="Y22" i="8" s="1"/>
  <c r="Z13" i="8"/>
  <c r="AA17" i="8"/>
  <c r="AF106" i="8"/>
  <c r="P104" i="8"/>
  <c r="X23" i="8"/>
  <c r="Y27" i="8"/>
  <c r="Z9" i="8"/>
  <c r="U106" i="8"/>
  <c r="V106" i="8" s="1"/>
  <c r="W82" i="8"/>
  <c r="W70" i="8"/>
  <c r="W74" i="8"/>
  <c r="W53" i="8"/>
  <c r="W51" i="8"/>
  <c r="W52" i="8"/>
  <c r="W50" i="8"/>
  <c r="W35" i="8"/>
  <c r="W65" i="8"/>
  <c r="W32" i="8"/>
  <c r="W59" i="8"/>
  <c r="W60" i="8"/>
  <c r="W61" i="8"/>
  <c r="Y25" i="8"/>
  <c r="Y20" i="8"/>
  <c r="Y10" i="8"/>
  <c r="Y30" i="8" s="1"/>
  <c r="Z7" i="8"/>
  <c r="Y26" i="8"/>
  <c r="Z8" i="8"/>
  <c r="Y21" i="8"/>
  <c r="Y56" i="8" s="1"/>
  <c r="AA12" i="8"/>
  <c r="AB16" i="8"/>
  <c r="G48" i="5"/>
  <c r="G50" i="5"/>
  <c r="G92" i="5" s="1"/>
  <c r="AL39" i="6"/>
  <c r="AM39" i="6" s="1"/>
  <c r="V28" i="6"/>
  <c r="W21" i="6"/>
  <c r="O36" i="6"/>
  <c r="F95" i="5"/>
  <c r="F108" i="5"/>
  <c r="M104" i="6"/>
  <c r="G83" i="2"/>
  <c r="G119" i="2" s="1"/>
  <c r="G120" i="2" s="1"/>
  <c r="G122" i="2" s="1"/>
  <c r="K104" i="2"/>
  <c r="K106" i="2" s="1"/>
  <c r="H115" i="2"/>
  <c r="H116" i="2" s="1"/>
  <c r="K102" i="2"/>
  <c r="L102" i="2" s="1"/>
  <c r="I114" i="2"/>
  <c r="I142" i="2"/>
  <c r="I145" i="2" s="1"/>
  <c r="I76" i="2"/>
  <c r="L143" i="2"/>
  <c r="M85" i="2"/>
  <c r="M118" i="2"/>
  <c r="H72" i="2"/>
  <c r="H73" i="2" s="1"/>
  <c r="K60" i="2"/>
  <c r="K61" i="2" s="1"/>
  <c r="K82" i="2" s="1"/>
  <c r="K144" i="2" s="1"/>
  <c r="K101" i="2"/>
  <c r="Q23" i="6"/>
  <c r="P92" i="6"/>
  <c r="P114" i="6" s="1"/>
  <c r="L104" i="6"/>
  <c r="AL40" i="6"/>
  <c r="AL38" i="6"/>
  <c r="AN12" i="6"/>
  <c r="AO16" i="6"/>
  <c r="AQ37" i="6"/>
  <c r="V65" i="6"/>
  <c r="V70" i="6"/>
  <c r="T65" i="6"/>
  <c r="T70" i="6"/>
  <c r="U65" i="6"/>
  <c r="U70" i="6"/>
  <c r="V61" i="6"/>
  <c r="V59" i="6"/>
  <c r="V60" i="6"/>
  <c r="U59" i="6"/>
  <c r="U60" i="6"/>
  <c r="U61" i="6"/>
  <c r="T59" i="6"/>
  <c r="T60" i="6"/>
  <c r="T61" i="6"/>
  <c r="T58" i="6"/>
  <c r="T32" i="6"/>
  <c r="T82" i="6"/>
  <c r="T53" i="6"/>
  <c r="T35" i="6"/>
  <c r="T50" i="6"/>
  <c r="T52" i="6"/>
  <c r="T51" i="6"/>
  <c r="R23" i="6"/>
  <c r="F33" i="5" s="1"/>
  <c r="U82" i="6"/>
  <c r="U50" i="6"/>
  <c r="U51" i="6"/>
  <c r="U53" i="6"/>
  <c r="U35" i="6"/>
  <c r="U52" i="6"/>
  <c r="U32" i="6"/>
  <c r="Y26" i="6"/>
  <c r="Z8" i="6"/>
  <c r="Y10" i="6"/>
  <c r="Y30" i="6" s="1"/>
  <c r="AB7" i="6"/>
  <c r="AA20" i="6"/>
  <c r="AA25" i="6"/>
  <c r="W14" i="6"/>
  <c r="W22" i="6" s="1"/>
  <c r="X18" i="6"/>
  <c r="W27" i="6"/>
  <c r="W28" i="6" s="1"/>
  <c r="X56" i="6"/>
  <c r="V51" i="6"/>
  <c r="V82" i="6"/>
  <c r="V53" i="6"/>
  <c r="V50" i="6"/>
  <c r="V52" i="6"/>
  <c r="V35" i="6"/>
  <c r="Z17" i="6"/>
  <c r="Y13" i="6"/>
  <c r="Y21" i="6" s="1"/>
  <c r="Z9" i="6"/>
  <c r="N84" i="6"/>
  <c r="N87" i="6" s="1"/>
  <c r="N107" i="6" s="1"/>
  <c r="O106" i="6" s="1"/>
  <c r="F61" i="5"/>
  <c r="F107" i="5" s="1"/>
  <c r="F60" i="5"/>
  <c r="I71" i="2"/>
  <c r="I72" i="2" s="1"/>
  <c r="I75" i="2"/>
  <c r="M21" i="2"/>
  <c r="M24" i="2" s="1"/>
  <c r="M27" i="2" s="1"/>
  <c r="M68" i="2" s="1"/>
  <c r="M80" i="2" s="1"/>
  <c r="M117" i="2" s="1"/>
  <c r="L44" i="4"/>
  <c r="L69" i="4" s="1"/>
  <c r="L71" i="4" s="1"/>
  <c r="L40" i="4"/>
  <c r="M15" i="4"/>
  <c r="S118" i="4"/>
  <c r="T89" i="4"/>
  <c r="Z26" i="4"/>
  <c r="Y55" i="4"/>
  <c r="Z125" i="4"/>
  <c r="AA96" i="4"/>
  <c r="Z95" i="4"/>
  <c r="Y124" i="4"/>
  <c r="Z57" i="4"/>
  <c r="AA28" i="4"/>
  <c r="U121" i="4"/>
  <c r="V92" i="4"/>
  <c r="W24" i="4"/>
  <c r="V53" i="4"/>
  <c r="O115" i="4"/>
  <c r="P86" i="4"/>
  <c r="AB60" i="4"/>
  <c r="AC31" i="4"/>
  <c r="N46" i="4"/>
  <c r="O17" i="4"/>
  <c r="Z56" i="4"/>
  <c r="AA27" i="4"/>
  <c r="U119" i="4"/>
  <c r="U137" i="4" s="1"/>
  <c r="V90" i="4"/>
  <c r="W90" i="4" s="1"/>
  <c r="X90" i="4" s="1"/>
  <c r="Y90" i="4" s="1"/>
  <c r="Z90" i="4" s="1"/>
  <c r="AA90" i="4" s="1"/>
  <c r="AB90" i="4" s="1"/>
  <c r="AC90" i="4" s="1"/>
  <c r="AD90" i="4" s="1"/>
  <c r="AB59" i="4"/>
  <c r="AC30" i="4"/>
  <c r="Z262" i="4"/>
  <c r="AA233" i="4"/>
  <c r="T52" i="4"/>
  <c r="U23" i="4"/>
  <c r="AA126" i="4"/>
  <c r="AB97" i="4"/>
  <c r="X123" i="4"/>
  <c r="Y94" i="4"/>
  <c r="R254" i="4"/>
  <c r="S225" i="4"/>
  <c r="O250" i="4"/>
  <c r="P221" i="4"/>
  <c r="R253" i="4"/>
  <c r="S224" i="4"/>
  <c r="U257" i="4"/>
  <c r="V228" i="4"/>
  <c r="X259" i="4"/>
  <c r="Y230" i="4"/>
  <c r="M176" i="4"/>
  <c r="M209" i="4" s="1"/>
  <c r="N151" i="4"/>
  <c r="T51" i="4"/>
  <c r="U22" i="4"/>
  <c r="P252" i="4"/>
  <c r="Q223" i="4"/>
  <c r="L108" i="4"/>
  <c r="L112" i="4"/>
  <c r="L137" i="4" s="1"/>
  <c r="L139" i="4" s="1"/>
  <c r="M83" i="4"/>
  <c r="M113" i="4"/>
  <c r="N84" i="4"/>
  <c r="AB264" i="4"/>
  <c r="AC235" i="4"/>
  <c r="AB127" i="4"/>
  <c r="AC98" i="4"/>
  <c r="R18" i="4"/>
  <c r="Q47" i="4"/>
  <c r="AC265" i="4"/>
  <c r="AD236" i="4"/>
  <c r="AD265" i="4" s="1"/>
  <c r="L248" i="4"/>
  <c r="L273" i="4" s="1"/>
  <c r="L275" i="4" s="1"/>
  <c r="L244" i="4"/>
  <c r="M219" i="4"/>
  <c r="K141" i="4"/>
  <c r="P251" i="4"/>
  <c r="Q222" i="4"/>
  <c r="U21" i="4"/>
  <c r="T50" i="4"/>
  <c r="V54" i="4"/>
  <c r="W25" i="4"/>
  <c r="N114" i="4"/>
  <c r="O85" i="4"/>
  <c r="P16" i="4"/>
  <c r="O45" i="4"/>
  <c r="X273" i="4"/>
  <c r="X122" i="4"/>
  <c r="Y93" i="4"/>
  <c r="Z93" i="4" s="1"/>
  <c r="AA93" i="4" s="1"/>
  <c r="AB93" i="4" s="1"/>
  <c r="AC93" i="4" s="1"/>
  <c r="AD93" i="4" s="1"/>
  <c r="K277" i="4"/>
  <c r="Y260" i="4"/>
  <c r="Z231" i="4"/>
  <c r="R19" i="4"/>
  <c r="Q48" i="4"/>
  <c r="Q117" i="4"/>
  <c r="R88" i="4"/>
  <c r="R49" i="4"/>
  <c r="S20" i="4"/>
  <c r="K73" i="4"/>
  <c r="U120" i="4"/>
  <c r="V91" i="4"/>
  <c r="U256" i="4"/>
  <c r="V227" i="4"/>
  <c r="R87" i="4"/>
  <c r="Q116" i="4"/>
  <c r="AD29" i="4"/>
  <c r="AD58" i="4" s="1"/>
  <c r="AC58" i="4"/>
  <c r="M249" i="4"/>
  <c r="N220" i="4"/>
  <c r="H131" i="3"/>
  <c r="H132" i="3" s="1"/>
  <c r="H134" i="3" s="1"/>
  <c r="H91" i="3"/>
  <c r="K66" i="3"/>
  <c r="K68" i="3" s="1"/>
  <c r="K74" i="3" s="1"/>
  <c r="I131" i="3"/>
  <c r="I132" i="3" s="1"/>
  <c r="I134" i="3" s="1"/>
  <c r="I91" i="3"/>
  <c r="I93" i="3" s="1"/>
  <c r="F110" i="3"/>
  <c r="K75" i="3"/>
  <c r="K113" i="3"/>
  <c r="I106" i="3"/>
  <c r="H93" i="3"/>
  <c r="H106" i="3"/>
  <c r="H107" i="3"/>
  <c r="I107" i="3" s="1"/>
  <c r="G109" i="3"/>
  <c r="J71" i="3"/>
  <c r="J72" i="3" s="1"/>
  <c r="J78" i="3" s="1"/>
  <c r="J80" i="3" s="1"/>
  <c r="J82" i="3" s="1"/>
  <c r="J90" i="3" s="1"/>
  <c r="M116" i="3"/>
  <c r="M67" i="3"/>
  <c r="M79" i="3" s="1"/>
  <c r="M101" i="3" s="1"/>
  <c r="L63" i="3"/>
  <c r="L39" i="3"/>
  <c r="L41" i="3" s="1"/>
  <c r="L65" i="3" s="1"/>
  <c r="L56" i="3"/>
  <c r="H94" i="3"/>
  <c r="G98" i="3"/>
  <c r="G102" i="3" s="1"/>
  <c r="G110" i="3" s="1"/>
  <c r="N31" i="3"/>
  <c r="M32" i="3"/>
  <c r="J119" i="3"/>
  <c r="J121" i="3" s="1"/>
  <c r="K99" i="3"/>
  <c r="K59" i="3"/>
  <c r="K60" i="3" s="1"/>
  <c r="K81" i="3" s="1"/>
  <c r="K118" i="3" s="1"/>
  <c r="M117" i="3"/>
  <c r="O104" i="3"/>
  <c r="N22" i="3"/>
  <c r="N24" i="3" s="1"/>
  <c r="N27" i="3" s="1"/>
  <c r="N26" i="3"/>
  <c r="N84" i="3" s="1"/>
  <c r="N85" i="3" s="1"/>
  <c r="O22" i="3"/>
  <c r="L58" i="3"/>
  <c r="L103" i="3" s="1"/>
  <c r="L105" i="3" s="1"/>
  <c r="L57" i="3"/>
  <c r="L100" i="3" s="1"/>
  <c r="M35" i="3"/>
  <c r="M37" i="3" s="1"/>
  <c r="M64" i="3" s="1"/>
  <c r="N34" i="3"/>
  <c r="N10" i="3"/>
  <c r="M11" i="3"/>
  <c r="N21" i="2"/>
  <c r="N13" i="2"/>
  <c r="N26" i="2" s="1"/>
  <c r="O21" i="2"/>
  <c r="J69" i="2"/>
  <c r="M86" i="2"/>
  <c r="K41" i="2"/>
  <c r="K66" i="2" s="1"/>
  <c r="K67" i="2" s="1"/>
  <c r="L39" i="2"/>
  <c r="L57" i="2"/>
  <c r="L100" i="2" s="1"/>
  <c r="N40" i="2"/>
  <c r="G95" i="2"/>
  <c r="F111" i="2"/>
  <c r="N10" i="2"/>
  <c r="M11" i="2"/>
  <c r="N31" i="2"/>
  <c r="M32" i="2"/>
  <c r="M64" i="2" s="1"/>
  <c r="N34" i="2"/>
  <c r="M35" i="2"/>
  <c r="M37" i="2" s="1"/>
  <c r="M65" i="2" s="1"/>
  <c r="L59" i="2"/>
  <c r="L58" i="2"/>
  <c r="G98" i="15" l="1"/>
  <c r="F122" i="15"/>
  <c r="F123" i="15" s="1"/>
  <c r="F125" i="15" s="1"/>
  <c r="F114" i="15"/>
  <c r="F145" i="11"/>
  <c r="F148" i="11" s="1"/>
  <c r="F78" i="11"/>
  <c r="F117" i="11"/>
  <c r="F118" i="11" s="1"/>
  <c r="F119" i="11" s="1"/>
  <c r="F74" i="11"/>
  <c r="F75" i="11" s="1"/>
  <c r="F76" i="11" s="1"/>
  <c r="F79" i="11"/>
  <c r="X58" i="8"/>
  <c r="G108" i="5"/>
  <c r="H108" i="5" s="1"/>
  <c r="V32" i="6"/>
  <c r="AB36" i="14"/>
  <c r="AB86" i="14" s="1"/>
  <c r="AB89" i="14" s="1"/>
  <c r="AB109" i="14" s="1"/>
  <c r="Y106" i="14"/>
  <c r="AD23" i="14"/>
  <c r="AE25" i="14"/>
  <c r="AJ7" i="14"/>
  <c r="AE10" i="14"/>
  <c r="AE30" i="14" s="1"/>
  <c r="AF30" i="14" s="1"/>
  <c r="AG30" i="14" s="1"/>
  <c r="AF7" i="14"/>
  <c r="Z106" i="14"/>
  <c r="AD28" i="14"/>
  <c r="AI17" i="14"/>
  <c r="AJ17" i="14" s="1"/>
  <c r="AE13" i="14"/>
  <c r="AF13" i="14" s="1"/>
  <c r="AF17" i="14"/>
  <c r="AA86" i="14"/>
  <c r="AA89" i="14" s="1"/>
  <c r="AA109" i="14" s="1"/>
  <c r="AA106" i="14" s="1"/>
  <c r="AE21" i="14"/>
  <c r="AE26" i="14"/>
  <c r="AF26" i="14" s="1"/>
  <c r="AG26" i="14" s="1"/>
  <c r="AJ8" i="14"/>
  <c r="AF8" i="14"/>
  <c r="AG8" i="14" s="1"/>
  <c r="AI18" i="14"/>
  <c r="AJ18" i="14" s="1"/>
  <c r="AE14" i="14"/>
  <c r="AF18" i="14"/>
  <c r="AI16" i="14"/>
  <c r="AJ16" i="14" s="1"/>
  <c r="AE12" i="14"/>
  <c r="AF12" i="14" s="1"/>
  <c r="AF16" i="14"/>
  <c r="AK9" i="14"/>
  <c r="AC76" i="14"/>
  <c r="AC84" i="14"/>
  <c r="AC67" i="14"/>
  <c r="AC72" i="14"/>
  <c r="AC54" i="14"/>
  <c r="AC55" i="14"/>
  <c r="AC52" i="14"/>
  <c r="AC51" i="14"/>
  <c r="AC53" i="14"/>
  <c r="AC35" i="14"/>
  <c r="AC61" i="14"/>
  <c r="AC32" i="14"/>
  <c r="AC62" i="14"/>
  <c r="AC63" i="14"/>
  <c r="W106" i="8"/>
  <c r="V104" i="8"/>
  <c r="U104" i="8"/>
  <c r="AA18" i="8"/>
  <c r="Z14" i="8"/>
  <c r="Z22" i="8" s="1"/>
  <c r="AA13" i="8"/>
  <c r="AB17" i="8"/>
  <c r="Y23" i="8"/>
  <c r="Y52" i="8" s="1"/>
  <c r="Z21" i="8"/>
  <c r="Z26" i="8"/>
  <c r="AA8" i="8"/>
  <c r="Z27" i="8"/>
  <c r="AA9" i="8"/>
  <c r="X82" i="8"/>
  <c r="X70" i="8"/>
  <c r="X74" i="8"/>
  <c r="X51" i="8"/>
  <c r="X52" i="8"/>
  <c r="X50" i="8"/>
  <c r="X65" i="8"/>
  <c r="X53" i="8"/>
  <c r="X32" i="8"/>
  <c r="X35" i="8"/>
  <c r="X61" i="8"/>
  <c r="X59" i="8"/>
  <c r="X60" i="8"/>
  <c r="AB12" i="8"/>
  <c r="AC16" i="8"/>
  <c r="Y28" i="8"/>
  <c r="Z25" i="8"/>
  <c r="Z20" i="8"/>
  <c r="Z10" i="8"/>
  <c r="Z30" i="8" s="1"/>
  <c r="AA7" i="8"/>
  <c r="W36" i="8"/>
  <c r="G51" i="5"/>
  <c r="W23" i="6"/>
  <c r="W56" i="6"/>
  <c r="F109" i="5"/>
  <c r="P117" i="6"/>
  <c r="P110" i="6" s="1"/>
  <c r="P128" i="6" s="1"/>
  <c r="P130" i="6" s="1"/>
  <c r="P91" i="6" s="1"/>
  <c r="P90" i="6" s="1"/>
  <c r="M102" i="2"/>
  <c r="M143" i="2"/>
  <c r="H79" i="2"/>
  <c r="H81" i="2" s="1"/>
  <c r="H107" i="2"/>
  <c r="I115" i="2"/>
  <c r="I116" i="2"/>
  <c r="N118" i="2"/>
  <c r="N85" i="2"/>
  <c r="N86" i="2" s="1"/>
  <c r="I73" i="2"/>
  <c r="L60" i="2"/>
  <c r="L61" i="2" s="1"/>
  <c r="L82" i="2" s="1"/>
  <c r="L144" i="2" s="1"/>
  <c r="L101" i="2"/>
  <c r="L104" i="2"/>
  <c r="L106" i="2" s="1"/>
  <c r="J142" i="2"/>
  <c r="J145" i="2" s="1"/>
  <c r="J76" i="2"/>
  <c r="J114" i="2"/>
  <c r="J115" i="2" s="1"/>
  <c r="J116" i="2" s="1"/>
  <c r="G91" i="2"/>
  <c r="N104" i="6"/>
  <c r="AN39" i="6"/>
  <c r="AM40" i="6"/>
  <c r="AR37" i="6"/>
  <c r="AP16" i="6"/>
  <c r="AO12" i="6"/>
  <c r="AM38" i="6"/>
  <c r="T36" i="6"/>
  <c r="F34" i="5"/>
  <c r="F59" i="5" s="1"/>
  <c r="F103" i="5" s="1"/>
  <c r="U58" i="6"/>
  <c r="V58" i="6" s="1"/>
  <c r="W58" i="6" s="1"/>
  <c r="X58" i="6" s="1"/>
  <c r="Y58" i="6" s="1"/>
  <c r="Z58" i="6" s="1"/>
  <c r="AA58" i="6" s="1"/>
  <c r="AB58" i="6" s="1"/>
  <c r="AC58" i="6" s="1"/>
  <c r="AD58" i="6" s="1"/>
  <c r="AE58" i="6" s="1"/>
  <c r="Y56" i="6"/>
  <c r="AC7" i="6"/>
  <c r="AB25" i="6"/>
  <c r="AB20" i="6"/>
  <c r="Y18" i="6"/>
  <c r="X14" i="6"/>
  <c r="X27" i="6"/>
  <c r="X28" i="6" s="1"/>
  <c r="AA8" i="6"/>
  <c r="Z26" i="6"/>
  <c r="Z10" i="6"/>
  <c r="Z30" i="6" s="1"/>
  <c r="P36" i="6"/>
  <c r="Z13" i="6"/>
  <c r="Z21" i="6" s="1"/>
  <c r="AA17" i="6"/>
  <c r="AA9" i="6"/>
  <c r="W35" i="6"/>
  <c r="W50" i="6"/>
  <c r="W51" i="6"/>
  <c r="O84" i="6"/>
  <c r="O87" i="6" s="1"/>
  <c r="O107" i="6" s="1"/>
  <c r="O104" i="6" s="1"/>
  <c r="F104" i="5"/>
  <c r="J71" i="2"/>
  <c r="J72" i="2" s="1"/>
  <c r="M139" i="4"/>
  <c r="U51" i="4"/>
  <c r="V22" i="4"/>
  <c r="S253" i="4"/>
  <c r="T224" i="4"/>
  <c r="U224" i="4" s="1"/>
  <c r="V224" i="4" s="1"/>
  <c r="W224" i="4" s="1"/>
  <c r="X224" i="4" s="1"/>
  <c r="Y224" i="4" s="1"/>
  <c r="Z224" i="4" s="1"/>
  <c r="AA224" i="4" s="1"/>
  <c r="AB224" i="4" s="1"/>
  <c r="AC224" i="4" s="1"/>
  <c r="AD224" i="4" s="1"/>
  <c r="AB126" i="4"/>
  <c r="AB137" i="4" s="1"/>
  <c r="AC97" i="4"/>
  <c r="AD97" i="4" s="1"/>
  <c r="P115" i="4"/>
  <c r="Q86" i="4"/>
  <c r="AA57" i="4"/>
  <c r="AB28" i="4"/>
  <c r="R116" i="4"/>
  <c r="R137" i="4" s="1"/>
  <c r="S87" i="4"/>
  <c r="T87" i="4" s="1"/>
  <c r="U87" i="4" s="1"/>
  <c r="V87" i="4" s="1"/>
  <c r="W87" i="4" s="1"/>
  <c r="X87" i="4" s="1"/>
  <c r="Y87" i="4" s="1"/>
  <c r="Z87" i="4" s="1"/>
  <c r="AA87" i="4" s="1"/>
  <c r="AB87" i="4" s="1"/>
  <c r="AC87" i="4" s="1"/>
  <c r="AD87" i="4" s="1"/>
  <c r="N176" i="4"/>
  <c r="N209" i="4" s="1"/>
  <c r="O151" i="4"/>
  <c r="T118" i="4"/>
  <c r="T137" i="4" s="1"/>
  <c r="U89" i="4"/>
  <c r="V89" i="4" s="1"/>
  <c r="W89" i="4" s="1"/>
  <c r="X89" i="4" s="1"/>
  <c r="Y89" i="4" s="1"/>
  <c r="Z89" i="4" s="1"/>
  <c r="AA89" i="4" s="1"/>
  <c r="AB89" i="4" s="1"/>
  <c r="AC89" i="4" s="1"/>
  <c r="AD89" i="4" s="1"/>
  <c r="R117" i="4"/>
  <c r="S88" i="4"/>
  <c r="V256" i="4"/>
  <c r="V273" i="4" s="1"/>
  <c r="W227" i="4"/>
  <c r="X227" i="4" s="1"/>
  <c r="Y227" i="4" s="1"/>
  <c r="Z227" i="4" s="1"/>
  <c r="AA227" i="4" s="1"/>
  <c r="AB227" i="4" s="1"/>
  <c r="AC227" i="4" s="1"/>
  <c r="AD227" i="4" s="1"/>
  <c r="U273" i="4"/>
  <c r="Q251" i="4"/>
  <c r="Q273" i="4" s="1"/>
  <c r="R222" i="4"/>
  <c r="S222" i="4" s="1"/>
  <c r="T222" i="4" s="1"/>
  <c r="U222" i="4" s="1"/>
  <c r="V222" i="4" s="1"/>
  <c r="W222" i="4" s="1"/>
  <c r="X222" i="4" s="1"/>
  <c r="Y222" i="4" s="1"/>
  <c r="Z222" i="4" s="1"/>
  <c r="AA222" i="4" s="1"/>
  <c r="AB222" i="4" s="1"/>
  <c r="AC222" i="4" s="1"/>
  <c r="AD222" i="4" s="1"/>
  <c r="M108" i="4"/>
  <c r="M112" i="4"/>
  <c r="M137" i="4" s="1"/>
  <c r="N83" i="4"/>
  <c r="P250" i="4"/>
  <c r="P273" i="4" s="1"/>
  <c r="Q221" i="4"/>
  <c r="R221" i="4" s="1"/>
  <c r="S221" i="4" s="1"/>
  <c r="T221" i="4" s="1"/>
  <c r="U221" i="4" s="1"/>
  <c r="V221" i="4" s="1"/>
  <c r="W221" i="4" s="1"/>
  <c r="X221" i="4" s="1"/>
  <c r="Y221" i="4" s="1"/>
  <c r="Z221" i="4" s="1"/>
  <c r="AA221" i="4" s="1"/>
  <c r="AB221" i="4" s="1"/>
  <c r="AC221" i="4" s="1"/>
  <c r="AD221" i="4" s="1"/>
  <c r="U52" i="4"/>
  <c r="V23" i="4"/>
  <c r="AA56" i="4"/>
  <c r="AB27" i="4"/>
  <c r="Z124" i="4"/>
  <c r="Z137" i="4" s="1"/>
  <c r="AA95" i="4"/>
  <c r="AB95" i="4" s="1"/>
  <c r="AC95" i="4" s="1"/>
  <c r="AD95" i="4" s="1"/>
  <c r="M44" i="4"/>
  <c r="M69" i="4" s="1"/>
  <c r="M71" i="4" s="1"/>
  <c r="M40" i="4"/>
  <c r="N15" i="4"/>
  <c r="X137" i="4"/>
  <c r="P45" i="4"/>
  <c r="Q16" i="4"/>
  <c r="X24" i="4"/>
  <c r="W53" i="4"/>
  <c r="AA125" i="4"/>
  <c r="AA137" i="4" s="1"/>
  <c r="AB96" i="4"/>
  <c r="AC96" i="4" s="1"/>
  <c r="AD96" i="4" s="1"/>
  <c r="L73" i="4"/>
  <c r="N113" i="4"/>
  <c r="O84" i="4"/>
  <c r="V21" i="4"/>
  <c r="U50" i="4"/>
  <c r="R48" i="4"/>
  <c r="S19" i="4"/>
  <c r="AC127" i="4"/>
  <c r="AC137" i="4" s="1"/>
  <c r="AD98" i="4"/>
  <c r="Y259" i="4"/>
  <c r="Y273" i="4" s="1"/>
  <c r="Z230" i="4"/>
  <c r="AA230" i="4" s="1"/>
  <c r="AB230" i="4" s="1"/>
  <c r="AC230" i="4" s="1"/>
  <c r="AD230" i="4" s="1"/>
  <c r="AA262" i="4"/>
  <c r="AA273" i="4" s="1"/>
  <c r="AB233" i="4"/>
  <c r="O46" i="4"/>
  <c r="P17" i="4"/>
  <c r="V120" i="4"/>
  <c r="W91" i="4"/>
  <c r="X91" i="4" s="1"/>
  <c r="Y91" i="4" s="1"/>
  <c r="Z91" i="4" s="1"/>
  <c r="AA91" i="4" s="1"/>
  <c r="AB91" i="4" s="1"/>
  <c r="AC91" i="4" s="1"/>
  <c r="AD91" i="4" s="1"/>
  <c r="AA231" i="4"/>
  <c r="AB231" i="4" s="1"/>
  <c r="AC231" i="4" s="1"/>
  <c r="AD231" i="4" s="1"/>
  <c r="Z260" i="4"/>
  <c r="Z273" i="4" s="1"/>
  <c r="L141" i="4"/>
  <c r="M248" i="4"/>
  <c r="M273" i="4" s="1"/>
  <c r="M275" i="4" s="1"/>
  <c r="M244" i="4"/>
  <c r="N219" i="4"/>
  <c r="R223" i="4"/>
  <c r="Q252" i="4"/>
  <c r="V121" i="4"/>
  <c r="W92" i="4"/>
  <c r="N249" i="4"/>
  <c r="O220" i="4"/>
  <c r="S18" i="4"/>
  <c r="R47" i="4"/>
  <c r="O114" i="4"/>
  <c r="P85" i="4"/>
  <c r="S254" i="4"/>
  <c r="T225" i="4"/>
  <c r="S49" i="4"/>
  <c r="T20" i="4"/>
  <c r="W54" i="4"/>
  <c r="X25" i="4"/>
  <c r="L277" i="4"/>
  <c r="AC264" i="4"/>
  <c r="AC273" i="4" s="1"/>
  <c r="AD235" i="4"/>
  <c r="AD264" i="4" s="1"/>
  <c r="AD273" i="4" s="1"/>
  <c r="V257" i="4"/>
  <c r="W228" i="4"/>
  <c r="Y123" i="4"/>
  <c r="Y137" i="4" s="1"/>
  <c r="Z94" i="4"/>
  <c r="AA94" i="4" s="1"/>
  <c r="AB94" i="4" s="1"/>
  <c r="AC94" i="4" s="1"/>
  <c r="AD94" i="4" s="1"/>
  <c r="AC59" i="4"/>
  <c r="AD30" i="4"/>
  <c r="AD59" i="4" s="1"/>
  <c r="AC60" i="4"/>
  <c r="AD31" i="4"/>
  <c r="AD60" i="4" s="1"/>
  <c r="AA26" i="4"/>
  <c r="Z55" i="4"/>
  <c r="K70" i="3"/>
  <c r="J131" i="3"/>
  <c r="J132" i="3" s="1"/>
  <c r="J134" i="3" s="1"/>
  <c r="J91" i="3"/>
  <c r="I109" i="3"/>
  <c r="J93" i="3"/>
  <c r="J106" i="3"/>
  <c r="N116" i="3"/>
  <c r="N67" i="3"/>
  <c r="N79" i="3" s="1"/>
  <c r="N101" i="3" s="1"/>
  <c r="M63" i="3"/>
  <c r="M39" i="3"/>
  <c r="M41" i="3" s="1"/>
  <c r="M65" i="3" s="1"/>
  <c r="M56" i="3"/>
  <c r="O31" i="3"/>
  <c r="O32" i="3" s="1"/>
  <c r="N32" i="3"/>
  <c r="K71" i="3"/>
  <c r="K72" i="3" s="1"/>
  <c r="K78" i="3" s="1"/>
  <c r="K80" i="3" s="1"/>
  <c r="K82" i="3" s="1"/>
  <c r="K90" i="3" s="1"/>
  <c r="J107" i="3"/>
  <c r="K114" i="3"/>
  <c r="K115" i="3" s="1"/>
  <c r="K119" i="3" s="1"/>
  <c r="K121" i="3" s="1"/>
  <c r="H95" i="3"/>
  <c r="L99" i="3"/>
  <c r="L59" i="3"/>
  <c r="L60" i="3" s="1"/>
  <c r="L81" i="3" s="1"/>
  <c r="L118" i="3" s="1"/>
  <c r="N117" i="3"/>
  <c r="L66" i="3"/>
  <c r="L68" i="3" s="1"/>
  <c r="H109" i="3"/>
  <c r="J75" i="2"/>
  <c r="O34" i="3"/>
  <c r="O35" i="3" s="1"/>
  <c r="O37" i="3" s="1"/>
  <c r="O64" i="3" s="1"/>
  <c r="N35" i="3"/>
  <c r="N37" i="3" s="1"/>
  <c r="N64" i="3" s="1"/>
  <c r="M58" i="3"/>
  <c r="M103" i="3" s="1"/>
  <c r="M105" i="3" s="1"/>
  <c r="M57" i="3"/>
  <c r="M100" i="3" s="1"/>
  <c r="O10" i="3"/>
  <c r="O11" i="3" s="1"/>
  <c r="N11" i="3"/>
  <c r="N22" i="2"/>
  <c r="N24" i="2" s="1"/>
  <c r="N27" i="2" s="1"/>
  <c r="N68" i="2" s="1"/>
  <c r="N80" i="2" s="1"/>
  <c r="N117" i="2" s="1"/>
  <c r="O22" i="2"/>
  <c r="K69" i="2"/>
  <c r="M58" i="2"/>
  <c r="M59" i="2"/>
  <c r="O40" i="2"/>
  <c r="N35" i="2"/>
  <c r="N37" i="2" s="1"/>
  <c r="N65" i="2" s="1"/>
  <c r="O34" i="2"/>
  <c r="O35" i="2" s="1"/>
  <c r="O37" i="2" s="1"/>
  <c r="O65" i="2" s="1"/>
  <c r="O10" i="2"/>
  <c r="O11" i="2" s="1"/>
  <c r="N11" i="2"/>
  <c r="M39" i="2"/>
  <c r="M57" i="2"/>
  <c r="M100" i="2" s="1"/>
  <c r="L41" i="2"/>
  <c r="L66" i="2" s="1"/>
  <c r="L67" i="2"/>
  <c r="O31" i="2"/>
  <c r="O32" i="2" s="1"/>
  <c r="N32" i="2"/>
  <c r="N64" i="2" s="1"/>
  <c r="I108" i="5" l="1"/>
  <c r="J108" i="5" s="1"/>
  <c r="K108" i="5" s="1"/>
  <c r="L108" i="5" s="1"/>
  <c r="M108" i="5" s="1"/>
  <c r="N108" i="5" s="1"/>
  <c r="O108" i="5" s="1"/>
  <c r="Y58" i="8"/>
  <c r="F77" i="11"/>
  <c r="F110" i="11"/>
  <c r="F113" i="11" s="1"/>
  <c r="F82" i="11"/>
  <c r="F84" i="11" s="1"/>
  <c r="W59" i="6"/>
  <c r="W74" i="6"/>
  <c r="J48" i="5"/>
  <c r="J51" i="5" s="1"/>
  <c r="K48" i="5" s="1"/>
  <c r="K51" i="5" s="1"/>
  <c r="L48" i="5" s="1"/>
  <c r="L51" i="5" s="1"/>
  <c r="M48" i="5" s="1"/>
  <c r="M51" i="5" s="1"/>
  <c r="N48" i="5" s="1"/>
  <c r="N51" i="5" s="1"/>
  <c r="O48" i="5" s="1"/>
  <c r="O51" i="5" s="1"/>
  <c r="W61" i="6"/>
  <c r="W52" i="6"/>
  <c r="W32" i="6"/>
  <c r="W53" i="6"/>
  <c r="W36" i="6" s="1"/>
  <c r="W70" i="6"/>
  <c r="W82" i="6"/>
  <c r="W65" i="6"/>
  <c r="AF58" i="6"/>
  <c r="AD84" i="14"/>
  <c r="AD72" i="14"/>
  <c r="AD67" i="14"/>
  <c r="AD76" i="14"/>
  <c r="AD54" i="14"/>
  <c r="AD55" i="14"/>
  <c r="AD52" i="14"/>
  <c r="AD53" i="14"/>
  <c r="AD51" i="14"/>
  <c r="AD32" i="14"/>
  <c r="AD61" i="14"/>
  <c r="AD35" i="14"/>
  <c r="AD63" i="14"/>
  <c r="AD62" i="14"/>
  <c r="AE58" i="14"/>
  <c r="AF58" i="14" s="1"/>
  <c r="AF21" i="14"/>
  <c r="AB108" i="14"/>
  <c r="AC36" i="14"/>
  <c r="AL9" i="14"/>
  <c r="AF14" i="14"/>
  <c r="AE22" i="14"/>
  <c r="AF22" i="14" s="1"/>
  <c r="AG22" i="14" s="1"/>
  <c r="AJ25" i="14"/>
  <c r="AJ10" i="14"/>
  <c r="AJ30" i="14" s="1"/>
  <c r="AK7" i="14"/>
  <c r="AK18" i="14"/>
  <c r="AJ14" i="14"/>
  <c r="AE28" i="14"/>
  <c r="AF28" i="14" s="1"/>
  <c r="AF25" i="14"/>
  <c r="AG25" i="14" s="1"/>
  <c r="AK16" i="14"/>
  <c r="AJ12" i="14"/>
  <c r="AG7" i="14"/>
  <c r="AF10" i="14"/>
  <c r="G32" i="15" s="1"/>
  <c r="AK17" i="14"/>
  <c r="AJ13" i="14"/>
  <c r="AE20" i="14"/>
  <c r="AJ27" i="14"/>
  <c r="AJ26" i="14"/>
  <c r="AK8" i="14"/>
  <c r="F43" i="5"/>
  <c r="F42" i="5"/>
  <c r="P84" i="6"/>
  <c r="P85" i="6" s="1"/>
  <c r="P87" i="6" s="1"/>
  <c r="P107" i="6" s="1"/>
  <c r="Y51" i="8"/>
  <c r="Y74" i="8"/>
  <c r="Y53" i="8"/>
  <c r="Y82" i="8"/>
  <c r="Y70" i="8"/>
  <c r="Y60" i="8"/>
  <c r="Y35" i="8"/>
  <c r="Z23" i="8"/>
  <c r="Z70" i="8" s="1"/>
  <c r="AC17" i="8"/>
  <c r="AB13" i="8"/>
  <c r="Z28" i="8"/>
  <c r="Y32" i="8"/>
  <c r="Y65" i="8"/>
  <c r="Y59" i="8"/>
  <c r="Y50" i="8"/>
  <c r="Y61" i="8"/>
  <c r="AB18" i="8"/>
  <c r="AA14" i="8"/>
  <c r="AA22" i="8" s="1"/>
  <c r="X36" i="8"/>
  <c r="X84" i="8" s="1"/>
  <c r="X87" i="8" s="1"/>
  <c r="X107" i="8" s="1"/>
  <c r="W84" i="8"/>
  <c r="W87" i="8" s="1"/>
  <c r="W107" i="8" s="1"/>
  <c r="AB8" i="8"/>
  <c r="AA26" i="8"/>
  <c r="AA21" i="8"/>
  <c r="AA56" i="8" s="1"/>
  <c r="AA25" i="8"/>
  <c r="AA10" i="8"/>
  <c r="AA30" i="8" s="1"/>
  <c r="AB7" i="8"/>
  <c r="AA20" i="8"/>
  <c r="AA27" i="8"/>
  <c r="AB9" i="8"/>
  <c r="AC12" i="8"/>
  <c r="AD16" i="8"/>
  <c r="Z56" i="8"/>
  <c r="T106" i="6"/>
  <c r="W60" i="6"/>
  <c r="P79" i="6"/>
  <c r="J73" i="2"/>
  <c r="N102" i="2"/>
  <c r="O13" i="2"/>
  <c r="O23" i="2" s="1"/>
  <c r="O24" i="2" s="1"/>
  <c r="O27" i="2" s="1"/>
  <c r="O68" i="2" s="1"/>
  <c r="O80" i="2" s="1"/>
  <c r="O117" i="2" s="1"/>
  <c r="O64" i="2"/>
  <c r="K142" i="2"/>
  <c r="K145" i="2" s="1"/>
  <c r="K76" i="2"/>
  <c r="K114" i="2"/>
  <c r="M60" i="2"/>
  <c r="M61" i="2" s="1"/>
  <c r="M82" i="2" s="1"/>
  <c r="M144" i="2" s="1"/>
  <c r="M101" i="2"/>
  <c r="G132" i="2"/>
  <c r="G133" i="2" s="1"/>
  <c r="G135" i="2" s="1"/>
  <c r="G92" i="2"/>
  <c r="G94" i="2" s="1"/>
  <c r="G96" i="2" s="1"/>
  <c r="G108" i="2"/>
  <c r="I79" i="2"/>
  <c r="I81" i="2" s="1"/>
  <c r="I107" i="2"/>
  <c r="J79" i="2"/>
  <c r="J81" i="2" s="1"/>
  <c r="J107" i="2"/>
  <c r="M104" i="2"/>
  <c r="M106" i="2" s="1"/>
  <c r="N143" i="2"/>
  <c r="H83" i="2"/>
  <c r="H119" i="2"/>
  <c r="H120" i="2" s="1"/>
  <c r="H122" i="2" s="1"/>
  <c r="AN40" i="6"/>
  <c r="AO39" i="6"/>
  <c r="AP39" i="6" s="1"/>
  <c r="AQ39" i="6" s="1"/>
  <c r="AR39" i="6" s="1"/>
  <c r="AS39" i="6" s="1"/>
  <c r="AT39" i="6" s="1"/>
  <c r="AU39" i="6" s="1"/>
  <c r="AV39" i="6" s="1"/>
  <c r="AN38" i="6"/>
  <c r="AP12" i="6"/>
  <c r="AQ16" i="6"/>
  <c r="AS37" i="6"/>
  <c r="F62" i="5"/>
  <c r="F58" i="5" s="1"/>
  <c r="V36" i="6"/>
  <c r="U36" i="6"/>
  <c r="X22" i="6"/>
  <c r="Y14" i="6"/>
  <c r="Y22" i="6" s="1"/>
  <c r="Y23" i="6" s="1"/>
  <c r="Y74" i="6" s="1"/>
  <c r="Z18" i="6"/>
  <c r="Y27" i="6"/>
  <c r="Y28" i="6" s="1"/>
  <c r="AB9" i="6"/>
  <c r="Z56" i="6"/>
  <c r="AC25" i="6"/>
  <c r="AD7" i="6"/>
  <c r="AC20" i="6"/>
  <c r="AB8" i="6"/>
  <c r="AA26" i="6"/>
  <c r="AA10" i="6"/>
  <c r="AA30" i="6" s="1"/>
  <c r="AA13" i="6"/>
  <c r="AA21" i="6" s="1"/>
  <c r="AB17" i="6"/>
  <c r="K75" i="2"/>
  <c r="O26" i="2"/>
  <c r="V137" i="4"/>
  <c r="N244" i="4"/>
  <c r="N248" i="4"/>
  <c r="N273" i="4" s="1"/>
  <c r="N275" i="4" s="1"/>
  <c r="O275" i="4" s="1"/>
  <c r="P275" i="4" s="1"/>
  <c r="Q275" i="4" s="1"/>
  <c r="R275" i="4" s="1"/>
  <c r="S275" i="4" s="1"/>
  <c r="T275" i="4" s="1"/>
  <c r="U275" i="4" s="1"/>
  <c r="V275" i="4" s="1"/>
  <c r="W275" i="4" s="1"/>
  <c r="X275" i="4" s="1"/>
  <c r="Y275" i="4" s="1"/>
  <c r="Z275" i="4" s="1"/>
  <c r="AA275" i="4" s="1"/>
  <c r="AB275" i="4" s="1"/>
  <c r="AC275" i="4" s="1"/>
  <c r="AD275" i="4" s="1"/>
  <c r="O219" i="4"/>
  <c r="S273" i="4"/>
  <c r="T18" i="4"/>
  <c r="S47" i="4"/>
  <c r="M277" i="4"/>
  <c r="N112" i="4"/>
  <c r="N137" i="4" s="1"/>
  <c r="N108" i="4"/>
  <c r="O83" i="4"/>
  <c r="S117" i="4"/>
  <c r="S137" i="4" s="1"/>
  <c r="T88" i="4"/>
  <c r="U88" i="4" s="1"/>
  <c r="V88" i="4" s="1"/>
  <c r="W88" i="4" s="1"/>
  <c r="X88" i="4" s="1"/>
  <c r="Y88" i="4" s="1"/>
  <c r="Z88" i="4" s="1"/>
  <c r="AA88" i="4" s="1"/>
  <c r="AB88" i="4" s="1"/>
  <c r="AC88" i="4" s="1"/>
  <c r="AD88" i="4" s="1"/>
  <c r="AB57" i="4"/>
  <c r="AC28" i="4"/>
  <c r="V51" i="4"/>
  <c r="W22" i="4"/>
  <c r="P114" i="4"/>
  <c r="P137" i="4" s="1"/>
  <c r="Q85" i="4"/>
  <c r="R85" i="4" s="1"/>
  <c r="S85" i="4" s="1"/>
  <c r="T85" i="4" s="1"/>
  <c r="U85" i="4" s="1"/>
  <c r="V85" i="4" s="1"/>
  <c r="W85" i="4" s="1"/>
  <c r="X85" i="4" s="1"/>
  <c r="Y85" i="4" s="1"/>
  <c r="Z85" i="4" s="1"/>
  <c r="AA85" i="4" s="1"/>
  <c r="AB85" i="4" s="1"/>
  <c r="AC85" i="4" s="1"/>
  <c r="AD85" i="4" s="1"/>
  <c r="P46" i="4"/>
  <c r="Q17" i="4"/>
  <c r="T49" i="4"/>
  <c r="U20" i="4"/>
  <c r="O249" i="4"/>
  <c r="O273" i="4" s="1"/>
  <c r="P220" i="4"/>
  <c r="Q220" i="4" s="1"/>
  <c r="R220" i="4" s="1"/>
  <c r="S220" i="4" s="1"/>
  <c r="T220" i="4" s="1"/>
  <c r="U220" i="4" s="1"/>
  <c r="V220" i="4" s="1"/>
  <c r="W220" i="4" s="1"/>
  <c r="X220" i="4" s="1"/>
  <c r="Y220" i="4" s="1"/>
  <c r="Z220" i="4" s="1"/>
  <c r="AA220" i="4" s="1"/>
  <c r="AB220" i="4" s="1"/>
  <c r="AC220" i="4" s="1"/>
  <c r="AD220" i="4" s="1"/>
  <c r="AC233" i="4"/>
  <c r="AD233" i="4" s="1"/>
  <c r="AB262" i="4"/>
  <c r="AB273" i="4" s="1"/>
  <c r="X53" i="4"/>
  <c r="Y24" i="4"/>
  <c r="N44" i="4"/>
  <c r="N69" i="4" s="1"/>
  <c r="N71" i="4" s="1"/>
  <c r="N40" i="4"/>
  <c r="O15" i="4"/>
  <c r="X54" i="4"/>
  <c r="Y25" i="4"/>
  <c r="S48" i="4"/>
  <c r="T19" i="4"/>
  <c r="W257" i="4"/>
  <c r="W273" i="4" s="1"/>
  <c r="X228" i="4"/>
  <c r="Y228" i="4" s="1"/>
  <c r="Z228" i="4" s="1"/>
  <c r="AA228" i="4" s="1"/>
  <c r="AB228" i="4" s="1"/>
  <c r="AC228" i="4" s="1"/>
  <c r="AD228" i="4" s="1"/>
  <c r="V50" i="4"/>
  <c r="W21" i="4"/>
  <c r="Q45" i="4"/>
  <c r="R16" i="4"/>
  <c r="AB56" i="4"/>
  <c r="AC27" i="4"/>
  <c r="M141" i="4"/>
  <c r="Q115" i="4"/>
  <c r="Q137" i="4" s="1"/>
  <c r="R86" i="4"/>
  <c r="S86" i="4" s="1"/>
  <c r="T86" i="4" s="1"/>
  <c r="U86" i="4" s="1"/>
  <c r="V86" i="4" s="1"/>
  <c r="W86" i="4" s="1"/>
  <c r="X86" i="4" s="1"/>
  <c r="Y86" i="4" s="1"/>
  <c r="Z86" i="4" s="1"/>
  <c r="AA86" i="4" s="1"/>
  <c r="AB86" i="4" s="1"/>
  <c r="AC86" i="4" s="1"/>
  <c r="AD86" i="4" s="1"/>
  <c r="V52" i="4"/>
  <c r="W23" i="4"/>
  <c r="S223" i="4"/>
  <c r="T223" i="4" s="1"/>
  <c r="U223" i="4" s="1"/>
  <c r="V223" i="4" s="1"/>
  <c r="W223" i="4" s="1"/>
  <c r="X223" i="4" s="1"/>
  <c r="Y223" i="4" s="1"/>
  <c r="Z223" i="4" s="1"/>
  <c r="AA223" i="4" s="1"/>
  <c r="AB223" i="4" s="1"/>
  <c r="AC223" i="4" s="1"/>
  <c r="AD223" i="4" s="1"/>
  <c r="R252" i="4"/>
  <c r="R273" i="4" s="1"/>
  <c r="M73" i="4"/>
  <c r="AB26" i="4"/>
  <c r="AA55" i="4"/>
  <c r="T254" i="4"/>
  <c r="T273" i="4" s="1"/>
  <c r="U225" i="4"/>
  <c r="V225" i="4" s="1"/>
  <c r="W225" i="4" s="1"/>
  <c r="X225" i="4" s="1"/>
  <c r="Y225" i="4" s="1"/>
  <c r="Z225" i="4" s="1"/>
  <c r="AA225" i="4" s="1"/>
  <c r="AB225" i="4" s="1"/>
  <c r="AC225" i="4" s="1"/>
  <c r="AD225" i="4" s="1"/>
  <c r="X92" i="4"/>
  <c r="Y92" i="4" s="1"/>
  <c r="Z92" i="4" s="1"/>
  <c r="AA92" i="4" s="1"/>
  <c r="AB92" i="4" s="1"/>
  <c r="AC92" i="4" s="1"/>
  <c r="AD92" i="4" s="1"/>
  <c r="W121" i="4"/>
  <c r="W137" i="4" s="1"/>
  <c r="P84" i="4"/>
  <c r="Q84" i="4" s="1"/>
  <c r="R84" i="4" s="1"/>
  <c r="S84" i="4" s="1"/>
  <c r="T84" i="4" s="1"/>
  <c r="U84" i="4" s="1"/>
  <c r="V84" i="4" s="1"/>
  <c r="W84" i="4" s="1"/>
  <c r="X84" i="4" s="1"/>
  <c r="Y84" i="4" s="1"/>
  <c r="Z84" i="4" s="1"/>
  <c r="AA84" i="4" s="1"/>
  <c r="AB84" i="4" s="1"/>
  <c r="AC84" i="4" s="1"/>
  <c r="AD84" i="4" s="1"/>
  <c r="O113" i="4"/>
  <c r="O137" i="4" s="1"/>
  <c r="O176" i="4"/>
  <c r="O209" i="4" s="1"/>
  <c r="P151" i="4"/>
  <c r="N139" i="4"/>
  <c r="K131" i="3"/>
  <c r="K132" i="3" s="1"/>
  <c r="K134" i="3" s="1"/>
  <c r="K91" i="3"/>
  <c r="K107" i="3"/>
  <c r="M66" i="3"/>
  <c r="M68" i="3" s="1"/>
  <c r="M75" i="3" s="1"/>
  <c r="M99" i="3"/>
  <c r="M59" i="3"/>
  <c r="M60" i="3" s="1"/>
  <c r="M81" i="3" s="1"/>
  <c r="M118" i="3" s="1"/>
  <c r="L113" i="3"/>
  <c r="L75" i="3"/>
  <c r="L74" i="3"/>
  <c r="L70" i="3"/>
  <c r="K93" i="3"/>
  <c r="K106" i="3"/>
  <c r="K109" i="3" s="1"/>
  <c r="N63" i="3"/>
  <c r="N56" i="3"/>
  <c r="N39" i="3"/>
  <c r="N41" i="3" s="1"/>
  <c r="N65" i="3" s="1"/>
  <c r="M70" i="3"/>
  <c r="I94" i="3"/>
  <c r="I95" i="3" s="1"/>
  <c r="H98" i="3"/>
  <c r="H102" i="3" s="1"/>
  <c r="H110" i="3" s="1"/>
  <c r="O13" i="3"/>
  <c r="O63" i="3"/>
  <c r="O39" i="3"/>
  <c r="O41" i="3" s="1"/>
  <c r="O65" i="3" s="1"/>
  <c r="O56" i="3"/>
  <c r="J109" i="3"/>
  <c r="N57" i="3"/>
  <c r="N100" i="3" s="1"/>
  <c r="N58" i="3"/>
  <c r="N103" i="3" s="1"/>
  <c r="N105" i="3" s="1"/>
  <c r="O57" i="3"/>
  <c r="O100" i="3" s="1"/>
  <c r="O58" i="3"/>
  <c r="O103" i="3" s="1"/>
  <c r="O105" i="3" s="1"/>
  <c r="L69" i="2"/>
  <c r="K71" i="2"/>
  <c r="O58" i="2"/>
  <c r="O59" i="2"/>
  <c r="N59" i="2"/>
  <c r="N58" i="2"/>
  <c r="N39" i="2"/>
  <c r="N57" i="2"/>
  <c r="N100" i="2" s="1"/>
  <c r="O39" i="2"/>
  <c r="O41" i="2" s="1"/>
  <c r="O66" i="2" s="1"/>
  <c r="O57" i="2"/>
  <c r="O100" i="2" s="1"/>
  <c r="M41" i="2"/>
  <c r="M66" i="2" s="1"/>
  <c r="M67" i="2"/>
  <c r="F86" i="11" l="1"/>
  <c r="F97" i="11" s="1"/>
  <c r="F99" i="11" s="1"/>
  <c r="F122" i="11"/>
  <c r="F123" i="11" s="1"/>
  <c r="F125" i="11" s="1"/>
  <c r="Z58" i="8"/>
  <c r="W84" i="6"/>
  <c r="W87" i="6" s="1"/>
  <c r="W107" i="6" s="1"/>
  <c r="AK14" i="14"/>
  <c r="AK22" i="14" s="1"/>
  <c r="AL18" i="14"/>
  <c r="AL16" i="14"/>
  <c r="AK12" i="14"/>
  <c r="AK20" i="14" s="1"/>
  <c r="AK27" i="14"/>
  <c r="AK25" i="14"/>
  <c r="AK10" i="14"/>
  <c r="AK30" i="14" s="1"/>
  <c r="AL7" i="14"/>
  <c r="AK26" i="14"/>
  <c r="AL8" i="14"/>
  <c r="AL17" i="14"/>
  <c r="AK13" i="14"/>
  <c r="AK21" i="14" s="1"/>
  <c r="AF95" i="14"/>
  <c r="AF104" i="14"/>
  <c r="AG28" i="14"/>
  <c r="AH28" i="14"/>
  <c r="G36" i="15" s="1"/>
  <c r="G37" i="15" s="1"/>
  <c r="G39" i="15" s="1"/>
  <c r="AJ28" i="14"/>
  <c r="AC86" i="14"/>
  <c r="AC89" i="14" s="1"/>
  <c r="AC109" i="14" s="1"/>
  <c r="AE23" i="14"/>
  <c r="AF20" i="14"/>
  <c r="AG20" i="14" s="1"/>
  <c r="AJ21" i="14"/>
  <c r="AJ20" i="14"/>
  <c r="AC108" i="14"/>
  <c r="AB106" i="14"/>
  <c r="AD36" i="14"/>
  <c r="AD86" i="14" s="1"/>
  <c r="AD89" i="14" s="1"/>
  <c r="AD109" i="14" s="1"/>
  <c r="AL27" i="14"/>
  <c r="AM9" i="14"/>
  <c r="AG11" i="14"/>
  <c r="AG10" i="14"/>
  <c r="AJ22" i="14"/>
  <c r="AG21" i="14"/>
  <c r="F41" i="5"/>
  <c r="Z65" i="8"/>
  <c r="Z82" i="8"/>
  <c r="Z59" i="8"/>
  <c r="Z53" i="8"/>
  <c r="Z60" i="8"/>
  <c r="Y36" i="8"/>
  <c r="Y84" i="8" s="1"/>
  <c r="Y87" i="8" s="1"/>
  <c r="Y107" i="8" s="1"/>
  <c r="Z35" i="8"/>
  <c r="Z51" i="8"/>
  <c r="Z74" i="8"/>
  <c r="Z61" i="8"/>
  <c r="Z50" i="8"/>
  <c r="Z52" i="8"/>
  <c r="Z32" i="8"/>
  <c r="AC18" i="8"/>
  <c r="AB14" i="8"/>
  <c r="AC13" i="8"/>
  <c r="AD17" i="8"/>
  <c r="AA23" i="8"/>
  <c r="AA70" i="8" s="1"/>
  <c r="AB21" i="8"/>
  <c r="AB56" i="8" s="1"/>
  <c r="AB26" i="8"/>
  <c r="AC8" i="8"/>
  <c r="W104" i="8"/>
  <c r="X106" i="8"/>
  <c r="Y106" i="8" s="1"/>
  <c r="AD12" i="8"/>
  <c r="AE16" i="8"/>
  <c r="AB25" i="8"/>
  <c r="AB10" i="8"/>
  <c r="AB30" i="8" s="1"/>
  <c r="AC7" i="8"/>
  <c r="AB20" i="8"/>
  <c r="AA28" i="8"/>
  <c r="AB22" i="8"/>
  <c r="AB27" i="8"/>
  <c r="AC9" i="8"/>
  <c r="P104" i="6"/>
  <c r="AF106" i="6"/>
  <c r="AO40" i="6"/>
  <c r="AP40" i="6" s="1"/>
  <c r="AQ40" i="6" s="1"/>
  <c r="AR40" i="6" s="1"/>
  <c r="AS40" i="6" s="1"/>
  <c r="AT40" i="6" s="1"/>
  <c r="AU40" i="6" s="1"/>
  <c r="AV40" i="6" s="1"/>
  <c r="AN41" i="6"/>
  <c r="F63" i="5"/>
  <c r="F85" i="5" s="1"/>
  <c r="F147" i="5" s="1"/>
  <c r="J83" i="2"/>
  <c r="J119" i="2"/>
  <c r="J120" i="2" s="1"/>
  <c r="J122" i="2" s="1"/>
  <c r="N104" i="2"/>
  <c r="N106" i="2" s="1"/>
  <c r="K115" i="2"/>
  <c r="K116" i="2" s="1"/>
  <c r="O104" i="2"/>
  <c r="O106" i="2" s="1"/>
  <c r="I83" i="2"/>
  <c r="I119" i="2"/>
  <c r="I120" i="2" s="1"/>
  <c r="I122" i="2" s="1"/>
  <c r="H91" i="2"/>
  <c r="H108" i="2" s="1"/>
  <c r="G110" i="2"/>
  <c r="L76" i="2"/>
  <c r="L114" i="2"/>
  <c r="L142" i="2"/>
  <c r="L145" i="2" s="1"/>
  <c r="O85" i="2"/>
  <c r="O86" i="2" s="1"/>
  <c r="O118" i="2"/>
  <c r="O143" i="2"/>
  <c r="G99" i="2"/>
  <c r="G103" i="2" s="1"/>
  <c r="G111" i="2" s="1"/>
  <c r="H95" i="2"/>
  <c r="N60" i="2"/>
  <c r="N61" i="2" s="1"/>
  <c r="N82" i="2" s="1"/>
  <c r="N144" i="2" s="1"/>
  <c r="N101" i="2"/>
  <c r="K72" i="2"/>
  <c r="K73" i="2" s="1"/>
  <c r="O60" i="2"/>
  <c r="O101" i="2"/>
  <c r="O102" i="2"/>
  <c r="AT37" i="6"/>
  <c r="AR16" i="6"/>
  <c r="AQ12" i="6"/>
  <c r="AO38" i="6"/>
  <c r="V84" i="6"/>
  <c r="V87" i="6" s="1"/>
  <c r="V107" i="6" s="1"/>
  <c r="Y65" i="6"/>
  <c r="Y70" i="6"/>
  <c r="U84" i="6"/>
  <c r="U87" i="6" s="1"/>
  <c r="U107" i="6" s="1"/>
  <c r="Y54" i="6"/>
  <c r="Y59" i="6"/>
  <c r="Y61" i="6"/>
  <c r="Y60" i="6"/>
  <c r="X23" i="6"/>
  <c r="AC8" i="6"/>
  <c r="AB10" i="6"/>
  <c r="AB30" i="6" s="1"/>
  <c r="AE7" i="6"/>
  <c r="AF7" i="6" s="1"/>
  <c r="AD25" i="6"/>
  <c r="AD20" i="6"/>
  <c r="AC9" i="6"/>
  <c r="AB26" i="6"/>
  <c r="AB13" i="6"/>
  <c r="AB21" i="6" s="1"/>
  <c r="AC17" i="6"/>
  <c r="AA56" i="6"/>
  <c r="AA18" i="6"/>
  <c r="Z14" i="6"/>
  <c r="Z22" i="6" s="1"/>
  <c r="Z23" i="6" s="1"/>
  <c r="Z74" i="6" s="1"/>
  <c r="Z27" i="6"/>
  <c r="Z28" i="6" s="1"/>
  <c r="Y52" i="6"/>
  <c r="Y35" i="6"/>
  <c r="Y82" i="6"/>
  <c r="Y53" i="6"/>
  <c r="Y50" i="6"/>
  <c r="Y51" i="6"/>
  <c r="Y32" i="6"/>
  <c r="L71" i="2"/>
  <c r="L72" i="2" s="1"/>
  <c r="L75" i="2"/>
  <c r="AB55" i="4"/>
  <c r="AC26" i="4"/>
  <c r="Y53" i="4"/>
  <c r="Z24" i="4"/>
  <c r="Q46" i="4"/>
  <c r="R17" i="4"/>
  <c r="O108" i="4"/>
  <c r="O141" i="4" s="1"/>
  <c r="P83" i="4"/>
  <c r="P176" i="4"/>
  <c r="P209" i="4" s="1"/>
  <c r="Q151" i="4"/>
  <c r="T47" i="4"/>
  <c r="U18" i="4"/>
  <c r="AC56" i="4"/>
  <c r="AD27" i="4"/>
  <c r="AD56" i="4" s="1"/>
  <c r="O244" i="4"/>
  <c r="O277" i="4" s="1"/>
  <c r="P219" i="4"/>
  <c r="R45" i="4"/>
  <c r="S16" i="4"/>
  <c r="Y54" i="4"/>
  <c r="Z25" i="4"/>
  <c r="N141" i="4"/>
  <c r="N277" i="4"/>
  <c r="T48" i="4"/>
  <c r="U19" i="4"/>
  <c r="W51" i="4"/>
  <c r="X22" i="4"/>
  <c r="W50" i="4"/>
  <c r="X21" i="4"/>
  <c r="O40" i="4"/>
  <c r="P15" i="4"/>
  <c r="O44" i="4"/>
  <c r="O69" i="4" s="1"/>
  <c r="O71" i="4" s="1"/>
  <c r="X23" i="4"/>
  <c r="W52" i="4"/>
  <c r="O139" i="4"/>
  <c r="P139" i="4" s="1"/>
  <c r="Q139" i="4" s="1"/>
  <c r="R139" i="4" s="1"/>
  <c r="S139" i="4" s="1"/>
  <c r="T139" i="4" s="1"/>
  <c r="U139" i="4" s="1"/>
  <c r="V139" i="4" s="1"/>
  <c r="W139" i="4" s="1"/>
  <c r="X139" i="4" s="1"/>
  <c r="Y139" i="4" s="1"/>
  <c r="Z139" i="4" s="1"/>
  <c r="AA139" i="4" s="1"/>
  <c r="AB139" i="4" s="1"/>
  <c r="AC139" i="4" s="1"/>
  <c r="AD139" i="4" s="1"/>
  <c r="N73" i="4"/>
  <c r="V20" i="4"/>
  <c r="U49" i="4"/>
  <c r="AD28" i="4"/>
  <c r="AD57" i="4" s="1"/>
  <c r="AC57" i="4"/>
  <c r="M74" i="3"/>
  <c r="M113" i="3"/>
  <c r="O99" i="3"/>
  <c r="O59" i="3"/>
  <c r="L71" i="3"/>
  <c r="L72" i="3" s="1"/>
  <c r="L78" i="3" s="1"/>
  <c r="L80" i="3" s="1"/>
  <c r="L82" i="3" s="1"/>
  <c r="L90" i="3" s="1"/>
  <c r="M71" i="3"/>
  <c r="M72" i="3" s="1"/>
  <c r="M78" i="3" s="1"/>
  <c r="M80" i="3" s="1"/>
  <c r="M82" i="3" s="1"/>
  <c r="M90" i="3" s="1"/>
  <c r="L114" i="3"/>
  <c r="L115" i="3"/>
  <c r="L119" i="3" s="1"/>
  <c r="L121" i="3" s="1"/>
  <c r="O66" i="3"/>
  <c r="M114" i="3"/>
  <c r="M115" i="3" s="1"/>
  <c r="M119" i="3" s="1"/>
  <c r="M121" i="3" s="1"/>
  <c r="O23" i="3"/>
  <c r="O24" i="3" s="1"/>
  <c r="O27" i="3" s="1"/>
  <c r="O26" i="3"/>
  <c r="O84" i="3" s="1"/>
  <c r="O85" i="3" s="1"/>
  <c r="N99" i="3"/>
  <c r="N59" i="3"/>
  <c r="N60" i="3" s="1"/>
  <c r="N81" i="3" s="1"/>
  <c r="N118" i="3" s="1"/>
  <c r="J94" i="3"/>
  <c r="J95" i="3" s="1"/>
  <c r="I98" i="3"/>
  <c r="I102" i="3" s="1"/>
  <c r="I110" i="3" s="1"/>
  <c r="N66" i="3"/>
  <c r="N68" i="3" s="1"/>
  <c r="L107" i="3"/>
  <c r="M69" i="2"/>
  <c r="N41" i="2"/>
  <c r="N66" i="2" s="1"/>
  <c r="N67" i="2" s="1"/>
  <c r="O67" i="2"/>
  <c r="G60" i="15" l="1"/>
  <c r="G104" i="15" s="1"/>
  <c r="G61" i="15"/>
  <c r="G107" i="15" s="1"/>
  <c r="G109" i="15" s="1"/>
  <c r="G67" i="15"/>
  <c r="AD108" i="14"/>
  <c r="AD106" i="14" s="1"/>
  <c r="AA61" i="8"/>
  <c r="AA59" i="8"/>
  <c r="AA58" i="8"/>
  <c r="G98" i="11"/>
  <c r="F102" i="11"/>
  <c r="F106" i="11" s="1"/>
  <c r="F114" i="11" s="1"/>
  <c r="X74" i="6"/>
  <c r="AK28" i="14"/>
  <c r="AF102" i="14"/>
  <c r="AF118" i="14"/>
  <c r="AF117" i="14"/>
  <c r="AK23" i="14"/>
  <c r="AL14" i="14"/>
  <c r="AM18" i="14"/>
  <c r="AL25" i="14"/>
  <c r="AL10" i="14"/>
  <c r="AL30" i="14" s="1"/>
  <c r="AM7" i="14"/>
  <c r="AJ23" i="14"/>
  <c r="AC106" i="14"/>
  <c r="AM17" i="14"/>
  <c r="AL13" i="14"/>
  <c r="AM16" i="14"/>
  <c r="AL12" i="14"/>
  <c r="AL20" i="14" s="1"/>
  <c r="AM8" i="14"/>
  <c r="AL26" i="14"/>
  <c r="AE84" i="14"/>
  <c r="AF84" i="14" s="1"/>
  <c r="AE72" i="14"/>
  <c r="AF72" i="14" s="1"/>
  <c r="AE76" i="14"/>
  <c r="AF76" i="14" s="1"/>
  <c r="AE54" i="14"/>
  <c r="AF54" i="14" s="1"/>
  <c r="AE55" i="14"/>
  <c r="AE52" i="14"/>
  <c r="AF52" i="14" s="1"/>
  <c r="AE53" i="14"/>
  <c r="AF53" i="14" s="1"/>
  <c r="AE51" i="14"/>
  <c r="AE32" i="14"/>
  <c r="AE35" i="14"/>
  <c r="AE67" i="14"/>
  <c r="AF67" i="14" s="1"/>
  <c r="AE63" i="14"/>
  <c r="AF63" i="14" s="1"/>
  <c r="AE62" i="14"/>
  <c r="AF62" i="14" s="1"/>
  <c r="AE61" i="14"/>
  <c r="AF61" i="14" s="1"/>
  <c r="AF23" i="14"/>
  <c r="AN9" i="14"/>
  <c r="X104" i="8"/>
  <c r="Z36" i="8"/>
  <c r="Z84" i="8" s="1"/>
  <c r="Z87" i="8" s="1"/>
  <c r="Z107" i="8" s="1"/>
  <c r="Z106" i="8"/>
  <c r="AA52" i="8"/>
  <c r="AA51" i="8"/>
  <c r="AA54" i="8"/>
  <c r="AA53" i="8"/>
  <c r="AA60" i="8"/>
  <c r="AA65" i="8"/>
  <c r="AD13" i="8"/>
  <c r="AE17" i="8"/>
  <c r="AA50" i="8"/>
  <c r="AA82" i="8"/>
  <c r="AA35" i="8"/>
  <c r="AA74" i="8"/>
  <c r="AA32" i="8"/>
  <c r="AD18" i="8"/>
  <c r="AC14" i="8"/>
  <c r="AC22" i="8" s="1"/>
  <c r="AC27" i="8"/>
  <c r="AD9" i="8"/>
  <c r="AB28" i="8"/>
  <c r="AD7" i="8"/>
  <c r="AC25" i="8"/>
  <c r="AC20" i="8"/>
  <c r="AC10" i="8"/>
  <c r="AC30" i="8" s="1"/>
  <c r="AC26" i="8"/>
  <c r="AD8" i="8"/>
  <c r="AC21" i="8"/>
  <c r="AC56" i="8" s="1"/>
  <c r="AB23" i="8"/>
  <c r="AE12" i="8"/>
  <c r="AF12" i="8" s="1"/>
  <c r="AI16" i="8"/>
  <c r="AJ16" i="8" s="1"/>
  <c r="AF16" i="8"/>
  <c r="Y104" i="8"/>
  <c r="AO41" i="6"/>
  <c r="AP41" i="6" s="1"/>
  <c r="AQ41" i="6" s="1"/>
  <c r="AR41" i="6" s="1"/>
  <c r="AS41" i="6" s="1"/>
  <c r="AT41" i="6" s="1"/>
  <c r="AU41" i="6" s="1"/>
  <c r="AQ42" i="6"/>
  <c r="L73" i="2"/>
  <c r="L79" i="2" s="1"/>
  <c r="L81" i="2" s="1"/>
  <c r="K79" i="2"/>
  <c r="K81" i="2" s="1"/>
  <c r="K107" i="2"/>
  <c r="H110" i="2"/>
  <c r="O61" i="2"/>
  <c r="O82" i="2" s="1"/>
  <c r="O144" i="2" s="1"/>
  <c r="L115" i="2"/>
  <c r="L116" i="2" s="1"/>
  <c r="H132" i="2"/>
  <c r="H133" i="2" s="1"/>
  <c r="H135" i="2" s="1"/>
  <c r="H92" i="2"/>
  <c r="H94" i="2" s="1"/>
  <c r="H96" i="2" s="1"/>
  <c r="M76" i="2"/>
  <c r="M114" i="2"/>
  <c r="M115" i="2" s="1"/>
  <c r="M116" i="2" s="1"/>
  <c r="M142" i="2"/>
  <c r="M145" i="2" s="1"/>
  <c r="I91" i="2"/>
  <c r="I108" i="2" s="1"/>
  <c r="J91" i="2"/>
  <c r="AP38" i="6"/>
  <c r="AG7" i="6"/>
  <c r="AJ7" i="6"/>
  <c r="AS16" i="6"/>
  <c r="AR12" i="6"/>
  <c r="AU37" i="6"/>
  <c r="AV37" i="6" s="1"/>
  <c r="Z65" i="6"/>
  <c r="Z70" i="6"/>
  <c r="X65" i="6"/>
  <c r="X70" i="6"/>
  <c r="Y36" i="6"/>
  <c r="X59" i="6"/>
  <c r="X60" i="6"/>
  <c r="X61" i="6"/>
  <c r="Z54" i="6"/>
  <c r="Z59" i="6"/>
  <c r="Z60" i="6"/>
  <c r="Z61" i="6"/>
  <c r="Z32" i="6"/>
  <c r="X51" i="6"/>
  <c r="X82" i="6"/>
  <c r="X50" i="6"/>
  <c r="X53" i="6"/>
  <c r="X32" i="6"/>
  <c r="X54" i="6"/>
  <c r="X52" i="6"/>
  <c r="X35" i="6"/>
  <c r="AD9" i="6"/>
  <c r="AC26" i="6"/>
  <c r="AC13" i="6"/>
  <c r="AC21" i="6" s="1"/>
  <c r="AD17" i="6"/>
  <c r="AB56" i="6"/>
  <c r="AE20" i="6"/>
  <c r="AF20" i="6" s="1"/>
  <c r="AG20" i="6" s="1"/>
  <c r="AE25" i="6"/>
  <c r="AF25" i="6" s="1"/>
  <c r="AG25" i="6" s="1"/>
  <c r="Z50" i="6"/>
  <c r="Z52" i="6"/>
  <c r="Z51" i="6"/>
  <c r="Z35" i="6"/>
  <c r="Z82" i="6"/>
  <c r="Z53" i="6"/>
  <c r="AA14" i="6"/>
  <c r="AA22" i="6" s="1"/>
  <c r="AA23" i="6" s="1"/>
  <c r="AA74" i="6" s="1"/>
  <c r="AB18" i="6"/>
  <c r="AA27" i="6"/>
  <c r="AA28" i="6" s="1"/>
  <c r="AD8" i="6"/>
  <c r="AC10" i="6"/>
  <c r="AC30" i="6" s="1"/>
  <c r="M75" i="2"/>
  <c r="P71" i="4"/>
  <c r="R46" i="4"/>
  <c r="S17" i="4"/>
  <c r="P40" i="4"/>
  <c r="Q15" i="4"/>
  <c r="P44" i="4"/>
  <c r="P69" i="4" s="1"/>
  <c r="X50" i="4"/>
  <c r="Y21" i="4"/>
  <c r="Z53" i="4"/>
  <c r="AA24" i="4"/>
  <c r="O73" i="4"/>
  <c r="W20" i="4"/>
  <c r="V49" i="4"/>
  <c r="AC55" i="4"/>
  <c r="AD26" i="4"/>
  <c r="AD55" i="4" s="1"/>
  <c r="Z54" i="4"/>
  <c r="AA25" i="4"/>
  <c r="X51" i="4"/>
  <c r="Y22" i="4"/>
  <c r="U47" i="4"/>
  <c r="V18" i="4"/>
  <c r="S45" i="4"/>
  <c r="T16" i="4"/>
  <c r="Q176" i="4"/>
  <c r="Q209" i="4" s="1"/>
  <c r="R151" i="4"/>
  <c r="Y23" i="4"/>
  <c r="X52" i="4"/>
  <c r="U48" i="4"/>
  <c r="V19" i="4"/>
  <c r="P244" i="4"/>
  <c r="P277" i="4" s="1"/>
  <c r="Q219" i="4"/>
  <c r="P108" i="4"/>
  <c r="P141" i="4" s="1"/>
  <c r="Q83" i="4"/>
  <c r="M131" i="3"/>
  <c r="M132" i="3" s="1"/>
  <c r="M134" i="3" s="1"/>
  <c r="M91" i="3"/>
  <c r="M93" i="3" s="1"/>
  <c r="L131" i="3"/>
  <c r="L132" i="3" s="1"/>
  <c r="L134" i="3" s="1"/>
  <c r="L91" i="3"/>
  <c r="L93" i="3" s="1"/>
  <c r="M106" i="3"/>
  <c r="L106" i="3"/>
  <c r="L109" i="3" s="1"/>
  <c r="K94" i="3"/>
  <c r="K95" i="3" s="1"/>
  <c r="J98" i="3"/>
  <c r="J102" i="3" s="1"/>
  <c r="J110" i="3" s="1"/>
  <c r="O117" i="3"/>
  <c r="O116" i="3"/>
  <c r="O67" i="3"/>
  <c r="N70" i="3"/>
  <c r="N113" i="3"/>
  <c r="N75" i="3"/>
  <c r="N74" i="3"/>
  <c r="O60" i="3"/>
  <c r="O81" i="3" s="1"/>
  <c r="O118" i="3" s="1"/>
  <c r="O69" i="2"/>
  <c r="N69" i="2"/>
  <c r="M71" i="2"/>
  <c r="AE108" i="14" l="1"/>
  <c r="AE56" i="14"/>
  <c r="AF56" i="14" s="1"/>
  <c r="AF55" i="14"/>
  <c r="AB58" i="8"/>
  <c r="AL28" i="14"/>
  <c r="AN8" i="14"/>
  <c r="AM26" i="14"/>
  <c r="AN17" i="14"/>
  <c r="AM13" i="14"/>
  <c r="AM21" i="14" s="1"/>
  <c r="AN18" i="14"/>
  <c r="AN27" i="14" s="1"/>
  <c r="AM14" i="14"/>
  <c r="AM22" i="14" s="1"/>
  <c r="AO9" i="14"/>
  <c r="AJ84" i="14"/>
  <c r="AJ72" i="14"/>
  <c r="AJ76" i="14"/>
  <c r="AJ67" i="14"/>
  <c r="AJ32" i="14"/>
  <c r="AJ35" i="14"/>
  <c r="AJ51" i="14"/>
  <c r="AJ55" i="14"/>
  <c r="AJ56" i="14" s="1"/>
  <c r="AJ52" i="14"/>
  <c r="AJ58" i="14"/>
  <c r="AJ63" i="14"/>
  <c r="AJ54" i="14"/>
  <c r="AJ62" i="14"/>
  <c r="AJ53" i="14"/>
  <c r="AJ61" i="14"/>
  <c r="AK72" i="14"/>
  <c r="AK76" i="14"/>
  <c r="AK67" i="14"/>
  <c r="AK84" i="14"/>
  <c r="AK35" i="14"/>
  <c r="AK32" i="14"/>
  <c r="AK62" i="14"/>
  <c r="AK52" i="14"/>
  <c r="AK61" i="14"/>
  <c r="AK51" i="14"/>
  <c r="AK55" i="14"/>
  <c r="AK56" i="14" s="1"/>
  <c r="AK54" i="14"/>
  <c r="AK53" i="14"/>
  <c r="AK63" i="14"/>
  <c r="AK58" i="14"/>
  <c r="AM27" i="14"/>
  <c r="AL22" i="14"/>
  <c r="AF51" i="14"/>
  <c r="AM25" i="14"/>
  <c r="AM10" i="14"/>
  <c r="AM30" i="14" s="1"/>
  <c r="AN7" i="14"/>
  <c r="AL21" i="14"/>
  <c r="AF94" i="14"/>
  <c r="AF32" i="14"/>
  <c r="AG24" i="14"/>
  <c r="AH23" i="14"/>
  <c r="G33" i="15" s="1"/>
  <c r="G34" i="15" s="1"/>
  <c r="AG23" i="14"/>
  <c r="AN16" i="14"/>
  <c r="AM12" i="14"/>
  <c r="AM20" i="14" s="1"/>
  <c r="AA106" i="8"/>
  <c r="Z104" i="8"/>
  <c r="AA36" i="8"/>
  <c r="AA84" i="8" s="1"/>
  <c r="AA87" i="8" s="1"/>
  <c r="AA107" i="8" s="1"/>
  <c r="AE13" i="8"/>
  <c r="AF13" i="8" s="1"/>
  <c r="AF17" i="8"/>
  <c r="AI17" i="8"/>
  <c r="AJ17" i="8" s="1"/>
  <c r="AC23" i="8"/>
  <c r="AC52" i="8" s="1"/>
  <c r="AE18" i="8"/>
  <c r="AD14" i="8"/>
  <c r="AD22" i="8" s="1"/>
  <c r="AC28" i="8"/>
  <c r="AB74" i="8"/>
  <c r="AB82" i="8"/>
  <c r="AB70" i="8"/>
  <c r="AB65" i="8"/>
  <c r="AB53" i="8"/>
  <c r="AB54" i="8"/>
  <c r="AB51" i="8"/>
  <c r="AB52" i="8"/>
  <c r="AB32" i="8"/>
  <c r="AB35" i="8"/>
  <c r="AB50" i="8"/>
  <c r="AB59" i="8"/>
  <c r="AB60" i="8"/>
  <c r="AB61" i="8"/>
  <c r="AD25" i="8"/>
  <c r="AE7" i="8"/>
  <c r="AD20" i="8"/>
  <c r="AD10" i="8"/>
  <c r="AD30" i="8" s="1"/>
  <c r="AD21" i="8"/>
  <c r="AD56" i="8" s="1"/>
  <c r="AD26" i="8"/>
  <c r="AE8" i="8"/>
  <c r="AD27" i="8"/>
  <c r="AE9" i="8"/>
  <c r="AK16" i="8"/>
  <c r="AJ12" i="8"/>
  <c r="AR42" i="6"/>
  <c r="AS42" i="6" s="1"/>
  <c r="AT42" i="6" s="1"/>
  <c r="AU42" i="6" s="1"/>
  <c r="AV41" i="6"/>
  <c r="L107" i="2"/>
  <c r="O114" i="2"/>
  <c r="O76" i="2"/>
  <c r="O142" i="2"/>
  <c r="O145" i="2" s="1"/>
  <c r="E148" i="2" s="1"/>
  <c r="L83" i="2"/>
  <c r="L119" i="2"/>
  <c r="L120" i="2" s="1"/>
  <c r="L122" i="2" s="1"/>
  <c r="J108" i="2"/>
  <c r="I110" i="2"/>
  <c r="J132" i="2"/>
  <c r="J133" i="2" s="1"/>
  <c r="J135" i="2" s="1"/>
  <c r="J92" i="2"/>
  <c r="J94" i="2" s="1"/>
  <c r="H99" i="2"/>
  <c r="H103" i="2" s="1"/>
  <c r="H111" i="2" s="1"/>
  <c r="I95" i="2"/>
  <c r="I96" i="2" s="1"/>
  <c r="N76" i="2"/>
  <c r="N142" i="2"/>
  <c r="N145" i="2" s="1"/>
  <c r="N114" i="2"/>
  <c r="N115" i="2" s="1"/>
  <c r="N116" i="2" s="1"/>
  <c r="M72" i="2"/>
  <c r="M73" i="2" s="1"/>
  <c r="I132" i="2"/>
  <c r="I133" i="2" s="1"/>
  <c r="I135" i="2" s="1"/>
  <c r="I92" i="2"/>
  <c r="I94" i="2" s="1"/>
  <c r="K83" i="2"/>
  <c r="K119" i="2"/>
  <c r="K120" i="2" s="1"/>
  <c r="K122" i="2" s="1"/>
  <c r="AT16" i="6"/>
  <c r="AS12" i="6"/>
  <c r="AK7" i="6"/>
  <c r="AJ25" i="6"/>
  <c r="AJ20" i="6"/>
  <c r="AQ38" i="6"/>
  <c r="AA65" i="6"/>
  <c r="AA70" i="6"/>
  <c r="Z36" i="6"/>
  <c r="X36" i="6"/>
  <c r="AA54" i="6"/>
  <c r="AA59" i="6"/>
  <c r="AA61" i="6"/>
  <c r="AA60" i="6"/>
  <c r="Y84" i="6"/>
  <c r="Y87" i="6" s="1"/>
  <c r="Y107" i="6" s="1"/>
  <c r="AA32" i="6"/>
  <c r="AA53" i="6"/>
  <c r="AA50" i="6"/>
  <c r="AA82" i="6"/>
  <c r="AA51" i="6"/>
  <c r="AA52" i="6"/>
  <c r="AA35" i="6"/>
  <c r="AE17" i="6"/>
  <c r="AF17" i="6" s="1"/>
  <c r="AD13" i="6"/>
  <c r="AD21" i="6" s="1"/>
  <c r="AC56" i="6"/>
  <c r="AE8" i="6"/>
  <c r="AF8" i="6" s="1"/>
  <c r="AF10" i="6" s="1"/>
  <c r="AD26" i="6"/>
  <c r="AD10" i="6"/>
  <c r="AD30" i="6" s="1"/>
  <c r="AE9" i="6"/>
  <c r="AF9" i="6" s="1"/>
  <c r="AC18" i="6"/>
  <c r="AB14" i="6"/>
  <c r="AB22" i="6" s="1"/>
  <c r="AB23" i="6" s="1"/>
  <c r="AB74" i="6" s="1"/>
  <c r="AB27" i="6"/>
  <c r="AB28" i="6" s="1"/>
  <c r="N71" i="2"/>
  <c r="N72" i="2" s="1"/>
  <c r="O71" i="2"/>
  <c r="O72" i="2" s="1"/>
  <c r="O73" i="2" s="1"/>
  <c r="Q108" i="4"/>
  <c r="Q141" i="4" s="1"/>
  <c r="R83" i="4"/>
  <c r="AB25" i="4"/>
  <c r="AA54" i="4"/>
  <c r="Y50" i="4"/>
  <c r="Z21" i="4"/>
  <c r="X20" i="4"/>
  <c r="W49" i="4"/>
  <c r="Q244" i="4"/>
  <c r="Q277" i="4" s="1"/>
  <c r="R219" i="4"/>
  <c r="T45" i="4"/>
  <c r="U16" i="4"/>
  <c r="V48" i="4"/>
  <c r="W19" i="4"/>
  <c r="R15" i="4"/>
  <c r="Q44" i="4"/>
  <c r="Q69" i="4" s="1"/>
  <c r="Q71" i="4" s="1"/>
  <c r="Q40" i="4"/>
  <c r="Z22" i="4"/>
  <c r="Y51" i="4"/>
  <c r="T17" i="4"/>
  <c r="S46" i="4"/>
  <c r="R176" i="4"/>
  <c r="R209" i="4" s="1"/>
  <c r="S151" i="4"/>
  <c r="V47" i="4"/>
  <c r="W18" i="4"/>
  <c r="P73" i="4"/>
  <c r="Z23" i="4"/>
  <c r="Y52" i="4"/>
  <c r="AA53" i="4"/>
  <c r="AB24" i="4"/>
  <c r="N114" i="3"/>
  <c r="N115" i="3" s="1"/>
  <c r="N119" i="3" s="1"/>
  <c r="N121" i="3" s="1"/>
  <c r="L94" i="3"/>
  <c r="L95" i="3" s="1"/>
  <c r="K98" i="3"/>
  <c r="K102" i="3" s="1"/>
  <c r="K110" i="3" s="1"/>
  <c r="N71" i="3"/>
  <c r="N72" i="3" s="1"/>
  <c r="N78" i="3" s="1"/>
  <c r="N80" i="3" s="1"/>
  <c r="N82" i="3" s="1"/>
  <c r="N90" i="3" s="1"/>
  <c r="M107" i="3"/>
  <c r="O79" i="3"/>
  <c r="O101" i="3" s="1"/>
  <c r="O68" i="3"/>
  <c r="O75" i="2"/>
  <c r="N75" i="2"/>
  <c r="AE36" i="14" l="1"/>
  <c r="AE86" i="14" s="1"/>
  <c r="AE89" i="14" s="1"/>
  <c r="AE109" i="14" s="1"/>
  <c r="AE106" i="14" s="1"/>
  <c r="G66" i="15"/>
  <c r="G59" i="15"/>
  <c r="G31" i="15"/>
  <c r="AC58" i="8"/>
  <c r="AV42" i="6"/>
  <c r="AM23" i="14"/>
  <c r="AM76" i="14" s="1"/>
  <c r="AM67" i="14"/>
  <c r="AM35" i="14"/>
  <c r="AM54" i="14"/>
  <c r="AM28" i="14"/>
  <c r="AN26" i="14"/>
  <c r="AO8" i="14"/>
  <c r="AF116" i="14"/>
  <c r="AF119" i="14" s="1"/>
  <c r="AF112" i="14" s="1"/>
  <c r="AF130" i="14" s="1"/>
  <c r="AF132" i="14" s="1"/>
  <c r="AF93" i="14" s="1"/>
  <c r="AF92" i="14" s="1"/>
  <c r="AO16" i="14"/>
  <c r="AN12" i="14"/>
  <c r="AN20" i="14" s="1"/>
  <c r="AO18" i="14"/>
  <c r="AN14" i="14"/>
  <c r="AP9" i="14"/>
  <c r="AJ36" i="14"/>
  <c r="AG32" i="14"/>
  <c r="AN25" i="14"/>
  <c r="AO7" i="14"/>
  <c r="AN10" i="14"/>
  <c r="AN30" i="14" s="1"/>
  <c r="AK36" i="14"/>
  <c r="AK86" i="14" s="1"/>
  <c r="AK89" i="14" s="1"/>
  <c r="AO17" i="14"/>
  <c r="AN13" i="14"/>
  <c r="AN21" i="14" s="1"/>
  <c r="AL23" i="14"/>
  <c r="AC53" i="8"/>
  <c r="AC60" i="8"/>
  <c r="AC35" i="8"/>
  <c r="AC50" i="8"/>
  <c r="AC51" i="8"/>
  <c r="AC54" i="8"/>
  <c r="AC59" i="8"/>
  <c r="AC65" i="8"/>
  <c r="AC61" i="8"/>
  <c r="AC70" i="8"/>
  <c r="AE14" i="8"/>
  <c r="AF14" i="8" s="1"/>
  <c r="AF18" i="8"/>
  <c r="AI18" i="8"/>
  <c r="AJ18" i="8" s="1"/>
  <c r="AC32" i="8"/>
  <c r="AC82" i="8"/>
  <c r="AK17" i="8"/>
  <c r="AJ13" i="8"/>
  <c r="AC74" i="8"/>
  <c r="AA104" i="8"/>
  <c r="AB106" i="8"/>
  <c r="AE26" i="8"/>
  <c r="AF26" i="8" s="1"/>
  <c r="AG26" i="8" s="1"/>
  <c r="AE21" i="8"/>
  <c r="AJ8" i="8"/>
  <c r="AF8" i="8"/>
  <c r="AG8" i="8" s="1"/>
  <c r="AD23" i="8"/>
  <c r="AB36" i="8"/>
  <c r="AE27" i="8"/>
  <c r="AF27" i="8" s="1"/>
  <c r="AG27" i="8" s="1"/>
  <c r="AJ9" i="8"/>
  <c r="AF9" i="8"/>
  <c r="AG9" i="8" s="1"/>
  <c r="AE25" i="8"/>
  <c r="AE20" i="8"/>
  <c r="AE10" i="8"/>
  <c r="AE30" i="8" s="1"/>
  <c r="AF30" i="8" s="1"/>
  <c r="AG30" i="8" s="1"/>
  <c r="AJ7" i="8"/>
  <c r="AF7" i="8"/>
  <c r="AK12" i="8"/>
  <c r="AL16" i="8"/>
  <c r="AD28" i="8"/>
  <c r="AI17" i="6"/>
  <c r="AJ17" i="6" s="1"/>
  <c r="O79" i="2"/>
  <c r="O81" i="2" s="1"/>
  <c r="O107" i="2"/>
  <c r="M79" i="2"/>
  <c r="M81" i="2" s="1"/>
  <c r="M107" i="2"/>
  <c r="J110" i="2"/>
  <c r="L91" i="2"/>
  <c r="I99" i="2"/>
  <c r="I103" i="2" s="1"/>
  <c r="I111" i="2" s="1"/>
  <c r="J95" i="2"/>
  <c r="J96" i="2" s="1"/>
  <c r="O115" i="2"/>
  <c r="O116" i="2" s="1"/>
  <c r="K91" i="2"/>
  <c r="K108" i="2" s="1"/>
  <c r="N73" i="2"/>
  <c r="AK25" i="6"/>
  <c r="AK20" i="6"/>
  <c r="AL7" i="6"/>
  <c r="AG8" i="6"/>
  <c r="AJ8" i="6"/>
  <c r="AG9" i="6"/>
  <c r="AJ9" i="6"/>
  <c r="AK17" i="6"/>
  <c r="AJ13" i="6"/>
  <c r="AR38" i="6"/>
  <c r="AU16" i="6"/>
  <c r="AV16" i="6" s="1"/>
  <c r="AT12" i="6"/>
  <c r="AB65" i="6"/>
  <c r="AB70" i="6"/>
  <c r="AB54" i="6"/>
  <c r="AB60" i="6"/>
  <c r="AB59" i="6"/>
  <c r="AB61" i="6"/>
  <c r="AA36" i="6"/>
  <c r="X84" i="6"/>
  <c r="X87" i="6" s="1"/>
  <c r="X107" i="6" s="1"/>
  <c r="AE13" i="6"/>
  <c r="AF13" i="6" s="1"/>
  <c r="Z84" i="6"/>
  <c r="AD18" i="6"/>
  <c r="AC14" i="6"/>
  <c r="AC22" i="6" s="1"/>
  <c r="AC23" i="6" s="1"/>
  <c r="AC74" i="6" s="1"/>
  <c r="AC27" i="6"/>
  <c r="AC28" i="6" s="1"/>
  <c r="AD56" i="6"/>
  <c r="AB32" i="6"/>
  <c r="AB82" i="6"/>
  <c r="AB51" i="6"/>
  <c r="AB53" i="6"/>
  <c r="AB35" i="6"/>
  <c r="AB50" i="6"/>
  <c r="AB52" i="6"/>
  <c r="AE26" i="6"/>
  <c r="AF26" i="6" s="1"/>
  <c r="AG26" i="6" s="1"/>
  <c r="AE10" i="6"/>
  <c r="AE30" i="6" s="1"/>
  <c r="AF30" i="6" s="1"/>
  <c r="R71" i="4"/>
  <c r="T151" i="4"/>
  <c r="S176" i="4"/>
  <c r="S209" i="4" s="1"/>
  <c r="R44" i="4"/>
  <c r="R69" i="4" s="1"/>
  <c r="R40" i="4"/>
  <c r="S15" i="4"/>
  <c r="AB53" i="4"/>
  <c r="AC24" i="4"/>
  <c r="X19" i="4"/>
  <c r="W48" i="4"/>
  <c r="X49" i="4"/>
  <c r="Y20" i="4"/>
  <c r="Z50" i="4"/>
  <c r="AA21" i="4"/>
  <c r="U17" i="4"/>
  <c r="T46" i="4"/>
  <c r="V16" i="4"/>
  <c r="U45" i="4"/>
  <c r="Z52" i="4"/>
  <c r="AA23" i="4"/>
  <c r="AA22" i="4"/>
  <c r="Z51" i="4"/>
  <c r="R244" i="4"/>
  <c r="R277" i="4" s="1"/>
  <c r="S219" i="4"/>
  <c r="AC25" i="4"/>
  <c r="AB54" i="4"/>
  <c r="W47" i="4"/>
  <c r="X18" i="4"/>
  <c r="Q73" i="4"/>
  <c r="R108" i="4"/>
  <c r="R141" i="4" s="1"/>
  <c r="S83" i="4"/>
  <c r="N131" i="3"/>
  <c r="N132" i="3" s="1"/>
  <c r="N134" i="3" s="1"/>
  <c r="N91" i="3"/>
  <c r="N93" i="3" s="1"/>
  <c r="N107" i="3"/>
  <c r="N106" i="3"/>
  <c r="M94" i="3"/>
  <c r="M95" i="3" s="1"/>
  <c r="L98" i="3"/>
  <c r="L102" i="3" s="1"/>
  <c r="L110" i="3" s="1"/>
  <c r="M109" i="3"/>
  <c r="O70" i="3"/>
  <c r="O71" i="3" s="1"/>
  <c r="O72" i="3" s="1"/>
  <c r="O78" i="3" s="1"/>
  <c r="O113" i="3"/>
  <c r="O114" i="3" s="1"/>
  <c r="O115" i="3" s="1"/>
  <c r="O119" i="3" s="1"/>
  <c r="O121" i="3" s="1"/>
  <c r="O74" i="3"/>
  <c r="O75" i="3"/>
  <c r="AF36" i="14" l="1"/>
  <c r="AM63" i="14"/>
  <c r="AM56" i="14"/>
  <c r="G103" i="15"/>
  <c r="G62" i="15"/>
  <c r="R67" i="15"/>
  <c r="AM62" i="14"/>
  <c r="AM53" i="14"/>
  <c r="AM55" i="14"/>
  <c r="AM32" i="14"/>
  <c r="AM58" i="14"/>
  <c r="AM61" i="14"/>
  <c r="AM51" i="14"/>
  <c r="AE22" i="8"/>
  <c r="AF22" i="8" s="1"/>
  <c r="AG22" i="8" s="1"/>
  <c r="AD58" i="8"/>
  <c r="AN28" i="14"/>
  <c r="AM72" i="14"/>
  <c r="AM52" i="14"/>
  <c r="AM36" i="14" s="1"/>
  <c r="AM86" i="14" s="1"/>
  <c r="AM89" i="14" s="1"/>
  <c r="AM84" i="14"/>
  <c r="AP18" i="14"/>
  <c r="AP27" i="14" s="1"/>
  <c r="AO14" i="14"/>
  <c r="AO22" i="14" s="1"/>
  <c r="AO26" i="14"/>
  <c r="AP8" i="14"/>
  <c r="AJ86" i="14"/>
  <c r="AQ9" i="14"/>
  <c r="AP17" i="14"/>
  <c r="AO13" i="14"/>
  <c r="AO21" i="14" s="1"/>
  <c r="AO27" i="14"/>
  <c r="AL72" i="14"/>
  <c r="AL76" i="14"/>
  <c r="AL67" i="14"/>
  <c r="AL84" i="14"/>
  <c r="AL35" i="14"/>
  <c r="AL32" i="14"/>
  <c r="AL62" i="14"/>
  <c r="AL61" i="14"/>
  <c r="AL63" i="14"/>
  <c r="AL51" i="14"/>
  <c r="AL52" i="14"/>
  <c r="AL55" i="14"/>
  <c r="AL56" i="14" s="1"/>
  <c r="AL54" i="14"/>
  <c r="AL53" i="14"/>
  <c r="AL58" i="14"/>
  <c r="AP16" i="14"/>
  <c r="AO12" i="14"/>
  <c r="AO20" i="14" s="1"/>
  <c r="AO25" i="14"/>
  <c r="AP7" i="14"/>
  <c r="AO10" i="14"/>
  <c r="AO30" i="14" s="1"/>
  <c r="AN22" i="14"/>
  <c r="AC36" i="8"/>
  <c r="AC84" i="8" s="1"/>
  <c r="AC87" i="8" s="1"/>
  <c r="AC107" i="8" s="1"/>
  <c r="AK13" i="8"/>
  <c r="AL17" i="8"/>
  <c r="AK18" i="8"/>
  <c r="AJ14" i="8"/>
  <c r="AJ22" i="8" s="1"/>
  <c r="AF20" i="8"/>
  <c r="AG20" i="8" s="1"/>
  <c r="AJ25" i="8"/>
  <c r="AJ20" i="8"/>
  <c r="AJ10" i="8"/>
  <c r="AJ30" i="8" s="1"/>
  <c r="AK7" i="8"/>
  <c r="AE28" i="8"/>
  <c r="AF28" i="8" s="1"/>
  <c r="AF25" i="8"/>
  <c r="AG25" i="8" s="1"/>
  <c r="AD82" i="8"/>
  <c r="AD70" i="8"/>
  <c r="AD53" i="8"/>
  <c r="AD54" i="8"/>
  <c r="AD51" i="8"/>
  <c r="AD52" i="8"/>
  <c r="AD50" i="8"/>
  <c r="AD74" i="8"/>
  <c r="AD65" i="8"/>
  <c r="AD35" i="8"/>
  <c r="AD32" i="8"/>
  <c r="AD59" i="8"/>
  <c r="AD61" i="8"/>
  <c r="AD60" i="8"/>
  <c r="AB84" i="8"/>
  <c r="AB87" i="8" s="1"/>
  <c r="AB107" i="8" s="1"/>
  <c r="AB104" i="8" s="1"/>
  <c r="AJ27" i="8"/>
  <c r="AK9" i="8"/>
  <c r="AJ21" i="8"/>
  <c r="AJ26" i="8"/>
  <c r="AK8" i="8"/>
  <c r="AL12" i="8"/>
  <c r="AM16" i="8"/>
  <c r="AE56" i="8"/>
  <c r="AF21" i="8"/>
  <c r="AF10" i="8"/>
  <c r="G32" i="11" s="1"/>
  <c r="AG7" i="8"/>
  <c r="Z87" i="6"/>
  <c r="Z107" i="6" s="1"/>
  <c r="AG11" i="6"/>
  <c r="G32" i="5"/>
  <c r="AG30" i="6"/>
  <c r="K110" i="2"/>
  <c r="L108" i="2"/>
  <c r="L132" i="2"/>
  <c r="L133" i="2" s="1"/>
  <c r="L135" i="2" s="1"/>
  <c r="L92" i="2"/>
  <c r="L94" i="2" s="1"/>
  <c r="M83" i="2"/>
  <c r="M119" i="2"/>
  <c r="M120" i="2" s="1"/>
  <c r="M122" i="2" s="1"/>
  <c r="J99" i="2"/>
  <c r="J103" i="2" s="1"/>
  <c r="J111" i="2" s="1"/>
  <c r="K95" i="2"/>
  <c r="K96" i="2" s="1"/>
  <c r="N79" i="2"/>
  <c r="N81" i="2" s="1"/>
  <c r="N107" i="2"/>
  <c r="K132" i="2"/>
  <c r="K133" i="2" s="1"/>
  <c r="K135" i="2" s="1"/>
  <c r="K92" i="2"/>
  <c r="K94" i="2" s="1"/>
  <c r="O83" i="2"/>
  <c r="O119" i="2"/>
  <c r="O120" i="2" s="1"/>
  <c r="AL20" i="6"/>
  <c r="AM7" i="6"/>
  <c r="AL25" i="6"/>
  <c r="AK13" i="6"/>
  <c r="AL17" i="6"/>
  <c r="AU12" i="6"/>
  <c r="AV12" i="6" s="1"/>
  <c r="AK9" i="6"/>
  <c r="AK8" i="6"/>
  <c r="AJ26" i="6"/>
  <c r="AJ21" i="6"/>
  <c r="AJ10" i="6"/>
  <c r="AJ30" i="6" s="1"/>
  <c r="AG10" i="6"/>
  <c r="AS38" i="6"/>
  <c r="AC65" i="6"/>
  <c r="AC70" i="6"/>
  <c r="AE21" i="6"/>
  <c r="AF21" i="6" s="1"/>
  <c r="AB36" i="6"/>
  <c r="AC54" i="6"/>
  <c r="AC59" i="6"/>
  <c r="AC60" i="6"/>
  <c r="AC61" i="6"/>
  <c r="AA84" i="6"/>
  <c r="AA87" i="6" s="1"/>
  <c r="AA107" i="6" s="1"/>
  <c r="AC32" i="6"/>
  <c r="AC82" i="6"/>
  <c r="AC53" i="6"/>
  <c r="AC52" i="6"/>
  <c r="AC35" i="6"/>
  <c r="AC50" i="6"/>
  <c r="AC51" i="6"/>
  <c r="AD14" i="6"/>
  <c r="AD22" i="6" s="1"/>
  <c r="AD23" i="6" s="1"/>
  <c r="AD74" i="6" s="1"/>
  <c r="AE18" i="6"/>
  <c r="AF18" i="6" s="1"/>
  <c r="AD27" i="6"/>
  <c r="AD28" i="6" s="1"/>
  <c r="AD25" i="4"/>
  <c r="AD54" i="4" s="1"/>
  <c r="AC54" i="4"/>
  <c r="Y19" i="4"/>
  <c r="X48" i="4"/>
  <c r="S244" i="4"/>
  <c r="S277" i="4" s="1"/>
  <c r="T219" i="4"/>
  <c r="AD24" i="4"/>
  <c r="AD53" i="4" s="1"/>
  <c r="AC53" i="4"/>
  <c r="S108" i="4"/>
  <c r="S141" i="4" s="1"/>
  <c r="T83" i="4"/>
  <c r="V17" i="4"/>
  <c r="U46" i="4"/>
  <c r="W16" i="4"/>
  <c r="V45" i="4"/>
  <c r="AB21" i="4"/>
  <c r="AA50" i="4"/>
  <c r="S71" i="4"/>
  <c r="S44" i="4"/>
  <c r="S69" i="4" s="1"/>
  <c r="T15" i="4"/>
  <c r="S40" i="4"/>
  <c r="S73" i="4" s="1"/>
  <c r="AB22" i="4"/>
  <c r="AA51" i="4"/>
  <c r="R73" i="4"/>
  <c r="X47" i="4"/>
  <c r="Y18" i="4"/>
  <c r="AA52" i="4"/>
  <c r="AB23" i="4"/>
  <c r="Y49" i="4"/>
  <c r="Z20" i="4"/>
  <c r="T176" i="4"/>
  <c r="T209" i="4" s="1"/>
  <c r="U151" i="4"/>
  <c r="N109" i="3"/>
  <c r="O80" i="3"/>
  <c r="O82" i="3" s="1"/>
  <c r="O90" i="3" s="1"/>
  <c r="E122" i="3"/>
  <c r="O106" i="3"/>
  <c r="N94" i="3"/>
  <c r="N95" i="3" s="1"/>
  <c r="M98" i="3"/>
  <c r="M102" i="3" s="1"/>
  <c r="M110" i="3" s="1"/>
  <c r="O107" i="3"/>
  <c r="AG36" i="14" l="1"/>
  <c r="G42" i="15"/>
  <c r="G43" i="15"/>
  <c r="G63" i="15"/>
  <c r="G85" i="15" s="1"/>
  <c r="G147" i="15" s="1"/>
  <c r="G58" i="15"/>
  <c r="AE23" i="8"/>
  <c r="AE54" i="8" s="1"/>
  <c r="AF54" i="8" s="1"/>
  <c r="AE58" i="8"/>
  <c r="AG21" i="6"/>
  <c r="AF56" i="6"/>
  <c r="AQ17" i="14"/>
  <c r="AP13" i="14"/>
  <c r="AN23" i="14"/>
  <c r="AL36" i="14"/>
  <c r="AF81" i="14"/>
  <c r="AF86" i="14"/>
  <c r="AQ18" i="14"/>
  <c r="AQ27" i="14" s="1"/>
  <c r="AP14" i="14"/>
  <c r="AJ89" i="14"/>
  <c r="AO23" i="14"/>
  <c r="AQ16" i="14"/>
  <c r="AP12" i="14"/>
  <c r="AR9" i="14"/>
  <c r="AP20" i="14"/>
  <c r="AP25" i="14"/>
  <c r="AQ7" i="14"/>
  <c r="AP10" i="14"/>
  <c r="AP30" i="14" s="1"/>
  <c r="AO28" i="14"/>
  <c r="AP21" i="14"/>
  <c r="AP26" i="14"/>
  <c r="AQ8" i="14"/>
  <c r="AK14" i="8"/>
  <c r="AK22" i="8" s="1"/>
  <c r="AL18" i="8"/>
  <c r="AL13" i="8"/>
  <c r="AM17" i="8"/>
  <c r="AF56" i="8"/>
  <c r="AG21" i="8"/>
  <c r="AJ23" i="8"/>
  <c r="AJ28" i="8"/>
  <c r="AC106" i="8"/>
  <c r="AG11" i="8"/>
  <c r="AG10" i="8"/>
  <c r="AD36" i="8"/>
  <c r="AD84" i="8" s="1"/>
  <c r="AD87" i="8" s="1"/>
  <c r="AD107" i="8" s="1"/>
  <c r="AF93" i="8"/>
  <c r="AF102" i="8"/>
  <c r="AH28" i="8"/>
  <c r="G36" i="11" s="1"/>
  <c r="G37" i="11" s="1"/>
  <c r="G39" i="11" s="1"/>
  <c r="AG28" i="8"/>
  <c r="AK27" i="8"/>
  <c r="AL9" i="8"/>
  <c r="AM12" i="8"/>
  <c r="AN16" i="8"/>
  <c r="AK21" i="8"/>
  <c r="AL8" i="8"/>
  <c r="AK26" i="8"/>
  <c r="AK25" i="8"/>
  <c r="AK10" i="8"/>
  <c r="AK30" i="8" s="1"/>
  <c r="AL7" i="8"/>
  <c r="AK20" i="8"/>
  <c r="AE56" i="6"/>
  <c r="AB84" i="6"/>
  <c r="AB87" i="6" s="1"/>
  <c r="AB107" i="6" s="1"/>
  <c r="O121" i="2"/>
  <c r="O122" i="2" s="1"/>
  <c r="M91" i="2"/>
  <c r="M108" i="2" s="1"/>
  <c r="K99" i="2"/>
  <c r="K103" i="2" s="1"/>
  <c r="K111" i="2" s="1"/>
  <c r="L95" i="2"/>
  <c r="L96" i="2" s="1"/>
  <c r="O91" i="2"/>
  <c r="L110" i="2"/>
  <c r="N83" i="2"/>
  <c r="N119" i="2"/>
  <c r="N120" i="2" s="1"/>
  <c r="N122" i="2" s="1"/>
  <c r="AM17" i="6"/>
  <c r="AL13" i="6"/>
  <c r="AL9" i="6"/>
  <c r="AI18" i="6"/>
  <c r="AJ18" i="6" s="1"/>
  <c r="AK26" i="6"/>
  <c r="AL8" i="6"/>
  <c r="AK21" i="6"/>
  <c r="AK10" i="6"/>
  <c r="AK30" i="6" s="1"/>
  <c r="AM25" i="6"/>
  <c r="AN7" i="6"/>
  <c r="AM20" i="6"/>
  <c r="AT38" i="6"/>
  <c r="AD65" i="6"/>
  <c r="AD70" i="6"/>
  <c r="AC36" i="6"/>
  <c r="AD54" i="6"/>
  <c r="AD59" i="6"/>
  <c r="AD60" i="6"/>
  <c r="AD61" i="6"/>
  <c r="AE14" i="6"/>
  <c r="AF14" i="6" s="1"/>
  <c r="AE27" i="6"/>
  <c r="AF27" i="6" s="1"/>
  <c r="AG27" i="6" s="1"/>
  <c r="AD32" i="6"/>
  <c r="AD82" i="6"/>
  <c r="AD53" i="6"/>
  <c r="AD52" i="6"/>
  <c r="AD35" i="6"/>
  <c r="AD51" i="6"/>
  <c r="AD50" i="6"/>
  <c r="U176" i="4"/>
  <c r="U209" i="4" s="1"/>
  <c r="V151" i="4"/>
  <c r="AC21" i="4"/>
  <c r="AB50" i="4"/>
  <c r="T71" i="4"/>
  <c r="Z49" i="4"/>
  <c r="AA20" i="4"/>
  <c r="Z18" i="4"/>
  <c r="Y47" i="4"/>
  <c r="T244" i="4"/>
  <c r="T277" i="4" s="1"/>
  <c r="U219" i="4"/>
  <c r="AB51" i="4"/>
  <c r="AC22" i="4"/>
  <c r="X16" i="4"/>
  <c r="W45" i="4"/>
  <c r="AB52" i="4"/>
  <c r="AC23" i="4"/>
  <c r="T44" i="4"/>
  <c r="T69" i="4" s="1"/>
  <c r="T40" i="4"/>
  <c r="U15" i="4"/>
  <c r="V46" i="4"/>
  <c r="W17" i="4"/>
  <c r="Z19" i="4"/>
  <c r="Y48" i="4"/>
  <c r="T108" i="4"/>
  <c r="T141" i="4" s="1"/>
  <c r="U83" i="4"/>
  <c r="O131" i="3"/>
  <c r="O132" i="3" s="1"/>
  <c r="O91" i="3"/>
  <c r="O93" i="3"/>
  <c r="O94" i="3"/>
  <c r="O95" i="3" s="1"/>
  <c r="O98" i="3" s="1"/>
  <c r="O102" i="3" s="1"/>
  <c r="N98" i="3"/>
  <c r="N102" i="3" s="1"/>
  <c r="N110" i="3" s="1"/>
  <c r="O109" i="3"/>
  <c r="G68" i="15" l="1"/>
  <c r="G69" i="15" s="1"/>
  <c r="G41" i="15"/>
  <c r="R68" i="15" s="1"/>
  <c r="AE60" i="8"/>
  <c r="AF60" i="8" s="1"/>
  <c r="AE32" i="8"/>
  <c r="AE74" i="8"/>
  <c r="AF74" i="8" s="1"/>
  <c r="AE53" i="8"/>
  <c r="AF53" i="8" s="1"/>
  <c r="AE35" i="8"/>
  <c r="AE70" i="8"/>
  <c r="AF70" i="8" s="1"/>
  <c r="AE65" i="8"/>
  <c r="AF65" i="8" s="1"/>
  <c r="AE50" i="8"/>
  <c r="AF23" i="8"/>
  <c r="AG24" i="8" s="1"/>
  <c r="AE52" i="8"/>
  <c r="AF52" i="8" s="1"/>
  <c r="AE59" i="8"/>
  <c r="AF59" i="8" s="1"/>
  <c r="AE51" i="8"/>
  <c r="AF51" i="8" s="1"/>
  <c r="AE82" i="8"/>
  <c r="AF82" i="8" s="1"/>
  <c r="AE61" i="8"/>
  <c r="AF61" i="8" s="1"/>
  <c r="AF58" i="8"/>
  <c r="G67" i="11"/>
  <c r="G61" i="11"/>
  <c r="G107" i="11" s="1"/>
  <c r="G109" i="11" s="1"/>
  <c r="G60" i="11"/>
  <c r="G104" i="11" s="1"/>
  <c r="AO84" i="14"/>
  <c r="AO72" i="14"/>
  <c r="AO67" i="14"/>
  <c r="AO32" i="14"/>
  <c r="AO76" i="14"/>
  <c r="AO56" i="14"/>
  <c r="AO35" i="14"/>
  <c r="AO61" i="14"/>
  <c r="AO51" i="14"/>
  <c r="AO58" i="14"/>
  <c r="AO55" i="14"/>
  <c r="AO63" i="14"/>
  <c r="AO54" i="14"/>
  <c r="AO62" i="14"/>
  <c r="AO52" i="14"/>
  <c r="AO53" i="14"/>
  <c r="AF87" i="14"/>
  <c r="AF89" i="14" s="1"/>
  <c r="AF109" i="14" s="1"/>
  <c r="AF106" i="14" s="1"/>
  <c r="AS9" i="14"/>
  <c r="AR17" i="14"/>
  <c r="AQ13" i="14"/>
  <c r="AQ21" i="14" s="1"/>
  <c r="AQ25" i="14"/>
  <c r="AQ10" i="14"/>
  <c r="AQ30" i="14" s="1"/>
  <c r="AR7" i="14"/>
  <c r="AP22" i="14"/>
  <c r="AP23" i="14" s="1"/>
  <c r="AP56" i="14" s="1"/>
  <c r="AP57" i="14" s="1"/>
  <c r="AL86" i="14"/>
  <c r="AQ26" i="14"/>
  <c r="AR8" i="14"/>
  <c r="AR16" i="14"/>
  <c r="AQ12" i="14"/>
  <c r="AQ20" i="14" s="1"/>
  <c r="AP28" i="14"/>
  <c r="AR18" i="14"/>
  <c r="AQ14" i="14"/>
  <c r="AQ22" i="14" s="1"/>
  <c r="AN76" i="14"/>
  <c r="AN84" i="14"/>
  <c r="AN72" i="14"/>
  <c r="AN67" i="14"/>
  <c r="AN32" i="14"/>
  <c r="AN51" i="14"/>
  <c r="AN35" i="14"/>
  <c r="AN58" i="14"/>
  <c r="AN62" i="14"/>
  <c r="AN52" i="14"/>
  <c r="AN56" i="14"/>
  <c r="AN54" i="14"/>
  <c r="AN61" i="14"/>
  <c r="AN63" i="14"/>
  <c r="AN53" i="14"/>
  <c r="AN55" i="14"/>
  <c r="AK23" i="8"/>
  <c r="AK82" i="8" s="1"/>
  <c r="AK28" i="8"/>
  <c r="AM13" i="8"/>
  <c r="AN17" i="8"/>
  <c r="AL14" i="8"/>
  <c r="AL22" i="8" s="1"/>
  <c r="AM18" i="8"/>
  <c r="AJ82" i="8"/>
  <c r="AJ70" i="8"/>
  <c r="AJ74" i="8"/>
  <c r="AJ65" i="8"/>
  <c r="AJ32" i="8"/>
  <c r="AJ35" i="8"/>
  <c r="AJ60" i="8"/>
  <c r="AJ50" i="8"/>
  <c r="AJ56" i="8"/>
  <c r="AJ51" i="8"/>
  <c r="AJ61" i="8"/>
  <c r="AJ54" i="8"/>
  <c r="AJ53" i="8"/>
  <c r="AJ52" i="8"/>
  <c r="AJ59" i="8"/>
  <c r="AF50" i="8"/>
  <c r="AF115" i="8"/>
  <c r="AD106" i="8"/>
  <c r="AE106" i="8" s="1"/>
  <c r="AC104" i="8"/>
  <c r="AN12" i="8"/>
  <c r="AO16" i="8"/>
  <c r="AL25" i="8"/>
  <c r="AL10" i="8"/>
  <c r="AL30" i="8" s="1"/>
  <c r="AM7" i="8"/>
  <c r="AL20" i="8"/>
  <c r="AL27" i="8"/>
  <c r="AM9" i="8"/>
  <c r="AF100" i="8"/>
  <c r="AF116" i="8"/>
  <c r="AL21" i="8"/>
  <c r="AL26" i="8"/>
  <c r="AM8" i="8"/>
  <c r="E128" i="2"/>
  <c r="M110" i="2"/>
  <c r="L99" i="2"/>
  <c r="L103" i="2" s="1"/>
  <c r="L111" i="2" s="1"/>
  <c r="M95" i="2"/>
  <c r="M96" i="2" s="1"/>
  <c r="O132" i="2"/>
  <c r="O133" i="2" s="1"/>
  <c r="O92" i="2"/>
  <c r="O94" i="2" s="1"/>
  <c r="N91" i="2"/>
  <c r="M132" i="2"/>
  <c r="M133" i="2" s="1"/>
  <c r="M135" i="2" s="1"/>
  <c r="M92" i="2"/>
  <c r="M94" i="2" s="1"/>
  <c r="E123" i="2"/>
  <c r="F148" i="2" s="1"/>
  <c r="AM8" i="6"/>
  <c r="AL26" i="6"/>
  <c r="AL21" i="6"/>
  <c r="AL10" i="6"/>
  <c r="AL30" i="6" s="1"/>
  <c r="AM9" i="6"/>
  <c r="AU38" i="6"/>
  <c r="AV38" i="6" s="1"/>
  <c r="AO7" i="6"/>
  <c r="AN25" i="6"/>
  <c r="AN20" i="6"/>
  <c r="AK18" i="6"/>
  <c r="AJ14" i="6"/>
  <c r="AJ27" i="6"/>
  <c r="AJ28" i="6" s="1"/>
  <c r="AN17" i="6"/>
  <c r="AM13" i="6"/>
  <c r="AD36" i="6"/>
  <c r="AE22" i="6"/>
  <c r="AF22" i="6" s="1"/>
  <c r="AG22" i="6" s="1"/>
  <c r="AE28" i="6"/>
  <c r="AF28" i="6" s="1"/>
  <c r="AC84" i="6"/>
  <c r="AC87" i="6" s="1"/>
  <c r="AC107" i="6" s="1"/>
  <c r="AA18" i="4"/>
  <c r="Z47" i="4"/>
  <c r="AA49" i="4"/>
  <c r="AB20" i="4"/>
  <c r="AC52" i="4"/>
  <c r="AD23" i="4"/>
  <c r="AD52" i="4" s="1"/>
  <c r="X45" i="4"/>
  <c r="Y16" i="4"/>
  <c r="T73" i="4"/>
  <c r="U244" i="4"/>
  <c r="U277" i="4" s="1"/>
  <c r="V219" i="4"/>
  <c r="AD21" i="4"/>
  <c r="AD50" i="4" s="1"/>
  <c r="AC50" i="4"/>
  <c r="Z48" i="4"/>
  <c r="AA19" i="4"/>
  <c r="W46" i="4"/>
  <c r="X17" i="4"/>
  <c r="AC51" i="4"/>
  <c r="AD22" i="4"/>
  <c r="AD51" i="4" s="1"/>
  <c r="U44" i="4"/>
  <c r="U69" i="4" s="1"/>
  <c r="U71" i="4" s="1"/>
  <c r="U40" i="4"/>
  <c r="V15" i="4"/>
  <c r="U108" i="4"/>
  <c r="U141" i="4" s="1"/>
  <c r="V83" i="4"/>
  <c r="V176" i="4"/>
  <c r="V209" i="4" s="1"/>
  <c r="W151" i="4"/>
  <c r="O133" i="3"/>
  <c r="O134" i="3" s="1"/>
  <c r="O110" i="3"/>
  <c r="G71" i="15" l="1"/>
  <c r="G74" i="15" s="1"/>
  <c r="G75" i="15" s="1"/>
  <c r="G76" i="15" s="1"/>
  <c r="R69" i="15"/>
  <c r="AF32" i="8"/>
  <c r="AG23" i="8"/>
  <c r="AF92" i="8"/>
  <c r="AF114" i="8" s="1"/>
  <c r="AE36" i="8"/>
  <c r="AF36" i="8" s="1"/>
  <c r="G73" i="11"/>
  <c r="AH23" i="8"/>
  <c r="G33" i="11" s="1"/>
  <c r="G34" i="11" s="1"/>
  <c r="G59" i="11" s="1"/>
  <c r="G66" i="11"/>
  <c r="AJ22" i="6"/>
  <c r="AJ23" i="6" s="1"/>
  <c r="AJ70" i="6" s="1"/>
  <c r="AH28" i="6"/>
  <c r="G36" i="5" s="1"/>
  <c r="G37" i="5" s="1"/>
  <c r="G39" i="5" s="1"/>
  <c r="AG28" i="6"/>
  <c r="AF93" i="6"/>
  <c r="AF115" i="6" s="1"/>
  <c r="AF102" i="6"/>
  <c r="AQ23" i="14"/>
  <c r="AQ84" i="14" s="1"/>
  <c r="AP84" i="14"/>
  <c r="AP72" i="14"/>
  <c r="AP32" i="14"/>
  <c r="AP76" i="14"/>
  <c r="AP67" i="14"/>
  <c r="AP35" i="14"/>
  <c r="AP63" i="14"/>
  <c r="AP53" i="14"/>
  <c r="AP62" i="14"/>
  <c r="AP55" i="14"/>
  <c r="AP51" i="14"/>
  <c r="AP58" i="14"/>
  <c r="AP54" i="14"/>
  <c r="AP61" i="14"/>
  <c r="AP52" i="14"/>
  <c r="AS18" i="14"/>
  <c r="AS27" i="14" s="1"/>
  <c r="AR14" i="14"/>
  <c r="AR22" i="14" s="1"/>
  <c r="AL89" i="14"/>
  <c r="AS17" i="14"/>
  <c r="AR13" i="14"/>
  <c r="AR21" i="14" s="1"/>
  <c r="AN36" i="14"/>
  <c r="AT9" i="14"/>
  <c r="AS16" i="14"/>
  <c r="AR12" i="14"/>
  <c r="AR20" i="14" s="1"/>
  <c r="AR25" i="14"/>
  <c r="AR10" i="14"/>
  <c r="AR30" i="14" s="1"/>
  <c r="AS7" i="14"/>
  <c r="AR26" i="14"/>
  <c r="AS8" i="14"/>
  <c r="AR27" i="14"/>
  <c r="AQ28" i="14"/>
  <c r="AO36" i="14"/>
  <c r="AO86" i="14" s="1"/>
  <c r="AO89" i="14" s="1"/>
  <c r="AK59" i="8"/>
  <c r="AK65" i="8"/>
  <c r="AK56" i="8"/>
  <c r="AK51" i="8"/>
  <c r="AK50" i="8"/>
  <c r="AK70" i="8"/>
  <c r="AK74" i="8"/>
  <c r="AK60" i="8"/>
  <c r="AK52" i="8"/>
  <c r="AK35" i="8"/>
  <c r="AK61" i="8"/>
  <c r="AK53" i="8"/>
  <c r="AK32" i="8"/>
  <c r="AK54" i="8"/>
  <c r="AM14" i="8"/>
  <c r="AM22" i="8" s="1"/>
  <c r="AN18" i="8"/>
  <c r="AL28" i="8"/>
  <c r="AO17" i="8"/>
  <c r="AN13" i="8"/>
  <c r="AD104" i="8"/>
  <c r="AE84" i="8"/>
  <c r="AE87" i="8" s="1"/>
  <c r="AE107" i="8" s="1"/>
  <c r="AE104" i="8" s="1"/>
  <c r="AJ36" i="8"/>
  <c r="AF117" i="8"/>
  <c r="AF110" i="8" s="1"/>
  <c r="AF128" i="8" s="1"/>
  <c r="AF130" i="8" s="1"/>
  <c r="AF91" i="8" s="1"/>
  <c r="AF90" i="8" s="1"/>
  <c r="AM27" i="8"/>
  <c r="AN9" i="8"/>
  <c r="AG32" i="8"/>
  <c r="AL23" i="8"/>
  <c r="AO12" i="8"/>
  <c r="AP16" i="8"/>
  <c r="AM26" i="8"/>
  <c r="AM21" i="8"/>
  <c r="AN8" i="8"/>
  <c r="AN7" i="8"/>
  <c r="AM25" i="8"/>
  <c r="AM20" i="8"/>
  <c r="AM10" i="8"/>
  <c r="AM30" i="8" s="1"/>
  <c r="AD84" i="6"/>
  <c r="AD87" i="6" s="1"/>
  <c r="AD107" i="6" s="1"/>
  <c r="M99" i="2"/>
  <c r="M103" i="2" s="1"/>
  <c r="M111" i="2" s="1"/>
  <c r="N95" i="2"/>
  <c r="N132" i="2"/>
  <c r="N133" i="2" s="1"/>
  <c r="N135" i="2" s="1"/>
  <c r="N92" i="2"/>
  <c r="N94" i="2" s="1"/>
  <c r="O134" i="2"/>
  <c r="O135" i="2" s="1"/>
  <c r="E136" i="2" s="1"/>
  <c r="N108" i="2"/>
  <c r="AN9" i="6"/>
  <c r="AO25" i="6"/>
  <c r="AP7" i="6"/>
  <c r="AO20" i="6"/>
  <c r="AO17" i="6"/>
  <c r="AN13" i="6"/>
  <c r="AK14" i="6"/>
  <c r="AK22" i="6" s="1"/>
  <c r="AK23" i="6" s="1"/>
  <c r="AL18" i="6"/>
  <c r="AK27" i="6"/>
  <c r="AK28" i="6" s="1"/>
  <c r="AN8" i="6"/>
  <c r="AM26" i="6"/>
  <c r="AM21" i="6"/>
  <c r="AM10" i="6"/>
  <c r="AM30" i="6" s="1"/>
  <c r="AE23" i="6"/>
  <c r="V71" i="4"/>
  <c r="U73" i="4"/>
  <c r="AA48" i="4"/>
  <c r="AB19" i="4"/>
  <c r="Y45" i="4"/>
  <c r="Z16" i="4"/>
  <c r="AA16" i="4" s="1"/>
  <c r="AB16" i="4" s="1"/>
  <c r="AC16" i="4" s="1"/>
  <c r="AD16" i="4" s="1"/>
  <c r="V44" i="4"/>
  <c r="V69" i="4" s="1"/>
  <c r="V40" i="4"/>
  <c r="W15" i="4"/>
  <c r="AD69" i="4"/>
  <c r="V244" i="4"/>
  <c r="V277" i="4" s="1"/>
  <c r="W219" i="4"/>
  <c r="AB49" i="4"/>
  <c r="AC20" i="4"/>
  <c r="W176" i="4"/>
  <c r="W209" i="4" s="1"/>
  <c r="X151" i="4"/>
  <c r="X46" i="4"/>
  <c r="Y17" i="4"/>
  <c r="V108" i="4"/>
  <c r="V141" i="4" s="1"/>
  <c r="W83" i="4"/>
  <c r="AB18" i="4"/>
  <c r="AC18" i="4" s="1"/>
  <c r="AD18" i="4" s="1"/>
  <c r="AA47" i="4"/>
  <c r="G110" i="15" l="1"/>
  <c r="G77" i="15"/>
  <c r="R76" i="15"/>
  <c r="G82" i="15"/>
  <c r="G84" i="15" s="1"/>
  <c r="G86" i="15" s="1"/>
  <c r="G94" i="15" s="1"/>
  <c r="R71" i="15"/>
  <c r="G79" i="15"/>
  <c r="G145" i="15"/>
  <c r="G148" i="15" s="1"/>
  <c r="G78" i="15"/>
  <c r="G117" i="15"/>
  <c r="G118" i="15" s="1"/>
  <c r="G119" i="15" s="1"/>
  <c r="G31" i="11"/>
  <c r="G103" i="11"/>
  <c r="G62" i="11"/>
  <c r="AJ51" i="6"/>
  <c r="AJ52" i="6"/>
  <c r="AJ32" i="6"/>
  <c r="AJ50" i="6"/>
  <c r="AJ35" i="6"/>
  <c r="AJ82" i="6"/>
  <c r="AJ65" i="6"/>
  <c r="AJ53" i="6"/>
  <c r="AE74" i="6"/>
  <c r="AF74" i="6" s="1"/>
  <c r="AF23" i="6"/>
  <c r="G67" i="5"/>
  <c r="G61" i="5"/>
  <c r="G107" i="5" s="1"/>
  <c r="G109" i="5" s="1"/>
  <c r="G60" i="5"/>
  <c r="G104" i="5" s="1"/>
  <c r="AF116" i="6"/>
  <c r="AF100" i="6"/>
  <c r="AK74" i="6"/>
  <c r="AK56" i="6"/>
  <c r="AK61" i="6"/>
  <c r="AK60" i="6"/>
  <c r="AK59" i="6"/>
  <c r="AJ74" i="6"/>
  <c r="AJ61" i="6"/>
  <c r="AJ56" i="6"/>
  <c r="AJ60" i="6"/>
  <c r="AJ59" i="6"/>
  <c r="AJ54" i="6"/>
  <c r="AQ52" i="14"/>
  <c r="AQ58" i="14"/>
  <c r="AQ56" i="14"/>
  <c r="AQ57" i="14" s="1"/>
  <c r="AQ62" i="14"/>
  <c r="AQ35" i="14"/>
  <c r="AQ63" i="14"/>
  <c r="AQ61" i="14"/>
  <c r="AQ53" i="14"/>
  <c r="AQ76" i="14"/>
  <c r="AQ51" i="14"/>
  <c r="AQ54" i="14"/>
  <c r="AQ67" i="14"/>
  <c r="AQ32" i="14"/>
  <c r="AQ55" i="14"/>
  <c r="AQ72" i="14"/>
  <c r="AN86" i="14"/>
  <c r="AU9" i="14"/>
  <c r="AS26" i="14"/>
  <c r="AT8" i="14"/>
  <c r="AR28" i="14"/>
  <c r="AP36" i="14"/>
  <c r="AP86" i="14" s="1"/>
  <c r="AP89" i="14" s="1"/>
  <c r="AT17" i="14"/>
  <c r="AS13" i="14"/>
  <c r="AS21" i="14" s="1"/>
  <c r="AT16" i="14"/>
  <c r="AS12" i="14"/>
  <c r="AS20" i="14" s="1"/>
  <c r="AS25" i="14"/>
  <c r="AS10" i="14"/>
  <c r="AS30" i="14" s="1"/>
  <c r="AT7" i="14"/>
  <c r="AR23" i="14"/>
  <c r="AS14" i="14"/>
  <c r="AS22" i="14" s="1"/>
  <c r="AT18" i="14"/>
  <c r="AT27" i="14" s="1"/>
  <c r="AK36" i="8"/>
  <c r="AK84" i="8" s="1"/>
  <c r="AK87" i="8" s="1"/>
  <c r="AP17" i="8"/>
  <c r="AO13" i="8"/>
  <c r="AO18" i="8"/>
  <c r="AN14" i="8"/>
  <c r="AN22" i="8" s="1"/>
  <c r="AM28" i="8"/>
  <c r="AG36" i="8"/>
  <c r="AN25" i="8"/>
  <c r="AO7" i="8"/>
  <c r="AN20" i="8"/>
  <c r="AN10" i="8"/>
  <c r="AN30" i="8" s="1"/>
  <c r="AJ84" i="8"/>
  <c r="AN21" i="8"/>
  <c r="AN26" i="8"/>
  <c r="AO8" i="8"/>
  <c r="AP12" i="8"/>
  <c r="AQ16" i="8"/>
  <c r="AL70" i="8"/>
  <c r="AL74" i="8"/>
  <c r="AL82" i="8"/>
  <c r="AL65" i="8"/>
  <c r="AL32" i="8"/>
  <c r="AL35" i="8"/>
  <c r="AL59" i="8"/>
  <c r="AL56" i="8"/>
  <c r="AL52" i="8"/>
  <c r="AL51" i="8"/>
  <c r="AL61" i="8"/>
  <c r="AL54" i="8"/>
  <c r="AL53" i="8"/>
  <c r="AL60" i="8"/>
  <c r="AL50" i="8"/>
  <c r="AM23" i="8"/>
  <c r="AN27" i="8"/>
  <c r="AO9" i="8"/>
  <c r="AG24" i="6"/>
  <c r="N110" i="2"/>
  <c r="O108" i="2"/>
  <c r="O110" i="2" s="1"/>
  <c r="N96" i="2"/>
  <c r="AK53" i="6"/>
  <c r="AK50" i="6"/>
  <c r="AK52" i="6"/>
  <c r="AK51" i="6"/>
  <c r="AK54" i="6"/>
  <c r="AN26" i="6"/>
  <c r="AO8" i="6"/>
  <c r="AN10" i="6"/>
  <c r="AN30" i="6" s="1"/>
  <c r="AQ7" i="6"/>
  <c r="AP25" i="6"/>
  <c r="AP20" i="6"/>
  <c r="AM18" i="6"/>
  <c r="AL14" i="6"/>
  <c r="AL22" i="6" s="1"/>
  <c r="AL23" i="6" s="1"/>
  <c r="AL27" i="6"/>
  <c r="AL28" i="6" s="1"/>
  <c r="AK65" i="6"/>
  <c r="AK32" i="6"/>
  <c r="AK82" i="6"/>
  <c r="AK35" i="6"/>
  <c r="AK70" i="6"/>
  <c r="AO9" i="6"/>
  <c r="AP17" i="6"/>
  <c r="AO13" i="6"/>
  <c r="AN21" i="6"/>
  <c r="AE65" i="6"/>
  <c r="AF65" i="6" s="1"/>
  <c r="AE70" i="6"/>
  <c r="AF70" i="6" s="1"/>
  <c r="AE59" i="6"/>
  <c r="AF59" i="6" s="1"/>
  <c r="AE60" i="6"/>
  <c r="AF60" i="6" s="1"/>
  <c r="AE61" i="6"/>
  <c r="AF61" i="6" s="1"/>
  <c r="AE54" i="6"/>
  <c r="AF54" i="6" s="1"/>
  <c r="AE52" i="6"/>
  <c r="AF52" i="6" s="1"/>
  <c r="AE51" i="6"/>
  <c r="AF51" i="6" s="1"/>
  <c r="AE53" i="6"/>
  <c r="AF53" i="6" s="1"/>
  <c r="AE50" i="6"/>
  <c r="AF50" i="6" s="1"/>
  <c r="AE32" i="6"/>
  <c r="AE82" i="6"/>
  <c r="AF82" i="6" s="1"/>
  <c r="G73" i="5" s="1"/>
  <c r="AE35" i="6"/>
  <c r="AA69" i="4"/>
  <c r="AD20" i="4"/>
  <c r="AC49" i="4"/>
  <c r="AC69" i="4" s="1"/>
  <c r="V73" i="4"/>
  <c r="Y69" i="4"/>
  <c r="X176" i="4"/>
  <c r="X209" i="4" s="1"/>
  <c r="Y151" i="4"/>
  <c r="W108" i="4"/>
  <c r="W141" i="4" s="1"/>
  <c r="X83" i="4"/>
  <c r="W244" i="4"/>
  <c r="W277" i="4" s="1"/>
  <c r="X219" i="4"/>
  <c r="AB48" i="4"/>
  <c r="AB69" i="4" s="1"/>
  <c r="AC19" i="4"/>
  <c r="AD19" i="4" s="1"/>
  <c r="W40" i="4"/>
  <c r="X15" i="4"/>
  <c r="W44" i="4"/>
  <c r="W69" i="4" s="1"/>
  <c r="W71" i="4" s="1"/>
  <c r="Y46" i="4"/>
  <c r="Z17" i="4"/>
  <c r="G122" i="15" l="1"/>
  <c r="G123" i="15"/>
  <c r="G125" i="15" s="1"/>
  <c r="G135" i="15"/>
  <c r="G136" i="15" s="1"/>
  <c r="G138" i="15" s="1"/>
  <c r="G95" i="15"/>
  <c r="G97" i="15" s="1"/>
  <c r="G111" i="15"/>
  <c r="G63" i="11"/>
  <c r="G85" i="11" s="1"/>
  <c r="G147" i="11" s="1"/>
  <c r="G58" i="11"/>
  <c r="AJ36" i="6"/>
  <c r="AH23" i="6"/>
  <c r="AF32" i="6"/>
  <c r="AF92" i="6"/>
  <c r="AF114" i="6" s="1"/>
  <c r="AF117" i="6" s="1"/>
  <c r="AF110" i="6" s="1"/>
  <c r="AF128" i="6" s="1"/>
  <c r="AF130" i="6" s="1"/>
  <c r="AF91" i="6" s="1"/>
  <c r="AF90" i="6" s="1"/>
  <c r="AG23" i="6"/>
  <c r="AL74" i="6"/>
  <c r="AL60" i="6"/>
  <c r="AL59" i="6"/>
  <c r="AL61" i="6"/>
  <c r="AL56" i="6"/>
  <c r="G43" i="11"/>
  <c r="G42" i="11"/>
  <c r="AQ36" i="14"/>
  <c r="AQ86" i="14" s="1"/>
  <c r="AQ89" i="14" s="1"/>
  <c r="AS23" i="14"/>
  <c r="AR84" i="14"/>
  <c r="AR72" i="14"/>
  <c r="AR76" i="14"/>
  <c r="AR67" i="14"/>
  <c r="AR32" i="14"/>
  <c r="AR35" i="14"/>
  <c r="AR52" i="14"/>
  <c r="AR58" i="14"/>
  <c r="AR56" i="14"/>
  <c r="AR57" i="14" s="1"/>
  <c r="AR62" i="14"/>
  <c r="AR53" i="14"/>
  <c r="AR51" i="14"/>
  <c r="AR61" i="14"/>
  <c r="AR55" i="14"/>
  <c r="AR63" i="14"/>
  <c r="AR54" i="14"/>
  <c r="AU17" i="14"/>
  <c r="AT13" i="14"/>
  <c r="AT21" i="14" s="1"/>
  <c r="AV9" i="14"/>
  <c r="AW9" i="14" s="1"/>
  <c r="AS28" i="14"/>
  <c r="AN89" i="14"/>
  <c r="AU8" i="14"/>
  <c r="AT26" i="14"/>
  <c r="AT25" i="14"/>
  <c r="AT10" i="14"/>
  <c r="AT30" i="14" s="1"/>
  <c r="AU7" i="14"/>
  <c r="AU18" i="14"/>
  <c r="AU27" i="14" s="1"/>
  <c r="AV27" i="14" s="1"/>
  <c r="AW27" i="14" s="1"/>
  <c r="AT14" i="14"/>
  <c r="AT22" i="14" s="1"/>
  <c r="AT12" i="14"/>
  <c r="AT20" i="14" s="1"/>
  <c r="AU16" i="14"/>
  <c r="AP18" i="8"/>
  <c r="AO14" i="8"/>
  <c r="AO22" i="8" s="1"/>
  <c r="AN28" i="8"/>
  <c r="AP13" i="8"/>
  <c r="AQ17" i="8"/>
  <c r="AQ12" i="8"/>
  <c r="AR16" i="8"/>
  <c r="AF79" i="8"/>
  <c r="AF84" i="8"/>
  <c r="AJ87" i="8"/>
  <c r="AL36" i="8"/>
  <c r="AO26" i="8"/>
  <c r="AO21" i="8"/>
  <c r="AP8" i="8"/>
  <c r="AM74" i="8"/>
  <c r="AM82" i="8"/>
  <c r="AM65" i="8"/>
  <c r="AM70" i="8"/>
  <c r="AM32" i="8"/>
  <c r="AM35" i="8"/>
  <c r="AM53" i="8"/>
  <c r="AM59" i="8"/>
  <c r="AM50" i="8"/>
  <c r="AM56" i="8"/>
  <c r="AM51" i="8"/>
  <c r="AM61" i="8"/>
  <c r="AM54" i="8"/>
  <c r="AM52" i="8"/>
  <c r="AM60" i="8"/>
  <c r="AN23" i="8"/>
  <c r="AO27" i="8"/>
  <c r="AP9" i="8"/>
  <c r="AO25" i="8"/>
  <c r="AP7" i="8"/>
  <c r="AO20" i="8"/>
  <c r="AO10" i="8"/>
  <c r="AO30" i="8" s="1"/>
  <c r="AJ84" i="6"/>
  <c r="AG32" i="6"/>
  <c r="N99" i="2"/>
  <c r="N103" i="2" s="1"/>
  <c r="N111" i="2" s="1"/>
  <c r="O95" i="2"/>
  <c r="O96" i="2" s="1"/>
  <c r="O99" i="2" s="1"/>
  <c r="O103" i="2" s="1"/>
  <c r="O111" i="2" s="1"/>
  <c r="AL50" i="6"/>
  <c r="AL51" i="6"/>
  <c r="AL54" i="6"/>
  <c r="AL52" i="6"/>
  <c r="AL53" i="6"/>
  <c r="AR7" i="6"/>
  <c r="AQ25" i="6"/>
  <c r="AQ20" i="6"/>
  <c r="AL65" i="6"/>
  <c r="AL70" i="6"/>
  <c r="AL35" i="6"/>
  <c r="AL32" i="6"/>
  <c r="AL82" i="6"/>
  <c r="AK36" i="6"/>
  <c r="AQ17" i="6"/>
  <c r="AP13" i="6"/>
  <c r="AM14" i="6"/>
  <c r="AN18" i="6"/>
  <c r="AM27" i="6"/>
  <c r="AM28" i="6" s="1"/>
  <c r="AO26" i="6"/>
  <c r="AO21" i="6"/>
  <c r="AP8" i="6"/>
  <c r="AO10" i="6"/>
  <c r="AO30" i="6" s="1"/>
  <c r="AP9" i="6"/>
  <c r="G33" i="5"/>
  <c r="AE36" i="6"/>
  <c r="X71" i="4"/>
  <c r="Y71" i="4" s="1"/>
  <c r="Y176" i="4"/>
  <c r="Y209" i="4" s="1"/>
  <c r="Z151" i="4"/>
  <c r="X40" i="4"/>
  <c r="Y15" i="4"/>
  <c r="X44" i="4"/>
  <c r="X69" i="4" s="1"/>
  <c r="X244" i="4"/>
  <c r="X277" i="4" s="1"/>
  <c r="Y219" i="4"/>
  <c r="Z46" i="4"/>
  <c r="Z69" i="4" s="1"/>
  <c r="AA17" i="4"/>
  <c r="AB17" i="4" s="1"/>
  <c r="AC17" i="4" s="1"/>
  <c r="AD17" i="4" s="1"/>
  <c r="W73" i="4"/>
  <c r="X108" i="4"/>
  <c r="X141" i="4" s="1"/>
  <c r="Y83" i="4"/>
  <c r="G113" i="15" l="1"/>
  <c r="G99" i="15"/>
  <c r="R97" i="15"/>
  <c r="AF36" i="6"/>
  <c r="AM22" i="6"/>
  <c r="AM23" i="6" s="1"/>
  <c r="AM82" i="6" s="1"/>
  <c r="AF79" i="6"/>
  <c r="AF84" i="6"/>
  <c r="G68" i="11"/>
  <c r="G69" i="11" s="1"/>
  <c r="G71" i="11" s="1"/>
  <c r="G41" i="11"/>
  <c r="AT28" i="14"/>
  <c r="AT23" i="14"/>
  <c r="AT72" i="14" s="1"/>
  <c r="AU12" i="14"/>
  <c r="AV12" i="14" s="1"/>
  <c r="AV16" i="14"/>
  <c r="AU21" i="14"/>
  <c r="AV21" i="14" s="1"/>
  <c r="AW21" i="14" s="1"/>
  <c r="AU26" i="14"/>
  <c r="AV26" i="14" s="1"/>
  <c r="AW26" i="14" s="1"/>
  <c r="AV8" i="14"/>
  <c r="AW8" i="14" s="1"/>
  <c r="AU14" i="14"/>
  <c r="AV18" i="14"/>
  <c r="AU13" i="14"/>
  <c r="AV13" i="14" s="1"/>
  <c r="AV17" i="14"/>
  <c r="AR36" i="14"/>
  <c r="AU25" i="14"/>
  <c r="AU20" i="14"/>
  <c r="AU10" i="14"/>
  <c r="AU30" i="14" s="1"/>
  <c r="AV30" i="14" s="1"/>
  <c r="AW30" i="14" s="1"/>
  <c r="AV7" i="14"/>
  <c r="AS72" i="14"/>
  <c r="AS76" i="14"/>
  <c r="AS84" i="14"/>
  <c r="AS67" i="14"/>
  <c r="AS35" i="14"/>
  <c r="AS32" i="14"/>
  <c r="AS51" i="14"/>
  <c r="AS56" i="14"/>
  <c r="AS57" i="14" s="1"/>
  <c r="AS54" i="14"/>
  <c r="AS58" i="14"/>
  <c r="AS55" i="14"/>
  <c r="AS62" i="14"/>
  <c r="AS53" i="14"/>
  <c r="AS61" i="14"/>
  <c r="AS63" i="14"/>
  <c r="AS52" i="14"/>
  <c r="AO28" i="8"/>
  <c r="AM36" i="8"/>
  <c r="AM84" i="8" s="1"/>
  <c r="AM87" i="8" s="1"/>
  <c r="AQ13" i="8"/>
  <c r="AR17" i="8"/>
  <c r="AP14" i="8"/>
  <c r="AP22" i="8" s="1"/>
  <c r="AQ18" i="8"/>
  <c r="AP27" i="8"/>
  <c r="AQ9" i="8"/>
  <c r="AL84" i="8"/>
  <c r="AF85" i="8"/>
  <c r="AF87" i="8" s="1"/>
  <c r="AF107" i="8" s="1"/>
  <c r="AF104" i="8" s="1"/>
  <c r="AP26" i="8"/>
  <c r="AP21" i="8"/>
  <c r="AQ8" i="8"/>
  <c r="AP25" i="8"/>
  <c r="AP20" i="8"/>
  <c r="AP10" i="8"/>
  <c r="AP30" i="8" s="1"/>
  <c r="AQ7" i="8"/>
  <c r="AN74" i="8"/>
  <c r="AN82" i="8"/>
  <c r="AN70" i="8"/>
  <c r="AN65" i="8"/>
  <c r="AN35" i="8"/>
  <c r="AN32" i="8"/>
  <c r="AN54" i="8"/>
  <c r="AN56" i="8"/>
  <c r="AN60" i="8"/>
  <c r="AN51" i="8"/>
  <c r="AN50" i="8"/>
  <c r="AN53" i="8"/>
  <c r="AN59" i="8"/>
  <c r="AN61" i="8"/>
  <c r="AN52" i="8"/>
  <c r="AS16" i="8"/>
  <c r="AR12" i="8"/>
  <c r="AO23" i="8"/>
  <c r="AJ87" i="6"/>
  <c r="G34" i="5"/>
  <c r="AM51" i="6"/>
  <c r="AM53" i="6"/>
  <c r="AM54" i="6"/>
  <c r="AM52" i="6"/>
  <c r="AP21" i="6"/>
  <c r="AL36" i="6"/>
  <c r="AQ9" i="6"/>
  <c r="AP26" i="6"/>
  <c r="AQ8" i="6"/>
  <c r="AP10" i="6"/>
  <c r="AP30" i="6" s="1"/>
  <c r="AN14" i="6"/>
  <c r="AN22" i="6" s="1"/>
  <c r="AO18" i="6"/>
  <c r="AN27" i="6"/>
  <c r="AR25" i="6"/>
  <c r="AR20" i="6"/>
  <c r="AS7" i="6"/>
  <c r="AR17" i="6"/>
  <c r="AQ13" i="6"/>
  <c r="AM65" i="6"/>
  <c r="AM32" i="6"/>
  <c r="AE84" i="6"/>
  <c r="Z71" i="4"/>
  <c r="AA71" i="4" s="1"/>
  <c r="AB71" i="4" s="1"/>
  <c r="AC71" i="4" s="1"/>
  <c r="AD71" i="4" s="1"/>
  <c r="Y108" i="4"/>
  <c r="Y141" i="4" s="1"/>
  <c r="Z83" i="4"/>
  <c r="Z15" i="4"/>
  <c r="Y40" i="4"/>
  <c r="Y73" i="4" s="1"/>
  <c r="Y244" i="4"/>
  <c r="Y277" i="4" s="1"/>
  <c r="Z219" i="4"/>
  <c r="Z176" i="4"/>
  <c r="Z209" i="4" s="1"/>
  <c r="AA151" i="4"/>
  <c r="X73" i="4"/>
  <c r="G102" i="15" l="1"/>
  <c r="G106" i="15" s="1"/>
  <c r="G114" i="15" s="1"/>
  <c r="H98" i="15"/>
  <c r="AM35" i="6"/>
  <c r="AM70" i="6"/>
  <c r="AM55" i="6"/>
  <c r="AM74" i="6"/>
  <c r="AM61" i="6"/>
  <c r="AM60" i="6"/>
  <c r="AM59" i="6"/>
  <c r="AM56" i="6"/>
  <c r="AM36" i="6" s="1"/>
  <c r="G42" i="5"/>
  <c r="G43" i="5"/>
  <c r="AM50" i="6"/>
  <c r="G78" i="11"/>
  <c r="G117" i="11"/>
  <c r="G118" i="11" s="1"/>
  <c r="G119" i="11" s="1"/>
  <c r="G145" i="11"/>
  <c r="G148" i="11" s="1"/>
  <c r="G74" i="11"/>
  <c r="G75" i="11" s="1"/>
  <c r="G76" i="11" s="1"/>
  <c r="G79" i="11"/>
  <c r="AT58" i="14"/>
  <c r="AT55" i="14"/>
  <c r="AT35" i="14"/>
  <c r="AT54" i="14"/>
  <c r="AT84" i="14"/>
  <c r="AT56" i="14"/>
  <c r="AT57" i="14" s="1"/>
  <c r="AT32" i="14"/>
  <c r="AT61" i="14"/>
  <c r="AT51" i="14"/>
  <c r="AT52" i="14"/>
  <c r="AT76" i="14"/>
  <c r="AT53" i="14"/>
  <c r="AT67" i="14"/>
  <c r="AT62" i="14"/>
  <c r="AT63" i="14"/>
  <c r="AV14" i="14"/>
  <c r="AU22" i="14"/>
  <c r="AV22" i="14" s="1"/>
  <c r="AW22" i="14" s="1"/>
  <c r="AV20" i="14"/>
  <c r="AW20" i="14" s="1"/>
  <c r="AU28" i="14"/>
  <c r="AV28" i="14" s="1"/>
  <c r="AV25" i="14"/>
  <c r="AW25" i="14" s="1"/>
  <c r="AS36" i="14"/>
  <c r="AS86" i="14" s="1"/>
  <c r="AS89" i="14" s="1"/>
  <c r="AR86" i="14"/>
  <c r="AW7" i="14"/>
  <c r="AV10" i="14"/>
  <c r="H32" i="15" s="1"/>
  <c r="AR18" i="8"/>
  <c r="AQ14" i="8"/>
  <c r="AQ22" i="8" s="1"/>
  <c r="AP23" i="8"/>
  <c r="AP74" i="8" s="1"/>
  <c r="AS17" i="8"/>
  <c r="AR13" i="8"/>
  <c r="AR9" i="8"/>
  <c r="AQ27" i="8"/>
  <c r="AP28" i="8"/>
  <c r="AO82" i="8"/>
  <c r="AO70" i="8"/>
  <c r="AO74" i="8"/>
  <c r="AO65" i="8"/>
  <c r="AO35" i="8"/>
  <c r="AO32" i="8"/>
  <c r="AO52" i="8"/>
  <c r="AO59" i="8"/>
  <c r="AO54" i="8"/>
  <c r="AO56" i="8"/>
  <c r="AO50" i="8"/>
  <c r="AO53" i="8"/>
  <c r="AO60" i="8"/>
  <c r="AO61" i="8"/>
  <c r="AO55" i="8"/>
  <c r="AO51" i="8"/>
  <c r="AS12" i="8"/>
  <c r="AT16" i="8"/>
  <c r="AQ26" i="8"/>
  <c r="AQ21" i="8"/>
  <c r="AR8" i="8"/>
  <c r="AN36" i="8"/>
  <c r="AQ25" i="8"/>
  <c r="AQ20" i="8"/>
  <c r="AQ10" i="8"/>
  <c r="AQ30" i="8" s="1"/>
  <c r="AR7" i="8"/>
  <c r="AL87" i="8"/>
  <c r="AN28" i="6"/>
  <c r="AN23" i="6"/>
  <c r="AN61" i="6" s="1"/>
  <c r="AE87" i="6"/>
  <c r="AE107" i="6" s="1"/>
  <c r="AG77" i="6"/>
  <c r="G59" i="5"/>
  <c r="G31" i="5"/>
  <c r="AL84" i="6"/>
  <c r="AL87" i="6" s="1"/>
  <c r="AR9" i="6"/>
  <c r="AT7" i="6"/>
  <c r="AS25" i="6"/>
  <c r="AS20" i="6"/>
  <c r="AO14" i="6"/>
  <c r="AO22" i="6" s="1"/>
  <c r="AO23" i="6" s="1"/>
  <c r="AP18" i="6"/>
  <c r="AO27" i="6"/>
  <c r="AO28" i="6" s="1"/>
  <c r="AQ26" i="6"/>
  <c r="AR8" i="6"/>
  <c r="AQ10" i="6"/>
  <c r="AQ30" i="6" s="1"/>
  <c r="AS17" i="6"/>
  <c r="AR13" i="6"/>
  <c r="AK84" i="6"/>
  <c r="AQ21" i="6"/>
  <c r="Z244" i="4"/>
  <c r="Z277" i="4" s="1"/>
  <c r="AA219" i="4"/>
  <c r="Z40" i="4"/>
  <c r="Z73" i="4" s="1"/>
  <c r="AA15" i="4"/>
  <c r="Z108" i="4"/>
  <c r="Z141" i="4" s="1"/>
  <c r="AA83" i="4"/>
  <c r="AB151" i="4"/>
  <c r="AA176" i="4"/>
  <c r="AA209" i="4" s="1"/>
  <c r="I32" i="15" l="1"/>
  <c r="AP82" i="8"/>
  <c r="AP70" i="8"/>
  <c r="AN50" i="6"/>
  <c r="AN55" i="6"/>
  <c r="AN70" i="6"/>
  <c r="AN35" i="6"/>
  <c r="AN53" i="6"/>
  <c r="AN60" i="6"/>
  <c r="G41" i="5"/>
  <c r="G77" i="11"/>
  <c r="G82" i="11"/>
  <c r="G84" i="11" s="1"/>
  <c r="G86" i="11" s="1"/>
  <c r="G110" i="11"/>
  <c r="AT36" i="14"/>
  <c r="AT86" i="14" s="1"/>
  <c r="AT89" i="14" s="1"/>
  <c r="AU23" i="14"/>
  <c r="AU52" i="14" s="1"/>
  <c r="AV52" i="14" s="1"/>
  <c r="AW11" i="14"/>
  <c r="AW10" i="14"/>
  <c r="AV95" i="14"/>
  <c r="AV104" i="14"/>
  <c r="AX28" i="14"/>
  <c r="H36" i="15" s="1"/>
  <c r="AW28" i="14"/>
  <c r="AR89" i="14"/>
  <c r="AP53" i="8"/>
  <c r="AP61" i="8"/>
  <c r="AP54" i="8"/>
  <c r="AP55" i="8"/>
  <c r="AP52" i="8"/>
  <c r="AP59" i="8"/>
  <c r="AP51" i="8"/>
  <c r="AP32" i="8"/>
  <c r="AP60" i="8"/>
  <c r="AP65" i="8"/>
  <c r="AP56" i="8"/>
  <c r="AP35" i="8"/>
  <c r="AP50" i="8"/>
  <c r="AT17" i="8"/>
  <c r="AS13" i="8"/>
  <c r="AQ28" i="8"/>
  <c r="AS18" i="8"/>
  <c r="AR14" i="8"/>
  <c r="AR22" i="8" s="1"/>
  <c r="AN84" i="8"/>
  <c r="AO36" i="8"/>
  <c r="AO84" i="8" s="1"/>
  <c r="AO87" i="8" s="1"/>
  <c r="AQ23" i="8"/>
  <c r="AR27" i="8"/>
  <c r="AS9" i="8"/>
  <c r="AR25" i="8"/>
  <c r="AR20" i="8"/>
  <c r="AR10" i="8"/>
  <c r="AR30" i="8" s="1"/>
  <c r="AS7" i="8"/>
  <c r="AR21" i="8"/>
  <c r="AR26" i="8"/>
  <c r="AS8" i="8"/>
  <c r="AT12" i="8"/>
  <c r="AU16" i="8"/>
  <c r="AN52" i="6"/>
  <c r="AN65" i="6"/>
  <c r="AN74" i="6"/>
  <c r="AN56" i="6"/>
  <c r="AN82" i="6"/>
  <c r="AN32" i="6"/>
  <c r="AN54" i="6"/>
  <c r="AN59" i="6"/>
  <c r="AN51" i="6"/>
  <c r="AO55" i="6"/>
  <c r="AO60" i="6"/>
  <c r="AO61" i="6"/>
  <c r="AO56" i="6"/>
  <c r="AO74" i="6"/>
  <c r="AO59" i="6"/>
  <c r="AF85" i="6"/>
  <c r="AF87" i="6" s="1"/>
  <c r="AF107" i="6" s="1"/>
  <c r="AF104" i="6" s="1"/>
  <c r="G103" i="5"/>
  <c r="G62" i="5"/>
  <c r="AO51" i="6"/>
  <c r="AO54" i="6"/>
  <c r="AO52" i="6"/>
  <c r="AO53" i="6"/>
  <c r="AO50" i="6"/>
  <c r="AS8" i="6"/>
  <c r="AR26" i="6"/>
  <c r="AR10" i="6"/>
  <c r="AR30" i="6" s="1"/>
  <c r="AU7" i="6"/>
  <c r="AV7" i="6" s="1"/>
  <c r="AT25" i="6"/>
  <c r="AT20" i="6"/>
  <c r="AK87" i="6"/>
  <c r="AS9" i="6"/>
  <c r="AO65" i="6"/>
  <c r="AO35" i="6"/>
  <c r="AO32" i="6"/>
  <c r="AO82" i="6"/>
  <c r="AO70" i="6"/>
  <c r="AQ18" i="6"/>
  <c r="AP14" i="6"/>
  <c r="AP22" i="6" s="1"/>
  <c r="AP27" i="6"/>
  <c r="AP28" i="6" s="1"/>
  <c r="AR21" i="6"/>
  <c r="AS13" i="6"/>
  <c r="AT17" i="6"/>
  <c r="AB176" i="4"/>
  <c r="AB209" i="4" s="1"/>
  <c r="AC151" i="4"/>
  <c r="AB15" i="4"/>
  <c r="AA40" i="4"/>
  <c r="AA73" i="4" s="1"/>
  <c r="AB83" i="4"/>
  <c r="AA108" i="4"/>
  <c r="AA141" i="4" s="1"/>
  <c r="AA244" i="4"/>
  <c r="AA277" i="4" s="1"/>
  <c r="AB219" i="4"/>
  <c r="AU84" i="14" l="1"/>
  <c r="AV84" i="14" s="1"/>
  <c r="AU67" i="14"/>
  <c r="AV67" i="14" s="1"/>
  <c r="AU76" i="14"/>
  <c r="AV76" i="14" s="1"/>
  <c r="AU51" i="14"/>
  <c r="AV51" i="14" s="1"/>
  <c r="AU55" i="14"/>
  <c r="AV55" i="14" s="1"/>
  <c r="H37" i="15"/>
  <c r="H39" i="15" s="1"/>
  <c r="I36" i="15"/>
  <c r="AV23" i="14"/>
  <c r="AW24" i="14" s="1"/>
  <c r="AU35" i="14"/>
  <c r="AU58" i="14"/>
  <c r="AV58" i="14" s="1"/>
  <c r="J32" i="15"/>
  <c r="AN36" i="6"/>
  <c r="AN84" i="6" s="1"/>
  <c r="AN87" i="6" s="1"/>
  <c r="G122" i="11"/>
  <c r="G123" i="11" s="1"/>
  <c r="G125" i="11" s="1"/>
  <c r="G94" i="11"/>
  <c r="AU53" i="14"/>
  <c r="AV53" i="14" s="1"/>
  <c r="AU61" i="14"/>
  <c r="AV61" i="14" s="1"/>
  <c r="AU63" i="14"/>
  <c r="AV63" i="14" s="1"/>
  <c r="AU32" i="14"/>
  <c r="AV32" i="14" s="1"/>
  <c r="AU54" i="14"/>
  <c r="AV54" i="14" s="1"/>
  <c r="AU72" i="14"/>
  <c r="AV72" i="14" s="1"/>
  <c r="AU56" i="14"/>
  <c r="AU62" i="14"/>
  <c r="AV62" i="14" s="1"/>
  <c r="AV118" i="14"/>
  <c r="AV102" i="14"/>
  <c r="AV117" i="14"/>
  <c r="AP36" i="8"/>
  <c r="AP84" i="8" s="1"/>
  <c r="AP87" i="8" s="1"/>
  <c r="AT18" i="8"/>
  <c r="AS14" i="8"/>
  <c r="AS22" i="8" s="1"/>
  <c r="AU17" i="8"/>
  <c r="AT13" i="8"/>
  <c r="AQ82" i="8"/>
  <c r="AQ70" i="8"/>
  <c r="AQ74" i="8"/>
  <c r="AQ65" i="8"/>
  <c r="AQ32" i="8"/>
  <c r="AQ35" i="8"/>
  <c r="AQ51" i="8"/>
  <c r="AQ56" i="8"/>
  <c r="AQ59" i="8"/>
  <c r="AQ55" i="8"/>
  <c r="AQ54" i="8"/>
  <c r="AQ52" i="8"/>
  <c r="AQ60" i="8"/>
  <c r="AQ50" i="8"/>
  <c r="AQ61" i="8"/>
  <c r="AQ53" i="8"/>
  <c r="AR23" i="8"/>
  <c r="AS25" i="8"/>
  <c r="AS10" i="8"/>
  <c r="AS30" i="8" s="1"/>
  <c r="AT7" i="8"/>
  <c r="AS20" i="8"/>
  <c r="AR28" i="8"/>
  <c r="AN87" i="8"/>
  <c r="AS27" i="8"/>
  <c r="AT9" i="8"/>
  <c r="AU12" i="8"/>
  <c r="AV12" i="8" s="1"/>
  <c r="AV16" i="8"/>
  <c r="AT8" i="8"/>
  <c r="AS26" i="8"/>
  <c r="AS21" i="8"/>
  <c r="AP23" i="6"/>
  <c r="AP60" i="6" s="1"/>
  <c r="AP55" i="6"/>
  <c r="G63" i="5"/>
  <c r="G85" i="5" s="1"/>
  <c r="G147" i="5" s="1"/>
  <c r="G58" i="5"/>
  <c r="AS21" i="6"/>
  <c r="AM84" i="6"/>
  <c r="AU20" i="6"/>
  <c r="AV20" i="6" s="1"/>
  <c r="AW20" i="6" s="1"/>
  <c r="AU25" i="6"/>
  <c r="AV25" i="6" s="1"/>
  <c r="AW25" i="6" s="1"/>
  <c r="AT9" i="6"/>
  <c r="AR18" i="6"/>
  <c r="AQ14" i="6"/>
  <c r="AQ22" i="6" s="1"/>
  <c r="AQ23" i="6" s="1"/>
  <c r="AQ27" i="6"/>
  <c r="AQ28" i="6" s="1"/>
  <c r="AS26" i="6"/>
  <c r="AT8" i="6"/>
  <c r="AS10" i="6"/>
  <c r="AS30" i="6" s="1"/>
  <c r="AO36" i="6"/>
  <c r="AT13" i="6"/>
  <c r="AU17" i="6"/>
  <c r="AV17" i="6" s="1"/>
  <c r="AB244" i="4"/>
  <c r="AB277" i="4" s="1"/>
  <c r="AC219" i="4"/>
  <c r="AC83" i="4"/>
  <c r="AB108" i="4"/>
  <c r="AB141" i="4" s="1"/>
  <c r="AB40" i="4"/>
  <c r="AB73" i="4" s="1"/>
  <c r="AC15" i="4"/>
  <c r="AC176" i="4"/>
  <c r="AC209" i="4" s="1"/>
  <c r="AD151" i="4"/>
  <c r="AD176" i="4" s="1"/>
  <c r="AD209" i="4" s="1"/>
  <c r="I37" i="15" l="1"/>
  <c r="I39" i="15" s="1"/>
  <c r="J36" i="15"/>
  <c r="AW23" i="14"/>
  <c r="AX23" i="14"/>
  <c r="H33" i="15" s="1"/>
  <c r="AV94" i="14"/>
  <c r="AV116" i="14" s="1"/>
  <c r="K32" i="15"/>
  <c r="H67" i="15"/>
  <c r="H61" i="15"/>
  <c r="H107" i="15" s="1"/>
  <c r="H109" i="15" s="1"/>
  <c r="H60" i="15"/>
  <c r="H104" i="15" s="1"/>
  <c r="AU57" i="14"/>
  <c r="AV57" i="14" s="1"/>
  <c r="AV56" i="14"/>
  <c r="AP32" i="6"/>
  <c r="AP52" i="6"/>
  <c r="AP35" i="6"/>
  <c r="AP54" i="6"/>
  <c r="AP56" i="6"/>
  <c r="AP53" i="6"/>
  <c r="AP61" i="6"/>
  <c r="AP82" i="6"/>
  <c r="AP65" i="6"/>
  <c r="AP74" i="6"/>
  <c r="AP50" i="6"/>
  <c r="AP36" i="6" s="1"/>
  <c r="AP59" i="6"/>
  <c r="G135" i="11"/>
  <c r="G136" i="11" s="1"/>
  <c r="G138" i="11" s="1"/>
  <c r="G95" i="11"/>
  <c r="G97" i="11" s="1"/>
  <c r="G99" i="11" s="1"/>
  <c r="G111" i="11"/>
  <c r="AU36" i="14"/>
  <c r="AV36" i="14" s="1"/>
  <c r="AW32" i="14"/>
  <c r="AV119" i="14"/>
  <c r="AV112" i="14" s="1"/>
  <c r="AV130" i="14" s="1"/>
  <c r="AV132" i="14" s="1"/>
  <c r="AV93" i="14" s="1"/>
  <c r="AV92" i="14" s="1"/>
  <c r="AQ36" i="8"/>
  <c r="AQ84" i="8" s="1"/>
  <c r="AS23" i="8"/>
  <c r="AS54" i="8" s="1"/>
  <c r="AU13" i="8"/>
  <c r="AV13" i="8" s="1"/>
  <c r="AV17" i="8"/>
  <c r="AU18" i="8"/>
  <c r="AT14" i="8"/>
  <c r="AT22" i="8" s="1"/>
  <c r="AT20" i="8"/>
  <c r="AT25" i="8"/>
  <c r="AT10" i="8"/>
  <c r="AT30" i="8" s="1"/>
  <c r="AU7" i="8"/>
  <c r="AS82" i="8"/>
  <c r="AS65" i="8"/>
  <c r="AS35" i="8"/>
  <c r="AR82" i="8"/>
  <c r="AR70" i="8"/>
  <c r="AR74" i="8"/>
  <c r="AR65" i="8"/>
  <c r="AR32" i="8"/>
  <c r="AR35" i="8"/>
  <c r="AR50" i="8"/>
  <c r="AR56" i="8"/>
  <c r="AR51" i="8"/>
  <c r="AR53" i="8"/>
  <c r="AR61" i="8"/>
  <c r="AR54" i="8"/>
  <c r="AR52" i="8"/>
  <c r="AR59" i="8"/>
  <c r="AR55" i="8"/>
  <c r="AR60" i="8"/>
  <c r="AT27" i="8"/>
  <c r="AU9" i="8"/>
  <c r="AS28" i="8"/>
  <c r="AT21" i="8"/>
  <c r="AT26" i="8"/>
  <c r="AU8" i="8"/>
  <c r="AP70" i="6"/>
  <c r="AP51" i="6"/>
  <c r="AQ55" i="6"/>
  <c r="AQ59" i="6"/>
  <c r="AQ60" i="6"/>
  <c r="AQ61" i="6"/>
  <c r="AQ56" i="6"/>
  <c r="AQ74" i="6"/>
  <c r="AO84" i="6"/>
  <c r="AO87" i="6" s="1"/>
  <c r="AT21" i="6"/>
  <c r="AQ50" i="6"/>
  <c r="AQ51" i="6"/>
  <c r="AQ54" i="6"/>
  <c r="AQ52" i="6"/>
  <c r="AQ53" i="6"/>
  <c r="AU13" i="6"/>
  <c r="AV13" i="6" s="1"/>
  <c r="AW7" i="6"/>
  <c r="AQ65" i="6"/>
  <c r="AQ70" i="6"/>
  <c r="AQ82" i="6"/>
  <c r="AQ32" i="6"/>
  <c r="AQ35" i="6"/>
  <c r="AU9" i="6"/>
  <c r="AV9" i="6" s="1"/>
  <c r="AR14" i="6"/>
  <c r="AR22" i="6" s="1"/>
  <c r="AR23" i="6" s="1"/>
  <c r="AS18" i="6"/>
  <c r="AR27" i="6"/>
  <c r="AR28" i="6" s="1"/>
  <c r="AT26" i="6"/>
  <c r="AU8" i="6"/>
  <c r="AV8" i="6" s="1"/>
  <c r="AT10" i="6"/>
  <c r="AT30" i="6" s="1"/>
  <c r="AM87" i="6"/>
  <c r="AC40" i="4"/>
  <c r="AC73" i="4" s="1"/>
  <c r="AD15" i="4"/>
  <c r="AD40" i="4" s="1"/>
  <c r="AD73" i="4" s="1"/>
  <c r="AC108" i="4"/>
  <c r="AC141" i="4" s="1"/>
  <c r="AD83" i="4"/>
  <c r="AD108" i="4" s="1"/>
  <c r="AD141" i="4" s="1"/>
  <c r="AC244" i="4"/>
  <c r="AC277" i="4" s="1"/>
  <c r="AD219" i="4"/>
  <c r="AD244" i="4" s="1"/>
  <c r="AD277" i="4" s="1"/>
  <c r="L32" i="15" l="1"/>
  <c r="J37" i="15"/>
  <c r="J39" i="15" s="1"/>
  <c r="K36" i="15"/>
  <c r="I33" i="15"/>
  <c r="H34" i="15"/>
  <c r="I67" i="15"/>
  <c r="I60" i="15"/>
  <c r="I104" i="15" s="1"/>
  <c r="I61" i="15"/>
  <c r="I107" i="15" s="1"/>
  <c r="I109" i="15" s="1"/>
  <c r="AS53" i="8"/>
  <c r="AV10" i="6"/>
  <c r="H32" i="5" s="1"/>
  <c r="I32" i="5" s="1"/>
  <c r="J32" i="5" s="1"/>
  <c r="K32" i="5" s="1"/>
  <c r="H98" i="11"/>
  <c r="G102" i="11"/>
  <c r="G106" i="11" s="1"/>
  <c r="G113" i="11"/>
  <c r="AU86" i="14"/>
  <c r="AU89" i="14" s="1"/>
  <c r="AS74" i="8"/>
  <c r="AS70" i="8"/>
  <c r="AS51" i="8"/>
  <c r="AS52" i="8"/>
  <c r="AS60" i="8"/>
  <c r="AS56" i="8"/>
  <c r="AS32" i="8"/>
  <c r="AS59" i="8"/>
  <c r="AS55" i="8"/>
  <c r="AS50" i="8"/>
  <c r="AU14" i="8"/>
  <c r="AV14" i="8" s="1"/>
  <c r="AV18" i="8"/>
  <c r="AS61" i="8"/>
  <c r="AQ87" i="8"/>
  <c r="AR36" i="8"/>
  <c r="AR84" i="8" s="1"/>
  <c r="AR87" i="8" s="1"/>
  <c r="AU25" i="8"/>
  <c r="AU20" i="8"/>
  <c r="AU10" i="8"/>
  <c r="AU30" i="8" s="1"/>
  <c r="AV30" i="8" s="1"/>
  <c r="AW30" i="8" s="1"/>
  <c r="AV7" i="8"/>
  <c r="AT28" i="8"/>
  <c r="AU26" i="8"/>
  <c r="AV26" i="8" s="1"/>
  <c r="AW26" i="8" s="1"/>
  <c r="AU21" i="8"/>
  <c r="AV21" i="8" s="1"/>
  <c r="AW21" i="8" s="1"/>
  <c r="AV8" i="8"/>
  <c r="AW8" i="8" s="1"/>
  <c r="AU27" i="8"/>
  <c r="AV27" i="8" s="1"/>
  <c r="AW27" i="8" s="1"/>
  <c r="AV9" i="8"/>
  <c r="AW9" i="8" s="1"/>
  <c r="AT23" i="8"/>
  <c r="AR55" i="6"/>
  <c r="AR61" i="6"/>
  <c r="AR56" i="6"/>
  <c r="AR74" i="6"/>
  <c r="AR59" i="6"/>
  <c r="AR60" i="6"/>
  <c r="AR53" i="6"/>
  <c r="AR52" i="6"/>
  <c r="AR50" i="6"/>
  <c r="AR51" i="6"/>
  <c r="AR54" i="6"/>
  <c r="AQ36" i="6"/>
  <c r="AR65" i="6"/>
  <c r="AR35" i="6"/>
  <c r="AR82" i="6"/>
  <c r="AR70" i="6"/>
  <c r="AR32" i="6"/>
  <c r="AW9" i="6"/>
  <c r="AP84" i="6"/>
  <c r="AU26" i="6"/>
  <c r="AV26" i="6" s="1"/>
  <c r="AW26" i="6" s="1"/>
  <c r="AU21" i="6"/>
  <c r="AV21" i="6" s="1"/>
  <c r="AW21" i="6" s="1"/>
  <c r="AU10" i="6"/>
  <c r="AT18" i="6"/>
  <c r="AS14" i="6"/>
  <c r="AS22" i="6" s="1"/>
  <c r="AS23" i="6" s="1"/>
  <c r="AS27" i="6"/>
  <c r="AS28" i="6" s="1"/>
  <c r="H66" i="15" l="1"/>
  <c r="H31" i="15"/>
  <c r="H59" i="15"/>
  <c r="J60" i="15"/>
  <c r="J104" i="15" s="1"/>
  <c r="J67" i="15"/>
  <c r="J61" i="15"/>
  <c r="J107" i="15" s="1"/>
  <c r="J109" i="15" s="1"/>
  <c r="K37" i="15"/>
  <c r="K39" i="15" s="1"/>
  <c r="L36" i="15"/>
  <c r="M32" i="15"/>
  <c r="J33" i="15"/>
  <c r="I34" i="15"/>
  <c r="H43" i="15"/>
  <c r="H42" i="15"/>
  <c r="I42" i="15" s="1"/>
  <c r="J42" i="15" s="1"/>
  <c r="K42" i="15" s="1"/>
  <c r="L42" i="15" s="1"/>
  <c r="M42" i="15" s="1"/>
  <c r="N42" i="15" s="1"/>
  <c r="O42" i="15" s="1"/>
  <c r="G114" i="11"/>
  <c r="AV86" i="14"/>
  <c r="AV87" i="14" s="1"/>
  <c r="AV89" i="14" s="1"/>
  <c r="AV109" i="14" s="1"/>
  <c r="AV106" i="14" s="1"/>
  <c r="AW36" i="14"/>
  <c r="AV81" i="14"/>
  <c r="AS36" i="8"/>
  <c r="AS84" i="8" s="1"/>
  <c r="AS87" i="8" s="1"/>
  <c r="AU22" i="8"/>
  <c r="AV22" i="8" s="1"/>
  <c r="AW22" i="8" s="1"/>
  <c r="AU28" i="8"/>
  <c r="AV28" i="8" s="1"/>
  <c r="AV25" i="8"/>
  <c r="AW25" i="8" s="1"/>
  <c r="AT70" i="8"/>
  <c r="AT74" i="8"/>
  <c r="AT82" i="8"/>
  <c r="AT65" i="8"/>
  <c r="AT32" i="8"/>
  <c r="AT35" i="8"/>
  <c r="AT51" i="8"/>
  <c r="AT55" i="8"/>
  <c r="AT61" i="8"/>
  <c r="AT60" i="8"/>
  <c r="AT54" i="8"/>
  <c r="AT50" i="8"/>
  <c r="AT53" i="8"/>
  <c r="AT59" i="8"/>
  <c r="AT56" i="8"/>
  <c r="AT52" i="8"/>
  <c r="AV20" i="8"/>
  <c r="AW20" i="8" s="1"/>
  <c r="AW7" i="8"/>
  <c r="AV10" i="8"/>
  <c r="H32" i="11" s="1"/>
  <c r="AS55" i="6"/>
  <c r="AS61" i="6"/>
  <c r="AS56" i="6"/>
  <c r="AS74" i="6"/>
  <c r="AS60" i="6"/>
  <c r="AS59" i="6"/>
  <c r="L32" i="5"/>
  <c r="AU30" i="6"/>
  <c r="AQ84" i="6"/>
  <c r="AQ87" i="6" s="1"/>
  <c r="AR36" i="6"/>
  <c r="AS53" i="6"/>
  <c r="AS50" i="6"/>
  <c r="AS51" i="6"/>
  <c r="AS54" i="6"/>
  <c r="AS52" i="6"/>
  <c r="AP87" i="6"/>
  <c r="AW8" i="6"/>
  <c r="AS65" i="6"/>
  <c r="AS70" i="6"/>
  <c r="AS35" i="6"/>
  <c r="AS82" i="6"/>
  <c r="AS32" i="6"/>
  <c r="AU18" i="6"/>
  <c r="AV18" i="6" s="1"/>
  <c r="AT14" i="6"/>
  <c r="AT22" i="6" s="1"/>
  <c r="AT23" i="6" s="1"/>
  <c r="AT27" i="6"/>
  <c r="AT28" i="6" s="1"/>
  <c r="H103" i="15" l="1"/>
  <c r="H62" i="15"/>
  <c r="H63" i="15" s="1"/>
  <c r="H85" i="15" s="1"/>
  <c r="H147" i="15" s="1"/>
  <c r="H68" i="15"/>
  <c r="H69" i="15" s="1"/>
  <c r="H41" i="15"/>
  <c r="S68" i="15" s="1"/>
  <c r="I66" i="15"/>
  <c r="I73" i="15"/>
  <c r="I59" i="15"/>
  <c r="I31" i="15"/>
  <c r="I41" i="15"/>
  <c r="N32" i="15"/>
  <c r="K67" i="15"/>
  <c r="K60" i="15"/>
  <c r="K104" i="15" s="1"/>
  <c r="K61" i="15"/>
  <c r="K107" i="15" s="1"/>
  <c r="K109" i="15" s="1"/>
  <c r="K33" i="15"/>
  <c r="J34" i="15"/>
  <c r="S67" i="15"/>
  <c r="M36" i="15"/>
  <c r="L37" i="15"/>
  <c r="L39" i="15" s="1"/>
  <c r="I32" i="11"/>
  <c r="J32" i="11" s="1"/>
  <c r="AU23" i="8"/>
  <c r="AU65" i="8" s="1"/>
  <c r="AV65" i="8" s="1"/>
  <c r="AW11" i="8"/>
  <c r="AW10" i="8"/>
  <c r="AT36" i="8"/>
  <c r="AT84" i="8" s="1"/>
  <c r="AT87" i="8" s="1"/>
  <c r="AU74" i="8"/>
  <c r="AV74" i="8" s="1"/>
  <c r="AU82" i="8"/>
  <c r="AV82" i="8" s="1"/>
  <c r="AU35" i="8"/>
  <c r="AU56" i="8"/>
  <c r="AV56" i="8" s="1"/>
  <c r="AU51" i="8"/>
  <c r="AV51" i="8" s="1"/>
  <c r="AU55" i="8"/>
  <c r="AV55" i="8" s="1"/>
  <c r="AU61" i="8"/>
  <c r="AV61" i="8" s="1"/>
  <c r="AU54" i="8"/>
  <c r="AV54" i="8" s="1"/>
  <c r="AU50" i="8"/>
  <c r="AU53" i="8"/>
  <c r="AV53" i="8" s="1"/>
  <c r="AU59" i="8"/>
  <c r="AU52" i="8"/>
  <c r="AV52" i="8" s="1"/>
  <c r="AV23" i="8"/>
  <c r="AV93" i="8"/>
  <c r="AV102" i="8"/>
  <c r="AX28" i="8"/>
  <c r="H36" i="11" s="1"/>
  <c r="AW28" i="8"/>
  <c r="M32" i="5"/>
  <c r="AV30" i="6"/>
  <c r="AW30" i="6" s="1"/>
  <c r="AT55" i="6"/>
  <c r="AT61" i="6"/>
  <c r="AT56" i="6"/>
  <c r="AT74" i="6"/>
  <c r="AT59" i="6"/>
  <c r="AT60" i="6"/>
  <c r="AW10" i="6"/>
  <c r="AW11" i="6"/>
  <c r="AR84" i="6"/>
  <c r="AR87" i="6" s="1"/>
  <c r="AT54" i="6"/>
  <c r="AT52" i="6"/>
  <c r="AT51" i="6"/>
  <c r="AT53" i="6"/>
  <c r="AT50" i="6"/>
  <c r="AU14" i="6"/>
  <c r="AV14" i="6" s="1"/>
  <c r="AU27" i="6"/>
  <c r="AV27" i="6" s="1"/>
  <c r="AW27" i="6" s="1"/>
  <c r="AS36" i="6"/>
  <c r="AT65" i="6"/>
  <c r="AT32" i="6"/>
  <c r="AT82" i="6"/>
  <c r="AT35" i="6"/>
  <c r="AT70" i="6"/>
  <c r="H71" i="15" l="1"/>
  <c r="S69" i="15"/>
  <c r="J66" i="15"/>
  <c r="J73" i="15"/>
  <c r="J59" i="15"/>
  <c r="J31" i="15"/>
  <c r="J41" i="15"/>
  <c r="T67" i="15"/>
  <c r="N36" i="15"/>
  <c r="M37" i="15"/>
  <c r="M39" i="15" s="1"/>
  <c r="I103" i="15"/>
  <c r="I62" i="15"/>
  <c r="I63" i="15" s="1"/>
  <c r="I85" i="15" s="1"/>
  <c r="I147" i="15" s="1"/>
  <c r="L33" i="15"/>
  <c r="K34" i="15"/>
  <c r="L61" i="15"/>
  <c r="L107" i="15" s="1"/>
  <c r="L109" i="15" s="1"/>
  <c r="L60" i="15"/>
  <c r="L104" i="15" s="1"/>
  <c r="L67" i="15"/>
  <c r="O32" i="15"/>
  <c r="I43" i="15"/>
  <c r="I68" i="15" s="1"/>
  <c r="I69" i="15" s="1"/>
  <c r="T68" i="15"/>
  <c r="AU70" i="8"/>
  <c r="AV70" i="8" s="1"/>
  <c r="H73" i="11"/>
  <c r="AV59" i="8"/>
  <c r="H37" i="11"/>
  <c r="H39" i="11" s="1"/>
  <c r="I36" i="11"/>
  <c r="AU32" i="8"/>
  <c r="AV32" i="8" s="1"/>
  <c r="AU60" i="8"/>
  <c r="AV60" i="8" s="1"/>
  <c r="K32" i="11"/>
  <c r="AV116" i="8"/>
  <c r="AV100" i="8"/>
  <c r="AV115" i="8"/>
  <c r="AV92" i="8"/>
  <c r="AV114" i="8" s="1"/>
  <c r="AX23" i="8"/>
  <c r="H33" i="11" s="1"/>
  <c r="AW24" i="8"/>
  <c r="AW23" i="8"/>
  <c r="AV50" i="8"/>
  <c r="N32" i="5"/>
  <c r="AS84" i="6"/>
  <c r="AS87" i="6" s="1"/>
  <c r="AT36" i="6"/>
  <c r="AU28" i="6"/>
  <c r="AV28" i="6" s="1"/>
  <c r="AU22" i="6"/>
  <c r="AV22" i="6" s="1"/>
  <c r="AW22" i="6" s="1"/>
  <c r="H74" i="15" l="1"/>
  <c r="H75" i="15" s="1"/>
  <c r="H76" i="15" s="1"/>
  <c r="S76" i="15" s="1"/>
  <c r="I71" i="15"/>
  <c r="T69" i="15"/>
  <c r="M33" i="15"/>
  <c r="L34" i="15"/>
  <c r="M61" i="15"/>
  <c r="M107" i="15" s="1"/>
  <c r="M109" i="15" s="1"/>
  <c r="M67" i="15"/>
  <c r="M60" i="15"/>
  <c r="M104" i="15" s="1"/>
  <c r="J43" i="15"/>
  <c r="J68" i="15" s="1"/>
  <c r="J69" i="15" s="1"/>
  <c r="U68" i="15"/>
  <c r="J62" i="15"/>
  <c r="J63" i="15" s="1"/>
  <c r="J85" i="15" s="1"/>
  <c r="J147" i="15" s="1"/>
  <c r="J103" i="15"/>
  <c r="N37" i="15"/>
  <c r="N39" i="15" s="1"/>
  <c r="O36" i="15"/>
  <c r="O37" i="15" s="1"/>
  <c r="O39" i="15" s="1"/>
  <c r="K31" i="15"/>
  <c r="K73" i="15"/>
  <c r="K66" i="15"/>
  <c r="K59" i="15"/>
  <c r="K41" i="15"/>
  <c r="U67" i="15"/>
  <c r="S71" i="15"/>
  <c r="H145" i="15"/>
  <c r="H148" i="15" s="1"/>
  <c r="H117" i="15"/>
  <c r="H118" i="15" s="1"/>
  <c r="H119" i="15" s="1"/>
  <c r="H79" i="15"/>
  <c r="H78" i="15"/>
  <c r="AV117" i="8"/>
  <c r="AV110" i="8" s="1"/>
  <c r="AV128" i="8" s="1"/>
  <c r="AV130" i="8" s="1"/>
  <c r="AV91" i="8" s="1"/>
  <c r="AV90" i="8" s="1"/>
  <c r="I33" i="11"/>
  <c r="H34" i="11"/>
  <c r="J36" i="11"/>
  <c r="I37" i="11"/>
  <c r="I39" i="11" s="1"/>
  <c r="H61" i="11"/>
  <c r="H107" i="11" s="1"/>
  <c r="H109" i="11" s="1"/>
  <c r="H60" i="11"/>
  <c r="H104" i="11" s="1"/>
  <c r="H67" i="11"/>
  <c r="AU36" i="8"/>
  <c r="AV36" i="8" s="1"/>
  <c r="L32" i="11"/>
  <c r="AW32" i="8"/>
  <c r="AW28" i="6"/>
  <c r="AV102" i="6"/>
  <c r="AX28" i="6"/>
  <c r="H36" i="5" s="1"/>
  <c r="AV93" i="6"/>
  <c r="AV115" i="6" s="1"/>
  <c r="O32" i="5"/>
  <c r="AT84" i="6"/>
  <c r="AT87" i="6" s="1"/>
  <c r="AU23" i="6"/>
  <c r="H82" i="15" l="1"/>
  <c r="H84" i="15" s="1"/>
  <c r="H86" i="15" s="1"/>
  <c r="H94" i="15" s="1"/>
  <c r="H77" i="15"/>
  <c r="H110" i="15"/>
  <c r="J71" i="15"/>
  <c r="U69" i="15"/>
  <c r="N67" i="15"/>
  <c r="N60" i="15"/>
  <c r="N104" i="15" s="1"/>
  <c r="N61" i="15"/>
  <c r="N107" i="15" s="1"/>
  <c r="N109" i="15" s="1"/>
  <c r="K43" i="15"/>
  <c r="K68" i="15" s="1"/>
  <c r="V68" i="15"/>
  <c r="N33" i="15"/>
  <c r="M34" i="15"/>
  <c r="L66" i="15"/>
  <c r="L73" i="15"/>
  <c r="L15" i="15"/>
  <c r="L31" i="15"/>
  <c r="L59" i="15"/>
  <c r="L41" i="15"/>
  <c r="K103" i="15"/>
  <c r="K62" i="15"/>
  <c r="K63" i="15" s="1"/>
  <c r="K85" i="15" s="1"/>
  <c r="K147" i="15" s="1"/>
  <c r="O60" i="15"/>
  <c r="O104" i="15" s="1"/>
  <c r="O61" i="15"/>
  <c r="O107" i="15" s="1"/>
  <c r="O109" i="15" s="1"/>
  <c r="O67" i="15"/>
  <c r="V67" i="15"/>
  <c r="K69" i="15"/>
  <c r="T71" i="15"/>
  <c r="I79" i="15"/>
  <c r="I117" i="15"/>
  <c r="I118" i="15" s="1"/>
  <c r="I119" i="15" s="1"/>
  <c r="I145" i="15"/>
  <c r="I148" i="15" s="1"/>
  <c r="I78" i="15"/>
  <c r="I74" i="15"/>
  <c r="I75" i="15" s="1"/>
  <c r="I76" i="15" s="1"/>
  <c r="AU84" i="8"/>
  <c r="AU87" i="8" s="1"/>
  <c r="M32" i="11"/>
  <c r="K36" i="11"/>
  <c r="J37" i="11"/>
  <c r="J39" i="11" s="1"/>
  <c r="H66" i="11"/>
  <c r="H59" i="11"/>
  <c r="H31" i="11"/>
  <c r="I60" i="11"/>
  <c r="I104" i="11" s="1"/>
  <c r="I67" i="11"/>
  <c r="I61" i="11"/>
  <c r="I107" i="11" s="1"/>
  <c r="I109" i="11" s="1"/>
  <c r="I34" i="11"/>
  <c r="J33" i="11"/>
  <c r="AW36" i="8"/>
  <c r="AV84" i="8"/>
  <c r="H37" i="5"/>
  <c r="H39" i="5" s="1"/>
  <c r="I36" i="5"/>
  <c r="AV116" i="6"/>
  <c r="AV100" i="6"/>
  <c r="AU55" i="6"/>
  <c r="AV55" i="6" s="1"/>
  <c r="AU60" i="6"/>
  <c r="AV60" i="6" s="1"/>
  <c r="AU61" i="6"/>
  <c r="AV61" i="6" s="1"/>
  <c r="AU56" i="6"/>
  <c r="AV56" i="6" s="1"/>
  <c r="AU74" i="6"/>
  <c r="AV74" i="6" s="1"/>
  <c r="AU59" i="6"/>
  <c r="AV59" i="6" s="1"/>
  <c r="AV23" i="6"/>
  <c r="AU54" i="6"/>
  <c r="AV54" i="6" s="1"/>
  <c r="AU52" i="6"/>
  <c r="AV52" i="6" s="1"/>
  <c r="AU53" i="6"/>
  <c r="AV53" i="6" s="1"/>
  <c r="AU50" i="6"/>
  <c r="AV50" i="6" s="1"/>
  <c r="AU51" i="6"/>
  <c r="AV51" i="6" s="1"/>
  <c r="AU65" i="6"/>
  <c r="AV65" i="6" s="1"/>
  <c r="AU70" i="6"/>
  <c r="AV70" i="6" s="1"/>
  <c r="AU32" i="6"/>
  <c r="AV32" i="6" s="1"/>
  <c r="AU82" i="6"/>
  <c r="AV82" i="6" s="1"/>
  <c r="H73" i="5" s="1"/>
  <c r="AU35" i="6"/>
  <c r="H122" i="15" l="1"/>
  <c r="H123" i="15" s="1"/>
  <c r="H125" i="15" s="1"/>
  <c r="O33" i="15"/>
  <c r="O34" i="15" s="1"/>
  <c r="N34" i="15"/>
  <c r="N22" i="15"/>
  <c r="L28" i="15"/>
  <c r="O22" i="15"/>
  <c r="L22" i="15"/>
  <c r="L26" i="15" s="1"/>
  <c r="L29" i="15" s="1"/>
  <c r="L70" i="15" s="1"/>
  <c r="L83" i="15" s="1"/>
  <c r="L120" i="15" s="1"/>
  <c r="M22" i="15"/>
  <c r="K71" i="15"/>
  <c r="V69" i="15"/>
  <c r="W67" i="15"/>
  <c r="L43" i="15"/>
  <c r="L68" i="15" s="1"/>
  <c r="L69" i="15" s="1"/>
  <c r="W68" i="15"/>
  <c r="T76" i="15"/>
  <c r="I110" i="15"/>
  <c r="I82" i="15"/>
  <c r="I84" i="15" s="1"/>
  <c r="I77" i="15"/>
  <c r="L103" i="15"/>
  <c r="L62" i="15"/>
  <c r="L63" i="15" s="1"/>
  <c r="L85" i="15" s="1"/>
  <c r="L147" i="15" s="1"/>
  <c r="M59" i="15"/>
  <c r="M73" i="15"/>
  <c r="M66" i="15"/>
  <c r="M15" i="15"/>
  <c r="M31" i="15"/>
  <c r="M41" i="15"/>
  <c r="J74" i="15"/>
  <c r="U71" i="15"/>
  <c r="J117" i="15"/>
  <c r="J118" i="15" s="1"/>
  <c r="J119" i="15" s="1"/>
  <c r="J79" i="15"/>
  <c r="J145" i="15"/>
  <c r="J148" i="15" s="1"/>
  <c r="J78" i="15"/>
  <c r="H135" i="15"/>
  <c r="H136" i="15" s="1"/>
  <c r="H138" i="15" s="1"/>
  <c r="H95" i="15"/>
  <c r="H97" i="15" s="1"/>
  <c r="H111" i="15"/>
  <c r="K33" i="11"/>
  <c r="J34" i="11"/>
  <c r="J60" i="11"/>
  <c r="J104" i="11" s="1"/>
  <c r="J61" i="11"/>
  <c r="J107" i="11" s="1"/>
  <c r="J109" i="11" s="1"/>
  <c r="J67" i="11"/>
  <c r="N32" i="11"/>
  <c r="I59" i="11"/>
  <c r="I73" i="11"/>
  <c r="I66" i="11"/>
  <c r="I31" i="11"/>
  <c r="I41" i="11"/>
  <c r="K37" i="11"/>
  <c r="K39" i="11" s="1"/>
  <c r="L36" i="11"/>
  <c r="H103" i="11"/>
  <c r="H62" i="11"/>
  <c r="H63" i="11" s="1"/>
  <c r="H85" i="11" s="1"/>
  <c r="H147" i="11" s="1"/>
  <c r="H42" i="11"/>
  <c r="I42" i="11" s="1"/>
  <c r="H43" i="11"/>
  <c r="AV85" i="8"/>
  <c r="AV87" i="8" s="1"/>
  <c r="AV107" i="8" s="1"/>
  <c r="AV104" i="8" s="1"/>
  <c r="AV79" i="8"/>
  <c r="J36" i="5"/>
  <c r="I37" i="5"/>
  <c r="I39" i="5" s="1"/>
  <c r="AV92" i="6"/>
  <c r="AV114" i="6" s="1"/>
  <c r="AV117" i="6" s="1"/>
  <c r="AV110" i="6" s="1"/>
  <c r="AV128" i="6" s="1"/>
  <c r="AV130" i="6" s="1"/>
  <c r="AV91" i="6" s="1"/>
  <c r="AV90" i="6" s="1"/>
  <c r="AW23" i="6"/>
  <c r="AW24" i="6"/>
  <c r="AX23" i="6"/>
  <c r="H33" i="5" s="1"/>
  <c r="H61" i="5"/>
  <c r="H107" i="5" s="1"/>
  <c r="H109" i="5" s="1"/>
  <c r="H67" i="5"/>
  <c r="H60" i="5"/>
  <c r="H104" i="5" s="1"/>
  <c r="AW32" i="6"/>
  <c r="AU36" i="6"/>
  <c r="L71" i="15" l="1"/>
  <c r="W69" i="15"/>
  <c r="V71" i="15"/>
  <c r="K117" i="15"/>
  <c r="K118" i="15" s="1"/>
  <c r="K119" i="15" s="1"/>
  <c r="K79" i="15"/>
  <c r="K74" i="15"/>
  <c r="K75" i="15" s="1"/>
  <c r="K76" i="15" s="1"/>
  <c r="K78" i="15"/>
  <c r="K145" i="15"/>
  <c r="K148" i="15" s="1"/>
  <c r="X67" i="15"/>
  <c r="M103" i="15"/>
  <c r="M62" i="15"/>
  <c r="M63" i="15" s="1"/>
  <c r="M85" i="15" s="1"/>
  <c r="M147" i="15" s="1"/>
  <c r="L88" i="15"/>
  <c r="L146" i="15"/>
  <c r="L121" i="15"/>
  <c r="J75" i="15"/>
  <c r="J76" i="15" s="1"/>
  <c r="M43" i="15"/>
  <c r="M68" i="15" s="1"/>
  <c r="M69" i="15" s="1"/>
  <c r="X68" i="15"/>
  <c r="I86" i="15"/>
  <c r="I94" i="15" s="1"/>
  <c r="I111" i="15" s="1"/>
  <c r="N59" i="15"/>
  <c r="N66" i="15"/>
  <c r="N73" i="15"/>
  <c r="N15" i="15"/>
  <c r="N31" i="15"/>
  <c r="N41" i="15"/>
  <c r="O23" i="15"/>
  <c r="M28" i="15"/>
  <c r="M23" i="15"/>
  <c r="M26" i="15" s="1"/>
  <c r="M29" i="15" s="1"/>
  <c r="M70" i="15" s="1"/>
  <c r="M83" i="15" s="1"/>
  <c r="M120" i="15" s="1"/>
  <c r="N23" i="15"/>
  <c r="O73" i="15"/>
  <c r="O66" i="15"/>
  <c r="O15" i="15"/>
  <c r="O31" i="15"/>
  <c r="O59" i="15"/>
  <c r="O41" i="15"/>
  <c r="J41" i="11"/>
  <c r="J73" i="11"/>
  <c r="J59" i="11"/>
  <c r="J31" i="11"/>
  <c r="J66" i="11"/>
  <c r="I103" i="11"/>
  <c r="I62" i="11"/>
  <c r="I63" i="11" s="1"/>
  <c r="I85" i="11" s="1"/>
  <c r="I147" i="11" s="1"/>
  <c r="L33" i="11"/>
  <c r="K34" i="11"/>
  <c r="L37" i="11"/>
  <c r="L39" i="11" s="1"/>
  <c r="M36" i="11"/>
  <c r="H113" i="15"/>
  <c r="K67" i="11"/>
  <c r="K60" i="11"/>
  <c r="K104" i="11" s="1"/>
  <c r="K61" i="11"/>
  <c r="K107" i="11" s="1"/>
  <c r="K109" i="11" s="1"/>
  <c r="S97" i="15"/>
  <c r="H99" i="15"/>
  <c r="O32" i="11"/>
  <c r="H68" i="11"/>
  <c r="H69" i="11" s="1"/>
  <c r="H71" i="11" s="1"/>
  <c r="H41" i="11"/>
  <c r="J42" i="11"/>
  <c r="I43" i="11"/>
  <c r="I68" i="11" s="1"/>
  <c r="I69" i="11" s="1"/>
  <c r="I71" i="11" s="1"/>
  <c r="I33" i="5"/>
  <c r="H34" i="5"/>
  <c r="I67" i="5"/>
  <c r="I61" i="5"/>
  <c r="I107" i="5" s="1"/>
  <c r="I109" i="5" s="1"/>
  <c r="I60" i="5"/>
  <c r="I104" i="5" s="1"/>
  <c r="K36" i="5"/>
  <c r="J37" i="5"/>
  <c r="J39" i="5" s="1"/>
  <c r="AV36" i="6"/>
  <c r="I122" i="15" l="1"/>
  <c r="I123" i="15" s="1"/>
  <c r="I125" i="15" s="1"/>
  <c r="X69" i="15"/>
  <c r="M71" i="15"/>
  <c r="V76" i="15"/>
  <c r="K82" i="15"/>
  <c r="K84" i="15" s="1"/>
  <c r="K77" i="15"/>
  <c r="K110" i="15"/>
  <c r="U76" i="15"/>
  <c r="J110" i="15"/>
  <c r="J82" i="15"/>
  <c r="J84" i="15" s="1"/>
  <c r="J86" i="15" s="1"/>
  <c r="J77" i="15"/>
  <c r="N103" i="15"/>
  <c r="N62" i="15"/>
  <c r="N63" i="15" s="1"/>
  <c r="N85" i="15" s="1"/>
  <c r="N147" i="15" s="1"/>
  <c r="O103" i="15"/>
  <c r="O62" i="15"/>
  <c r="O63" i="15" s="1"/>
  <c r="O85" i="15" s="1"/>
  <c r="O147" i="15" s="1"/>
  <c r="L89" i="15"/>
  <c r="L105" i="15"/>
  <c r="M105" i="15" s="1"/>
  <c r="O25" i="15"/>
  <c r="O28" i="15"/>
  <c r="Y67" i="15"/>
  <c r="M146" i="15"/>
  <c r="M121" i="15"/>
  <c r="M88" i="15"/>
  <c r="M89" i="15" s="1"/>
  <c r="Z67" i="15"/>
  <c r="O43" i="15"/>
  <c r="O68" i="15" s="1"/>
  <c r="O69" i="15" s="1"/>
  <c r="Z68" i="15"/>
  <c r="I135" i="15"/>
  <c r="I136" i="15" s="1"/>
  <c r="I138" i="15" s="1"/>
  <c r="I95" i="15"/>
  <c r="I97" i="15" s="1"/>
  <c r="T97" i="15" s="1"/>
  <c r="N43" i="15"/>
  <c r="N68" i="15" s="1"/>
  <c r="N69" i="15" s="1"/>
  <c r="Y68" i="15"/>
  <c r="N28" i="15"/>
  <c r="O24" i="15"/>
  <c r="N24" i="15"/>
  <c r="N26" i="15" s="1"/>
  <c r="N29" i="15" s="1"/>
  <c r="N70" i="15" s="1"/>
  <c r="N83" i="15" s="1"/>
  <c r="N120" i="15" s="1"/>
  <c r="W71" i="15"/>
  <c r="L145" i="15"/>
  <c r="L148" i="15" s="1"/>
  <c r="L79" i="15"/>
  <c r="L117" i="15"/>
  <c r="L78" i="15"/>
  <c r="L74" i="15"/>
  <c r="L75" i="15" s="1"/>
  <c r="L76" i="15" s="1"/>
  <c r="I113" i="15"/>
  <c r="M37" i="11"/>
  <c r="M39" i="11" s="1"/>
  <c r="N36" i="11"/>
  <c r="J103" i="11"/>
  <c r="J62" i="11"/>
  <c r="J63" i="11" s="1"/>
  <c r="J85" i="11" s="1"/>
  <c r="J147" i="11" s="1"/>
  <c r="M33" i="11"/>
  <c r="L34" i="11"/>
  <c r="H102" i="15"/>
  <c r="H106" i="15" s="1"/>
  <c r="H114" i="15" s="1"/>
  <c r="I98" i="15"/>
  <c r="L61" i="11"/>
  <c r="L107" i="11" s="1"/>
  <c r="L109" i="11" s="1"/>
  <c r="L67" i="11"/>
  <c r="L60" i="11"/>
  <c r="L104" i="11" s="1"/>
  <c r="K73" i="11"/>
  <c r="K66" i="11"/>
  <c r="K31" i="11"/>
  <c r="K59" i="11"/>
  <c r="K41" i="11"/>
  <c r="I74" i="11"/>
  <c r="I145" i="11"/>
  <c r="I148" i="11" s="1"/>
  <c r="I79" i="11"/>
  <c r="I117" i="11"/>
  <c r="I118" i="11" s="1"/>
  <c r="I119" i="11" s="1"/>
  <c r="I78" i="11"/>
  <c r="K42" i="11"/>
  <c r="J43" i="11"/>
  <c r="J68" i="11" s="1"/>
  <c r="J69" i="11" s="1"/>
  <c r="J71" i="11" s="1"/>
  <c r="H78" i="11"/>
  <c r="H79" i="11"/>
  <c r="H117" i="11"/>
  <c r="H74" i="11"/>
  <c r="H75" i="11" s="1"/>
  <c r="H76" i="11" s="1"/>
  <c r="H145" i="11"/>
  <c r="H148" i="11" s="1"/>
  <c r="L36" i="5"/>
  <c r="K37" i="5"/>
  <c r="K39" i="5" s="1"/>
  <c r="J67" i="5"/>
  <c r="J60" i="5"/>
  <c r="J104" i="5" s="1"/>
  <c r="J61" i="5"/>
  <c r="J107" i="5" s="1"/>
  <c r="J109" i="5" s="1"/>
  <c r="H31" i="5"/>
  <c r="H59" i="5"/>
  <c r="J33" i="5"/>
  <c r="I34" i="5"/>
  <c r="AV79" i="6"/>
  <c r="H42" i="5"/>
  <c r="I42" i="5" s="1"/>
  <c r="J42" i="5" s="1"/>
  <c r="K42" i="5" s="1"/>
  <c r="L42" i="5" s="1"/>
  <c r="M42" i="5" s="1"/>
  <c r="N42" i="5" s="1"/>
  <c r="O42" i="5" s="1"/>
  <c r="AW77" i="6"/>
  <c r="H43" i="5"/>
  <c r="AW36" i="6"/>
  <c r="AU84" i="6"/>
  <c r="AV84" i="6" s="1"/>
  <c r="Z69" i="15" l="1"/>
  <c r="N71" i="15"/>
  <c r="Y69" i="15"/>
  <c r="K86" i="15"/>
  <c r="K94" i="15" s="1"/>
  <c r="K122" i="15"/>
  <c r="K123" i="15" s="1"/>
  <c r="K125" i="15" s="1"/>
  <c r="I99" i="15"/>
  <c r="I102" i="15" s="1"/>
  <c r="I106" i="15" s="1"/>
  <c r="I114" i="15" s="1"/>
  <c r="L118" i="15"/>
  <c r="L119" i="15" s="1"/>
  <c r="J122" i="15"/>
  <c r="J123" i="15" s="1"/>
  <c r="J125" i="15" s="1"/>
  <c r="J94" i="15"/>
  <c r="X71" i="15"/>
  <c r="M74" i="15"/>
  <c r="M75" i="15" s="1"/>
  <c r="M76" i="15" s="1"/>
  <c r="M145" i="15"/>
  <c r="M148" i="15" s="1"/>
  <c r="M79" i="15"/>
  <c r="M78" i="15"/>
  <c r="M117" i="15"/>
  <c r="M118" i="15" s="1"/>
  <c r="M119" i="15" s="1"/>
  <c r="O88" i="15"/>
  <c r="O89" i="15" s="1"/>
  <c r="O121" i="15"/>
  <c r="O26" i="15"/>
  <c r="O29" i="15" s="1"/>
  <c r="O70" i="15" s="1"/>
  <c r="O83" i="15" s="1"/>
  <c r="O120" i="15" s="1"/>
  <c r="W76" i="15"/>
  <c r="L110" i="15"/>
  <c r="L77" i="15"/>
  <c r="L82" i="15"/>
  <c r="L84" i="15" s="1"/>
  <c r="N88" i="15"/>
  <c r="N89" i="15" s="1"/>
  <c r="N121" i="15"/>
  <c r="N146" i="15"/>
  <c r="L73" i="11"/>
  <c r="L66" i="11"/>
  <c r="L31" i="11"/>
  <c r="L15" i="11"/>
  <c r="L59" i="11"/>
  <c r="L41" i="11"/>
  <c r="N33" i="11"/>
  <c r="M34" i="11"/>
  <c r="M67" i="11"/>
  <c r="M60" i="11"/>
  <c r="M104" i="11" s="1"/>
  <c r="M61" i="11"/>
  <c r="M107" i="11" s="1"/>
  <c r="M109" i="11" s="1"/>
  <c r="N37" i="11"/>
  <c r="N39" i="11" s="1"/>
  <c r="O36" i="11"/>
  <c r="O37" i="11" s="1"/>
  <c r="O39" i="11" s="1"/>
  <c r="K103" i="11"/>
  <c r="K62" i="11"/>
  <c r="K63" i="11" s="1"/>
  <c r="K85" i="11" s="1"/>
  <c r="K147" i="11" s="1"/>
  <c r="J74" i="11"/>
  <c r="J75" i="11" s="1"/>
  <c r="J76" i="11" s="1"/>
  <c r="J117" i="11"/>
  <c r="J118" i="11" s="1"/>
  <c r="J119" i="11" s="1"/>
  <c r="J78" i="11"/>
  <c r="J145" i="11"/>
  <c r="J148" i="11" s="1"/>
  <c r="J79" i="11"/>
  <c r="L42" i="11"/>
  <c r="K43" i="11"/>
  <c r="K68" i="11" s="1"/>
  <c r="K69" i="11" s="1"/>
  <c r="K71" i="11" s="1"/>
  <c r="H82" i="11"/>
  <c r="H84" i="11" s="1"/>
  <c r="H86" i="11" s="1"/>
  <c r="H77" i="11"/>
  <c r="H110" i="11"/>
  <c r="H118" i="11"/>
  <c r="H119" i="11" s="1"/>
  <c r="I75" i="11"/>
  <c r="I76" i="11" s="1"/>
  <c r="H103" i="5"/>
  <c r="H62" i="5"/>
  <c r="H63" i="5" s="1"/>
  <c r="H85" i="5" s="1"/>
  <c r="H147" i="5" s="1"/>
  <c r="I31" i="5"/>
  <c r="I59" i="5"/>
  <c r="K61" i="5"/>
  <c r="K107" i="5" s="1"/>
  <c r="K109" i="5" s="1"/>
  <c r="K60" i="5"/>
  <c r="K104" i="5" s="1"/>
  <c r="K67" i="5"/>
  <c r="K33" i="5"/>
  <c r="J34" i="5"/>
  <c r="M36" i="5"/>
  <c r="L37" i="5"/>
  <c r="L39" i="5" s="1"/>
  <c r="H41" i="5"/>
  <c r="AV85" i="6"/>
  <c r="AV87" i="6" s="1"/>
  <c r="AV107" i="6" s="1"/>
  <c r="AV104" i="6" s="1"/>
  <c r="AU87" i="6"/>
  <c r="J98" i="15" l="1"/>
  <c r="N105" i="15"/>
  <c r="O105" i="15" s="1"/>
  <c r="X76" i="15"/>
  <c r="M77" i="15"/>
  <c r="M82" i="15"/>
  <c r="M84" i="15" s="1"/>
  <c r="M86" i="15" s="1"/>
  <c r="M110" i="15"/>
  <c r="K135" i="15"/>
  <c r="K136" i="15" s="1"/>
  <c r="K138" i="15" s="1"/>
  <c r="K95" i="15"/>
  <c r="K97" i="15" s="1"/>
  <c r="J135" i="15"/>
  <c r="J136" i="15" s="1"/>
  <c r="J138" i="15" s="1"/>
  <c r="J95" i="15"/>
  <c r="J97" i="15" s="1"/>
  <c r="U97" i="15" s="1"/>
  <c r="J111" i="15"/>
  <c r="L86" i="15"/>
  <c r="L94" i="15" s="1"/>
  <c r="L122" i="15"/>
  <c r="L123" i="15" s="1"/>
  <c r="L125" i="15" s="1"/>
  <c r="O71" i="15"/>
  <c r="O146" i="15"/>
  <c r="Y71" i="15"/>
  <c r="N145" i="15"/>
  <c r="N148" i="15" s="1"/>
  <c r="N79" i="15"/>
  <c r="N78" i="15"/>
  <c r="N117" i="15"/>
  <c r="N74" i="15"/>
  <c r="O60" i="11"/>
  <c r="O104" i="11" s="1"/>
  <c r="O67" i="11"/>
  <c r="O61" i="11"/>
  <c r="O107" i="11" s="1"/>
  <c r="O109" i="11" s="1"/>
  <c r="N67" i="11"/>
  <c r="N60" i="11"/>
  <c r="N104" i="11" s="1"/>
  <c r="N61" i="11"/>
  <c r="N107" i="11" s="1"/>
  <c r="N109" i="11" s="1"/>
  <c r="L103" i="11"/>
  <c r="L62" i="11"/>
  <c r="L63" i="11" s="1"/>
  <c r="L85" i="11" s="1"/>
  <c r="L147" i="11" s="1"/>
  <c r="O33" i="11"/>
  <c r="O34" i="11" s="1"/>
  <c r="N34" i="11"/>
  <c r="M73" i="11"/>
  <c r="M66" i="11"/>
  <c r="M59" i="11"/>
  <c r="M31" i="11"/>
  <c r="M15" i="11"/>
  <c r="M41" i="11"/>
  <c r="O22" i="11"/>
  <c r="N22" i="11"/>
  <c r="M22" i="11"/>
  <c r="L22" i="11"/>
  <c r="L26" i="11" s="1"/>
  <c r="L29" i="11" s="1"/>
  <c r="L70" i="11" s="1"/>
  <c r="L83" i="11" s="1"/>
  <c r="L120" i="11" s="1"/>
  <c r="L28" i="11"/>
  <c r="I82" i="11"/>
  <c r="I84" i="11" s="1"/>
  <c r="I86" i="11" s="1"/>
  <c r="I77" i="11"/>
  <c r="I110" i="11"/>
  <c r="M42" i="11"/>
  <c r="L43" i="11"/>
  <c r="L68" i="11" s="1"/>
  <c r="L69" i="11" s="1"/>
  <c r="J110" i="11"/>
  <c r="J82" i="11"/>
  <c r="J84" i="11" s="1"/>
  <c r="J86" i="11" s="1"/>
  <c r="J77" i="11"/>
  <c r="K74" i="11"/>
  <c r="K75" i="11" s="1"/>
  <c r="K76" i="11" s="1"/>
  <c r="K79" i="11"/>
  <c r="K117" i="11"/>
  <c r="K118" i="11" s="1"/>
  <c r="K119" i="11" s="1"/>
  <c r="K78" i="11"/>
  <c r="K145" i="11"/>
  <c r="K148" i="11" s="1"/>
  <c r="H122" i="11"/>
  <c r="H123" i="11" s="1"/>
  <c r="H125" i="11" s="1"/>
  <c r="H94" i="11"/>
  <c r="L67" i="5"/>
  <c r="L60" i="5"/>
  <c r="L104" i="5" s="1"/>
  <c r="L61" i="5"/>
  <c r="L107" i="5" s="1"/>
  <c r="L109" i="5" s="1"/>
  <c r="I103" i="5"/>
  <c r="I62" i="5"/>
  <c r="I63" i="5" s="1"/>
  <c r="I85" i="5" s="1"/>
  <c r="I147" i="5" s="1"/>
  <c r="N36" i="5"/>
  <c r="M37" i="5"/>
  <c r="M39" i="5" s="1"/>
  <c r="J59" i="5"/>
  <c r="J31" i="5"/>
  <c r="L33" i="5"/>
  <c r="K34" i="5"/>
  <c r="Z71" i="15" l="1"/>
  <c r="O145" i="15"/>
  <c r="O148" i="15" s="1"/>
  <c r="E151" i="15" s="1"/>
  <c r="O117" i="15"/>
  <c r="O118" i="15" s="1"/>
  <c r="O119" i="15" s="1"/>
  <c r="O74" i="15"/>
  <c r="O75" i="15" s="1"/>
  <c r="O76" i="15" s="1"/>
  <c r="O79" i="15"/>
  <c r="O78" i="15"/>
  <c r="N75" i="15"/>
  <c r="N76" i="15" s="1"/>
  <c r="N118" i="15"/>
  <c r="N119" i="15" s="1"/>
  <c r="L135" i="15"/>
  <c r="L136" i="15" s="1"/>
  <c r="L138" i="15" s="1"/>
  <c r="L95" i="15"/>
  <c r="L97" i="15" s="1"/>
  <c r="J113" i="15"/>
  <c r="K111" i="15"/>
  <c r="M122" i="15"/>
  <c r="M123" i="15" s="1"/>
  <c r="M125" i="15" s="1"/>
  <c r="M94" i="15"/>
  <c r="J99" i="15"/>
  <c r="M62" i="11"/>
  <c r="M63" i="11" s="1"/>
  <c r="M85" i="11" s="1"/>
  <c r="M147" i="11" s="1"/>
  <c r="M103" i="11"/>
  <c r="L88" i="11"/>
  <c r="L146" i="11"/>
  <c r="L121" i="11"/>
  <c r="L71" i="11"/>
  <c r="L79" i="11" s="1"/>
  <c r="N73" i="11"/>
  <c r="N59" i="11"/>
  <c r="N66" i="11"/>
  <c r="N15" i="11"/>
  <c r="N31" i="11"/>
  <c r="N41" i="11"/>
  <c r="M28" i="11"/>
  <c r="M23" i="11"/>
  <c r="M26" i="11" s="1"/>
  <c r="M29" i="11" s="1"/>
  <c r="M70" i="11" s="1"/>
  <c r="M83" i="11" s="1"/>
  <c r="M120" i="11" s="1"/>
  <c r="N23" i="11"/>
  <c r="O23" i="11"/>
  <c r="O73" i="11"/>
  <c r="O66" i="11"/>
  <c r="O15" i="11"/>
  <c r="O31" i="11"/>
  <c r="O59" i="11"/>
  <c r="O41" i="11"/>
  <c r="J122" i="11"/>
  <c r="J123" i="11" s="1"/>
  <c r="J125" i="11" s="1"/>
  <c r="J94" i="11"/>
  <c r="N42" i="11"/>
  <c r="M43" i="11"/>
  <c r="M68" i="11" s="1"/>
  <c r="M69" i="11" s="1"/>
  <c r="K110" i="11"/>
  <c r="K77" i="11"/>
  <c r="K82" i="11"/>
  <c r="K84" i="11" s="1"/>
  <c r="K86" i="11" s="1"/>
  <c r="I122" i="11"/>
  <c r="I123" i="11" s="1"/>
  <c r="I125" i="11" s="1"/>
  <c r="I94" i="11"/>
  <c r="H135" i="11"/>
  <c r="H136" i="11" s="1"/>
  <c r="H138" i="11" s="1"/>
  <c r="H95" i="11"/>
  <c r="H97" i="11" s="1"/>
  <c r="H99" i="11" s="1"/>
  <c r="H111" i="11"/>
  <c r="O36" i="5"/>
  <c r="O37" i="5" s="1"/>
  <c r="O39" i="5" s="1"/>
  <c r="N37" i="5"/>
  <c r="N39" i="5" s="1"/>
  <c r="M33" i="5"/>
  <c r="L34" i="5"/>
  <c r="L15" i="5" s="1"/>
  <c r="M67" i="5"/>
  <c r="M60" i="5"/>
  <c r="M104" i="5" s="1"/>
  <c r="M61" i="5"/>
  <c r="M107" i="5" s="1"/>
  <c r="M109" i="5" s="1"/>
  <c r="K59" i="5"/>
  <c r="K31" i="5"/>
  <c r="J103" i="5"/>
  <c r="J62" i="5"/>
  <c r="J63" i="5" s="1"/>
  <c r="J85" i="5" s="1"/>
  <c r="J147" i="5" s="1"/>
  <c r="Y76" i="15" l="1"/>
  <c r="N77" i="15"/>
  <c r="N110" i="15"/>
  <c r="N82" i="15"/>
  <c r="N84" i="15" s="1"/>
  <c r="N86" i="15" s="1"/>
  <c r="J102" i="15"/>
  <c r="J106" i="15" s="1"/>
  <c r="J114" i="15" s="1"/>
  <c r="K98" i="15"/>
  <c r="K99" i="15" s="1"/>
  <c r="Z76" i="15"/>
  <c r="O77" i="15"/>
  <c r="O110" i="15"/>
  <c r="O82" i="15"/>
  <c r="O84" i="15" s="1"/>
  <c r="M135" i="15"/>
  <c r="M136" i="15" s="1"/>
  <c r="M138" i="15" s="1"/>
  <c r="M95" i="15"/>
  <c r="M97" i="15" s="1"/>
  <c r="L111" i="15"/>
  <c r="K113" i="15"/>
  <c r="M71" i="11"/>
  <c r="M145" i="11" s="1"/>
  <c r="L145" i="11"/>
  <c r="L148" i="11" s="1"/>
  <c r="L78" i="11"/>
  <c r="L117" i="11"/>
  <c r="L118" i="11" s="1"/>
  <c r="L119" i="11" s="1"/>
  <c r="L74" i="11"/>
  <c r="L75" i="11" s="1"/>
  <c r="L76" i="11" s="1"/>
  <c r="L77" i="11" s="1"/>
  <c r="N103" i="11"/>
  <c r="N62" i="11"/>
  <c r="N63" i="11" s="1"/>
  <c r="N85" i="11" s="1"/>
  <c r="N147" i="11" s="1"/>
  <c r="O28" i="11"/>
  <c r="O25" i="11"/>
  <c r="L89" i="11"/>
  <c r="L105" i="11"/>
  <c r="N24" i="11"/>
  <c r="N26" i="11" s="1"/>
  <c r="N29" i="11" s="1"/>
  <c r="N70" i="11" s="1"/>
  <c r="N83" i="11" s="1"/>
  <c r="N120" i="11" s="1"/>
  <c r="N28" i="11"/>
  <c r="O24" i="11"/>
  <c r="O103" i="11"/>
  <c r="O62" i="11"/>
  <c r="M88" i="11"/>
  <c r="M89" i="11" s="1"/>
  <c r="M121" i="11"/>
  <c r="M146" i="11"/>
  <c r="M22" i="5"/>
  <c r="N22" i="5"/>
  <c r="L22" i="5"/>
  <c r="L26" i="5" s="1"/>
  <c r="L29" i="5" s="1"/>
  <c r="L70" i="5" s="1"/>
  <c r="L83" i="5" s="1"/>
  <c r="L120" i="5" s="1"/>
  <c r="L28" i="5"/>
  <c r="O22" i="5"/>
  <c r="K122" i="11"/>
  <c r="K123" i="11" s="1"/>
  <c r="K125" i="11" s="1"/>
  <c r="K94" i="11"/>
  <c r="O42" i="11"/>
  <c r="O43" i="11" s="1"/>
  <c r="O68" i="11" s="1"/>
  <c r="O69" i="11" s="1"/>
  <c r="N43" i="11"/>
  <c r="N68" i="11" s="1"/>
  <c r="N69" i="11" s="1"/>
  <c r="J135" i="11"/>
  <c r="J136" i="11" s="1"/>
  <c r="J138" i="11" s="1"/>
  <c r="J95" i="11"/>
  <c r="J97" i="11" s="1"/>
  <c r="I111" i="11"/>
  <c r="H113" i="11"/>
  <c r="H102" i="11"/>
  <c r="H106" i="11" s="1"/>
  <c r="I98" i="11"/>
  <c r="I135" i="11"/>
  <c r="I136" i="11" s="1"/>
  <c r="I138" i="11" s="1"/>
  <c r="I95" i="11"/>
  <c r="I97" i="11" s="1"/>
  <c r="L59" i="5"/>
  <c r="L31" i="5"/>
  <c r="N60" i="5"/>
  <c r="N104" i="5" s="1"/>
  <c r="N67" i="5"/>
  <c r="N61" i="5"/>
  <c r="N107" i="5" s="1"/>
  <c r="N109" i="5" s="1"/>
  <c r="K103" i="5"/>
  <c r="K62" i="5"/>
  <c r="K63" i="5" s="1"/>
  <c r="K85" i="5" s="1"/>
  <c r="K147" i="5" s="1"/>
  <c r="N33" i="5"/>
  <c r="M34" i="5"/>
  <c r="O60" i="5"/>
  <c r="O104" i="5" s="1"/>
  <c r="O67" i="5"/>
  <c r="O61" i="5"/>
  <c r="O107" i="5" s="1"/>
  <c r="O109" i="5" s="1"/>
  <c r="M79" i="11" l="1"/>
  <c r="M117" i="11"/>
  <c r="M118" i="11" s="1"/>
  <c r="M119" i="11" s="1"/>
  <c r="M111" i="15"/>
  <c r="L113" i="15"/>
  <c r="L98" i="15"/>
  <c r="L99" i="15" s="1"/>
  <c r="K102" i="15"/>
  <c r="K106" i="15" s="1"/>
  <c r="K114" i="15" s="1"/>
  <c r="N122" i="15"/>
  <c r="N123" i="15" s="1"/>
  <c r="N125" i="15" s="1"/>
  <c r="N94" i="15"/>
  <c r="O86" i="15"/>
  <c r="O94" i="15" s="1"/>
  <c r="M78" i="11"/>
  <c r="M74" i="11"/>
  <c r="M75" i="11" s="1"/>
  <c r="M76" i="11" s="1"/>
  <c r="M82" i="11" s="1"/>
  <c r="M84" i="11" s="1"/>
  <c r="O26" i="11"/>
  <c r="O29" i="11" s="1"/>
  <c r="O70" i="11" s="1"/>
  <c r="O83" i="11" s="1"/>
  <c r="O120" i="11" s="1"/>
  <c r="L110" i="11"/>
  <c r="O63" i="11"/>
  <c r="O85" i="11" s="1"/>
  <c r="O147" i="11" s="1"/>
  <c r="O146" i="11"/>
  <c r="O88" i="11"/>
  <c r="O89" i="11" s="1"/>
  <c r="O121" i="11"/>
  <c r="N88" i="11"/>
  <c r="N89" i="11" s="1"/>
  <c r="N146" i="11"/>
  <c r="N121" i="11"/>
  <c r="N71" i="11"/>
  <c r="N78" i="11" s="1"/>
  <c r="O71" i="11"/>
  <c r="O74" i="11" s="1"/>
  <c r="O75" i="11" s="1"/>
  <c r="O76" i="11" s="1"/>
  <c r="M148" i="11"/>
  <c r="L82" i="11"/>
  <c r="L84" i="11" s="1"/>
  <c r="L86" i="11" s="1"/>
  <c r="L94" i="11" s="1"/>
  <c r="M105" i="11"/>
  <c r="N105" i="11" s="1"/>
  <c r="L146" i="5"/>
  <c r="L121" i="5"/>
  <c r="L88" i="5"/>
  <c r="M31" i="5"/>
  <c r="M15" i="5"/>
  <c r="H114" i="11"/>
  <c r="J111" i="11"/>
  <c r="I113" i="11"/>
  <c r="K135" i="11"/>
  <c r="K136" i="11" s="1"/>
  <c r="K138" i="11" s="1"/>
  <c r="K95" i="11"/>
  <c r="K97" i="11" s="1"/>
  <c r="I99" i="11"/>
  <c r="M59" i="5"/>
  <c r="O33" i="5"/>
  <c r="O34" i="5" s="1"/>
  <c r="N34" i="5"/>
  <c r="L62" i="5"/>
  <c r="L63" i="5" s="1"/>
  <c r="L85" i="5" s="1"/>
  <c r="L147" i="5" s="1"/>
  <c r="L103" i="5"/>
  <c r="O122" i="15" l="1"/>
  <c r="O123" i="15" s="1"/>
  <c r="O124" i="15" s="1"/>
  <c r="O125" i="15" s="1"/>
  <c r="E131" i="15"/>
  <c r="M77" i="11"/>
  <c r="M110" i="11"/>
  <c r="O135" i="15"/>
  <c r="O136" i="15" s="1"/>
  <c r="O137" i="15" s="1"/>
  <c r="O138" i="15" s="1"/>
  <c r="O95" i="15"/>
  <c r="O97" i="15" s="1"/>
  <c r="N135" i="15"/>
  <c r="N136" i="15" s="1"/>
  <c r="N138" i="15" s="1"/>
  <c r="N95" i="15"/>
  <c r="N97" i="15" s="1"/>
  <c r="E126" i="15"/>
  <c r="F151" i="15" s="1"/>
  <c r="L102" i="15"/>
  <c r="L106" i="15" s="1"/>
  <c r="L114" i="15" s="1"/>
  <c r="M98" i="15"/>
  <c r="M99" i="15" s="1"/>
  <c r="N111" i="15"/>
  <c r="M113" i="15"/>
  <c r="N117" i="11"/>
  <c r="N118" i="11" s="1"/>
  <c r="N119" i="11" s="1"/>
  <c r="N79" i="11"/>
  <c r="O105" i="11"/>
  <c r="O78" i="11"/>
  <c r="O79" i="11"/>
  <c r="O117" i="11"/>
  <c r="O118" i="11" s="1"/>
  <c r="O119" i="11" s="1"/>
  <c r="O145" i="11"/>
  <c r="O148" i="11" s="1"/>
  <c r="E151" i="11" s="1"/>
  <c r="N74" i="11"/>
  <c r="N75" i="11" s="1"/>
  <c r="N76" i="11" s="1"/>
  <c r="N145" i="11"/>
  <c r="N148" i="11" s="1"/>
  <c r="O31" i="5"/>
  <c r="O15" i="5"/>
  <c r="L89" i="5"/>
  <c r="L105" i="5"/>
  <c r="N31" i="5"/>
  <c r="N15" i="5"/>
  <c r="O23" i="5"/>
  <c r="N23" i="5"/>
  <c r="M28" i="5"/>
  <c r="M23" i="5"/>
  <c r="M26" i="5" s="1"/>
  <c r="M29" i="5" s="1"/>
  <c r="M70" i="5" s="1"/>
  <c r="M83" i="5" s="1"/>
  <c r="M120" i="5" s="1"/>
  <c r="L135" i="11"/>
  <c r="L136" i="11" s="1"/>
  <c r="L138" i="11" s="1"/>
  <c r="L95" i="11"/>
  <c r="L97" i="11" s="1"/>
  <c r="L122" i="11"/>
  <c r="L123" i="11" s="1"/>
  <c r="L125" i="11" s="1"/>
  <c r="K111" i="11"/>
  <c r="J113" i="11"/>
  <c r="O77" i="11"/>
  <c r="O110" i="11"/>
  <c r="O82" i="11"/>
  <c r="O84" i="11" s="1"/>
  <c r="J98" i="11"/>
  <c r="J99" i="11" s="1"/>
  <c r="I102" i="11"/>
  <c r="I106" i="11" s="1"/>
  <c r="I114" i="11" s="1"/>
  <c r="M86" i="11"/>
  <c r="M94" i="11" s="1"/>
  <c r="N59" i="5"/>
  <c r="O59" i="5"/>
  <c r="M103" i="5"/>
  <c r="M62" i="5"/>
  <c r="M63" i="5" s="1"/>
  <c r="M85" i="5" s="1"/>
  <c r="M147" i="5" s="1"/>
  <c r="O111" i="15" l="1"/>
  <c r="O113" i="15" s="1"/>
  <c r="N113" i="15"/>
  <c r="M102" i="15"/>
  <c r="M106" i="15" s="1"/>
  <c r="M114" i="15" s="1"/>
  <c r="N98" i="15"/>
  <c r="N99" i="15" s="1"/>
  <c r="E139" i="15"/>
  <c r="M122" i="11"/>
  <c r="M123" i="11" s="1"/>
  <c r="M125" i="11" s="1"/>
  <c r="N28" i="5"/>
  <c r="O24" i="5"/>
  <c r="N24" i="5"/>
  <c r="N26" i="5" s="1"/>
  <c r="N29" i="5" s="1"/>
  <c r="N70" i="5" s="1"/>
  <c r="N83" i="5" s="1"/>
  <c r="N120" i="5" s="1"/>
  <c r="M88" i="5"/>
  <c r="M89" i="5" s="1"/>
  <c r="M146" i="5"/>
  <c r="M121" i="5"/>
  <c r="N82" i="11"/>
  <c r="N84" i="11" s="1"/>
  <c r="N110" i="11"/>
  <c r="N77" i="11"/>
  <c r="J102" i="11"/>
  <c r="J106" i="11" s="1"/>
  <c r="J114" i="11" s="1"/>
  <c r="K98" i="11"/>
  <c r="K99" i="11" s="1"/>
  <c r="L111" i="11"/>
  <c r="K113" i="11"/>
  <c r="M135" i="11"/>
  <c r="M136" i="11" s="1"/>
  <c r="M138" i="11" s="1"/>
  <c r="M95" i="11"/>
  <c r="M97" i="11" s="1"/>
  <c r="O86" i="11"/>
  <c r="O94" i="11" s="1"/>
  <c r="O25" i="5"/>
  <c r="O28" i="5"/>
  <c r="O103" i="5"/>
  <c r="O62" i="5"/>
  <c r="N103" i="5"/>
  <c r="N62" i="5"/>
  <c r="N63" i="5" s="1"/>
  <c r="N85" i="5" s="1"/>
  <c r="N147" i="5" s="1"/>
  <c r="O98" i="15" l="1"/>
  <c r="O99" i="15" s="1"/>
  <c r="O102" i="15" s="1"/>
  <c r="O106" i="15" s="1"/>
  <c r="O114" i="15" s="1"/>
  <c r="N102" i="15"/>
  <c r="N106" i="15" s="1"/>
  <c r="N114" i="15" s="1"/>
  <c r="O26" i="5"/>
  <c r="O29" i="5" s="1"/>
  <c r="O70" i="5" s="1"/>
  <c r="O83" i="5" s="1"/>
  <c r="O120" i="5" s="1"/>
  <c r="M105" i="5"/>
  <c r="N88" i="5"/>
  <c r="N89" i="5" s="1"/>
  <c r="N146" i="5"/>
  <c r="N121" i="5"/>
  <c r="O122" i="11"/>
  <c r="O123" i="11" s="1"/>
  <c r="O124" i="11" s="1"/>
  <c r="O125" i="11" s="1"/>
  <c r="M111" i="11"/>
  <c r="L113" i="11"/>
  <c r="K102" i="11"/>
  <c r="K106" i="11" s="1"/>
  <c r="K114" i="11" s="1"/>
  <c r="L98" i="11"/>
  <c r="L99" i="11" s="1"/>
  <c r="O135" i="11"/>
  <c r="O136" i="11" s="1"/>
  <c r="O137" i="11" s="1"/>
  <c r="O138" i="11" s="1"/>
  <c r="O95" i="11"/>
  <c r="O97" i="11" s="1"/>
  <c r="N86" i="11"/>
  <c r="N94" i="11" s="1"/>
  <c r="O63" i="5"/>
  <c r="O85" i="5" s="1"/>
  <c r="O147" i="5" s="1"/>
  <c r="O88" i="5"/>
  <c r="O121" i="5"/>
  <c r="O146" i="5" l="1"/>
  <c r="N105" i="5"/>
  <c r="N122" i="11"/>
  <c r="N123" i="11" s="1"/>
  <c r="N125" i="11" s="1"/>
  <c r="E126" i="11" s="1"/>
  <c r="F151" i="11" s="1"/>
  <c r="L102" i="11"/>
  <c r="L106" i="11" s="1"/>
  <c r="L114" i="11" s="1"/>
  <c r="M98" i="11"/>
  <c r="M99" i="11" s="1"/>
  <c r="N111" i="11"/>
  <c r="M113" i="11"/>
  <c r="N135" i="11"/>
  <c r="N136" i="11" s="1"/>
  <c r="N138" i="11" s="1"/>
  <c r="E139" i="11" s="1"/>
  <c r="N95" i="11"/>
  <c r="N97" i="11" s="1"/>
  <c r="O89" i="5"/>
  <c r="O105" i="5"/>
  <c r="E131" i="11" l="1"/>
  <c r="O111" i="11"/>
  <c r="O113" i="11" s="1"/>
  <c r="N113" i="11"/>
  <c r="N98" i="11"/>
  <c r="N99" i="11" s="1"/>
  <c r="M102" i="11"/>
  <c r="M106" i="11" s="1"/>
  <c r="M114" i="11" s="1"/>
  <c r="D35" i="6"/>
  <c r="C41" i="5"/>
  <c r="F68" i="5"/>
  <c r="F69" i="5" s="1"/>
  <c r="N102" i="11" l="1"/>
  <c r="N106" i="11" s="1"/>
  <c r="N114" i="11" s="1"/>
  <c r="O98" i="11"/>
  <c r="O99" i="11" s="1"/>
  <c r="O102" i="11" s="1"/>
  <c r="O106" i="11" s="1"/>
  <c r="O114" i="11" s="1"/>
  <c r="F71" i="5"/>
  <c r="G68" i="5"/>
  <c r="G69" i="5" s="1"/>
  <c r="G71" i="5" s="1"/>
  <c r="H68" i="5"/>
  <c r="H69" i="5" s="1"/>
  <c r="H71" i="5" s="1"/>
  <c r="I41" i="5"/>
  <c r="I43" i="5" s="1"/>
  <c r="I68" i="5" s="1"/>
  <c r="I69" i="5" s="1"/>
  <c r="I71" i="5" s="1"/>
  <c r="J41" i="5"/>
  <c r="J43" i="5" s="1"/>
  <c r="J68" i="5" s="1"/>
  <c r="J69" i="5" s="1"/>
  <c r="J71" i="5" s="1"/>
  <c r="K41" i="5"/>
  <c r="K43" i="5" s="1"/>
  <c r="K68" i="5" s="1"/>
  <c r="K69" i="5" s="1"/>
  <c r="K71" i="5" s="1"/>
  <c r="L41" i="5"/>
  <c r="L43" i="5" s="1"/>
  <c r="L68" i="5" s="1"/>
  <c r="L69" i="5" s="1"/>
  <c r="L71" i="5" s="1"/>
  <c r="M41" i="5"/>
  <c r="M43" i="5" s="1"/>
  <c r="M68" i="5" s="1"/>
  <c r="M69" i="5" s="1"/>
  <c r="M71" i="5" s="1"/>
  <c r="N41" i="5"/>
  <c r="N43" i="5" s="1"/>
  <c r="N68" i="5" s="1"/>
  <c r="N69" i="5" s="1"/>
  <c r="N71" i="5" s="1"/>
  <c r="O41" i="5"/>
  <c r="O43" i="5" s="1"/>
  <c r="O68" i="5" s="1"/>
  <c r="O69" i="5" s="1"/>
  <c r="O71" i="5" s="1"/>
  <c r="K74" i="5" l="1"/>
  <c r="J74" i="5"/>
  <c r="J75" i="5" s="1"/>
  <c r="J76" i="5" s="1"/>
  <c r="H74" i="5"/>
  <c r="H75" i="5" s="1"/>
  <c r="H76" i="5" s="1"/>
  <c r="M74" i="5"/>
  <c r="M75" i="5" s="1"/>
  <c r="M76" i="5" s="1"/>
  <c r="I74" i="5"/>
  <c r="I75" i="5" s="1"/>
  <c r="I76" i="5" s="1"/>
  <c r="O74" i="5"/>
  <c r="O75" i="5" s="1"/>
  <c r="O76" i="5" s="1"/>
  <c r="G74" i="5"/>
  <c r="G75" i="5" s="1"/>
  <c r="G76" i="5" s="1"/>
  <c r="G77" i="5" s="1"/>
  <c r="N74" i="5"/>
  <c r="N75" i="5" s="1"/>
  <c r="N76" i="5" s="1"/>
  <c r="F78" i="5"/>
  <c r="L74" i="5"/>
  <c r="L75" i="5" s="1"/>
  <c r="L76" i="5" s="1"/>
  <c r="F145" i="5"/>
  <c r="F148" i="5" s="1"/>
  <c r="F79" i="5"/>
  <c r="F117" i="5"/>
  <c r="F118" i="5" s="1"/>
  <c r="F119" i="5" s="1"/>
  <c r="F74" i="5"/>
  <c r="F75" i="5" s="1"/>
  <c r="F76" i="5" s="1"/>
  <c r="F77" i="5" s="1"/>
  <c r="N145" i="5"/>
  <c r="N148" i="5" s="1"/>
  <c r="N79" i="5"/>
  <c r="N117" i="5"/>
  <c r="N118" i="5" s="1"/>
  <c r="N119" i="5" s="1"/>
  <c r="N78" i="5"/>
  <c r="J145" i="5"/>
  <c r="J148" i="5" s="1"/>
  <c r="J117" i="5"/>
  <c r="J118" i="5" s="1"/>
  <c r="J119" i="5" s="1"/>
  <c r="J78" i="5"/>
  <c r="J79" i="5"/>
  <c r="K145" i="5"/>
  <c r="K148" i="5" s="1"/>
  <c r="K117" i="5"/>
  <c r="K118" i="5" s="1"/>
  <c r="K119" i="5" s="1"/>
  <c r="K78" i="5"/>
  <c r="K79" i="5"/>
  <c r="K75" i="5"/>
  <c r="K76" i="5" s="1"/>
  <c r="I79" i="5"/>
  <c r="I117" i="5"/>
  <c r="I118" i="5" s="1"/>
  <c r="I119" i="5" s="1"/>
  <c r="I78" i="5"/>
  <c r="I145" i="5"/>
  <c r="I148" i="5" s="1"/>
  <c r="L145" i="5"/>
  <c r="L148" i="5" s="1"/>
  <c r="L79" i="5"/>
  <c r="L78" i="5"/>
  <c r="L117" i="5"/>
  <c r="L118" i="5" s="1"/>
  <c r="L119" i="5" s="1"/>
  <c r="H79" i="5"/>
  <c r="H117" i="5"/>
  <c r="H118" i="5" s="1"/>
  <c r="H119" i="5" s="1"/>
  <c r="H78" i="5"/>
  <c r="H145" i="5"/>
  <c r="H148" i="5" s="1"/>
  <c r="M79" i="5"/>
  <c r="M117" i="5"/>
  <c r="M118" i="5" s="1"/>
  <c r="M119" i="5" s="1"/>
  <c r="M78" i="5"/>
  <c r="M145" i="5"/>
  <c r="M148" i="5" s="1"/>
  <c r="O145" i="5"/>
  <c r="O148" i="5" s="1"/>
  <c r="O78" i="5"/>
  <c r="O117" i="5"/>
  <c r="O118" i="5" s="1"/>
  <c r="O119" i="5" s="1"/>
  <c r="O79" i="5"/>
  <c r="G145" i="5"/>
  <c r="G148" i="5" s="1"/>
  <c r="G78" i="5"/>
  <c r="G117" i="5"/>
  <c r="G118" i="5" s="1"/>
  <c r="G119" i="5" s="1"/>
  <c r="G79" i="5"/>
  <c r="E151" i="5" l="1"/>
  <c r="K77" i="5"/>
  <c r="K82" i="5"/>
  <c r="K84" i="5" s="1"/>
  <c r="K110" i="5"/>
  <c r="N77" i="5"/>
  <c r="N82" i="5"/>
  <c r="N84" i="5" s="1"/>
  <c r="N110" i="5"/>
  <c r="O77" i="5"/>
  <c r="O110" i="5"/>
  <c r="O82" i="5"/>
  <c r="O84" i="5" s="1"/>
  <c r="H77" i="5"/>
  <c r="H110" i="5"/>
  <c r="H82" i="5"/>
  <c r="H84" i="5" s="1"/>
  <c r="G82" i="5"/>
  <c r="G84" i="5" s="1"/>
  <c r="G86" i="5" s="1"/>
  <c r="G94" i="5" s="1"/>
  <c r="G110" i="5"/>
  <c r="I77" i="5"/>
  <c r="I82" i="5"/>
  <c r="I84" i="5" s="1"/>
  <c r="I110" i="5"/>
  <c r="M77" i="5"/>
  <c r="M82" i="5"/>
  <c r="M84" i="5" s="1"/>
  <c r="M110" i="5"/>
  <c r="L77" i="5"/>
  <c r="L110" i="5"/>
  <c r="L82" i="5"/>
  <c r="L84" i="5" s="1"/>
  <c r="J77" i="5"/>
  <c r="J110" i="5"/>
  <c r="J82" i="5"/>
  <c r="J84" i="5" s="1"/>
  <c r="F82" i="5"/>
  <c r="F84" i="5" s="1"/>
  <c r="F86" i="5" s="1"/>
  <c r="F97" i="5" s="1"/>
  <c r="F110" i="5"/>
  <c r="L86" i="5" l="1"/>
  <c r="N86" i="5"/>
  <c r="G122" i="5"/>
  <c r="G123" i="5" s="1"/>
  <c r="G125" i="5" s="1"/>
  <c r="K86" i="5"/>
  <c r="M86" i="5"/>
  <c r="H86" i="5"/>
  <c r="J86" i="5"/>
  <c r="I86" i="5"/>
  <c r="O86" i="5"/>
  <c r="F113" i="5"/>
  <c r="F99" i="5"/>
  <c r="G98" i="5" s="1"/>
  <c r="H122" i="5" l="1"/>
  <c r="H123" i="5" s="1"/>
  <c r="H125" i="5" s="1"/>
  <c r="H94" i="5"/>
  <c r="H95" i="5" s="1"/>
  <c r="H97" i="5" s="1"/>
  <c r="J122" i="5"/>
  <c r="J123" i="5" s="1"/>
  <c r="J125" i="5" s="1"/>
  <c r="J94" i="5"/>
  <c r="J95" i="5" s="1"/>
  <c r="J97" i="5" s="1"/>
  <c r="K122" i="5"/>
  <c r="K123" i="5" s="1"/>
  <c r="K125" i="5" s="1"/>
  <c r="K94" i="5"/>
  <c r="K95" i="5" s="1"/>
  <c r="K97" i="5" s="1"/>
  <c r="I122" i="5"/>
  <c r="I123" i="5" s="1"/>
  <c r="I125" i="5" s="1"/>
  <c r="I94" i="5"/>
  <c r="I95" i="5" s="1"/>
  <c r="I97" i="5" s="1"/>
  <c r="M122" i="5"/>
  <c r="M123" i="5" s="1"/>
  <c r="M125" i="5" s="1"/>
  <c r="M94" i="5"/>
  <c r="M95" i="5" s="1"/>
  <c r="M97" i="5" s="1"/>
  <c r="N122" i="5"/>
  <c r="N123" i="5" s="1"/>
  <c r="N125" i="5" s="1"/>
  <c r="N94" i="5"/>
  <c r="N135" i="5" s="1"/>
  <c r="N136" i="5" s="1"/>
  <c r="N138" i="5" s="1"/>
  <c r="O122" i="5"/>
  <c r="O123" i="5" s="1"/>
  <c r="O124" i="5" s="1"/>
  <c r="O125" i="5" s="1"/>
  <c r="O94" i="5"/>
  <c r="O95" i="5" s="1"/>
  <c r="O97" i="5" s="1"/>
  <c r="L122" i="5"/>
  <c r="L123" i="5" s="1"/>
  <c r="L125" i="5" s="1"/>
  <c r="L94" i="5"/>
  <c r="L95" i="5" s="1"/>
  <c r="L97" i="5" s="1"/>
  <c r="F122" i="5"/>
  <c r="F123" i="5" s="1"/>
  <c r="F125" i="5" s="1"/>
  <c r="F102" i="5"/>
  <c r="F106" i="5" s="1"/>
  <c r="F114" i="5" s="1"/>
  <c r="E131" i="5" l="1"/>
  <c r="N95" i="5"/>
  <c r="N97" i="5" s="1"/>
  <c r="H135" i="5"/>
  <c r="H136" i="5" s="1"/>
  <c r="H138" i="5" s="1"/>
  <c r="J135" i="5"/>
  <c r="J136" i="5" s="1"/>
  <c r="J138" i="5" s="1"/>
  <c r="E126" i="5"/>
  <c r="F151" i="5" s="1"/>
  <c r="K135" i="5"/>
  <c r="K136" i="5" s="1"/>
  <c r="K138" i="5" s="1"/>
  <c r="L135" i="5"/>
  <c r="L136" i="5" s="1"/>
  <c r="L138" i="5" s="1"/>
  <c r="I135" i="5"/>
  <c r="I136" i="5" s="1"/>
  <c r="I138" i="5" s="1"/>
  <c r="M135" i="5"/>
  <c r="M136" i="5" s="1"/>
  <c r="M138" i="5" s="1"/>
  <c r="O135" i="5"/>
  <c r="O136" i="5" s="1"/>
  <c r="O137" i="5" s="1"/>
  <c r="O138" i="5" s="1"/>
  <c r="AG36" i="6"/>
  <c r="T84" i="6"/>
  <c r="T87" i="6" l="1"/>
  <c r="T107" i="6" s="1"/>
  <c r="U106" i="6" l="1"/>
  <c r="T104" i="6"/>
  <c r="V106" i="6" l="1"/>
  <c r="U104" i="6"/>
  <c r="W106" i="6" l="1"/>
  <c r="V104" i="6"/>
  <c r="X106" i="6" l="1"/>
  <c r="W104" i="6"/>
  <c r="Y106" i="6" l="1"/>
  <c r="X104" i="6"/>
  <c r="Z106" i="6" l="1"/>
  <c r="Y104" i="6"/>
  <c r="AA106" i="6" l="1"/>
  <c r="Z104" i="6"/>
  <c r="AB106" i="6" l="1"/>
  <c r="AA104" i="6"/>
  <c r="AC106" i="6" l="1"/>
  <c r="AB104" i="6"/>
  <c r="AD106" i="6" l="1"/>
  <c r="AC104" i="6"/>
  <c r="AE106" i="6" l="1"/>
  <c r="AE104" i="6" s="1"/>
  <c r="AD104" i="6"/>
  <c r="G135" i="5"/>
  <c r="G136" i="5" s="1"/>
  <c r="G138" i="5" s="1"/>
  <c r="E139" i="5" s="1"/>
  <c r="G111" i="5"/>
  <c r="H111" i="5" s="1"/>
  <c r="G95" i="5"/>
  <c r="G97" i="5" s="1"/>
  <c r="G99" i="5" s="1"/>
  <c r="H98" i="5" l="1"/>
  <c r="H99" i="5" s="1"/>
  <c r="G102" i="5"/>
  <c r="G106" i="5" s="1"/>
  <c r="I111" i="5"/>
  <c r="H113" i="5"/>
  <c r="G113" i="5"/>
  <c r="I113" i="5" l="1"/>
  <c r="J111" i="5"/>
  <c r="G114" i="5"/>
  <c r="I98" i="5"/>
  <c r="I99" i="5" s="1"/>
  <c r="H102" i="5"/>
  <c r="H106" i="5" s="1"/>
  <c r="H114" i="5" s="1"/>
  <c r="I102" i="5" l="1"/>
  <c r="I106" i="5" s="1"/>
  <c r="I114" i="5" s="1"/>
  <c r="J98" i="5"/>
  <c r="J99" i="5" s="1"/>
  <c r="J113" i="5"/>
  <c r="K111" i="5"/>
  <c r="L111" i="5" l="1"/>
  <c r="K113" i="5"/>
  <c r="K98" i="5"/>
  <c r="K99" i="5" s="1"/>
  <c r="J102" i="5"/>
  <c r="J106" i="5" s="1"/>
  <c r="J114" i="5" s="1"/>
  <c r="K102" i="5" l="1"/>
  <c r="K106" i="5" s="1"/>
  <c r="K114" i="5" s="1"/>
  <c r="L98" i="5"/>
  <c r="L99" i="5" s="1"/>
  <c r="L113" i="5"/>
  <c r="M111" i="5"/>
  <c r="N111" i="5" l="1"/>
  <c r="M113" i="5"/>
  <c r="L102" i="5"/>
  <c r="L106" i="5" s="1"/>
  <c r="L114" i="5" s="1"/>
  <c r="M98" i="5"/>
  <c r="M99" i="5" s="1"/>
  <c r="M102" i="5" l="1"/>
  <c r="M106" i="5" s="1"/>
  <c r="M114" i="5" s="1"/>
  <c r="N98" i="5"/>
  <c r="N99" i="5" s="1"/>
  <c r="O111" i="5"/>
  <c r="O113" i="5" s="1"/>
  <c r="N113" i="5"/>
  <c r="N102" i="5" l="1"/>
  <c r="N106" i="5" s="1"/>
  <c r="N114" i="5" s="1"/>
  <c r="O98" i="5"/>
  <c r="O99" i="5" s="1"/>
  <c r="O102" i="5" s="1"/>
  <c r="O106" i="5" s="1"/>
  <c r="O11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Felipe Mejia M.</author>
  </authors>
  <commentList>
    <comment ref="B116" authorId="0" shapeId="0" xr:uid="{8E4D3B9F-B76E-493F-81DA-1342A4577285}">
      <text>
        <r>
          <rPr>
            <b/>
            <sz val="9"/>
            <color indexed="81"/>
            <rFont val="Tahoma"/>
            <family val="2"/>
          </rPr>
          <t>NOPAT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Felipe Mejia M.</author>
  </authors>
  <commentList>
    <comment ref="B115" authorId="0" shapeId="0" xr:uid="{245BED7A-D4F9-4342-879A-8D9A3AB6B3B5}">
      <text>
        <r>
          <rPr>
            <b/>
            <sz val="9"/>
            <color indexed="81"/>
            <rFont val="Tahoma"/>
            <family val="2"/>
          </rPr>
          <t>NOPAT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LH SAS</author>
    <author>Felipe Mejia M.</author>
  </authors>
  <commentList>
    <comment ref="G15" authorId="0" shapeId="0" xr:uid="{A25580EC-DB6A-483D-85BE-D153856EBCA2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computo y eq de oficina</t>
        </r>
      </text>
    </comment>
    <comment ref="H15" authorId="0" shapeId="0" xr:uid="{D9CB78B5-30FA-4380-9E23-07E9B0AEA8C9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activos neesarios para apertura bod USA
Mas adecuacion nueva bodega</t>
        </r>
      </text>
    </comment>
    <comment ref="J15" authorId="0" shapeId="0" xr:uid="{F44C14F0-4678-4C63-8801-9E014577574E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30$ M Para renovacion de equipo
$200M para apertura bodega adicional</t>
        </r>
      </text>
    </comment>
    <comment ref="G94" authorId="0" shapeId="0" xr:uid="{8DBC4F45-F5C4-4A38-B16A-98B305D825BC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=+G86+G89-G92
Politica de 30% para repartir</t>
        </r>
      </text>
    </comment>
    <comment ref="B119" authorId="1" shapeId="0" xr:uid="{DF40D424-5AF0-440B-861C-6861DF09A6F8}">
      <text>
        <r>
          <rPr>
            <b/>
            <sz val="9"/>
            <color indexed="81"/>
            <rFont val="Tahoma"/>
            <family val="2"/>
          </rPr>
          <t>NOPAT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LH SAS</author>
  </authors>
  <commentList>
    <comment ref="R16" authorId="0" shapeId="0" xr:uid="{D4AD3195-4030-4F4A-A77A-AD8D07310DAF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Solo 2% por aumento de volumen
</t>
        </r>
      </text>
    </comment>
    <comment ref="AH16" authorId="0" shapeId="0" xr:uid="{E0C30918-1BAE-4261-85DC-FA3E70D07A99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Solo 2% por aumento de volumen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LH SAS</author>
    <author>Felipe Mejia M.</author>
  </authors>
  <commentList>
    <comment ref="G15" authorId="0" shapeId="0" xr:uid="{44C62571-4EED-49FB-909A-FF43915EF777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computo y eq de oficina</t>
        </r>
      </text>
    </comment>
    <comment ref="H15" authorId="0" shapeId="0" xr:uid="{EA15C154-EC14-4BA1-BAC2-BA275260A722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activos neesarios para apertura bod USA
Mas adecuacion nueva bodega</t>
        </r>
      </text>
    </comment>
    <comment ref="J15" authorId="0" shapeId="0" xr:uid="{63C3C500-B6ED-4F84-B48D-DFCDBECEDB25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30$ M Para renovacion de equipo
$200M para apertura bodega adicional</t>
        </r>
      </text>
    </comment>
    <comment ref="G94" authorId="0" shapeId="0" xr:uid="{F5EA76C5-5B1A-4EFF-9C2D-33E6C28FEE7E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=+G86+G89-G92
Politica de 30% para repartir</t>
        </r>
      </text>
    </comment>
    <comment ref="B119" authorId="1" shapeId="0" xr:uid="{265F9A6F-401F-452B-8BCA-2EB2625D8380}">
      <text>
        <r>
          <rPr>
            <b/>
            <sz val="9"/>
            <color indexed="81"/>
            <rFont val="Tahoma"/>
            <family val="2"/>
          </rPr>
          <t>NOPAT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LH SAS</author>
  </authors>
  <commentList>
    <comment ref="R16" authorId="0" shapeId="0" xr:uid="{838ACEE1-2218-4173-9727-0545BE79FA12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Solo 2% por aumento de volumen
</t>
        </r>
      </text>
    </comment>
    <comment ref="AH16" authorId="0" shapeId="0" xr:uid="{66708765-4E17-42E0-974C-7E3571BC5081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Solo 2% por aumento de volumen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LH SAS</author>
    <author>Felipe Mejia M.</author>
  </authors>
  <commentList>
    <comment ref="G15" authorId="0" shapeId="0" xr:uid="{703BAB9A-E1C6-4ECE-99BD-BD27914C2861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computo y eq de oficina</t>
        </r>
      </text>
    </comment>
    <comment ref="H15" authorId="0" shapeId="0" xr:uid="{CF9CA2CD-60D6-4F35-9422-59E3D373EAF3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activos neesarios para apertura bod USA
Mas adecuacion nueva bodega</t>
        </r>
      </text>
    </comment>
    <comment ref="J15" authorId="0" shapeId="0" xr:uid="{31B42FC1-DFBB-468F-A24F-45FB36419993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30$ M Para renovacion de equipo
$200M para apertura bodega adicional</t>
        </r>
      </text>
    </comment>
    <comment ref="P68" authorId="0" shapeId="0" xr:uid="{64F7D4AF-B8DF-4AD1-9ADC-916A4C9D5475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Gastos de ventas / total cantidades</t>
        </r>
      </text>
    </comment>
    <comment ref="G94" authorId="0" shapeId="0" xr:uid="{9D3F6D2B-9CC4-4EE8-A546-82A380417BA4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=+G86+G89-G92
Politica de 30% para repartir</t>
        </r>
      </text>
    </comment>
    <comment ref="B119" authorId="1" shapeId="0" xr:uid="{F2B68773-2289-451C-A5B2-CD6BA1368EB9}">
      <text>
        <r>
          <rPr>
            <b/>
            <sz val="9"/>
            <color indexed="81"/>
            <rFont val="Tahoma"/>
            <family val="2"/>
          </rPr>
          <t>NOPAT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LH SAS</author>
  </authors>
  <commentList>
    <comment ref="R16" authorId="0" shapeId="0" xr:uid="{278D9C05-BE74-4B34-A2FC-19AA90ABCDCB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Solo 2% por aumento de volumen
</t>
        </r>
      </text>
    </comment>
    <comment ref="AH16" authorId="0" shapeId="0" xr:uid="{46BBF57F-BD47-4236-9340-0F2345FB9155}">
      <text>
        <r>
          <rPr>
            <b/>
            <sz val="9"/>
            <color indexed="81"/>
            <rFont val="Tahoma"/>
            <family val="2"/>
          </rPr>
          <t>LH SAS:</t>
        </r>
        <r>
          <rPr>
            <sz val="9"/>
            <color indexed="81"/>
            <rFont val="Tahoma"/>
            <family val="2"/>
          </rPr>
          <t xml:space="preserve">
Solo 2% por aumento de volumen
</t>
        </r>
      </text>
    </comment>
  </commentList>
</comments>
</file>

<file path=xl/sharedStrings.xml><?xml version="1.0" encoding="utf-8"?>
<sst xmlns="http://schemas.openxmlformats.org/spreadsheetml/2006/main" count="2291" uniqueCount="327">
  <si>
    <t>Input</t>
  </si>
  <si>
    <t>Unidades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</si>
  <si>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</si>
  <si>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</si>
  <si>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</si>
  <si>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</si>
  <si>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</si>
  <si>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</si>
  <si>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</si>
  <si>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</si>
  <si>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</si>
  <si>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</si>
  <si>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Año 11</t>
  </si>
  <si>
    <t>Inflación local</t>
  </si>
  <si>
    <t>Tasa de Impuestos</t>
  </si>
  <si>
    <t>Nueva Planta (Capex)</t>
  </si>
  <si>
    <t>Usd</t>
  </si>
  <si>
    <t>PPE Obras civiles Bruto</t>
  </si>
  <si>
    <t>Depreciación del período</t>
  </si>
  <si>
    <t>Depreciación acumulada</t>
  </si>
  <si>
    <t>PPE Obras civiles Neto</t>
  </si>
  <si>
    <t>Capex Recurrente</t>
  </si>
  <si>
    <t>Depreciación</t>
  </si>
  <si>
    <t>Depreciación Capex recurrente</t>
  </si>
  <si>
    <t>Total Capex</t>
  </si>
  <si>
    <t>Total Depreciación</t>
  </si>
  <si>
    <t>Supuestos de proyección</t>
  </si>
  <si>
    <t>Ventas en unidades</t>
  </si>
  <si>
    <t>Q</t>
  </si>
  <si>
    <t>Precio de venta</t>
  </si>
  <si>
    <t>P</t>
  </si>
  <si>
    <t>Usd/ud.</t>
  </si>
  <si>
    <t xml:space="preserve">Total Ventas  </t>
  </si>
  <si>
    <t>Costo de venta</t>
  </si>
  <si>
    <t>C</t>
  </si>
  <si>
    <t>Costos variables</t>
  </si>
  <si>
    <t>Costos fijos</t>
  </si>
  <si>
    <t>Total Costos</t>
  </si>
  <si>
    <t>Gastos de ventas</t>
  </si>
  <si>
    <t>Gastos de Admón</t>
  </si>
  <si>
    <t>Gastos de Administración y ventas</t>
  </si>
  <si>
    <t>Tasa de interés</t>
  </si>
  <si>
    <t>%</t>
  </si>
  <si>
    <t>Número de períodos</t>
  </si>
  <si>
    <t>n</t>
  </si>
  <si>
    <t>Período de pago</t>
  </si>
  <si>
    <t>*</t>
  </si>
  <si>
    <t>Saldo inicial</t>
  </si>
  <si>
    <t>Interés</t>
  </si>
  <si>
    <t>Pago de Capital</t>
  </si>
  <si>
    <t>Saldo final</t>
  </si>
  <si>
    <t>Pago de cuota</t>
  </si>
  <si>
    <t>Días requeridos de Cuentas x Cobrar</t>
  </si>
  <si>
    <t>Días (ingresos)</t>
  </si>
  <si>
    <t>Días requeridos de Inventarios</t>
  </si>
  <si>
    <t>Días (costos)</t>
  </si>
  <si>
    <t>Días requeridos de Cuentas x Pagar</t>
  </si>
  <si>
    <t>(+)</t>
  </si>
  <si>
    <t>Cuentas por cobrar</t>
  </si>
  <si>
    <t>Inventarios</t>
  </si>
  <si>
    <t>(-)</t>
  </si>
  <si>
    <t>Cuentas por pagar</t>
  </si>
  <si>
    <t>(=)</t>
  </si>
  <si>
    <t>Capital de trabajo</t>
  </si>
  <si>
    <t>Cambio de Capital de Trabajo</t>
  </si>
  <si>
    <t>Estado de resultado Integral</t>
  </si>
  <si>
    <t xml:space="preserve">Ingresos </t>
  </si>
  <si>
    <t>Costos</t>
  </si>
  <si>
    <t>Exc. D.A.</t>
  </si>
  <si>
    <t>Gastos de Admón. y Ventas</t>
  </si>
  <si>
    <t>EBITDA</t>
  </si>
  <si>
    <t>DA</t>
  </si>
  <si>
    <t>Utilidad Operacional</t>
  </si>
  <si>
    <t>EBIT</t>
  </si>
  <si>
    <t>Intereses</t>
  </si>
  <si>
    <t>I</t>
  </si>
  <si>
    <t>Utilidad antes de Impuestos</t>
  </si>
  <si>
    <t>EBT</t>
  </si>
  <si>
    <t>Impuestos</t>
  </si>
  <si>
    <t>T</t>
  </si>
  <si>
    <t>Utilidad neta</t>
  </si>
  <si>
    <t>E</t>
  </si>
  <si>
    <t>EBITDA (Método alternativo)</t>
  </si>
  <si>
    <t>x</t>
  </si>
  <si>
    <t>Estado de Flujo de Efectivo</t>
  </si>
  <si>
    <t>Utilidad Neta</t>
  </si>
  <si>
    <t>Efectivo generado por ´operación´ (1)</t>
  </si>
  <si>
    <t>Aumento en PPE, Capex</t>
  </si>
  <si>
    <t>Actividades de inversión (2)</t>
  </si>
  <si>
    <t>Nueva Deuda</t>
  </si>
  <si>
    <t>Amortización de capital</t>
  </si>
  <si>
    <t>Capitalización</t>
  </si>
  <si>
    <t>Dividendos</t>
  </si>
  <si>
    <t>Actividades de financiación (3)</t>
  </si>
  <si>
    <t>Flujo de caja del período (1,2,3)</t>
  </si>
  <si>
    <t>Flujo de caja inicial</t>
  </si>
  <si>
    <t>Flujo de caja final</t>
  </si>
  <si>
    <t>Estado de Situación Financiera</t>
  </si>
  <si>
    <t>Disponible</t>
  </si>
  <si>
    <t>Cuentas por Cobrar</t>
  </si>
  <si>
    <t>Ppe, Neto</t>
  </si>
  <si>
    <t>Total Activo</t>
  </si>
  <si>
    <t>Obligaciones financieras</t>
  </si>
  <si>
    <t>Total Pasivo</t>
  </si>
  <si>
    <t>Utilidades Retenidas</t>
  </si>
  <si>
    <t>Capital social</t>
  </si>
  <si>
    <t>Total Patrimonio</t>
  </si>
  <si>
    <t>Check</t>
  </si>
  <si>
    <t>Flujo de caja libre operacional</t>
  </si>
  <si>
    <t>Impuestos operacionales</t>
  </si>
  <si>
    <t>T´</t>
  </si>
  <si>
    <t>Utilidad Operacional Desp. De Impto UODI</t>
  </si>
  <si>
    <t>EBIT x (1-t%)</t>
  </si>
  <si>
    <t>Capex</t>
  </si>
  <si>
    <t>Cambio en Capital de trabajo (Exc. Disponible)</t>
  </si>
  <si>
    <t>Flujo de caja libre operacional FCLO</t>
  </si>
  <si>
    <t>Valor terminal</t>
  </si>
  <si>
    <t>TIR %</t>
  </si>
  <si>
    <t>Tasa umbral (Hurdle Rate)</t>
  </si>
  <si>
    <t>Crecimiento a perpetuidad</t>
  </si>
  <si>
    <t>Valor presente neto</t>
  </si>
  <si>
    <t>EBIT / Interés</t>
  </si>
  <si>
    <t>Efectivo generado por ´operación´</t>
  </si>
  <si>
    <t>Efectivo generado por ´operación´neto (1)</t>
  </si>
  <si>
    <t>Flujo de caja del inversionista</t>
  </si>
  <si>
    <t>Damodaran´ FCFF</t>
  </si>
  <si>
    <t>EBIT x ( 1 - t% )</t>
  </si>
  <si>
    <t>Net Capex</t>
  </si>
  <si>
    <t>Change in working capital</t>
  </si>
  <si>
    <t>Free Cash Flow to the Firm FCFF</t>
  </si>
  <si>
    <t>Chapter 15 FCFF</t>
  </si>
  <si>
    <t>Variables de entrada</t>
  </si>
  <si>
    <t>Variables de salida</t>
  </si>
  <si>
    <t>Capex I</t>
  </si>
  <si>
    <t>Capex al inicio del período</t>
  </si>
  <si>
    <t>$</t>
  </si>
  <si>
    <t>Inversiones</t>
  </si>
  <si>
    <t>Inversión 1</t>
  </si>
  <si>
    <t>Inversión 2</t>
  </si>
  <si>
    <t>Inversión 3</t>
  </si>
  <si>
    <t>Inversión 4</t>
  </si>
  <si>
    <t>Inversión 5</t>
  </si>
  <si>
    <t>Inversión 6</t>
  </si>
  <si>
    <t>Inversión 7</t>
  </si>
  <si>
    <t>Inversión 8</t>
  </si>
  <si>
    <t>Inversión 9</t>
  </si>
  <si>
    <t>Inversión 10</t>
  </si>
  <si>
    <t>Inversión 11</t>
  </si>
  <si>
    <t>Inversión 12</t>
  </si>
  <si>
    <t>Inversión 13</t>
  </si>
  <si>
    <t>Inversión 14</t>
  </si>
  <si>
    <t>Inversión 15</t>
  </si>
  <si>
    <t>Inversión 16</t>
  </si>
  <si>
    <t>Inversión 17</t>
  </si>
  <si>
    <t>Inversión 18</t>
  </si>
  <si>
    <t>Inversión 19</t>
  </si>
  <si>
    <t>Inversión 20</t>
  </si>
  <si>
    <t>Inversión 21</t>
  </si>
  <si>
    <t>Inversión 22</t>
  </si>
  <si>
    <t>Inversión 23</t>
  </si>
  <si>
    <t>Inversión 24</t>
  </si>
  <si>
    <t>Inversión 25</t>
  </si>
  <si>
    <t>Capex Acumulado</t>
  </si>
  <si>
    <t>Años de depreciación</t>
  </si>
  <si>
    <t>Total depreciación del período</t>
  </si>
  <si>
    <t>PPE Neto</t>
  </si>
  <si>
    <t>Capex II</t>
  </si>
  <si>
    <t>Total Capex Acumulado</t>
  </si>
  <si>
    <t>Capex III</t>
  </si>
  <si>
    <t>Capex IV</t>
  </si>
  <si>
    <t>Año 12</t>
  </si>
  <si>
    <t>Año 13</t>
  </si>
  <si>
    <t>Año 14</t>
  </si>
  <si>
    <t>Año 15</t>
  </si>
  <si>
    <t>Año 16</t>
  </si>
  <si>
    <t>Año 17</t>
  </si>
  <si>
    <t>Año 18</t>
  </si>
  <si>
    <t>Año 19</t>
  </si>
  <si>
    <t>Año 20</t>
  </si>
  <si>
    <t>Año 21</t>
  </si>
  <si>
    <t>Año 22</t>
  </si>
  <si>
    <t>Año 23</t>
  </si>
  <si>
    <t>Año 24</t>
  </si>
  <si>
    <t>Año 25</t>
  </si>
  <si>
    <t>Año 26</t>
  </si>
  <si>
    <t>&gt;</t>
  </si>
  <si>
    <t>WACC</t>
  </si>
  <si>
    <t>Costo financiaci</t>
  </si>
  <si>
    <t>Costo accionistas</t>
  </si>
  <si>
    <t>TIR</t>
  </si>
  <si>
    <t>Crecimiento economico</t>
  </si>
  <si>
    <t>COP</t>
  </si>
  <si>
    <t>COP/ud.</t>
  </si>
  <si>
    <t>Diseño 1</t>
  </si>
  <si>
    <t>Diseño 2</t>
  </si>
  <si>
    <t>Diseño 3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</si>
  <si>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</si>
  <si>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</si>
  <si>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</si>
  <si>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</si>
  <si>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</si>
  <si>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</si>
  <si>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</si>
  <si>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</si>
  <si>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</si>
  <si>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</si>
  <si>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</si>
  <si>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</si>
  <si>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Vr unit</t>
  </si>
  <si>
    <t>Cost unit</t>
  </si>
  <si>
    <t>total ing</t>
  </si>
  <si>
    <t>Total Cost</t>
  </si>
  <si>
    <t>TOTAL</t>
  </si>
  <si>
    <t>Margen</t>
  </si>
  <si>
    <t>PROM MES</t>
  </si>
  <si>
    <t>Ut bruta</t>
  </si>
  <si>
    <t>Nomina</t>
  </si>
  <si>
    <t>asesora comercial 1</t>
  </si>
  <si>
    <t>asesora comercial 2</t>
  </si>
  <si>
    <t>Gerente</t>
  </si>
  <si>
    <t>asesora comercial 3</t>
  </si>
  <si>
    <t>asesora comercial 4</t>
  </si>
  <si>
    <t>Arriendo</t>
  </si>
  <si>
    <t>Servicios públicos</t>
  </si>
  <si>
    <t>Publicidad</t>
  </si>
  <si>
    <t>Papeleria, cafeter-aseo</t>
  </si>
  <si>
    <t>Gastos de intereses</t>
  </si>
  <si>
    <t>Gastos por pasarelas</t>
  </si>
  <si>
    <t>Utilidad antes de impuestos</t>
  </si>
  <si>
    <t>Gastos de operación</t>
  </si>
  <si>
    <t>Tasa crecimiento exonencial</t>
  </si>
  <si>
    <t>WEB MASTER</t>
  </si>
  <si>
    <t>asesora comercial 5</t>
  </si>
  <si>
    <t>Asistente administrativo 1</t>
  </si>
  <si>
    <t>Asistente administrativo 2</t>
  </si>
  <si>
    <t>Asistente administrativo 3</t>
  </si>
  <si>
    <t>Marketing 1</t>
  </si>
  <si>
    <t>Marketing 2</t>
  </si>
  <si>
    <t>Empaque</t>
  </si>
  <si>
    <t>Auxiliar logistico 1</t>
  </si>
  <si>
    <t>Auxiliar logistico 2</t>
  </si>
  <si>
    <t>Auxiliar logistico 3</t>
  </si>
  <si>
    <t>Auxiliar logistico 4</t>
  </si>
  <si>
    <t>Servicio CRM Y WP BOT</t>
  </si>
  <si>
    <t>Seguridad web</t>
  </si>
  <si>
    <t>Marketing 3</t>
  </si>
  <si>
    <t>Asistente administrativo 4</t>
  </si>
  <si>
    <t>Apoyo campañas</t>
  </si>
  <si>
    <t>Canon sistema administrativo interno</t>
  </si>
  <si>
    <t>Credito</t>
  </si>
  <si>
    <t>plazo</t>
  </si>
  <si>
    <t>tasa</t>
  </si>
  <si>
    <t>cuota</t>
  </si>
  <si>
    <t>int</t>
  </si>
  <si>
    <t>amort</t>
  </si>
  <si>
    <t>Tarifa por (amazon-ML y otros)</t>
  </si>
  <si>
    <t>Profesional TIC</t>
  </si>
  <si>
    <t>Auxiliar logistico 5</t>
  </si>
  <si>
    <t>Auxiliar logistico 6</t>
  </si>
  <si>
    <t>Asistente administrativo 5</t>
  </si>
  <si>
    <t>Asistente administrativo 6</t>
  </si>
  <si>
    <t>Lider administrativo</t>
  </si>
  <si>
    <t>asesora comercial 6</t>
  </si>
  <si>
    <t>Depreciacion</t>
  </si>
  <si>
    <t>Activos</t>
  </si>
  <si>
    <t>Bancos</t>
  </si>
  <si>
    <t>Clientes</t>
  </si>
  <si>
    <t>Contrucciones Y Edificaciones</t>
  </si>
  <si>
    <t>Maquinaria Y Equipo</t>
  </si>
  <si>
    <t>Equipo De Oficina</t>
  </si>
  <si>
    <t>Equipo De Computacion Y Comunicacion</t>
  </si>
  <si>
    <t>Pasivos</t>
  </si>
  <si>
    <t>Proveedores Por Pagar</t>
  </si>
  <si>
    <t>Patrimonio</t>
  </si>
  <si>
    <t>Capital Social</t>
  </si>
  <si>
    <t>Utilidades retenidas</t>
  </si>
  <si>
    <t>Utilidad del ejercicio</t>
  </si>
  <si>
    <t>Depreciacion acumulada</t>
  </si>
  <si>
    <t>Actividades de operación</t>
  </si>
  <si>
    <t>Utilidad</t>
  </si>
  <si>
    <t>EGO</t>
  </si>
  <si>
    <t>Var CxC</t>
  </si>
  <si>
    <t>Var Inventario</t>
  </si>
  <si>
    <t>Var CxP</t>
  </si>
  <si>
    <t>EGO Neto</t>
  </si>
  <si>
    <t>Actividades de financiacion</t>
  </si>
  <si>
    <t>Actividades de inversión</t>
  </si>
  <si>
    <t>Comrpa activos fijos</t>
  </si>
  <si>
    <t xml:space="preserve">Flujo de caja del período </t>
  </si>
  <si>
    <t>Gastos financieros por plataforma</t>
  </si>
  <si>
    <t>Ut oper</t>
  </si>
  <si>
    <t>Transporte de mercancia para venta</t>
  </si>
  <si>
    <t>Participacion ventas market places en total</t>
  </si>
  <si>
    <t>Aux logistico</t>
  </si>
  <si>
    <t>pedidos al mes</t>
  </si>
  <si>
    <t>Asesora comercial</t>
  </si>
  <si>
    <t>millones al mes</t>
  </si>
  <si>
    <t>Marketing</t>
  </si>
  <si>
    <t>Apoyo campaña digital</t>
  </si>
  <si>
    <t>Aumento eq computo</t>
  </si>
  <si>
    <t>Auxiliar logistico 7</t>
  </si>
  <si>
    <t>asesora comercial 7</t>
  </si>
  <si>
    <t>KPI`s</t>
  </si>
  <si>
    <t>Mg operacional</t>
  </si>
  <si>
    <t>Costo Adq Clients</t>
  </si>
  <si>
    <t>Mg EBITDA</t>
  </si>
  <si>
    <t>Mg neto</t>
  </si>
  <si>
    <t>Pagina Web</t>
  </si>
  <si>
    <t>Legal</t>
  </si>
  <si>
    <t>Tasa crecimiento exponencial</t>
  </si>
  <si>
    <t>Ingresos</t>
  </si>
  <si>
    <t>Necesidades de capital de trabajo</t>
  </si>
  <si>
    <t>Actividades de financiación</t>
  </si>
  <si>
    <t>VPN</t>
  </si>
  <si>
    <t>Total cantidades vendidas</t>
  </si>
  <si>
    <t>Escenario optimista</t>
  </si>
  <si>
    <t>Necesidad de deuda inicial</t>
  </si>
  <si>
    <t>Capital socios inicial</t>
  </si>
  <si>
    <t>Valo terminal o residual</t>
  </si>
  <si>
    <t>Dividendos entregados</t>
  </si>
  <si>
    <t>Margen neto</t>
  </si>
  <si>
    <t>*Si el número tiene "M" esta reducido y expresa millones</t>
  </si>
  <si>
    <t>Var prom %</t>
  </si>
  <si>
    <t>Escenario pesimista</t>
  </si>
  <si>
    <t>Escenario probable</t>
  </si>
  <si>
    <t>Margen bruto</t>
  </si>
  <si>
    <t>Margen operacional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</si>
</sst>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,##0.0"/>
    <numFmt numFmtId="166" formatCode="0.0"/>
    <numFmt numFmtId="167" formatCode="_(* #,##0_);_(* \(#,##0\);_(* &quot;-&quot;??_);_(@_)"/>
    <numFmt numFmtId="168" formatCode="0.0000%"/>
    <numFmt numFmtId="169" formatCode="#,##0.0,,\ &quot;M&quot;"/>
    <numFmt numFmtId="170" formatCode="0.000%"/>
  </numFmts>
  <fonts count="3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C00000"/>
      <name val="Trebuchet MS"/>
      <family val="2"/>
    </font>
    <font>
      <b/>
      <sz val="10"/>
      <color theme="0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 tint="4.9989318521683403E-2"/>
      <name val="Trebuchet MS"/>
      <family val="2"/>
    </font>
    <font>
      <b/>
      <sz val="10"/>
      <color theme="4" tint="-0.499984740745262"/>
      <name val="Trebuchet MS"/>
      <family val="2"/>
    </font>
    <font>
      <sz val="10"/>
      <color theme="4" tint="-0.499984740745262"/>
      <name val="Trebuchet MS"/>
      <family val="2"/>
    </font>
    <font>
      <b/>
      <sz val="10"/>
      <color theme="1"/>
      <name val="Aptos Narrow"/>
      <family val="2"/>
      <scheme val="minor"/>
    </font>
    <font>
      <b/>
      <sz val="10"/>
      <color theme="4" tint="-0.499984740745262"/>
      <name val="Aptos Narrow"/>
      <family val="2"/>
      <scheme val="minor"/>
    </font>
    <font>
      <b/>
      <i/>
      <sz val="10"/>
      <color theme="1"/>
      <name val="Trebuchet MS"/>
      <family val="2"/>
    </font>
    <font>
      <b/>
      <sz val="9"/>
      <color indexed="81"/>
      <name val="Tahoma"/>
      <family val="2"/>
    </font>
    <font>
      <sz val="10"/>
      <color theme="8" tint="-0.499984740745262"/>
      <name val="Trebuchet MS"/>
      <family val="2"/>
    </font>
    <font>
      <b/>
      <sz val="10"/>
      <color theme="8" tint="-0.499984740745262"/>
      <name val="Aptos Narrow"/>
      <family val="2"/>
      <scheme val="minor"/>
    </font>
    <font>
      <b/>
      <sz val="10"/>
      <color theme="8" tint="-0.499984740745262"/>
      <name val="Trebuchet MS"/>
      <family val="2"/>
    </font>
    <font>
      <sz val="10"/>
      <name val="Geneva"/>
      <family val="2"/>
      <charset val="1"/>
    </font>
    <font>
      <sz val="10"/>
      <color theme="4" tint="-0.499984740745262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0"/>
      <color rgb="FF002060"/>
      <name val="Trebuchet MS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color theme="3" tint="-0.249977111117893"/>
      <name val="Book Antiqua"/>
      <family val="1"/>
    </font>
    <font>
      <b/>
      <sz val="14"/>
      <color theme="3"/>
      <name val="Book Antiqua"/>
      <family val="1"/>
    </font>
    <font>
      <sz val="10"/>
      <color theme="1" tint="4.9989318521683403E-2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  <font>
      <i/>
      <sz val="10"/>
      <color theme="0" tint="-0.499984740745262"/>
      <name val="Arial"/>
      <family val="2"/>
    </font>
    <font>
      <b/>
      <sz val="10"/>
      <color theme="3" tint="-0.249977111117893"/>
      <name val="Arial"/>
      <family val="2"/>
    </font>
    <font>
      <sz val="10"/>
      <color theme="0" tint="-0.499984740745262"/>
      <name val="Arial"/>
      <family val="2"/>
    </font>
    <font>
      <b/>
      <sz val="10"/>
      <color theme="1" tint="4.9989318521683403E-2"/>
      <name val="Arial"/>
      <family val="2"/>
    </font>
    <font>
      <sz val="8"/>
      <name val="Aptos Narrow"/>
      <family val="2"/>
      <scheme val="minor"/>
    </font>
    <font>
      <sz val="9"/>
      <color indexed="81"/>
      <name val="Tahoma"/>
      <family val="2"/>
    </font>
    <font>
      <b/>
      <sz val="12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9DFB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3" tint="-0.24994659260841701"/>
      </bottom>
      <diagonal/>
    </border>
  </borders>
  <cellStyleXfs count="12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1" fillId="0" borderId="0">
      <alignment vertical="top"/>
    </xf>
  </cellStyleXfs>
  <cellXfs count="240">
    <xf numFmtId="0" fontId="0" fillId="0" borderId="0" xfId="0"/>
    <xf numFmtId="43" fontId="2" fillId="2" borderId="0" xfId="0" applyNumberFormat="1" applyFont="1" applyFill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9" fontId="4" fillId="0" borderId="3" xfId="0" applyNumberFormat="1" applyFont="1" applyBorder="1" applyAlignment="1">
      <alignment horizontal="right"/>
    </xf>
    <xf numFmtId="10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/>
    </xf>
    <xf numFmtId="9" fontId="4" fillId="0" borderId="0" xfId="0" applyNumberFormat="1" applyFont="1" applyAlignment="1">
      <alignment horizontal="right"/>
    </xf>
    <xf numFmtId="10" fontId="4" fillId="0" borderId="0" xfId="0" applyNumberFormat="1" applyFont="1" applyAlignment="1">
      <alignment horizontal="right"/>
    </xf>
    <xf numFmtId="164" fontId="5" fillId="0" borderId="1" xfId="2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1" fontId="5" fillId="0" borderId="0" xfId="1" applyFont="1" applyAlignment="1">
      <alignment horizontal="right"/>
    </xf>
    <xf numFmtId="41" fontId="4" fillId="0" borderId="0" xfId="1" applyFont="1" applyAlignment="1">
      <alignment horizontal="right"/>
    </xf>
    <xf numFmtId="41" fontId="4" fillId="3" borderId="2" xfId="1" applyFont="1" applyFill="1" applyBorder="1" applyAlignment="1">
      <alignment horizontal="right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41" fontId="4" fillId="0" borderId="3" xfId="1" applyFont="1" applyBorder="1" applyAlignment="1">
      <alignment horizontal="right"/>
    </xf>
    <xf numFmtId="41" fontId="4" fillId="0" borderId="0" xfId="1" applyFont="1" applyAlignment="1">
      <alignment horizontal="center"/>
    </xf>
    <xf numFmtId="0" fontId="4" fillId="4" borderId="5" xfId="0" applyFont="1" applyFill="1" applyBorder="1"/>
    <xf numFmtId="0" fontId="4" fillId="4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41" fontId="4" fillId="4" borderId="5" xfId="0" applyNumberFormat="1" applyFont="1" applyFill="1" applyBorder="1" applyAlignment="1">
      <alignment horizontal="center"/>
    </xf>
    <xf numFmtId="0" fontId="3" fillId="2" borderId="0" xfId="0" applyFont="1" applyFill="1"/>
    <xf numFmtId="3" fontId="4" fillId="0" borderId="0" xfId="0" applyNumberFormat="1" applyFont="1" applyAlignment="1">
      <alignment horizontal="center"/>
    </xf>
    <xf numFmtId="3" fontId="5" fillId="0" borderId="3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7" xfId="0" applyFont="1" applyFill="1" applyBorder="1"/>
    <xf numFmtId="0" fontId="7" fillId="0" borderId="0" xfId="0" applyFont="1"/>
    <xf numFmtId="0" fontId="7" fillId="0" borderId="1" xfId="0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167" fontId="4" fillId="0" borderId="0" xfId="3" applyNumberFormat="1" applyFont="1" applyAlignment="1">
      <alignment horizontal="center"/>
    </xf>
    <xf numFmtId="0" fontId="3" fillId="2" borderId="7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164" fontId="4" fillId="5" borderId="2" xfId="0" applyNumberFormat="1" applyFont="1" applyFill="1" applyBorder="1" applyAlignment="1">
      <alignment horizontal="center"/>
    </xf>
    <xf numFmtId="41" fontId="6" fillId="5" borderId="2" xfId="1" applyFont="1" applyFill="1" applyBorder="1" applyAlignment="1">
      <alignment horizontal="right"/>
    </xf>
    <xf numFmtId="165" fontId="4" fillId="5" borderId="4" xfId="0" applyNumberFormat="1" applyFont="1" applyFill="1" applyBorder="1" applyAlignment="1">
      <alignment horizontal="center"/>
    </xf>
    <xf numFmtId="41" fontId="4" fillId="5" borderId="4" xfId="1" applyFont="1" applyFill="1" applyBorder="1" applyAlignment="1">
      <alignment horizontal="right"/>
    </xf>
    <xf numFmtId="41" fontId="4" fillId="4" borderId="5" xfId="0" applyNumberFormat="1" applyFont="1" applyFill="1" applyBorder="1" applyAlignment="1">
      <alignment horizontal="right"/>
    </xf>
    <xf numFmtId="3" fontId="4" fillId="5" borderId="4" xfId="0" applyNumberFormat="1" applyFont="1" applyFill="1" applyBorder="1" applyAlignment="1">
      <alignment horizontal="center"/>
    </xf>
    <xf numFmtId="164" fontId="4" fillId="5" borderId="4" xfId="0" applyNumberFormat="1" applyFont="1" applyFill="1" applyBorder="1" applyAlignment="1">
      <alignment horizontal="center"/>
    </xf>
    <xf numFmtId="166" fontId="4" fillId="5" borderId="4" xfId="0" applyNumberFormat="1" applyFont="1" applyFill="1" applyBorder="1" applyAlignment="1">
      <alignment horizontal="center"/>
    </xf>
    <xf numFmtId="3" fontId="4" fillId="5" borderId="0" xfId="0" applyNumberFormat="1" applyFont="1" applyFill="1" applyAlignment="1">
      <alignment horizontal="center"/>
    </xf>
    <xf numFmtId="0" fontId="4" fillId="5" borderId="4" xfId="0" applyFont="1" applyFill="1" applyBorder="1" applyAlignment="1">
      <alignment horizontal="center"/>
    </xf>
    <xf numFmtId="3" fontId="7" fillId="5" borderId="0" xfId="0" applyNumberFormat="1" applyFont="1" applyFill="1" applyAlignment="1">
      <alignment horizontal="center"/>
    </xf>
    <xf numFmtId="3" fontId="8" fillId="5" borderId="0" xfId="0" applyNumberFormat="1" applyFont="1" applyFill="1" applyAlignment="1">
      <alignment horizontal="center"/>
    </xf>
    <xf numFmtId="3" fontId="5" fillId="5" borderId="3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5" fillId="0" borderId="0" xfId="0" applyFont="1"/>
    <xf numFmtId="0" fontId="15" fillId="0" borderId="1" xfId="0" applyFont="1" applyBorder="1" applyAlignment="1">
      <alignment horizontal="center"/>
    </xf>
    <xf numFmtId="3" fontId="15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3" fontId="13" fillId="5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4" fontId="5" fillId="0" borderId="0" xfId="2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3" fontId="3" fillId="6" borderId="4" xfId="0" applyNumberFormat="1" applyFont="1" applyFill="1" applyBorder="1" applyAlignment="1">
      <alignment horizontal="center" vertical="center"/>
    </xf>
    <xf numFmtId="3" fontId="3" fillId="7" borderId="4" xfId="0" applyNumberFormat="1" applyFont="1" applyFill="1" applyBorder="1" applyAlignment="1">
      <alignment horizontal="center"/>
    </xf>
    <xf numFmtId="4" fontId="8" fillId="0" borderId="0" xfId="0" applyNumberFormat="1" applyFont="1" applyAlignment="1">
      <alignment horizontal="center"/>
    </xf>
    <xf numFmtId="41" fontId="4" fillId="8" borderId="3" xfId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9" borderId="3" xfId="0" applyFont="1" applyFill="1" applyBorder="1"/>
    <xf numFmtId="0" fontId="5" fillId="9" borderId="4" xfId="0" applyFont="1" applyFill="1" applyBorder="1" applyAlignment="1">
      <alignment horizontal="center"/>
    </xf>
    <xf numFmtId="3" fontId="5" fillId="9" borderId="3" xfId="0" applyNumberFormat="1" applyFont="1" applyFill="1" applyBorder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vertical="center"/>
    </xf>
    <xf numFmtId="0" fontId="5" fillId="9" borderId="4" xfId="0" applyFont="1" applyFill="1" applyBorder="1" applyAlignment="1">
      <alignment horizontal="center" vertical="center"/>
    </xf>
    <xf numFmtId="3" fontId="5" fillId="9" borderId="3" xfId="0" applyNumberFormat="1" applyFont="1" applyFill="1" applyBorder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" fontId="4" fillId="10" borderId="0" xfId="0" applyNumberFormat="1" applyFont="1" applyFill="1" applyAlignment="1">
      <alignment horizontal="center" vertical="center"/>
    </xf>
    <xf numFmtId="43" fontId="4" fillId="0" borderId="0" xfId="10" applyFont="1" applyAlignment="1">
      <alignment horizontal="center"/>
    </xf>
    <xf numFmtId="0" fontId="22" fillId="0" borderId="0" xfId="11" applyFont="1" applyAlignment="1"/>
    <xf numFmtId="0" fontId="22" fillId="0" borderId="0" xfId="11" applyFont="1" applyAlignment="1">
      <alignment horizontal="right"/>
    </xf>
    <xf numFmtId="0" fontId="23" fillId="0" borderId="8" xfId="11" applyFont="1" applyBorder="1">
      <alignment vertical="top"/>
    </xf>
    <xf numFmtId="0" fontId="21" fillId="0" borderId="8" xfId="11" applyBorder="1" applyAlignment="1">
      <alignment horizontal="center" vertical="center"/>
    </xf>
    <xf numFmtId="0" fontId="21" fillId="0" borderId="8" xfId="11" applyBorder="1">
      <alignment vertical="top"/>
    </xf>
    <xf numFmtId="37" fontId="21" fillId="0" borderId="8" xfId="11" applyNumberFormat="1" applyBorder="1">
      <alignment vertical="top"/>
    </xf>
    <xf numFmtId="0" fontId="21" fillId="0" borderId="0" xfId="11">
      <alignment vertical="top"/>
    </xf>
    <xf numFmtId="0" fontId="24" fillId="0" borderId="0" xfId="11" applyFont="1">
      <alignment vertical="top"/>
    </xf>
    <xf numFmtId="0" fontId="25" fillId="0" borderId="0" xfId="0" applyFont="1" applyAlignment="1">
      <alignment horizontal="center"/>
    </xf>
    <xf numFmtId="1" fontId="26" fillId="4" borderId="0" xfId="0" applyNumberFormat="1" applyFont="1" applyFill="1" applyAlignment="1">
      <alignment horizontal="center"/>
    </xf>
    <xf numFmtId="0" fontId="27" fillId="4" borderId="0" xfId="0" applyFont="1" applyFill="1"/>
    <xf numFmtId="0" fontId="25" fillId="4" borderId="0" xfId="0" applyFont="1" applyFill="1" applyAlignment="1">
      <alignment horizontal="center"/>
    </xf>
    <xf numFmtId="0" fontId="26" fillId="4" borderId="0" xfId="0" applyFont="1" applyFill="1" applyAlignment="1">
      <alignment horizontal="center"/>
    </xf>
    <xf numFmtId="3" fontId="26" fillId="0" borderId="0" xfId="0" applyNumberFormat="1" applyFont="1" applyAlignment="1">
      <alignment horizontal="center"/>
    </xf>
    <xf numFmtId="0" fontId="26" fillId="4" borderId="0" xfId="0" applyFont="1" applyFill="1"/>
    <xf numFmtId="0" fontId="25" fillId="3" borderId="0" xfId="0" applyFont="1" applyFill="1" applyAlignment="1">
      <alignment horizontal="center"/>
    </xf>
    <xf numFmtId="0" fontId="25" fillId="11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3" fontId="28" fillId="0" borderId="0" xfId="0" applyNumberFormat="1" applyFont="1" applyAlignment="1">
      <alignment horizontal="center"/>
    </xf>
    <xf numFmtId="0" fontId="29" fillId="0" borderId="0" xfId="0" applyFont="1" applyAlignment="1">
      <alignment horizontal="left"/>
    </xf>
    <xf numFmtId="0" fontId="25" fillId="0" borderId="0" xfId="0" applyFont="1"/>
    <xf numFmtId="3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3" fontId="31" fillId="3" borderId="0" xfId="0" applyNumberFormat="1" applyFont="1" applyFill="1" applyAlignment="1">
      <alignment horizontal="center"/>
    </xf>
    <xf numFmtId="0" fontId="25" fillId="0" borderId="0" xfId="0" applyFont="1" applyAlignment="1">
      <alignment horizontal="left"/>
    </xf>
    <xf numFmtId="3" fontId="25" fillId="0" borderId="0" xfId="0" applyNumberFormat="1" applyFont="1" applyAlignment="1">
      <alignment horizontal="center"/>
    </xf>
    <xf numFmtId="0" fontId="25" fillId="0" borderId="9" xfId="0" applyFont="1" applyBorder="1" applyAlignment="1">
      <alignment horizontal="left"/>
    </xf>
    <xf numFmtId="0" fontId="25" fillId="0" borderId="9" xfId="0" applyFont="1" applyBorder="1" applyAlignment="1">
      <alignment horizontal="center"/>
    </xf>
    <xf numFmtId="3" fontId="25" fillId="0" borderId="9" xfId="0" applyNumberFormat="1" applyFont="1" applyBorder="1" applyAlignment="1">
      <alignment horizontal="center"/>
    </xf>
    <xf numFmtId="0" fontId="31" fillId="3" borderId="0" xfId="0" applyFont="1" applyFill="1" applyAlignment="1">
      <alignment horizontal="center"/>
    </xf>
    <xf numFmtId="165" fontId="25" fillId="0" borderId="0" xfId="0" applyNumberFormat="1" applyFont="1" applyAlignment="1">
      <alignment horizontal="center"/>
    </xf>
    <xf numFmtId="0" fontId="31" fillId="11" borderId="10" xfId="0" applyFont="1" applyFill="1" applyBorder="1" applyAlignment="1">
      <alignment horizontal="left"/>
    </xf>
    <xf numFmtId="0" fontId="31" fillId="11" borderId="10" xfId="0" applyFont="1" applyFill="1" applyBorder="1" applyAlignment="1">
      <alignment horizontal="center"/>
    </xf>
    <xf numFmtId="3" fontId="31" fillId="11" borderId="10" xfId="0" applyNumberFormat="1" applyFont="1" applyFill="1" applyBorder="1" applyAlignment="1">
      <alignment horizontal="center"/>
    </xf>
    <xf numFmtId="0" fontId="26" fillId="11" borderId="0" xfId="0" applyFont="1" applyFill="1" applyAlignment="1">
      <alignment horizontal="left"/>
    </xf>
    <xf numFmtId="0" fontId="26" fillId="11" borderId="0" xfId="0" applyFont="1" applyFill="1" applyAlignment="1">
      <alignment horizontal="center"/>
    </xf>
    <xf numFmtId="3" fontId="26" fillId="11" borderId="0" xfId="0" applyNumberFormat="1" applyFont="1" applyFill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11" xfId="0" applyFont="1" applyBorder="1" applyAlignment="1">
      <alignment horizontal="left"/>
    </xf>
    <xf numFmtId="0" fontId="25" fillId="0" borderId="11" xfId="0" applyFont="1" applyBorder="1" applyAlignment="1">
      <alignment horizontal="center"/>
    </xf>
    <xf numFmtId="3" fontId="31" fillId="0" borderId="11" xfId="0" applyNumberFormat="1" applyFont="1" applyBorder="1" applyAlignment="1">
      <alignment horizontal="center"/>
    </xf>
    <xf numFmtId="0" fontId="31" fillId="11" borderId="0" xfId="0" applyFont="1" applyFill="1" applyAlignment="1">
      <alignment horizontal="left"/>
    </xf>
    <xf numFmtId="0" fontId="31" fillId="11" borderId="0" xfId="0" applyFont="1" applyFill="1" applyAlignment="1">
      <alignment horizontal="center"/>
    </xf>
    <xf numFmtId="3" fontId="31" fillId="11" borderId="0" xfId="0" applyNumberFormat="1" applyFont="1" applyFill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0" fontId="5" fillId="0" borderId="0" xfId="2" applyNumberFormat="1" applyFont="1" applyAlignment="1">
      <alignment horizontal="center" vertical="center"/>
    </xf>
    <xf numFmtId="10" fontId="4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0" fontId="4" fillId="0" borderId="0" xfId="0" applyNumberFormat="1" applyFont="1" applyAlignment="1">
      <alignment horizontal="center" vertical="center"/>
    </xf>
    <xf numFmtId="10" fontId="4" fillId="0" borderId="0" xfId="2" applyNumberFormat="1" applyFont="1" applyAlignment="1">
      <alignment horizontal="center"/>
    </xf>
    <xf numFmtId="164" fontId="4" fillId="5" borderId="0" xfId="0" applyNumberFormat="1" applyFont="1" applyFill="1" applyAlignment="1">
      <alignment horizontal="center"/>
    </xf>
    <xf numFmtId="41" fontId="0" fillId="0" borderId="0" xfId="1" applyFont="1"/>
    <xf numFmtId="41" fontId="0" fillId="0" borderId="0" xfId="0" applyNumberFormat="1"/>
    <xf numFmtId="0" fontId="18" fillId="0" borderId="0" xfId="0" applyFont="1"/>
    <xf numFmtId="9" fontId="18" fillId="0" borderId="0" xfId="0" applyNumberFormat="1" applyFont="1"/>
    <xf numFmtId="0" fontId="18" fillId="0" borderId="0" xfId="0" applyFont="1" applyAlignment="1">
      <alignment horizontal="center"/>
    </xf>
    <xf numFmtId="41" fontId="18" fillId="0" borderId="0" xfId="1" applyFont="1"/>
    <xf numFmtId="41" fontId="18" fillId="0" borderId="0" xfId="0" applyNumberFormat="1" applyFont="1"/>
    <xf numFmtId="10" fontId="18" fillId="0" borderId="0" xfId="0" applyNumberFormat="1" applyFont="1"/>
    <xf numFmtId="9" fontId="18" fillId="0" borderId="0" xfId="2" applyFont="1"/>
    <xf numFmtId="1" fontId="18" fillId="0" borderId="0" xfId="0" applyNumberFormat="1" applyFont="1" applyAlignment="1">
      <alignment horizontal="center"/>
    </xf>
    <xf numFmtId="41" fontId="18" fillId="0" borderId="0" xfId="1" applyFont="1" applyAlignment="1">
      <alignment horizontal="center"/>
    </xf>
    <xf numFmtId="0" fontId="18" fillId="0" borderId="0" xfId="0" applyFont="1" applyAlignment="1">
      <alignment horizontal="left" indent="1"/>
    </xf>
    <xf numFmtId="0" fontId="18" fillId="11" borderId="0" xfId="0" applyFont="1" applyFill="1"/>
    <xf numFmtId="3" fontId="18" fillId="0" borderId="0" xfId="0" applyNumberFormat="1" applyFont="1"/>
    <xf numFmtId="10" fontId="18" fillId="0" borderId="0" xfId="2" applyNumberFormat="1" applyFont="1"/>
    <xf numFmtId="164" fontId="4" fillId="0" borderId="0" xfId="2" applyNumberFormat="1" applyFont="1" applyAlignment="1">
      <alignment horizontal="center"/>
    </xf>
    <xf numFmtId="41" fontId="34" fillId="0" borderId="0" xfId="1" applyFont="1"/>
    <xf numFmtId="0" fontId="34" fillId="0" borderId="0" xfId="0" applyFont="1"/>
    <xf numFmtId="41" fontId="34" fillId="0" borderId="0" xfId="0" applyNumberFormat="1" applyFont="1"/>
    <xf numFmtId="9" fontId="34" fillId="0" borderId="0" xfId="0" applyNumberFormat="1" applyFont="1"/>
    <xf numFmtId="10" fontId="18" fillId="0" borderId="0" xfId="0" applyNumberFormat="1" applyFont="1" applyAlignment="1">
      <alignment horizontal="center"/>
    </xf>
    <xf numFmtId="10" fontId="0" fillId="0" borderId="0" xfId="0" applyNumberFormat="1"/>
    <xf numFmtId="164" fontId="18" fillId="0" borderId="0" xfId="0" applyNumberFormat="1" applyFont="1"/>
    <xf numFmtId="0" fontId="18" fillId="9" borderId="0" xfId="0" applyFont="1" applyFill="1"/>
    <xf numFmtId="10" fontId="18" fillId="9" borderId="0" xfId="0" applyNumberFormat="1" applyFont="1" applyFill="1"/>
    <xf numFmtId="9" fontId="18" fillId="9" borderId="0" xfId="2" applyFont="1" applyFill="1"/>
    <xf numFmtId="0" fontId="18" fillId="9" borderId="0" xfId="0" applyFont="1" applyFill="1" applyAlignment="1">
      <alignment horizontal="center"/>
    </xf>
    <xf numFmtId="41" fontId="18" fillId="9" borderId="0" xfId="1" applyFont="1" applyFill="1"/>
    <xf numFmtId="10" fontId="18" fillId="9" borderId="0" xfId="2" applyNumberFormat="1" applyFont="1" applyFill="1"/>
    <xf numFmtId="41" fontId="34" fillId="9" borderId="0" xfId="0" applyNumberFormat="1" applyFont="1" applyFill="1"/>
    <xf numFmtId="41" fontId="34" fillId="9" borderId="0" xfId="1" applyFont="1" applyFill="1"/>
    <xf numFmtId="0" fontId="34" fillId="9" borderId="0" xfId="0" applyFont="1" applyFill="1"/>
    <xf numFmtId="41" fontId="18" fillId="9" borderId="0" xfId="0" applyNumberFormat="1" applyFont="1" applyFill="1"/>
    <xf numFmtId="10" fontId="18" fillId="0" borderId="0" xfId="2" applyNumberFormat="1" applyFont="1" applyAlignment="1">
      <alignment horizontal="center"/>
    </xf>
    <xf numFmtId="0" fontId="34" fillId="12" borderId="0" xfId="0" applyFont="1" applyFill="1"/>
    <xf numFmtId="0" fontId="18" fillId="12" borderId="0" xfId="0" applyFont="1" applyFill="1"/>
    <xf numFmtId="0" fontId="18" fillId="13" borderId="0" xfId="0" applyFont="1" applyFill="1"/>
    <xf numFmtId="0" fontId="18" fillId="12" borderId="0" xfId="0" applyFont="1" applyFill="1" applyAlignment="1">
      <alignment horizontal="left" indent="1"/>
    </xf>
    <xf numFmtId="0" fontId="18" fillId="13" borderId="0" xfId="0" applyFont="1" applyFill="1" applyAlignment="1">
      <alignment horizontal="left" indent="1"/>
    </xf>
    <xf numFmtId="41" fontId="18" fillId="11" borderId="0" xfId="0" applyNumberFormat="1" applyFont="1" applyFill="1"/>
    <xf numFmtId="1" fontId="5" fillId="0" borderId="1" xfId="2" applyNumberFormat="1" applyFont="1" applyBorder="1" applyAlignment="1">
      <alignment horizontal="center"/>
    </xf>
    <xf numFmtId="3" fontId="4" fillId="14" borderId="0" xfId="0" applyNumberFormat="1" applyFont="1" applyFill="1" applyAlignment="1">
      <alignment horizontal="center" vertical="center"/>
    </xf>
    <xf numFmtId="168" fontId="4" fillId="0" borderId="0" xfId="2" applyNumberFormat="1" applyFont="1" applyAlignment="1">
      <alignment horizontal="center"/>
    </xf>
    <xf numFmtId="9" fontId="15" fillId="0" borderId="1" xfId="0" applyNumberFormat="1" applyFont="1" applyBorder="1" applyAlignment="1">
      <alignment horizontal="center"/>
    </xf>
    <xf numFmtId="0" fontId="5" fillId="14" borderId="0" xfId="0" applyFont="1" applyFill="1" applyAlignment="1">
      <alignment horizontal="right"/>
    </xf>
    <xf numFmtId="41" fontId="4" fillId="0" borderId="0" xfId="1" applyFont="1"/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3" fontId="5" fillId="0" borderId="0" xfId="0" applyNumberFormat="1" applyFont="1"/>
    <xf numFmtId="0" fontId="18" fillId="0" borderId="0" xfId="0" applyFont="1" applyAlignment="1">
      <alignment horizontal="right"/>
    </xf>
    <xf numFmtId="164" fontId="18" fillId="0" borderId="0" xfId="2" applyNumberFormat="1" applyFont="1" applyAlignment="1">
      <alignment horizontal="center"/>
    </xf>
    <xf numFmtId="0" fontId="34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4" xfId="0" applyFont="1" applyBorder="1"/>
    <xf numFmtId="0" fontId="18" fillId="0" borderId="4" xfId="0" applyFont="1" applyBorder="1" applyAlignment="1">
      <alignment horizontal="right"/>
    </xf>
    <xf numFmtId="1" fontId="18" fillId="0" borderId="4" xfId="0" applyNumberFormat="1" applyFont="1" applyBorder="1" applyAlignment="1">
      <alignment horizontal="center"/>
    </xf>
    <xf numFmtId="3" fontId="18" fillId="0" borderId="4" xfId="0" applyNumberFormat="1" applyFont="1" applyBorder="1" applyAlignment="1">
      <alignment horizontal="center" vertical="center"/>
    </xf>
    <xf numFmtId="164" fontId="18" fillId="0" borderId="4" xfId="2" applyNumberFormat="1" applyFont="1" applyBorder="1" applyAlignment="1">
      <alignment horizontal="center" vertical="center"/>
    </xf>
    <xf numFmtId="169" fontId="18" fillId="0" borderId="4" xfId="1" applyNumberFormat="1" applyFont="1" applyBorder="1" applyAlignment="1">
      <alignment horizontal="center"/>
    </xf>
    <xf numFmtId="0" fontId="18" fillId="0" borderId="10" xfId="0" applyFont="1" applyBorder="1"/>
    <xf numFmtId="0" fontId="34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0" borderId="4" xfId="0" applyFont="1" applyBorder="1" applyAlignment="1">
      <alignment horizontal="right" vertical="center"/>
    </xf>
    <xf numFmtId="170" fontId="0" fillId="0" borderId="0" xfId="0" applyNumberFormat="1"/>
  </cellXfs>
  <cellStyles count="12">
    <cellStyle name="Hipervínculo 2" xfId="9" xr:uid="{BA3BDE08-6E5A-465C-82A2-9401D747187C}"/>
    <cellStyle name="Millares" xfId="10" builtinId="3"/>
    <cellStyle name="Millares [0]" xfId="1" builtinId="6"/>
    <cellStyle name="Millares 2" xfId="3" xr:uid="{9DAD6AA9-9F6C-4BE8-9B86-844F661BDE4F}"/>
    <cellStyle name="Moneda 2" xfId="5" xr:uid="{90B1600B-A857-48DA-8B07-5F5FFC50CABA}"/>
    <cellStyle name="Normal" xfId="0" builtinId="0"/>
    <cellStyle name="Normal 2" xfId="4" xr:uid="{449C18B4-68C0-4012-AC1B-A1D1F03C9704}"/>
    <cellStyle name="Normal 3" xfId="8" xr:uid="{D6ED81B8-980C-4AD8-9966-EBA4297BA74D}"/>
    <cellStyle name="Normal_080804 Gasmocam Modelo BackUp" xfId="11" xr:uid="{E6169923-4302-4A91-929D-507EA6F39F25}"/>
    <cellStyle name="Porcentaje" xfId="2" builtinId="5"/>
    <cellStyle name="Porcentaje 2" xfId="6" xr:uid="{43553DF3-8ACF-454D-BC55-3906ED219557}"/>
    <cellStyle name="Porcentaje 3" xfId="7" xr:uid="{53BAFEDA-C7E8-478A-8446-0AB7B29A3E47}"/>
  </cellStyles>
  <dxfs count="0"/>
  <tableStyles count="0" defaultTableStyle="TableStyleMedium2" defaultPivotStyle="PivotStyleLight16"/>
  <colors>
    <mruColors>
      <color rgb="FFF9DFB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33B8-61E1-4C4E-8645-69704FDF609B}">
  <sheetPr codeName="Hoja1">
    <pageSetUpPr autoPageBreaks="0"/>
  </sheetPr>
  <dimension ref="A1:O148"/>
  <sheetViews>
    <sheetView showGridLines="0" zoomScale="80" zoomScaleNormal="80" workbookViewId="0">
      <pane xSplit="4" ySplit="1" topLeftCell="E72" activePane="bottomRight" state="frozen"/>
      <selection pane="topRight" activeCell="E1" sqref="E1"/>
      <selection pane="bottomLeft" activeCell="A2" sqref="A2"/>
      <selection pane="bottomRight" activeCell="G91" sqref="G91"/>
    </sheetView>
  </sheetViews>
  <sheetFormatPr baseColWidth="10" defaultColWidth="11.42578125" defaultRowHeight="15" outlineLevelRow="1"/>
  <cols>
    <col min="1" max="1" width="4.28515625" style="6" bestFit="1" customWidth="1"/>
    <col min="2" max="2" width="47.5703125" style="4" customWidth="1"/>
    <col min="3" max="3" width="12.42578125" style="5" bestFit="1" customWidth="1"/>
    <col min="4" max="4" width="13.5703125" style="5" bestFit="1" customWidth="1"/>
    <col min="5" max="15" width="14.42578125" style="6" customWidth="1"/>
    <col min="16" max="16" width="14.85546875" style="4" customWidth="1"/>
    <col min="17" max="17" width="17.5703125" style="4" customWidth="1"/>
    <col min="18" max="16384" width="11.42578125" style="4"/>
  </cols>
  <sheetData>
    <row r="1" spans="1:15">
      <c r="B1" s="1"/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>
      <c r="F2" s="7"/>
      <c r="G2" s="8"/>
    </row>
    <row r="3" spans="1:15">
      <c r="B3" s="4" t="s">
        <v>13</v>
      </c>
      <c r="E3" s="54">
        <v>0.04</v>
      </c>
      <c r="F3" s="9">
        <f>+E3</f>
        <v>0.04</v>
      </c>
      <c r="G3" s="9">
        <f t="shared" ref="G3:O3" si="0">+F3</f>
        <v>0.04</v>
      </c>
      <c r="H3" s="9">
        <f t="shared" si="0"/>
        <v>0.04</v>
      </c>
      <c r="I3" s="9">
        <f t="shared" si="0"/>
        <v>0.04</v>
      </c>
      <c r="J3" s="9">
        <f t="shared" si="0"/>
        <v>0.04</v>
      </c>
      <c r="K3" s="9">
        <f t="shared" si="0"/>
        <v>0.04</v>
      </c>
      <c r="L3" s="9">
        <f t="shared" si="0"/>
        <v>0.04</v>
      </c>
      <c r="M3" s="9">
        <f t="shared" si="0"/>
        <v>0.04</v>
      </c>
      <c r="N3" s="9">
        <f t="shared" si="0"/>
        <v>0.04</v>
      </c>
      <c r="O3" s="9">
        <f t="shared" si="0"/>
        <v>0.04</v>
      </c>
    </row>
    <row r="4" spans="1:15">
      <c r="B4" s="4" t="s">
        <v>14</v>
      </c>
      <c r="E4" s="54">
        <v>0.33</v>
      </c>
      <c r="F4" s="9">
        <f t="shared" ref="F4:O4" si="1">+E4</f>
        <v>0.33</v>
      </c>
      <c r="G4" s="9">
        <f t="shared" si="1"/>
        <v>0.33</v>
      </c>
      <c r="H4" s="9">
        <f t="shared" si="1"/>
        <v>0.33</v>
      </c>
      <c r="I4" s="9">
        <f t="shared" si="1"/>
        <v>0.33</v>
      </c>
      <c r="J4" s="9">
        <f t="shared" si="1"/>
        <v>0.33</v>
      </c>
      <c r="K4" s="9">
        <f t="shared" si="1"/>
        <v>0.33</v>
      </c>
      <c r="L4" s="9">
        <f t="shared" si="1"/>
        <v>0.33</v>
      </c>
      <c r="M4" s="9">
        <f t="shared" si="1"/>
        <v>0.33</v>
      </c>
      <c r="N4" s="9">
        <f t="shared" si="1"/>
        <v>0.33</v>
      </c>
      <c r="O4" s="9">
        <f t="shared" si="1"/>
        <v>0.33</v>
      </c>
    </row>
    <row r="5" spans="1:15">
      <c r="F5" s="7"/>
      <c r="G5" s="8"/>
    </row>
    <row r="6" spans="1:15" s="15" customFormat="1">
      <c r="A6" s="52"/>
      <c r="B6" s="10" t="s">
        <v>15</v>
      </c>
      <c r="C6" s="11"/>
      <c r="D6" s="11" t="s">
        <v>16</v>
      </c>
      <c r="E6" s="55">
        <v>40000000</v>
      </c>
      <c r="F6" s="12"/>
      <c r="G6" s="13"/>
      <c r="H6" s="14"/>
      <c r="I6" s="14"/>
      <c r="J6" s="14"/>
      <c r="K6" s="14"/>
      <c r="L6" s="14"/>
      <c r="M6" s="14"/>
      <c r="N6" s="14"/>
      <c r="O6" s="14"/>
    </row>
    <row r="7" spans="1:15">
      <c r="E7" s="16"/>
      <c r="F7" s="17"/>
      <c r="G7" s="18"/>
      <c r="H7" s="16"/>
      <c r="I7" s="16"/>
      <c r="J7" s="16"/>
      <c r="K7" s="16"/>
      <c r="L7" s="16"/>
      <c r="M7" s="16"/>
      <c r="N7" s="16"/>
      <c r="O7" s="16"/>
    </row>
    <row r="8" spans="1:15" s="15" customFormat="1">
      <c r="A8" s="52"/>
      <c r="B8" s="15" t="s">
        <v>17</v>
      </c>
      <c r="C8" s="19"/>
      <c r="D8" s="20" t="s">
        <v>16</v>
      </c>
      <c r="E8" s="21">
        <f>+$E$6</f>
        <v>40000000</v>
      </c>
      <c r="F8" s="21">
        <f t="shared" ref="F8:O8" si="2">+$E$6</f>
        <v>40000000</v>
      </c>
      <c r="G8" s="21">
        <f t="shared" si="2"/>
        <v>40000000</v>
      </c>
      <c r="H8" s="21">
        <f t="shared" si="2"/>
        <v>40000000</v>
      </c>
      <c r="I8" s="21">
        <f t="shared" si="2"/>
        <v>40000000</v>
      </c>
      <c r="J8" s="21">
        <f t="shared" si="2"/>
        <v>40000000</v>
      </c>
      <c r="K8" s="21">
        <f t="shared" si="2"/>
        <v>40000000</v>
      </c>
      <c r="L8" s="21">
        <f t="shared" si="2"/>
        <v>40000000</v>
      </c>
      <c r="M8" s="21">
        <f t="shared" si="2"/>
        <v>40000000</v>
      </c>
      <c r="N8" s="21">
        <f t="shared" si="2"/>
        <v>40000000</v>
      </c>
      <c r="O8" s="21">
        <f t="shared" si="2"/>
        <v>40000000</v>
      </c>
    </row>
    <row r="9" spans="1:15">
      <c r="B9" s="4" t="s">
        <v>18</v>
      </c>
      <c r="C9" s="56">
        <v>20</v>
      </c>
      <c r="D9" s="5" t="s">
        <v>16</v>
      </c>
      <c r="E9" s="22"/>
      <c r="F9" s="22">
        <f>+F8/$C$9</f>
        <v>2000000</v>
      </c>
      <c r="G9" s="22">
        <f t="shared" ref="G9:O9" si="3">+G8/$C$9</f>
        <v>2000000</v>
      </c>
      <c r="H9" s="22">
        <f t="shared" si="3"/>
        <v>2000000</v>
      </c>
      <c r="I9" s="22">
        <f t="shared" si="3"/>
        <v>2000000</v>
      </c>
      <c r="J9" s="22">
        <f t="shared" si="3"/>
        <v>2000000</v>
      </c>
      <c r="K9" s="22">
        <f t="shared" si="3"/>
        <v>2000000</v>
      </c>
      <c r="L9" s="22">
        <f t="shared" si="3"/>
        <v>2000000</v>
      </c>
      <c r="M9" s="22">
        <f t="shared" si="3"/>
        <v>2000000</v>
      </c>
      <c r="N9" s="22">
        <f t="shared" si="3"/>
        <v>2000000</v>
      </c>
      <c r="O9" s="22">
        <f t="shared" si="3"/>
        <v>2000000</v>
      </c>
    </row>
    <row r="10" spans="1:15">
      <c r="B10" s="4" t="s">
        <v>19</v>
      </c>
      <c r="C10" s="19"/>
      <c r="D10" s="5" t="s">
        <v>16</v>
      </c>
      <c r="E10" s="23">
        <v>0</v>
      </c>
      <c r="F10" s="22">
        <f>+E10+F9</f>
        <v>2000000</v>
      </c>
      <c r="G10" s="22">
        <f>+F10+G9</f>
        <v>4000000</v>
      </c>
      <c r="H10" s="22">
        <f t="shared" ref="H10:O10" si="4">+G10+H9</f>
        <v>6000000</v>
      </c>
      <c r="I10" s="22">
        <f t="shared" si="4"/>
        <v>8000000</v>
      </c>
      <c r="J10" s="22">
        <f t="shared" si="4"/>
        <v>10000000</v>
      </c>
      <c r="K10" s="22">
        <f t="shared" si="4"/>
        <v>12000000</v>
      </c>
      <c r="L10" s="22">
        <f t="shared" si="4"/>
        <v>14000000</v>
      </c>
      <c r="M10" s="22">
        <f t="shared" si="4"/>
        <v>16000000</v>
      </c>
      <c r="N10" s="22">
        <f t="shared" si="4"/>
        <v>18000000</v>
      </c>
      <c r="O10" s="22">
        <f t="shared" si="4"/>
        <v>20000000</v>
      </c>
    </row>
    <row r="11" spans="1:15" s="15" customFormat="1">
      <c r="A11" s="52"/>
      <c r="B11" s="15" t="s">
        <v>20</v>
      </c>
      <c r="C11" s="19"/>
      <c r="D11" s="5" t="s">
        <v>16</v>
      </c>
      <c r="E11" s="21">
        <f>+E8-E10</f>
        <v>40000000</v>
      </c>
      <c r="F11" s="21">
        <f t="shared" ref="F11:O11" si="5">+F8-F10</f>
        <v>38000000</v>
      </c>
      <c r="G11" s="21">
        <f t="shared" si="5"/>
        <v>36000000</v>
      </c>
      <c r="H11" s="21">
        <f t="shared" si="5"/>
        <v>34000000</v>
      </c>
      <c r="I11" s="21">
        <f t="shared" si="5"/>
        <v>32000000</v>
      </c>
      <c r="J11" s="21">
        <f t="shared" si="5"/>
        <v>30000000</v>
      </c>
      <c r="K11" s="21">
        <f t="shared" si="5"/>
        <v>28000000</v>
      </c>
      <c r="L11" s="21">
        <f t="shared" si="5"/>
        <v>26000000</v>
      </c>
      <c r="M11" s="21">
        <f t="shared" si="5"/>
        <v>24000000</v>
      </c>
      <c r="N11" s="21">
        <f t="shared" si="5"/>
        <v>22000000</v>
      </c>
      <c r="O11" s="21">
        <f t="shared" si="5"/>
        <v>20000000</v>
      </c>
    </row>
    <row r="12" spans="1:15"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15">
      <c r="B13" s="24" t="s">
        <v>21</v>
      </c>
      <c r="C13" s="25"/>
      <c r="D13" s="25" t="s">
        <v>16</v>
      </c>
      <c r="E13" s="26"/>
      <c r="F13" s="57">
        <v>2000000</v>
      </c>
      <c r="G13" s="26">
        <f>+F13*(1+G3)</f>
        <v>2080000</v>
      </c>
      <c r="H13" s="26">
        <f t="shared" ref="H13:N13" si="6">+G13*(1+H3)</f>
        <v>2163200</v>
      </c>
      <c r="I13" s="26">
        <f t="shared" si="6"/>
        <v>2249728</v>
      </c>
      <c r="J13" s="26">
        <f t="shared" si="6"/>
        <v>2339717.1200000001</v>
      </c>
      <c r="K13" s="26">
        <f t="shared" si="6"/>
        <v>2433305.8048</v>
      </c>
      <c r="L13" s="26">
        <f t="shared" si="6"/>
        <v>2530638.036992</v>
      </c>
      <c r="M13" s="26">
        <f t="shared" si="6"/>
        <v>2631863.5584716802</v>
      </c>
      <c r="N13" s="26">
        <f t="shared" si="6"/>
        <v>2737138.1008105474</v>
      </c>
      <c r="O13" s="101">
        <f>+O32*2.5%</f>
        <v>3558279.5310537131</v>
      </c>
    </row>
    <row r="14" spans="1:15" outlineLevel="1">
      <c r="B14" s="4" t="s">
        <v>22</v>
      </c>
      <c r="D14" s="5" t="s">
        <v>16</v>
      </c>
      <c r="E14" s="22"/>
      <c r="F14" s="22">
        <f>+$F$13/$C$9</f>
        <v>100000</v>
      </c>
      <c r="G14" s="22">
        <f t="shared" ref="G14:O14" si="7">+$F$13/$C$9</f>
        <v>100000</v>
      </c>
      <c r="H14" s="22">
        <f t="shared" si="7"/>
        <v>100000</v>
      </c>
      <c r="I14" s="22">
        <f t="shared" si="7"/>
        <v>100000</v>
      </c>
      <c r="J14" s="22">
        <f t="shared" si="7"/>
        <v>100000</v>
      </c>
      <c r="K14" s="22">
        <f t="shared" si="7"/>
        <v>100000</v>
      </c>
      <c r="L14" s="22">
        <f t="shared" si="7"/>
        <v>100000</v>
      </c>
      <c r="M14" s="22">
        <f t="shared" si="7"/>
        <v>100000</v>
      </c>
      <c r="N14" s="22">
        <f t="shared" si="7"/>
        <v>100000</v>
      </c>
      <c r="O14" s="22">
        <f t="shared" si="7"/>
        <v>100000</v>
      </c>
    </row>
    <row r="15" spans="1:15" outlineLevel="1">
      <c r="B15" s="4" t="s">
        <v>22</v>
      </c>
      <c r="D15" s="5" t="s">
        <v>16</v>
      </c>
      <c r="E15" s="27"/>
      <c r="F15" s="22"/>
      <c r="G15" s="22">
        <f>+$G$13/$C$9</f>
        <v>104000</v>
      </c>
      <c r="H15" s="22">
        <f t="shared" ref="H15:O15" si="8">+$G$13/$C$9</f>
        <v>104000</v>
      </c>
      <c r="I15" s="22">
        <f t="shared" si="8"/>
        <v>104000</v>
      </c>
      <c r="J15" s="22">
        <f t="shared" si="8"/>
        <v>104000</v>
      </c>
      <c r="K15" s="22">
        <f t="shared" si="8"/>
        <v>104000</v>
      </c>
      <c r="L15" s="22">
        <f t="shared" si="8"/>
        <v>104000</v>
      </c>
      <c r="M15" s="22">
        <f t="shared" si="8"/>
        <v>104000</v>
      </c>
      <c r="N15" s="22">
        <f t="shared" si="8"/>
        <v>104000</v>
      </c>
      <c r="O15" s="22">
        <f t="shared" si="8"/>
        <v>104000</v>
      </c>
    </row>
    <row r="16" spans="1:15" outlineLevel="1">
      <c r="B16" s="4" t="s">
        <v>22</v>
      </c>
      <c r="D16" s="5" t="s">
        <v>16</v>
      </c>
      <c r="E16" s="27"/>
      <c r="F16" s="22"/>
      <c r="G16" s="22"/>
      <c r="H16" s="22">
        <f>+$H$13/$C$9</f>
        <v>108160</v>
      </c>
      <c r="I16" s="22">
        <f t="shared" ref="I16:O16" si="9">+$H$13/$C$9</f>
        <v>108160</v>
      </c>
      <c r="J16" s="22">
        <f t="shared" si="9"/>
        <v>108160</v>
      </c>
      <c r="K16" s="22">
        <f t="shared" si="9"/>
        <v>108160</v>
      </c>
      <c r="L16" s="22">
        <f t="shared" si="9"/>
        <v>108160</v>
      </c>
      <c r="M16" s="22">
        <f t="shared" si="9"/>
        <v>108160</v>
      </c>
      <c r="N16" s="22">
        <f t="shared" si="9"/>
        <v>108160</v>
      </c>
      <c r="O16" s="22">
        <f t="shared" si="9"/>
        <v>108160</v>
      </c>
    </row>
    <row r="17" spans="1:15" outlineLevel="1">
      <c r="B17" s="4" t="s">
        <v>22</v>
      </c>
      <c r="D17" s="5" t="s">
        <v>16</v>
      </c>
      <c r="E17" s="27"/>
      <c r="F17" s="22"/>
      <c r="G17" s="22"/>
      <c r="H17" s="22"/>
      <c r="I17" s="22">
        <f>+$I$13/$C$9</f>
        <v>112486.39999999999</v>
      </c>
      <c r="J17" s="22">
        <f t="shared" ref="J17:O17" si="10">+$I$13/$C$9</f>
        <v>112486.39999999999</v>
      </c>
      <c r="K17" s="22">
        <f t="shared" si="10"/>
        <v>112486.39999999999</v>
      </c>
      <c r="L17" s="22">
        <f t="shared" si="10"/>
        <v>112486.39999999999</v>
      </c>
      <c r="M17" s="22">
        <f t="shared" si="10"/>
        <v>112486.39999999999</v>
      </c>
      <c r="N17" s="22">
        <f t="shared" si="10"/>
        <v>112486.39999999999</v>
      </c>
      <c r="O17" s="22">
        <f t="shared" si="10"/>
        <v>112486.39999999999</v>
      </c>
    </row>
    <row r="18" spans="1:15" outlineLevel="1">
      <c r="B18" s="4" t="s">
        <v>22</v>
      </c>
      <c r="D18" s="5" t="s">
        <v>16</v>
      </c>
      <c r="E18" s="27"/>
      <c r="F18" s="22"/>
      <c r="G18" s="22"/>
      <c r="H18" s="22"/>
      <c r="I18" s="22"/>
      <c r="J18" s="22">
        <f>+$J$13/$C$9</f>
        <v>116985.856</v>
      </c>
      <c r="K18" s="22">
        <f t="shared" ref="K18:O18" si="11">+$J$13/$C$9</f>
        <v>116985.856</v>
      </c>
      <c r="L18" s="22">
        <f t="shared" si="11"/>
        <v>116985.856</v>
      </c>
      <c r="M18" s="22">
        <f t="shared" si="11"/>
        <v>116985.856</v>
      </c>
      <c r="N18" s="22">
        <f t="shared" si="11"/>
        <v>116985.856</v>
      </c>
      <c r="O18" s="22">
        <f t="shared" si="11"/>
        <v>116985.856</v>
      </c>
    </row>
    <row r="19" spans="1:15" outlineLevel="1">
      <c r="B19" s="4" t="s">
        <v>22</v>
      </c>
      <c r="D19" s="5" t="s">
        <v>16</v>
      </c>
      <c r="E19" s="27"/>
      <c r="F19" s="22"/>
      <c r="G19" s="22"/>
      <c r="H19" s="22"/>
      <c r="I19" s="22"/>
      <c r="J19" s="22"/>
      <c r="K19" s="22">
        <f>+$K$13/$C$9</f>
        <v>121665.29024</v>
      </c>
      <c r="L19" s="22">
        <f t="shared" ref="L19:O19" si="12">+$K$13/$C$9</f>
        <v>121665.29024</v>
      </c>
      <c r="M19" s="22">
        <f t="shared" si="12"/>
        <v>121665.29024</v>
      </c>
      <c r="N19" s="22">
        <f t="shared" si="12"/>
        <v>121665.29024</v>
      </c>
      <c r="O19" s="22">
        <f t="shared" si="12"/>
        <v>121665.29024</v>
      </c>
    </row>
    <row r="20" spans="1:15" outlineLevel="1">
      <c r="B20" s="4" t="s">
        <v>22</v>
      </c>
      <c r="D20" s="5" t="s">
        <v>16</v>
      </c>
      <c r="E20" s="27"/>
      <c r="F20" s="22"/>
      <c r="G20" s="22"/>
      <c r="H20" s="22"/>
      <c r="I20" s="22"/>
      <c r="J20" s="22"/>
      <c r="K20" s="22"/>
      <c r="L20" s="22">
        <f>+$L$13/$C$9</f>
        <v>126531.90184959999</v>
      </c>
      <c r="M20" s="22">
        <f t="shared" ref="M20:O20" si="13">+$L$13/$C$9</f>
        <v>126531.90184959999</v>
      </c>
      <c r="N20" s="22">
        <f t="shared" si="13"/>
        <v>126531.90184959999</v>
      </c>
      <c r="O20" s="22">
        <f t="shared" si="13"/>
        <v>126531.90184959999</v>
      </c>
    </row>
    <row r="21" spans="1:15" outlineLevel="1">
      <c r="B21" s="4" t="s">
        <v>22</v>
      </c>
      <c r="D21" s="5" t="s">
        <v>16</v>
      </c>
      <c r="E21" s="27"/>
      <c r="F21" s="22"/>
      <c r="G21" s="22"/>
      <c r="H21" s="22"/>
      <c r="I21" s="22"/>
      <c r="J21" s="22"/>
      <c r="K21" s="22"/>
      <c r="L21" s="22"/>
      <c r="M21" s="22">
        <f>+$M$13/$C$9</f>
        <v>131593.17792358401</v>
      </c>
      <c r="N21" s="22">
        <f t="shared" ref="N21:O21" si="14">+$M$13/$C$9</f>
        <v>131593.17792358401</v>
      </c>
      <c r="O21" s="22">
        <f t="shared" si="14"/>
        <v>131593.17792358401</v>
      </c>
    </row>
    <row r="22" spans="1:15" outlineLevel="1">
      <c r="B22" s="4" t="s">
        <v>22</v>
      </c>
      <c r="D22" s="5" t="s">
        <v>16</v>
      </c>
      <c r="E22" s="27"/>
      <c r="F22" s="22"/>
      <c r="G22" s="22"/>
      <c r="H22" s="22"/>
      <c r="I22" s="22"/>
      <c r="J22" s="22"/>
      <c r="K22" s="22"/>
      <c r="L22" s="22"/>
      <c r="M22" s="22"/>
      <c r="N22" s="22">
        <f>+$N$13/$C$9</f>
        <v>136856.90504052737</v>
      </c>
      <c r="O22" s="22">
        <f>+$N$13/$C$9</f>
        <v>136856.90504052737</v>
      </c>
    </row>
    <row r="23" spans="1:15" outlineLevel="1">
      <c r="B23" s="4" t="s">
        <v>22</v>
      </c>
      <c r="D23" s="5" t="s">
        <v>16</v>
      </c>
      <c r="E23" s="27"/>
      <c r="F23" s="22"/>
      <c r="G23" s="22"/>
      <c r="H23" s="22"/>
      <c r="I23" s="22"/>
      <c r="J23" s="22"/>
      <c r="K23" s="22"/>
      <c r="L23" s="22"/>
      <c r="M23" s="22"/>
      <c r="N23" s="22"/>
      <c r="O23" s="22">
        <f>+$O$13/$C$9</f>
        <v>177913.97655268566</v>
      </c>
    </row>
    <row r="24" spans="1:15">
      <c r="B24" s="24" t="s">
        <v>23</v>
      </c>
      <c r="C24" s="25"/>
      <c r="D24" s="25" t="s">
        <v>16</v>
      </c>
      <c r="E24" s="26"/>
      <c r="F24" s="26">
        <f t="shared" ref="F24:N24" si="15">+F23+F22+F21+F20+F19+F18+F17+F16+F15+F14</f>
        <v>100000</v>
      </c>
      <c r="G24" s="26">
        <f t="shared" si="15"/>
        <v>204000</v>
      </c>
      <c r="H24" s="26">
        <f t="shared" si="15"/>
        <v>312160</v>
      </c>
      <c r="I24" s="26">
        <f t="shared" si="15"/>
        <v>424646.40000000002</v>
      </c>
      <c r="J24" s="26">
        <f t="shared" si="15"/>
        <v>541632.25600000005</v>
      </c>
      <c r="K24" s="26">
        <f t="shared" si="15"/>
        <v>663297.54624000005</v>
      </c>
      <c r="L24" s="26">
        <f t="shared" si="15"/>
        <v>789829.44808959996</v>
      </c>
      <c r="M24" s="26">
        <f t="shared" si="15"/>
        <v>921422.62601318408</v>
      </c>
      <c r="N24" s="26">
        <f t="shared" si="15"/>
        <v>1058279.5310537114</v>
      </c>
      <c r="O24" s="26">
        <f>+O23+O22+O21+O20+O19+O18+O17+O16+O15+O14</f>
        <v>1236193.5076063972</v>
      </c>
    </row>
    <row r="25" spans="1:15">
      <c r="F25" s="17"/>
      <c r="G25" s="18"/>
      <c r="H25" s="16"/>
      <c r="I25" s="16"/>
      <c r="J25" s="16"/>
      <c r="K25" s="16"/>
      <c r="L25" s="16"/>
      <c r="M25" s="16"/>
      <c r="N25" s="16"/>
      <c r="O25" s="16"/>
    </row>
    <row r="26" spans="1:15" ht="15.75" thickBot="1">
      <c r="A26" s="4"/>
      <c r="B26" s="28" t="s">
        <v>24</v>
      </c>
      <c r="C26" s="29"/>
      <c r="D26" s="29" t="s">
        <v>16</v>
      </c>
      <c r="E26" s="31">
        <f>+E13+E6</f>
        <v>40000000</v>
      </c>
      <c r="F26" s="31">
        <f>+F13+F6</f>
        <v>2000000</v>
      </c>
      <c r="G26" s="31">
        <f t="shared" ref="G26:O26" si="16">+G13+G6</f>
        <v>2080000</v>
      </c>
      <c r="H26" s="31">
        <f t="shared" si="16"/>
        <v>2163200</v>
      </c>
      <c r="I26" s="31">
        <f t="shared" si="16"/>
        <v>2249728</v>
      </c>
      <c r="J26" s="31">
        <f t="shared" si="16"/>
        <v>2339717.1200000001</v>
      </c>
      <c r="K26" s="31">
        <f t="shared" si="16"/>
        <v>2433305.8048</v>
      </c>
      <c r="L26" s="31">
        <f t="shared" si="16"/>
        <v>2530638.036992</v>
      </c>
      <c r="M26" s="31">
        <f t="shared" si="16"/>
        <v>2631863.5584716802</v>
      </c>
      <c r="N26" s="31">
        <f t="shared" si="16"/>
        <v>2737138.1008105474</v>
      </c>
      <c r="O26" s="31">
        <f t="shared" si="16"/>
        <v>3558279.5310537131</v>
      </c>
    </row>
    <row r="27" spans="1:15" ht="16.5" thickTop="1" thickBot="1">
      <c r="B27" s="28" t="s">
        <v>25</v>
      </c>
      <c r="C27" s="29"/>
      <c r="D27" s="29" t="s">
        <v>16</v>
      </c>
      <c r="E27" s="30"/>
      <c r="F27" s="58">
        <f>+F24+F9</f>
        <v>2100000</v>
      </c>
      <c r="G27" s="58">
        <f t="shared" ref="G27:O27" si="17">+G24+G9</f>
        <v>2204000</v>
      </c>
      <c r="H27" s="58">
        <f t="shared" si="17"/>
        <v>2312160</v>
      </c>
      <c r="I27" s="58">
        <f t="shared" si="17"/>
        <v>2424646.4</v>
      </c>
      <c r="J27" s="58">
        <f t="shared" si="17"/>
        <v>2541632.2560000001</v>
      </c>
      <c r="K27" s="58">
        <f t="shared" si="17"/>
        <v>2663297.5462400001</v>
      </c>
      <c r="L27" s="58">
        <f t="shared" si="17"/>
        <v>2789829.4480896001</v>
      </c>
      <c r="M27" s="58">
        <f t="shared" si="17"/>
        <v>2921422.626013184</v>
      </c>
      <c r="N27" s="58">
        <f t="shared" si="17"/>
        <v>3058279.5310537117</v>
      </c>
      <c r="O27" s="58">
        <f t="shared" si="17"/>
        <v>3236193.5076063974</v>
      </c>
    </row>
    <row r="28" spans="1:15" ht="15.75" thickTop="1">
      <c r="F28" s="7"/>
      <c r="G28" s="8"/>
    </row>
    <row r="29" spans="1:15">
      <c r="B29" s="32" t="s">
        <v>26</v>
      </c>
      <c r="F29" s="7"/>
      <c r="G29" s="8"/>
    </row>
    <row r="30" spans="1:15">
      <c r="A30" s="6">
        <v>1</v>
      </c>
      <c r="B30" s="4" t="s">
        <v>27</v>
      </c>
      <c r="C30" s="5" t="s">
        <v>28</v>
      </c>
      <c r="D30" s="5" t="s">
        <v>1</v>
      </c>
      <c r="F30" s="59">
        <v>5000</v>
      </c>
      <c r="G30" s="33">
        <f>+F30</f>
        <v>5000</v>
      </c>
      <c r="H30" s="33">
        <f t="shared" ref="H30:O30" si="18">+G30</f>
        <v>5000</v>
      </c>
      <c r="I30" s="33">
        <f t="shared" si="18"/>
        <v>5000</v>
      </c>
      <c r="J30" s="33">
        <f t="shared" si="18"/>
        <v>5000</v>
      </c>
      <c r="K30" s="33">
        <f t="shared" si="18"/>
        <v>5000</v>
      </c>
      <c r="L30" s="33">
        <f t="shared" si="18"/>
        <v>5000</v>
      </c>
      <c r="M30" s="33">
        <f t="shared" si="18"/>
        <v>5000</v>
      </c>
      <c r="N30" s="33">
        <f t="shared" si="18"/>
        <v>5000</v>
      </c>
      <c r="O30" s="33">
        <f t="shared" si="18"/>
        <v>5000</v>
      </c>
    </row>
    <row r="31" spans="1:15">
      <c r="A31" s="6">
        <v>2</v>
      </c>
      <c r="B31" s="4" t="s">
        <v>29</v>
      </c>
      <c r="C31" s="5" t="s">
        <v>30</v>
      </c>
      <c r="D31" s="5" t="s">
        <v>31</v>
      </c>
      <c r="F31" s="59">
        <v>20000</v>
      </c>
      <c r="G31" s="33">
        <f>+F31*(1+G$3)</f>
        <v>20800</v>
      </c>
      <c r="H31" s="33">
        <f t="shared" ref="H31:O31" si="19">+G31*(1+H$3)</f>
        <v>21632</v>
      </c>
      <c r="I31" s="33">
        <f t="shared" si="19"/>
        <v>22497.280000000002</v>
      </c>
      <c r="J31" s="33">
        <f t="shared" si="19"/>
        <v>23397.171200000004</v>
      </c>
      <c r="K31" s="33">
        <f t="shared" si="19"/>
        <v>24333.058048000006</v>
      </c>
      <c r="L31" s="33">
        <f t="shared" si="19"/>
        <v>25306.380369920007</v>
      </c>
      <c r="M31" s="33">
        <f t="shared" si="19"/>
        <v>26318.635584716809</v>
      </c>
      <c r="N31" s="33">
        <f t="shared" si="19"/>
        <v>27371.381008105483</v>
      </c>
      <c r="O31" s="33">
        <f t="shared" si="19"/>
        <v>28466.236248429705</v>
      </c>
    </row>
    <row r="32" spans="1:15" s="15" customFormat="1">
      <c r="A32" s="52"/>
      <c r="B32" s="10" t="s">
        <v>32</v>
      </c>
      <c r="C32" s="11"/>
      <c r="D32" s="11" t="s">
        <v>16</v>
      </c>
      <c r="E32" s="34"/>
      <c r="F32" s="34">
        <f t="shared" ref="F32:O32" si="20">+F30*F31</f>
        <v>100000000</v>
      </c>
      <c r="G32" s="34">
        <f t="shared" si="20"/>
        <v>104000000</v>
      </c>
      <c r="H32" s="34">
        <f t="shared" si="20"/>
        <v>108160000</v>
      </c>
      <c r="I32" s="34">
        <f t="shared" si="20"/>
        <v>112486400.00000001</v>
      </c>
      <c r="J32" s="34">
        <f t="shared" si="20"/>
        <v>116985856.00000001</v>
      </c>
      <c r="K32" s="34">
        <f t="shared" si="20"/>
        <v>121665290.24000002</v>
      </c>
      <c r="L32" s="34">
        <f t="shared" si="20"/>
        <v>126531901.84960003</v>
      </c>
      <c r="M32" s="34">
        <f t="shared" si="20"/>
        <v>131593177.92358404</v>
      </c>
      <c r="N32" s="34">
        <f t="shared" si="20"/>
        <v>136856905.0405274</v>
      </c>
      <c r="O32" s="34">
        <f t="shared" si="20"/>
        <v>142331181.24214852</v>
      </c>
    </row>
    <row r="33" spans="1:15" s="15" customFormat="1">
      <c r="A33" s="52"/>
      <c r="C33" s="20"/>
      <c r="D33" s="20"/>
      <c r="E33" s="6"/>
      <c r="F33" s="7"/>
      <c r="G33" s="8"/>
      <c r="H33" s="6"/>
      <c r="I33" s="6"/>
      <c r="J33" s="6"/>
      <c r="K33" s="6"/>
      <c r="L33" s="6"/>
      <c r="M33" s="6"/>
      <c r="N33" s="6"/>
      <c r="O33" s="6"/>
    </row>
    <row r="34" spans="1:15">
      <c r="B34" s="4" t="s">
        <v>33</v>
      </c>
      <c r="C34" s="5" t="s">
        <v>34</v>
      </c>
      <c r="D34" s="5" t="s">
        <v>31</v>
      </c>
      <c r="F34" s="59">
        <v>15000</v>
      </c>
      <c r="G34" s="33">
        <f>+F34*(1+G$3)</f>
        <v>15600</v>
      </c>
      <c r="H34" s="33">
        <f>+G34*(1+H$3)</f>
        <v>16224</v>
      </c>
      <c r="I34" s="33">
        <f t="shared" ref="I34:O36" si="21">+H34*(1+I$3)</f>
        <v>16872.96</v>
      </c>
      <c r="J34" s="33">
        <f t="shared" si="21"/>
        <v>17547.878400000001</v>
      </c>
      <c r="K34" s="33">
        <f t="shared" si="21"/>
        <v>18249.793536000001</v>
      </c>
      <c r="L34" s="33">
        <f t="shared" si="21"/>
        <v>18979.785277440002</v>
      </c>
      <c r="M34" s="33">
        <f t="shared" si="21"/>
        <v>19738.976688537601</v>
      </c>
      <c r="N34" s="33">
        <f t="shared" si="21"/>
        <v>20528.535756079105</v>
      </c>
      <c r="O34" s="33">
        <f t="shared" si="21"/>
        <v>21349.677186322271</v>
      </c>
    </row>
    <row r="35" spans="1:15">
      <c r="B35" s="4" t="s">
        <v>35</v>
      </c>
      <c r="D35" s="5" t="s">
        <v>16</v>
      </c>
      <c r="F35" s="33">
        <f>+F34*F30</f>
        <v>75000000</v>
      </c>
      <c r="G35" s="33">
        <f t="shared" ref="G35:O35" si="22">+G34*G30</f>
        <v>78000000</v>
      </c>
      <c r="H35" s="33">
        <f t="shared" si="22"/>
        <v>81120000</v>
      </c>
      <c r="I35" s="33">
        <f t="shared" si="22"/>
        <v>84364800</v>
      </c>
      <c r="J35" s="33">
        <f t="shared" si="22"/>
        <v>87739392</v>
      </c>
      <c r="K35" s="33">
        <f t="shared" si="22"/>
        <v>91248967.680000007</v>
      </c>
      <c r="L35" s="33">
        <f t="shared" si="22"/>
        <v>94898926.387200013</v>
      </c>
      <c r="M35" s="33">
        <f t="shared" si="22"/>
        <v>98694883.442688003</v>
      </c>
      <c r="N35" s="33">
        <f t="shared" si="22"/>
        <v>102642678.78039552</v>
      </c>
      <c r="O35" s="33">
        <f t="shared" si="22"/>
        <v>106748385.93161136</v>
      </c>
    </row>
    <row r="36" spans="1:15">
      <c r="B36" s="4" t="s">
        <v>36</v>
      </c>
      <c r="D36" s="5" t="s">
        <v>16</v>
      </c>
      <c r="F36" s="59">
        <v>10000000</v>
      </c>
      <c r="G36" s="33">
        <f>+F36*(1+G$3)</f>
        <v>10400000</v>
      </c>
      <c r="H36" s="33">
        <f>+G36*(1+H$3)</f>
        <v>10816000</v>
      </c>
      <c r="I36" s="33">
        <f t="shared" si="21"/>
        <v>11248640</v>
      </c>
      <c r="J36" s="33">
        <f t="shared" si="21"/>
        <v>11698585.6</v>
      </c>
      <c r="K36" s="33">
        <f t="shared" si="21"/>
        <v>12166529.024</v>
      </c>
      <c r="L36" s="33">
        <f t="shared" si="21"/>
        <v>12653190.18496</v>
      </c>
      <c r="M36" s="33">
        <f t="shared" si="21"/>
        <v>13159317.7923584</v>
      </c>
      <c r="N36" s="33">
        <f t="shared" si="21"/>
        <v>13685690.504052736</v>
      </c>
      <c r="O36" s="33">
        <f t="shared" si="21"/>
        <v>14233118.124214847</v>
      </c>
    </row>
    <row r="37" spans="1:15" s="15" customFormat="1">
      <c r="A37" s="52"/>
      <c r="B37" s="10" t="s">
        <v>37</v>
      </c>
      <c r="C37" s="11"/>
      <c r="D37" s="11" t="s">
        <v>16</v>
      </c>
      <c r="E37" s="34"/>
      <c r="F37" s="34">
        <f>+F35+F36</f>
        <v>85000000</v>
      </c>
      <c r="G37" s="34">
        <f t="shared" ref="G37:O37" si="23">+G35+G36</f>
        <v>88400000</v>
      </c>
      <c r="H37" s="34">
        <f t="shared" si="23"/>
        <v>91936000</v>
      </c>
      <c r="I37" s="34">
        <f t="shared" si="23"/>
        <v>95613440</v>
      </c>
      <c r="J37" s="34">
        <f t="shared" si="23"/>
        <v>99437977.599999994</v>
      </c>
      <c r="K37" s="34">
        <f t="shared" si="23"/>
        <v>103415496.70400001</v>
      </c>
      <c r="L37" s="34">
        <f t="shared" si="23"/>
        <v>107552116.57216001</v>
      </c>
      <c r="M37" s="34">
        <f t="shared" si="23"/>
        <v>111854201.2350464</v>
      </c>
      <c r="N37" s="34">
        <f t="shared" si="23"/>
        <v>116328369.28444827</v>
      </c>
      <c r="O37" s="34">
        <f t="shared" si="23"/>
        <v>120981504.0558262</v>
      </c>
    </row>
    <row r="38" spans="1:15">
      <c r="F38" s="7"/>
      <c r="G38" s="8"/>
    </row>
    <row r="39" spans="1:15">
      <c r="B39" s="4" t="s">
        <v>38</v>
      </c>
      <c r="C39" s="102">
        <v>0.01</v>
      </c>
      <c r="D39" s="5" t="s">
        <v>16</v>
      </c>
      <c r="F39" s="33">
        <f>+$C$39*F32</f>
        <v>1000000</v>
      </c>
      <c r="G39" s="33">
        <f t="shared" ref="G39:O39" si="24">+$C$39*G32</f>
        <v>1040000</v>
      </c>
      <c r="H39" s="33">
        <f t="shared" si="24"/>
        <v>1081600</v>
      </c>
      <c r="I39" s="33">
        <f t="shared" si="24"/>
        <v>1124864.0000000002</v>
      </c>
      <c r="J39" s="33">
        <f t="shared" si="24"/>
        <v>1169858.5600000003</v>
      </c>
      <c r="K39" s="33">
        <f t="shared" si="24"/>
        <v>1216652.9024000003</v>
      </c>
      <c r="L39" s="33">
        <f t="shared" si="24"/>
        <v>1265319.0184960004</v>
      </c>
      <c r="M39" s="33">
        <f t="shared" si="24"/>
        <v>1315931.7792358405</v>
      </c>
      <c r="N39" s="33">
        <f t="shared" si="24"/>
        <v>1368569.0504052741</v>
      </c>
      <c r="O39" s="33">
        <f t="shared" si="24"/>
        <v>1423311.8124214853</v>
      </c>
    </row>
    <row r="40" spans="1:15">
      <c r="B40" s="4" t="s">
        <v>39</v>
      </c>
      <c r="D40" s="5" t="s">
        <v>16</v>
      </c>
      <c r="F40" s="59">
        <v>600000</v>
      </c>
      <c r="G40" s="33">
        <f>+F40*(1+G$3)</f>
        <v>624000</v>
      </c>
      <c r="H40" s="33">
        <f>+G40*(1+H$3)</f>
        <v>648960</v>
      </c>
      <c r="I40" s="33">
        <f t="shared" ref="I40:O40" si="25">+H40*(1+I$3)</f>
        <v>674918.40000000002</v>
      </c>
      <c r="J40" s="33">
        <f t="shared" si="25"/>
        <v>701915.13600000006</v>
      </c>
      <c r="K40" s="33">
        <f t="shared" si="25"/>
        <v>729991.74144000013</v>
      </c>
      <c r="L40" s="33">
        <f t="shared" si="25"/>
        <v>759191.41109760012</v>
      </c>
      <c r="M40" s="33">
        <f t="shared" si="25"/>
        <v>789559.06754150416</v>
      </c>
      <c r="N40" s="33">
        <f t="shared" si="25"/>
        <v>821141.4302431643</v>
      </c>
      <c r="O40" s="33">
        <f t="shared" si="25"/>
        <v>853987.08745289093</v>
      </c>
    </row>
    <row r="41" spans="1:15" s="15" customFormat="1">
      <c r="A41" s="52"/>
      <c r="B41" s="10" t="s">
        <v>40</v>
      </c>
      <c r="C41" s="11"/>
      <c r="D41" s="11"/>
      <c r="E41" s="34"/>
      <c r="F41" s="34">
        <f>+F39+F40</f>
        <v>1600000</v>
      </c>
      <c r="G41" s="34">
        <f t="shared" ref="G41:O41" si="26">+G39+G40</f>
        <v>1664000</v>
      </c>
      <c r="H41" s="34">
        <f t="shared" si="26"/>
        <v>1730560</v>
      </c>
      <c r="I41" s="34">
        <f t="shared" si="26"/>
        <v>1799782.4000000004</v>
      </c>
      <c r="J41" s="34">
        <f t="shared" si="26"/>
        <v>1871773.6960000005</v>
      </c>
      <c r="K41" s="34">
        <f t="shared" si="26"/>
        <v>1946644.6438400005</v>
      </c>
      <c r="L41" s="34">
        <f t="shared" si="26"/>
        <v>2024510.4295936006</v>
      </c>
      <c r="M41" s="34">
        <f t="shared" si="26"/>
        <v>2105490.8467773446</v>
      </c>
      <c r="N41" s="34">
        <f t="shared" si="26"/>
        <v>2189710.4806484384</v>
      </c>
      <c r="O41" s="34">
        <f t="shared" si="26"/>
        <v>2277298.8998743761</v>
      </c>
    </row>
    <row r="42" spans="1:15">
      <c r="F42" s="7"/>
      <c r="G42" s="8"/>
    </row>
    <row r="43" spans="1:15">
      <c r="B43" s="4" t="s">
        <v>41</v>
      </c>
      <c r="D43" s="5" t="s">
        <v>42</v>
      </c>
      <c r="E43" s="60">
        <v>0.12</v>
      </c>
      <c r="F43" s="7"/>
      <c r="G43" s="8"/>
    </row>
    <row r="44" spans="1:15">
      <c r="B44" s="4" t="s">
        <v>43</v>
      </c>
      <c r="D44" s="5" t="s">
        <v>44</v>
      </c>
      <c r="E44" s="61">
        <v>10</v>
      </c>
      <c r="F44" s="7"/>
      <c r="G44" s="8"/>
      <c r="H44" s="33"/>
      <c r="I44" s="33"/>
      <c r="J44" s="33"/>
    </row>
    <row r="45" spans="1:15">
      <c r="B45" s="4" t="s">
        <v>45</v>
      </c>
      <c r="D45" s="5" t="s">
        <v>44</v>
      </c>
      <c r="F45" s="6">
        <v>1</v>
      </c>
      <c r="G45" s="6">
        <v>2</v>
      </c>
      <c r="H45" s="6">
        <v>3</v>
      </c>
      <c r="I45" s="6">
        <v>4</v>
      </c>
      <c r="J45" s="6">
        <v>5</v>
      </c>
      <c r="K45" s="6">
        <v>6</v>
      </c>
      <c r="L45" s="6">
        <v>7</v>
      </c>
      <c r="M45" s="6">
        <v>8</v>
      </c>
      <c r="N45" s="6">
        <v>9</v>
      </c>
      <c r="O45" s="6">
        <v>10</v>
      </c>
    </row>
    <row r="46" spans="1:15">
      <c r="A46" s="6" t="s">
        <v>46</v>
      </c>
      <c r="B46" s="4" t="s">
        <v>47</v>
      </c>
      <c r="D46" s="5" t="s">
        <v>16</v>
      </c>
      <c r="E46" s="167">
        <v>20000000</v>
      </c>
      <c r="F46" s="33">
        <f>+E49</f>
        <v>20000000</v>
      </c>
      <c r="G46" s="33">
        <f t="shared" ref="G46:O46" si="27">+F49</f>
        <v>18860316.716803119</v>
      </c>
      <c r="H46" s="33">
        <f t="shared" si="27"/>
        <v>17583871.439622611</v>
      </c>
      <c r="I46" s="33">
        <f t="shared" si="27"/>
        <v>16154252.729180442</v>
      </c>
      <c r="J46" s="33">
        <f t="shared" si="27"/>
        <v>14553079.773485214</v>
      </c>
      <c r="K46" s="33">
        <f t="shared" si="27"/>
        <v>12759766.063106557</v>
      </c>
      <c r="L46" s="33">
        <f t="shared" si="27"/>
        <v>10751254.707482461</v>
      </c>
      <c r="M46" s="33">
        <f t="shared" si="27"/>
        <v>8501721.9891834743</v>
      </c>
      <c r="N46" s="33">
        <f t="shared" si="27"/>
        <v>5982245.3446886092</v>
      </c>
      <c r="O46" s="33">
        <f t="shared" si="27"/>
        <v>3160431.5028543598</v>
      </c>
    </row>
    <row r="47" spans="1:15">
      <c r="B47" s="4" t="s">
        <v>48</v>
      </c>
      <c r="D47" s="5" t="s">
        <v>16</v>
      </c>
      <c r="E47" s="33"/>
      <c r="F47" s="33">
        <f>+IPMT($E$43,F45,$E$44,-$E$46)</f>
        <v>2400000</v>
      </c>
      <c r="G47" s="33">
        <f t="shared" ref="G47:O47" si="28">+IPMT($E$43,G45,$E$44,-$E$46)</f>
        <v>2263238.0060163741</v>
      </c>
      <c r="H47" s="33">
        <f t="shared" si="28"/>
        <v>2110064.5727547132</v>
      </c>
      <c r="I47" s="33">
        <f t="shared" si="28"/>
        <v>1938510.3275016525</v>
      </c>
      <c r="J47" s="33">
        <f t="shared" si="28"/>
        <v>1746369.5728182252</v>
      </c>
      <c r="K47" s="33">
        <f t="shared" si="28"/>
        <v>1531171.9275727863</v>
      </c>
      <c r="L47" s="33">
        <f t="shared" si="28"/>
        <v>1290150.5648978951</v>
      </c>
      <c r="M47" s="33">
        <f t="shared" si="28"/>
        <v>1020206.6387020167</v>
      </c>
      <c r="N47" s="33">
        <f t="shared" si="28"/>
        <v>717869.4413626329</v>
      </c>
      <c r="O47" s="33">
        <f t="shared" si="28"/>
        <v>379251.78034252307</v>
      </c>
    </row>
    <row r="48" spans="1:15">
      <c r="B48" s="4" t="s">
        <v>49</v>
      </c>
      <c r="D48" s="5" t="s">
        <v>16</v>
      </c>
      <c r="E48" s="33"/>
      <c r="F48" s="33">
        <f>+PPMT($E$43,F45,$E$44,-$E$46)</f>
        <v>1139683.2831968823</v>
      </c>
      <c r="G48" s="33">
        <f>+PPMT($E$43,G45,$E$44,-$E$46)</f>
        <v>1276445.277180508</v>
      </c>
      <c r="H48" s="33">
        <f>+PPMT($E$43,H45,$E$44,-$E$46)</f>
        <v>1429618.7104421691</v>
      </c>
      <c r="I48" s="33">
        <f t="shared" ref="I48:O48" si="29">+PPMT($E$43,I45,$E$44,-$E$46)</f>
        <v>1601172.9556952293</v>
      </c>
      <c r="J48" s="33">
        <f t="shared" si="29"/>
        <v>1793313.7103786566</v>
      </c>
      <c r="K48" s="33">
        <f t="shared" si="29"/>
        <v>2008511.3556240955</v>
      </c>
      <c r="L48" s="33">
        <f t="shared" si="29"/>
        <v>2249532.7182989866</v>
      </c>
      <c r="M48" s="33">
        <f t="shared" si="29"/>
        <v>2519476.6444948651</v>
      </c>
      <c r="N48" s="33">
        <f t="shared" si="29"/>
        <v>2821813.8418342494</v>
      </c>
      <c r="O48" s="33">
        <f t="shared" si="29"/>
        <v>3160431.5028543589</v>
      </c>
    </row>
    <row r="49" spans="1:15">
      <c r="B49" s="4" t="s">
        <v>50</v>
      </c>
      <c r="D49" s="5" t="s">
        <v>16</v>
      </c>
      <c r="E49" s="33">
        <f>+E46-E48</f>
        <v>20000000</v>
      </c>
      <c r="F49" s="33">
        <f>+F46-F48</f>
        <v>18860316.716803119</v>
      </c>
      <c r="G49" s="33">
        <f t="shared" ref="G49:O49" si="30">+G46-G48</f>
        <v>17583871.439622611</v>
      </c>
      <c r="H49" s="33">
        <f t="shared" si="30"/>
        <v>16154252.729180442</v>
      </c>
      <c r="I49" s="33">
        <f t="shared" si="30"/>
        <v>14553079.773485214</v>
      </c>
      <c r="J49" s="33">
        <f t="shared" si="30"/>
        <v>12759766.063106557</v>
      </c>
      <c r="K49" s="33">
        <f t="shared" si="30"/>
        <v>10751254.707482461</v>
      </c>
      <c r="L49" s="33">
        <f t="shared" si="30"/>
        <v>8501721.9891834743</v>
      </c>
      <c r="M49" s="33">
        <f t="shared" si="30"/>
        <v>5982245.3446886092</v>
      </c>
      <c r="N49" s="33">
        <f t="shared" si="30"/>
        <v>3160431.5028543598</v>
      </c>
      <c r="O49" s="33">
        <f t="shared" si="30"/>
        <v>0</v>
      </c>
    </row>
    <row r="50" spans="1:15">
      <c r="B50" s="4" t="s">
        <v>51</v>
      </c>
      <c r="D50" s="5" t="s">
        <v>16</v>
      </c>
      <c r="E50" s="33"/>
      <c r="F50" s="33">
        <f>+PMT($E$43,$E$44,-$E$46)</f>
        <v>3539683.2831968819</v>
      </c>
      <c r="G50" s="33">
        <f t="shared" ref="G50:O50" si="31">+PMT($E$43,$E$44,-$E$46)</f>
        <v>3539683.2831968819</v>
      </c>
      <c r="H50" s="33">
        <f t="shared" si="31"/>
        <v>3539683.2831968819</v>
      </c>
      <c r="I50" s="33">
        <f t="shared" si="31"/>
        <v>3539683.2831968819</v>
      </c>
      <c r="J50" s="33">
        <f t="shared" si="31"/>
        <v>3539683.2831968819</v>
      </c>
      <c r="K50" s="33">
        <f t="shared" si="31"/>
        <v>3539683.2831968819</v>
      </c>
      <c r="L50" s="33">
        <f t="shared" si="31"/>
        <v>3539683.2831968819</v>
      </c>
      <c r="M50" s="33">
        <f t="shared" si="31"/>
        <v>3539683.2831968819</v>
      </c>
      <c r="N50" s="33">
        <f t="shared" si="31"/>
        <v>3539683.2831968819</v>
      </c>
      <c r="O50" s="33">
        <f t="shared" si="31"/>
        <v>3539683.2831968819</v>
      </c>
    </row>
    <row r="51" spans="1:15"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1:15">
      <c r="B52" s="4" t="s">
        <v>52</v>
      </c>
      <c r="C52" s="63">
        <v>60</v>
      </c>
      <c r="D52" s="5" t="s">
        <v>53</v>
      </c>
      <c r="E52" s="33"/>
      <c r="F52" s="33">
        <f>+$C$52</f>
        <v>60</v>
      </c>
      <c r="G52" s="33">
        <f t="shared" ref="G52:O52" si="32">+$C$52</f>
        <v>60</v>
      </c>
      <c r="H52" s="33">
        <f t="shared" si="32"/>
        <v>60</v>
      </c>
      <c r="I52" s="33">
        <f t="shared" si="32"/>
        <v>60</v>
      </c>
      <c r="J52" s="33">
        <f t="shared" si="32"/>
        <v>60</v>
      </c>
      <c r="K52" s="33">
        <f t="shared" si="32"/>
        <v>60</v>
      </c>
      <c r="L52" s="33">
        <f t="shared" si="32"/>
        <v>60</v>
      </c>
      <c r="M52" s="33">
        <f t="shared" si="32"/>
        <v>60</v>
      </c>
      <c r="N52" s="33">
        <f t="shared" si="32"/>
        <v>60</v>
      </c>
      <c r="O52" s="33">
        <f t="shared" si="32"/>
        <v>60</v>
      </c>
    </row>
    <row r="53" spans="1:15">
      <c r="B53" s="4" t="s">
        <v>54</v>
      </c>
      <c r="C53" s="63">
        <v>60</v>
      </c>
      <c r="D53" s="5" t="s">
        <v>55</v>
      </c>
      <c r="E53" s="33"/>
      <c r="F53" s="33">
        <f t="shared" ref="F53:O53" si="33">+$C$53</f>
        <v>60</v>
      </c>
      <c r="G53" s="33">
        <f t="shared" si="33"/>
        <v>60</v>
      </c>
      <c r="H53" s="33">
        <f t="shared" si="33"/>
        <v>60</v>
      </c>
      <c r="I53" s="33">
        <f t="shared" si="33"/>
        <v>60</v>
      </c>
      <c r="J53" s="33">
        <f t="shared" si="33"/>
        <v>60</v>
      </c>
      <c r="K53" s="33">
        <f t="shared" si="33"/>
        <v>60</v>
      </c>
      <c r="L53" s="33">
        <f t="shared" si="33"/>
        <v>60</v>
      </c>
      <c r="M53" s="33">
        <f t="shared" si="33"/>
        <v>60</v>
      </c>
      <c r="N53" s="33">
        <f t="shared" si="33"/>
        <v>60</v>
      </c>
      <c r="O53" s="33">
        <f t="shared" si="33"/>
        <v>60</v>
      </c>
    </row>
    <row r="54" spans="1:15">
      <c r="B54" s="4" t="s">
        <v>56</v>
      </c>
      <c r="C54" s="63">
        <v>60</v>
      </c>
      <c r="D54" s="5" t="s">
        <v>55</v>
      </c>
      <c r="E54" s="33"/>
      <c r="F54" s="33">
        <f>+$C$54</f>
        <v>60</v>
      </c>
      <c r="G54" s="33">
        <f t="shared" ref="G54:O54" si="34">+$C$54</f>
        <v>60</v>
      </c>
      <c r="H54" s="33">
        <f t="shared" si="34"/>
        <v>60</v>
      </c>
      <c r="I54" s="33">
        <f t="shared" si="34"/>
        <v>60</v>
      </c>
      <c r="J54" s="33">
        <f t="shared" si="34"/>
        <v>60</v>
      </c>
      <c r="K54" s="33">
        <f t="shared" si="34"/>
        <v>60</v>
      </c>
      <c r="L54" s="33">
        <f t="shared" si="34"/>
        <v>60</v>
      </c>
      <c r="M54" s="33">
        <f t="shared" si="34"/>
        <v>60</v>
      </c>
      <c r="N54" s="33">
        <f t="shared" si="34"/>
        <v>60</v>
      </c>
      <c r="O54" s="33">
        <f t="shared" si="34"/>
        <v>60</v>
      </c>
    </row>
    <row r="55" spans="1:15"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5">
      <c r="E56" s="33"/>
      <c r="F56" s="33">
        <f>+F60/F32*360</f>
        <v>60</v>
      </c>
      <c r="G56" s="33">
        <f>+G60/G32*360</f>
        <v>60</v>
      </c>
      <c r="H56" s="33"/>
      <c r="I56" s="33"/>
      <c r="J56" s="33"/>
      <c r="K56" s="33"/>
      <c r="L56" s="33"/>
      <c r="M56" s="33"/>
      <c r="N56" s="33"/>
      <c r="O56" s="33"/>
    </row>
    <row r="57" spans="1:15">
      <c r="A57" s="6" t="s">
        <v>57</v>
      </c>
      <c r="B57" s="4" t="s">
        <v>58</v>
      </c>
      <c r="D57" s="5" t="s">
        <v>16</v>
      </c>
      <c r="E57" s="62">
        <v>0</v>
      </c>
      <c r="F57" s="33">
        <f t="shared" ref="F57:O57" si="35">+F52/360*F32</f>
        <v>16666666.666666666</v>
      </c>
      <c r="G57" s="33">
        <f t="shared" si="35"/>
        <v>17333333.333333332</v>
      </c>
      <c r="H57" s="33">
        <f t="shared" si="35"/>
        <v>18026666.666666664</v>
      </c>
      <c r="I57" s="33">
        <f t="shared" si="35"/>
        <v>18747733.333333336</v>
      </c>
      <c r="J57" s="33">
        <f t="shared" si="35"/>
        <v>19497642.666666668</v>
      </c>
      <c r="K57" s="33">
        <f t="shared" si="35"/>
        <v>20277548.373333335</v>
      </c>
      <c r="L57" s="33">
        <f t="shared" si="35"/>
        <v>21088650.30826667</v>
      </c>
      <c r="M57" s="33">
        <f t="shared" si="35"/>
        <v>21932196.320597339</v>
      </c>
      <c r="N57" s="33">
        <f t="shared" si="35"/>
        <v>22809484.173421234</v>
      </c>
      <c r="O57" s="33">
        <f t="shared" si="35"/>
        <v>23721863.540358085</v>
      </c>
    </row>
    <row r="58" spans="1:15">
      <c r="A58" s="6" t="s">
        <v>57</v>
      </c>
      <c r="B58" s="4" t="s">
        <v>59</v>
      </c>
      <c r="D58" s="5" t="s">
        <v>16</v>
      </c>
      <c r="E58" s="62">
        <v>0</v>
      </c>
      <c r="F58" s="33">
        <f>+F53/360*F37</f>
        <v>14166666.666666666</v>
      </c>
      <c r="G58" s="33">
        <f t="shared" ref="G58:O58" si="36">+G53/360*G37</f>
        <v>14733333.333333332</v>
      </c>
      <c r="H58" s="33">
        <f t="shared" si="36"/>
        <v>15322666.666666666</v>
      </c>
      <c r="I58" s="33">
        <f t="shared" si="36"/>
        <v>15935573.333333332</v>
      </c>
      <c r="J58" s="33">
        <f t="shared" si="36"/>
        <v>16572996.266666666</v>
      </c>
      <c r="K58" s="33">
        <f t="shared" si="36"/>
        <v>17235916.117333334</v>
      </c>
      <c r="L58" s="33">
        <f t="shared" si="36"/>
        <v>17925352.762026668</v>
      </c>
      <c r="M58" s="33">
        <f t="shared" si="36"/>
        <v>18642366.872507732</v>
      </c>
      <c r="N58" s="33">
        <f t="shared" si="36"/>
        <v>19388061.547408044</v>
      </c>
      <c r="O58" s="33">
        <f t="shared" si="36"/>
        <v>20163584.009304367</v>
      </c>
    </row>
    <row r="59" spans="1:15">
      <c r="A59" s="6" t="s">
        <v>60</v>
      </c>
      <c r="B59" s="4" t="s">
        <v>61</v>
      </c>
      <c r="D59" s="5" t="s">
        <v>16</v>
      </c>
      <c r="E59" s="62">
        <v>0</v>
      </c>
      <c r="F59" s="33">
        <f>+F54/360*F37</f>
        <v>14166666.666666666</v>
      </c>
      <c r="G59" s="33">
        <f t="shared" ref="G59:O59" si="37">+G54/360*G37</f>
        <v>14733333.333333332</v>
      </c>
      <c r="H59" s="33">
        <f t="shared" si="37"/>
        <v>15322666.666666666</v>
      </c>
      <c r="I59" s="33">
        <f t="shared" si="37"/>
        <v>15935573.333333332</v>
      </c>
      <c r="J59" s="33">
        <f t="shared" si="37"/>
        <v>16572996.266666666</v>
      </c>
      <c r="K59" s="33">
        <f t="shared" si="37"/>
        <v>17235916.117333334</v>
      </c>
      <c r="L59" s="33">
        <f t="shared" si="37"/>
        <v>17925352.762026668</v>
      </c>
      <c r="M59" s="33">
        <f t="shared" si="37"/>
        <v>18642366.872507732</v>
      </c>
      <c r="N59" s="33">
        <f t="shared" si="37"/>
        <v>19388061.547408044</v>
      </c>
      <c r="O59" s="33">
        <f t="shared" si="37"/>
        <v>20163584.009304367</v>
      </c>
    </row>
    <row r="60" spans="1:15">
      <c r="A60" s="6" t="s">
        <v>62</v>
      </c>
      <c r="B60" s="15" t="s">
        <v>63</v>
      </c>
      <c r="C60" s="20"/>
      <c r="D60" s="20" t="s">
        <v>16</v>
      </c>
      <c r="E60" s="62"/>
      <c r="F60" s="62">
        <f>+F57+F58-F59</f>
        <v>16666666.666666666</v>
      </c>
      <c r="G60" s="62">
        <f t="shared" ref="G60:O60" si="38">+G57+G58-G59</f>
        <v>17333333.333333332</v>
      </c>
      <c r="H60" s="62">
        <f t="shared" si="38"/>
        <v>18026666.666666664</v>
      </c>
      <c r="I60" s="62">
        <f t="shared" si="38"/>
        <v>18747733.33333334</v>
      </c>
      <c r="J60" s="62">
        <f t="shared" si="38"/>
        <v>19497642.666666672</v>
      </c>
      <c r="K60" s="62">
        <f t="shared" si="38"/>
        <v>20277548.373333339</v>
      </c>
      <c r="L60" s="62">
        <f t="shared" si="38"/>
        <v>21088650.30826667</v>
      </c>
      <c r="M60" s="62">
        <f t="shared" si="38"/>
        <v>21932196.320597339</v>
      </c>
      <c r="N60" s="62">
        <f t="shared" si="38"/>
        <v>22809484.173421234</v>
      </c>
      <c r="O60" s="62">
        <f t="shared" si="38"/>
        <v>23721863.540358089</v>
      </c>
    </row>
    <row r="61" spans="1:15">
      <c r="A61" s="53" t="s">
        <v>62</v>
      </c>
      <c r="B61" s="10" t="s">
        <v>64</v>
      </c>
      <c r="C61" s="11"/>
      <c r="D61" s="11" t="s">
        <v>16</v>
      </c>
      <c r="E61" s="66"/>
      <c r="F61" s="66">
        <f>+F60-E60</f>
        <v>16666666.666666666</v>
      </c>
      <c r="G61" s="66">
        <f>+G60-F60</f>
        <v>666666.66666666605</v>
      </c>
      <c r="H61" s="66">
        <f t="shared" ref="H61:O61" si="39">+H60-G60</f>
        <v>693333.33333333209</v>
      </c>
      <c r="I61" s="66">
        <f t="shared" si="39"/>
        <v>721066.66666667536</v>
      </c>
      <c r="J61" s="66">
        <f t="shared" si="39"/>
        <v>749909.33333333209</v>
      </c>
      <c r="K61" s="66">
        <f t="shared" si="39"/>
        <v>779905.70666666701</v>
      </c>
      <c r="L61" s="66">
        <f t="shared" si="39"/>
        <v>811101.93493333086</v>
      </c>
      <c r="M61" s="66">
        <f t="shared" si="39"/>
        <v>843546.01233066991</v>
      </c>
      <c r="N61" s="66">
        <f t="shared" si="39"/>
        <v>877287.85282389447</v>
      </c>
      <c r="O61" s="66">
        <f t="shared" si="39"/>
        <v>912379.36693685502</v>
      </c>
    </row>
    <row r="62" spans="1:15"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 spans="1:15">
      <c r="B63" s="37" t="s">
        <v>65</v>
      </c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1:15" s="15" customFormat="1">
      <c r="A64" s="52"/>
      <c r="B64" s="38" t="s">
        <v>66</v>
      </c>
      <c r="C64" s="39"/>
      <c r="D64" s="39" t="s">
        <v>16</v>
      </c>
      <c r="E64" s="64">
        <f>+E32</f>
        <v>0</v>
      </c>
      <c r="F64" s="64">
        <f t="shared" ref="F64:O64" si="40">+F32</f>
        <v>100000000</v>
      </c>
      <c r="G64" s="64">
        <f t="shared" si="40"/>
        <v>104000000</v>
      </c>
      <c r="H64" s="64">
        <f t="shared" si="40"/>
        <v>108160000</v>
      </c>
      <c r="I64" s="64">
        <f t="shared" si="40"/>
        <v>112486400.00000001</v>
      </c>
      <c r="J64" s="64">
        <f t="shared" si="40"/>
        <v>116985856.00000001</v>
      </c>
      <c r="K64" s="64">
        <f t="shared" si="40"/>
        <v>121665290.24000002</v>
      </c>
      <c r="L64" s="64">
        <f t="shared" si="40"/>
        <v>126531901.84960003</v>
      </c>
      <c r="M64" s="64">
        <f t="shared" si="40"/>
        <v>131593177.92358404</v>
      </c>
      <c r="N64" s="64">
        <f t="shared" si="40"/>
        <v>136856905.0405274</v>
      </c>
      <c r="O64" s="64">
        <f t="shared" si="40"/>
        <v>142331181.24214852</v>
      </c>
    </row>
    <row r="65" spans="1:15">
      <c r="B65" s="41" t="s">
        <v>67</v>
      </c>
      <c r="C65" s="42" t="s">
        <v>68</v>
      </c>
      <c r="D65" s="42" t="s">
        <v>16</v>
      </c>
      <c r="E65" s="65">
        <f>+E37</f>
        <v>0</v>
      </c>
      <c r="F65" s="65">
        <f t="shared" ref="F65:O65" si="41">+F37</f>
        <v>85000000</v>
      </c>
      <c r="G65" s="65">
        <f t="shared" si="41"/>
        <v>88400000</v>
      </c>
      <c r="H65" s="65">
        <f t="shared" si="41"/>
        <v>91936000</v>
      </c>
      <c r="I65" s="65">
        <f t="shared" si="41"/>
        <v>95613440</v>
      </c>
      <c r="J65" s="65">
        <f t="shared" si="41"/>
        <v>99437977.599999994</v>
      </c>
      <c r="K65" s="65">
        <f t="shared" si="41"/>
        <v>103415496.70400001</v>
      </c>
      <c r="L65" s="65">
        <f t="shared" si="41"/>
        <v>107552116.57216001</v>
      </c>
      <c r="M65" s="65">
        <f t="shared" si="41"/>
        <v>111854201.2350464</v>
      </c>
      <c r="N65" s="65">
        <f t="shared" si="41"/>
        <v>116328369.28444827</v>
      </c>
      <c r="O65" s="65">
        <f t="shared" si="41"/>
        <v>120981504.0558262</v>
      </c>
    </row>
    <row r="66" spans="1:15">
      <c r="B66" s="41" t="s">
        <v>69</v>
      </c>
      <c r="C66" s="42" t="s">
        <v>68</v>
      </c>
      <c r="D66" s="42" t="s">
        <v>16</v>
      </c>
      <c r="E66" s="65">
        <f>+E41</f>
        <v>0</v>
      </c>
      <c r="F66" s="65">
        <f t="shared" ref="F66:O66" si="42">+F41</f>
        <v>1600000</v>
      </c>
      <c r="G66" s="65">
        <f t="shared" si="42"/>
        <v>1664000</v>
      </c>
      <c r="H66" s="65">
        <f t="shared" si="42"/>
        <v>1730560</v>
      </c>
      <c r="I66" s="65">
        <f t="shared" si="42"/>
        <v>1799782.4000000004</v>
      </c>
      <c r="J66" s="65">
        <f t="shared" si="42"/>
        <v>1871773.6960000005</v>
      </c>
      <c r="K66" s="65">
        <f t="shared" si="42"/>
        <v>1946644.6438400005</v>
      </c>
      <c r="L66" s="65">
        <f t="shared" si="42"/>
        <v>2024510.4295936006</v>
      </c>
      <c r="M66" s="65">
        <f t="shared" si="42"/>
        <v>2105490.8467773446</v>
      </c>
      <c r="N66" s="65">
        <f t="shared" si="42"/>
        <v>2189710.4806484384</v>
      </c>
      <c r="O66" s="65">
        <f t="shared" si="42"/>
        <v>2277298.8998743761</v>
      </c>
    </row>
    <row r="67" spans="1:15" s="15" customFormat="1">
      <c r="A67" s="52"/>
      <c r="B67" s="38" t="s">
        <v>70</v>
      </c>
      <c r="C67" s="39" t="s">
        <v>70</v>
      </c>
      <c r="D67" s="39" t="s">
        <v>16</v>
      </c>
      <c r="E67" s="40">
        <f>+E64-E65-E66</f>
        <v>0</v>
      </c>
      <c r="F67" s="40">
        <f>+F64-F65-F66</f>
        <v>13400000</v>
      </c>
      <c r="G67" s="40">
        <f t="shared" ref="G67:O67" si="43">+G64-G65-G66</f>
        <v>13936000</v>
      </c>
      <c r="H67" s="40">
        <f t="shared" si="43"/>
        <v>14493440</v>
      </c>
      <c r="I67" s="40">
        <f t="shared" si="43"/>
        <v>15073177.600000015</v>
      </c>
      <c r="J67" s="40">
        <f t="shared" si="43"/>
        <v>15676104.70400002</v>
      </c>
      <c r="K67" s="40">
        <f t="shared" si="43"/>
        <v>16303148.892160013</v>
      </c>
      <c r="L67" s="40">
        <f t="shared" si="43"/>
        <v>16955274.847846426</v>
      </c>
      <c r="M67" s="40">
        <f t="shared" si="43"/>
        <v>17633485.841760296</v>
      </c>
      <c r="N67" s="40">
        <f t="shared" si="43"/>
        <v>18338825.275430698</v>
      </c>
      <c r="O67" s="40">
        <f t="shared" si="43"/>
        <v>19072378.286447942</v>
      </c>
    </row>
    <row r="68" spans="1:15">
      <c r="B68" s="41" t="s">
        <v>22</v>
      </c>
      <c r="C68" s="39" t="s">
        <v>71</v>
      </c>
      <c r="D68" s="42" t="s">
        <v>16</v>
      </c>
      <c r="E68" s="65">
        <f>+E27</f>
        <v>0</v>
      </c>
      <c r="F68" s="65">
        <f>+F27</f>
        <v>2100000</v>
      </c>
      <c r="G68" s="65">
        <f t="shared" ref="G68:O68" si="44">+G27</f>
        <v>2204000</v>
      </c>
      <c r="H68" s="65">
        <f t="shared" si="44"/>
        <v>2312160</v>
      </c>
      <c r="I68" s="65">
        <f t="shared" si="44"/>
        <v>2424646.4</v>
      </c>
      <c r="J68" s="65">
        <f t="shared" si="44"/>
        <v>2541632.2560000001</v>
      </c>
      <c r="K68" s="65">
        <f t="shared" si="44"/>
        <v>2663297.5462400001</v>
      </c>
      <c r="L68" s="65">
        <f t="shared" si="44"/>
        <v>2789829.4480896001</v>
      </c>
      <c r="M68" s="65">
        <f t="shared" si="44"/>
        <v>2921422.626013184</v>
      </c>
      <c r="N68" s="65">
        <f t="shared" si="44"/>
        <v>3058279.5310537117</v>
      </c>
      <c r="O68" s="65">
        <f t="shared" si="44"/>
        <v>3236193.5076063974</v>
      </c>
    </row>
    <row r="69" spans="1:15" s="15" customFormat="1">
      <c r="A69" s="52"/>
      <c r="B69" s="38" t="s">
        <v>72</v>
      </c>
      <c r="C69" s="39" t="s">
        <v>73</v>
      </c>
      <c r="D69" s="39" t="s">
        <v>16</v>
      </c>
      <c r="E69" s="40">
        <f t="shared" ref="E69:O69" si="45">+E67-E68</f>
        <v>0</v>
      </c>
      <c r="F69" s="40">
        <f t="shared" si="45"/>
        <v>11300000</v>
      </c>
      <c r="G69" s="40">
        <f t="shared" si="45"/>
        <v>11732000</v>
      </c>
      <c r="H69" s="40">
        <f t="shared" si="45"/>
        <v>12181280</v>
      </c>
      <c r="I69" s="40">
        <f t="shared" si="45"/>
        <v>12648531.200000014</v>
      </c>
      <c r="J69" s="40">
        <f t="shared" si="45"/>
        <v>13134472.448000021</v>
      </c>
      <c r="K69" s="40">
        <f t="shared" si="45"/>
        <v>13639851.345920013</v>
      </c>
      <c r="L69" s="40">
        <f t="shared" si="45"/>
        <v>14165445.399756826</v>
      </c>
      <c r="M69" s="40">
        <f t="shared" si="45"/>
        <v>14712063.215747112</v>
      </c>
      <c r="N69" s="40">
        <f t="shared" si="45"/>
        <v>15280545.744376987</v>
      </c>
      <c r="O69" s="40">
        <f t="shared" si="45"/>
        <v>15836184.778841544</v>
      </c>
    </row>
    <row r="70" spans="1:15" s="69" customFormat="1">
      <c r="A70" s="75"/>
      <c r="B70" s="69" t="s">
        <v>74</v>
      </c>
      <c r="C70" s="73" t="s">
        <v>75</v>
      </c>
      <c r="D70" s="71" t="s">
        <v>16</v>
      </c>
      <c r="E70" s="76">
        <f>+E47</f>
        <v>0</v>
      </c>
      <c r="F70" s="76">
        <f>+F47</f>
        <v>2400000</v>
      </c>
      <c r="G70" s="76">
        <f t="shared" ref="G70:O70" si="46">+G47</f>
        <v>2263238.0060163741</v>
      </c>
      <c r="H70" s="76">
        <f t="shared" si="46"/>
        <v>2110064.5727547132</v>
      </c>
      <c r="I70" s="76">
        <f t="shared" si="46"/>
        <v>1938510.3275016525</v>
      </c>
      <c r="J70" s="76">
        <f t="shared" si="46"/>
        <v>1746369.5728182252</v>
      </c>
      <c r="K70" s="76">
        <f t="shared" si="46"/>
        <v>1531171.9275727863</v>
      </c>
      <c r="L70" s="76">
        <f t="shared" si="46"/>
        <v>1290150.5648978951</v>
      </c>
      <c r="M70" s="76">
        <f t="shared" si="46"/>
        <v>1020206.6387020167</v>
      </c>
      <c r="N70" s="76">
        <f t="shared" si="46"/>
        <v>717869.4413626329</v>
      </c>
      <c r="O70" s="76">
        <f t="shared" si="46"/>
        <v>379251.78034252307</v>
      </c>
    </row>
    <row r="71" spans="1:15" s="72" customFormat="1">
      <c r="A71" s="77"/>
      <c r="B71" s="72" t="s">
        <v>76</v>
      </c>
      <c r="C71" s="73" t="s">
        <v>77</v>
      </c>
      <c r="D71" s="73" t="s">
        <v>16</v>
      </c>
      <c r="E71" s="74">
        <f t="shared" ref="E71:O71" si="47">+E69-E70</f>
        <v>0</v>
      </c>
      <c r="F71" s="74">
        <f t="shared" si="47"/>
        <v>8900000</v>
      </c>
      <c r="G71" s="74">
        <f t="shared" si="47"/>
        <v>9468761.9939836264</v>
      </c>
      <c r="H71" s="74">
        <f t="shared" si="47"/>
        <v>10071215.427245287</v>
      </c>
      <c r="I71" s="74">
        <f t="shared" si="47"/>
        <v>10710020.872498361</v>
      </c>
      <c r="J71" s="74">
        <f t="shared" si="47"/>
        <v>11388102.875181796</v>
      </c>
      <c r="K71" s="74">
        <f t="shared" si="47"/>
        <v>12108679.418347226</v>
      </c>
      <c r="L71" s="74">
        <f t="shared" si="47"/>
        <v>12875294.834858932</v>
      </c>
      <c r="M71" s="74">
        <f t="shared" si="47"/>
        <v>13691856.577045096</v>
      </c>
      <c r="N71" s="74">
        <f t="shared" si="47"/>
        <v>14562676.303014355</v>
      </c>
      <c r="O71" s="74">
        <f t="shared" si="47"/>
        <v>15456932.998499021</v>
      </c>
    </row>
    <row r="72" spans="1:15" s="69" customFormat="1">
      <c r="A72" s="75"/>
      <c r="B72" s="69" t="s">
        <v>78</v>
      </c>
      <c r="C72" s="73" t="s">
        <v>79</v>
      </c>
      <c r="D72" s="71" t="s">
        <v>16</v>
      </c>
      <c r="E72" s="76">
        <f>+IF(E71&lt;0,0,E71*$E$4)</f>
        <v>0</v>
      </c>
      <c r="F72" s="76">
        <f t="shared" ref="F72:O72" si="48">+IF(F71&lt;0,0,F71*F4)</f>
        <v>2937000</v>
      </c>
      <c r="G72" s="76">
        <f t="shared" si="48"/>
        <v>3124691.4580145967</v>
      </c>
      <c r="H72" s="76">
        <f t="shared" si="48"/>
        <v>3323501.0909909448</v>
      </c>
      <c r="I72" s="76">
        <f t="shared" si="48"/>
        <v>3534306.8879244593</v>
      </c>
      <c r="J72" s="76">
        <f t="shared" si="48"/>
        <v>3758073.948809993</v>
      </c>
      <c r="K72" s="76">
        <f t="shared" si="48"/>
        <v>3995864.2080545849</v>
      </c>
      <c r="L72" s="76">
        <f t="shared" si="48"/>
        <v>4248847.2955034478</v>
      </c>
      <c r="M72" s="76">
        <f t="shared" si="48"/>
        <v>4518312.6704248823</v>
      </c>
      <c r="N72" s="76">
        <f t="shared" si="48"/>
        <v>4805683.1799947377</v>
      </c>
      <c r="O72" s="76">
        <f t="shared" si="48"/>
        <v>5100787.8895046767</v>
      </c>
    </row>
    <row r="73" spans="1:15" s="72" customFormat="1">
      <c r="A73" s="77"/>
      <c r="B73" s="72" t="s">
        <v>80</v>
      </c>
      <c r="C73" s="73" t="s">
        <v>81</v>
      </c>
      <c r="D73" s="73" t="s">
        <v>16</v>
      </c>
      <c r="E73" s="74">
        <f t="shared" ref="E73:O73" si="49">+E71-E72</f>
        <v>0</v>
      </c>
      <c r="F73" s="74">
        <f t="shared" si="49"/>
        <v>5963000</v>
      </c>
      <c r="G73" s="74">
        <f t="shared" si="49"/>
        <v>6344070.5359690301</v>
      </c>
      <c r="H73" s="74">
        <f t="shared" si="49"/>
        <v>6747714.3362543425</v>
      </c>
      <c r="I73" s="74">
        <f t="shared" si="49"/>
        <v>7175713.9845739026</v>
      </c>
      <c r="J73" s="74">
        <f t="shared" si="49"/>
        <v>7630028.9263718035</v>
      </c>
      <c r="K73" s="74">
        <f t="shared" si="49"/>
        <v>8112815.2102926411</v>
      </c>
      <c r="L73" s="74">
        <f t="shared" si="49"/>
        <v>8626447.5393554829</v>
      </c>
      <c r="M73" s="74">
        <f t="shared" si="49"/>
        <v>9173543.9066202138</v>
      </c>
      <c r="N73" s="74">
        <f t="shared" si="49"/>
        <v>9756993.1230196171</v>
      </c>
      <c r="O73" s="74">
        <f t="shared" si="49"/>
        <v>10356145.108994344</v>
      </c>
    </row>
    <row r="74" spans="1:15" s="15" customFormat="1">
      <c r="A74" s="52"/>
      <c r="C74" s="20"/>
      <c r="D74" s="20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</row>
    <row r="75" spans="1:15">
      <c r="A75" s="4"/>
      <c r="B75" s="41" t="s">
        <v>82</v>
      </c>
      <c r="C75" s="42" t="s">
        <v>70</v>
      </c>
      <c r="D75" s="42" t="s">
        <v>16</v>
      </c>
      <c r="E75" s="43">
        <f t="shared" ref="E75:O75" si="50">+E69+E68</f>
        <v>0</v>
      </c>
      <c r="F75" s="43">
        <f t="shared" si="50"/>
        <v>13400000</v>
      </c>
      <c r="G75" s="43">
        <f t="shared" si="50"/>
        <v>13936000</v>
      </c>
      <c r="H75" s="43">
        <f t="shared" si="50"/>
        <v>14493440</v>
      </c>
      <c r="I75" s="43">
        <f t="shared" si="50"/>
        <v>15073177.600000015</v>
      </c>
      <c r="J75" s="43">
        <f t="shared" si="50"/>
        <v>15676104.704000022</v>
      </c>
      <c r="K75" s="43">
        <f t="shared" si="50"/>
        <v>16303148.892160013</v>
      </c>
      <c r="L75" s="43">
        <f t="shared" si="50"/>
        <v>16955274.847846426</v>
      </c>
      <c r="M75" s="43">
        <f t="shared" si="50"/>
        <v>17633485.841760296</v>
      </c>
      <c r="N75" s="43">
        <f t="shared" si="50"/>
        <v>18338825.275430698</v>
      </c>
      <c r="O75" s="43">
        <f t="shared" si="50"/>
        <v>19072378.286447942</v>
      </c>
    </row>
    <row r="76" spans="1:15">
      <c r="A76" s="4"/>
      <c r="B76" s="41" t="s">
        <v>121</v>
      </c>
      <c r="C76" s="39"/>
      <c r="D76" s="42" t="s">
        <v>83</v>
      </c>
      <c r="E76" s="43"/>
      <c r="F76" s="168">
        <f t="shared" ref="F76:O76" si="51">+F69/F70</f>
        <v>4.708333333333333</v>
      </c>
      <c r="G76" s="168">
        <f t="shared" si="51"/>
        <v>5.1837234832628205</v>
      </c>
      <c r="H76" s="168">
        <f t="shared" si="51"/>
        <v>5.77294181291201</v>
      </c>
      <c r="I76" s="168">
        <f t="shared" si="51"/>
        <v>6.5248717123428541</v>
      </c>
      <c r="J76" s="168">
        <f t="shared" si="51"/>
        <v>7.521015398134832</v>
      </c>
      <c r="K76" s="168">
        <f t="shared" si="51"/>
        <v>8.9081122115018818</v>
      </c>
      <c r="L76" s="168">
        <f t="shared" si="51"/>
        <v>10.979683910674337</v>
      </c>
      <c r="M76" s="168">
        <f t="shared" si="51"/>
        <v>14.420669948261562</v>
      </c>
      <c r="N76" s="168">
        <f t="shared" si="51"/>
        <v>21.285967703781939</v>
      </c>
      <c r="O76" s="168">
        <f t="shared" si="51"/>
        <v>41.756388762470721</v>
      </c>
    </row>
    <row r="77" spans="1:15" s="15" customFormat="1">
      <c r="A77" s="52"/>
      <c r="C77" s="20"/>
      <c r="D77" s="20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1:15" s="15" customFormat="1">
      <c r="A78" s="52"/>
      <c r="B78" s="109" t="s">
        <v>84</v>
      </c>
      <c r="C78" s="20"/>
      <c r="D78" s="20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</row>
    <row r="79" spans="1:15" s="15" customFormat="1">
      <c r="A79" s="52" t="s">
        <v>62</v>
      </c>
      <c r="B79" s="15" t="s">
        <v>85</v>
      </c>
      <c r="C79" s="20"/>
      <c r="D79" s="20" t="s">
        <v>16</v>
      </c>
      <c r="E79" s="46">
        <f t="shared" ref="E79:O79" si="52">+E73</f>
        <v>0</v>
      </c>
      <c r="F79" s="46">
        <f>+F73</f>
        <v>5963000</v>
      </c>
      <c r="G79" s="46">
        <f>+G73</f>
        <v>6344070.5359690301</v>
      </c>
      <c r="H79" s="46">
        <f t="shared" si="52"/>
        <v>6747714.3362543425</v>
      </c>
      <c r="I79" s="46">
        <f t="shared" si="52"/>
        <v>7175713.9845739026</v>
      </c>
      <c r="J79" s="46">
        <f t="shared" si="52"/>
        <v>7630028.9263718035</v>
      </c>
      <c r="K79" s="46">
        <f t="shared" si="52"/>
        <v>8112815.2102926411</v>
      </c>
      <c r="L79" s="46">
        <f t="shared" si="52"/>
        <v>8626447.5393554829</v>
      </c>
      <c r="M79" s="46">
        <f t="shared" si="52"/>
        <v>9173543.9066202138</v>
      </c>
      <c r="N79" s="46">
        <f t="shared" si="52"/>
        <v>9756993.1230196171</v>
      </c>
      <c r="O79" s="46">
        <f t="shared" si="52"/>
        <v>10356145.108994344</v>
      </c>
    </row>
    <row r="80" spans="1:15">
      <c r="A80" s="6" t="s">
        <v>57</v>
      </c>
      <c r="B80" s="4" t="s">
        <v>22</v>
      </c>
      <c r="D80" s="5" t="s">
        <v>16</v>
      </c>
      <c r="E80" s="62">
        <f t="shared" ref="E80:O80" si="53">+E68</f>
        <v>0</v>
      </c>
      <c r="F80" s="62">
        <f t="shared" si="53"/>
        <v>2100000</v>
      </c>
      <c r="G80" s="62">
        <f t="shared" si="53"/>
        <v>2204000</v>
      </c>
      <c r="H80" s="62">
        <f t="shared" si="53"/>
        <v>2312160</v>
      </c>
      <c r="I80" s="62">
        <f t="shared" si="53"/>
        <v>2424646.4</v>
      </c>
      <c r="J80" s="62">
        <f t="shared" si="53"/>
        <v>2541632.2560000001</v>
      </c>
      <c r="K80" s="62">
        <f t="shared" si="53"/>
        <v>2663297.5462400001</v>
      </c>
      <c r="L80" s="62">
        <f t="shared" si="53"/>
        <v>2789829.4480896001</v>
      </c>
      <c r="M80" s="62">
        <f t="shared" si="53"/>
        <v>2921422.626013184</v>
      </c>
      <c r="N80" s="62">
        <f t="shared" si="53"/>
        <v>3058279.5310537117</v>
      </c>
      <c r="O80" s="62">
        <f t="shared" si="53"/>
        <v>3236193.5076063974</v>
      </c>
    </row>
    <row r="81" spans="1:15" s="15" customFormat="1">
      <c r="A81" s="52" t="s">
        <v>62</v>
      </c>
      <c r="B81" s="15" t="s">
        <v>122</v>
      </c>
      <c r="C81" s="20"/>
      <c r="D81" s="20" t="s">
        <v>16</v>
      </c>
      <c r="E81" s="46">
        <f>+E79+E80</f>
        <v>0</v>
      </c>
      <c r="F81" s="46">
        <f>+F79+F80</f>
        <v>8063000</v>
      </c>
      <c r="G81" s="46">
        <f t="shared" ref="G81:O81" si="54">+G79+G80</f>
        <v>8548070.5359690301</v>
      </c>
      <c r="H81" s="46">
        <f t="shared" si="54"/>
        <v>9059874.3362543434</v>
      </c>
      <c r="I81" s="46">
        <f t="shared" si="54"/>
        <v>9600360.3845739029</v>
      </c>
      <c r="J81" s="46">
        <f t="shared" si="54"/>
        <v>10171661.182371803</v>
      </c>
      <c r="K81" s="46">
        <f t="shared" si="54"/>
        <v>10776112.756532641</v>
      </c>
      <c r="L81" s="46">
        <f t="shared" si="54"/>
        <v>11416276.987445083</v>
      </c>
      <c r="M81" s="46">
        <f t="shared" si="54"/>
        <v>12094966.532633398</v>
      </c>
      <c r="N81" s="46">
        <f t="shared" si="54"/>
        <v>12815272.654073328</v>
      </c>
      <c r="O81" s="46">
        <f t="shared" si="54"/>
        <v>13592338.616600741</v>
      </c>
    </row>
    <row r="82" spans="1:15">
      <c r="A82" s="6" t="s">
        <v>60</v>
      </c>
      <c r="B82" s="4" t="s">
        <v>64</v>
      </c>
      <c r="D82" s="5" t="s">
        <v>16</v>
      </c>
      <c r="E82" s="62">
        <f t="shared" ref="E82:O82" si="55">+E61</f>
        <v>0</v>
      </c>
      <c r="F82" s="62">
        <f t="shared" si="55"/>
        <v>16666666.666666666</v>
      </c>
      <c r="G82" s="62">
        <f t="shared" si="55"/>
        <v>666666.66666666605</v>
      </c>
      <c r="H82" s="62">
        <f t="shared" si="55"/>
        <v>693333.33333333209</v>
      </c>
      <c r="I82" s="62">
        <f t="shared" si="55"/>
        <v>721066.66666667536</v>
      </c>
      <c r="J82" s="62">
        <f t="shared" si="55"/>
        <v>749909.33333333209</v>
      </c>
      <c r="K82" s="62">
        <f t="shared" si="55"/>
        <v>779905.70666666701</v>
      </c>
      <c r="L82" s="62">
        <f t="shared" si="55"/>
        <v>811101.93493333086</v>
      </c>
      <c r="M82" s="62">
        <f t="shared" si="55"/>
        <v>843546.01233066991</v>
      </c>
      <c r="N82" s="62">
        <f t="shared" si="55"/>
        <v>877287.85282389447</v>
      </c>
      <c r="O82" s="62">
        <f t="shared" si="55"/>
        <v>912379.36693685502</v>
      </c>
    </row>
    <row r="83" spans="1:15" s="15" customFormat="1">
      <c r="A83" s="103" t="s">
        <v>62</v>
      </c>
      <c r="B83" s="104" t="s">
        <v>123</v>
      </c>
      <c r="C83" s="105"/>
      <c r="D83" s="105" t="s">
        <v>16</v>
      </c>
      <c r="E83" s="106">
        <f>+E81-E82</f>
        <v>0</v>
      </c>
      <c r="F83" s="106">
        <f>+F81-F82</f>
        <v>-8603666.666666666</v>
      </c>
      <c r="G83" s="106">
        <f t="shared" ref="G83:O83" si="56">+G81-G82</f>
        <v>7881403.8693023641</v>
      </c>
      <c r="H83" s="106">
        <f t="shared" si="56"/>
        <v>8366541.0029210113</v>
      </c>
      <c r="I83" s="106">
        <f t="shared" si="56"/>
        <v>8879293.7179072276</v>
      </c>
      <c r="J83" s="106">
        <f t="shared" si="56"/>
        <v>9421751.8490384705</v>
      </c>
      <c r="K83" s="106">
        <f t="shared" si="56"/>
        <v>9996207.0498659741</v>
      </c>
      <c r="L83" s="106">
        <f t="shared" si="56"/>
        <v>10605175.052511752</v>
      </c>
      <c r="M83" s="106">
        <f t="shared" si="56"/>
        <v>11251420.520302728</v>
      </c>
      <c r="N83" s="106">
        <f t="shared" si="56"/>
        <v>11937984.801249433</v>
      </c>
      <c r="O83" s="106">
        <f t="shared" si="56"/>
        <v>12679959.249663886</v>
      </c>
    </row>
    <row r="84" spans="1:15" s="15" customFormat="1">
      <c r="A84" s="52"/>
      <c r="C84" s="20"/>
      <c r="D84" s="20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</row>
    <row r="85" spans="1:15">
      <c r="A85" s="6" t="s">
        <v>60</v>
      </c>
      <c r="B85" s="4" t="s">
        <v>87</v>
      </c>
      <c r="D85" s="5" t="s">
        <v>16</v>
      </c>
      <c r="E85" s="62">
        <f t="shared" ref="E85:O85" si="57">+E26</f>
        <v>40000000</v>
      </c>
      <c r="F85" s="62">
        <f t="shared" si="57"/>
        <v>2000000</v>
      </c>
      <c r="G85" s="62">
        <f t="shared" si="57"/>
        <v>2080000</v>
      </c>
      <c r="H85" s="62">
        <f t="shared" si="57"/>
        <v>2163200</v>
      </c>
      <c r="I85" s="62">
        <f t="shared" si="57"/>
        <v>2249728</v>
      </c>
      <c r="J85" s="62">
        <f t="shared" si="57"/>
        <v>2339717.1200000001</v>
      </c>
      <c r="K85" s="62">
        <f t="shared" si="57"/>
        <v>2433305.8048</v>
      </c>
      <c r="L85" s="62">
        <f t="shared" si="57"/>
        <v>2530638.036992</v>
      </c>
      <c r="M85" s="62">
        <f t="shared" si="57"/>
        <v>2631863.5584716802</v>
      </c>
      <c r="N85" s="62">
        <f t="shared" si="57"/>
        <v>2737138.1008105474</v>
      </c>
      <c r="O85" s="62">
        <f t="shared" si="57"/>
        <v>3558279.5310537131</v>
      </c>
    </row>
    <row r="86" spans="1:15" s="15" customFormat="1">
      <c r="A86" s="103" t="s">
        <v>62</v>
      </c>
      <c r="B86" s="104" t="s">
        <v>88</v>
      </c>
      <c r="C86" s="105"/>
      <c r="D86" s="105" t="s">
        <v>16</v>
      </c>
      <c r="E86" s="106">
        <f>-E85</f>
        <v>-40000000</v>
      </c>
      <c r="F86" s="106">
        <f>-F85</f>
        <v>-2000000</v>
      </c>
      <c r="G86" s="106">
        <f t="shared" ref="G86:O86" si="58">-G85</f>
        <v>-2080000</v>
      </c>
      <c r="H86" s="106">
        <f t="shared" si="58"/>
        <v>-2163200</v>
      </c>
      <c r="I86" s="106">
        <f t="shared" si="58"/>
        <v>-2249728</v>
      </c>
      <c r="J86" s="106">
        <f t="shared" si="58"/>
        <v>-2339717.1200000001</v>
      </c>
      <c r="K86" s="106">
        <f t="shared" si="58"/>
        <v>-2433305.8048</v>
      </c>
      <c r="L86" s="106">
        <f t="shared" si="58"/>
        <v>-2530638.036992</v>
      </c>
      <c r="M86" s="106">
        <f t="shared" si="58"/>
        <v>-2631863.5584716802</v>
      </c>
      <c r="N86" s="106">
        <f t="shared" si="58"/>
        <v>-2737138.1008105474</v>
      </c>
      <c r="O86" s="106">
        <f t="shared" si="58"/>
        <v>-3558279.5310537131</v>
      </c>
    </row>
    <row r="87" spans="1:15" s="15" customFormat="1">
      <c r="A87" s="52"/>
      <c r="C87" s="20"/>
      <c r="D87" s="20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1:15">
      <c r="A88" s="6" t="s">
        <v>57</v>
      </c>
      <c r="B88" s="4" t="s">
        <v>89</v>
      </c>
      <c r="D88" s="5" t="s">
        <v>16</v>
      </c>
      <c r="E88" s="62">
        <f>+E46</f>
        <v>20000000</v>
      </c>
      <c r="F88" s="62"/>
      <c r="G88" s="62"/>
      <c r="H88" s="62"/>
      <c r="I88" s="62"/>
      <c r="J88" s="62"/>
      <c r="K88" s="62"/>
      <c r="L88" s="62"/>
      <c r="M88" s="62"/>
      <c r="N88" s="62"/>
      <c r="O88" s="62"/>
    </row>
    <row r="89" spans="1:15">
      <c r="A89" s="6" t="s">
        <v>60</v>
      </c>
      <c r="B89" s="4" t="s">
        <v>90</v>
      </c>
      <c r="D89" s="5" t="s">
        <v>16</v>
      </c>
      <c r="E89" s="62">
        <f t="shared" ref="E89:O89" si="59">+E48</f>
        <v>0</v>
      </c>
      <c r="F89" s="62">
        <f t="shared" si="59"/>
        <v>1139683.2831968823</v>
      </c>
      <c r="G89" s="62">
        <f t="shared" si="59"/>
        <v>1276445.277180508</v>
      </c>
      <c r="H89" s="62">
        <f t="shared" si="59"/>
        <v>1429618.7104421691</v>
      </c>
      <c r="I89" s="62">
        <f t="shared" si="59"/>
        <v>1601172.9556952293</v>
      </c>
      <c r="J89" s="62">
        <f t="shared" si="59"/>
        <v>1793313.7103786566</v>
      </c>
      <c r="K89" s="62">
        <f t="shared" si="59"/>
        <v>2008511.3556240955</v>
      </c>
      <c r="L89" s="62">
        <f t="shared" si="59"/>
        <v>2249532.7182989866</v>
      </c>
      <c r="M89" s="62">
        <f t="shared" si="59"/>
        <v>2519476.6444948651</v>
      </c>
      <c r="N89" s="62">
        <f t="shared" si="59"/>
        <v>2821813.8418342494</v>
      </c>
      <c r="O89" s="62">
        <f t="shared" si="59"/>
        <v>3160431.5028543589</v>
      </c>
    </row>
    <row r="90" spans="1:15">
      <c r="A90" s="6" t="s">
        <v>57</v>
      </c>
      <c r="B90" s="4" t="s">
        <v>91</v>
      </c>
      <c r="D90" s="5" t="s">
        <v>16</v>
      </c>
      <c r="E90" s="62">
        <v>32000000</v>
      </c>
      <c r="F90" s="62"/>
      <c r="G90" s="62"/>
      <c r="H90" s="62"/>
      <c r="I90" s="62"/>
      <c r="J90" s="62"/>
      <c r="K90" s="62"/>
      <c r="L90" s="62"/>
      <c r="M90" s="62"/>
      <c r="N90" s="62"/>
      <c r="O90" s="62"/>
    </row>
    <row r="91" spans="1:15">
      <c r="A91" s="6" t="s">
        <v>60</v>
      </c>
      <c r="B91" s="4" t="s">
        <v>92</v>
      </c>
      <c r="D91" s="5" t="s">
        <v>16</v>
      </c>
      <c r="E91" s="62"/>
      <c r="F91" s="62">
        <v>256650</v>
      </c>
      <c r="G91" s="62">
        <f>+G83+G86-G89</f>
        <v>4524958.5921218563</v>
      </c>
      <c r="H91" s="62">
        <f>+H83+H86-H89</f>
        <v>4773722.2924788427</v>
      </c>
      <c r="I91" s="62">
        <f>+I83+I86-I89</f>
        <v>5028392.762211998</v>
      </c>
      <c r="J91" s="62">
        <f t="shared" ref="J91:O91" si="60">+J83+J86-J89</f>
        <v>5288721.0186598133</v>
      </c>
      <c r="K91" s="62">
        <f t="shared" si="60"/>
        <v>5554389.8894418785</v>
      </c>
      <c r="L91" s="62">
        <f t="shared" si="60"/>
        <v>5825004.2972207647</v>
      </c>
      <c r="M91" s="62">
        <f t="shared" si="60"/>
        <v>6100080.317336183</v>
      </c>
      <c r="N91" s="62">
        <f t="shared" si="60"/>
        <v>6379032.8586046379</v>
      </c>
      <c r="O91" s="62">
        <f t="shared" si="60"/>
        <v>5961248.2157558147</v>
      </c>
    </row>
    <row r="92" spans="1:15" s="15" customFormat="1">
      <c r="A92" s="103" t="s">
        <v>62</v>
      </c>
      <c r="B92" s="104" t="s">
        <v>93</v>
      </c>
      <c r="C92" s="105"/>
      <c r="D92" s="105" t="s">
        <v>16</v>
      </c>
      <c r="E92" s="106">
        <f>+E88-E89+E90-E91</f>
        <v>52000000</v>
      </c>
      <c r="F92" s="106">
        <f>+F88-F89+F90-F91</f>
        <v>-1396333.2831968823</v>
      </c>
      <c r="G92" s="106">
        <f t="shared" ref="G92:O92" si="61">+G88-G89+G90-G91</f>
        <v>-5801403.8693023641</v>
      </c>
      <c r="H92" s="106">
        <f t="shared" si="61"/>
        <v>-6203341.0029210113</v>
      </c>
      <c r="I92" s="106">
        <f t="shared" si="61"/>
        <v>-6629565.7179072276</v>
      </c>
      <c r="J92" s="106">
        <f t="shared" si="61"/>
        <v>-7082034.7290384695</v>
      </c>
      <c r="K92" s="106">
        <f t="shared" si="61"/>
        <v>-7562901.2450659741</v>
      </c>
      <c r="L92" s="106">
        <f t="shared" si="61"/>
        <v>-8074537.0155197512</v>
      </c>
      <c r="M92" s="106">
        <f t="shared" si="61"/>
        <v>-8619556.9618310481</v>
      </c>
      <c r="N92" s="106">
        <f t="shared" si="61"/>
        <v>-9200846.7004388869</v>
      </c>
      <c r="O92" s="106">
        <f t="shared" si="61"/>
        <v>-9121679.7186101731</v>
      </c>
    </row>
    <row r="93" spans="1:15" s="15" customFormat="1">
      <c r="A93" s="52"/>
      <c r="C93" s="20"/>
      <c r="D93" s="20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</row>
    <row r="94" spans="1:15" s="15" customFormat="1">
      <c r="A94" s="52" t="s">
        <v>62</v>
      </c>
      <c r="B94" s="15" t="s">
        <v>94</v>
      </c>
      <c r="C94" s="20"/>
      <c r="D94" s="20" t="s">
        <v>16</v>
      </c>
      <c r="E94" s="46">
        <f t="shared" ref="E94:O94" si="62">+E83+E86+E92</f>
        <v>12000000</v>
      </c>
      <c r="F94" s="46">
        <f>+F83+F86+F92</f>
        <v>-11999999.949863549</v>
      </c>
      <c r="G94" s="46">
        <f t="shared" si="62"/>
        <v>0</v>
      </c>
      <c r="H94" s="46">
        <f t="shared" si="62"/>
        <v>0</v>
      </c>
      <c r="I94" s="46">
        <f t="shared" si="62"/>
        <v>0</v>
      </c>
      <c r="J94" s="46">
        <f t="shared" si="62"/>
        <v>0</v>
      </c>
      <c r="K94" s="46">
        <f t="shared" si="62"/>
        <v>0</v>
      </c>
      <c r="L94" s="46">
        <f t="shared" si="62"/>
        <v>0</v>
      </c>
      <c r="M94" s="46">
        <f t="shared" si="62"/>
        <v>0</v>
      </c>
      <c r="N94" s="46">
        <f t="shared" si="62"/>
        <v>0</v>
      </c>
      <c r="O94" s="46">
        <f t="shared" si="62"/>
        <v>0</v>
      </c>
    </row>
    <row r="95" spans="1:15">
      <c r="A95" s="6" t="s">
        <v>57</v>
      </c>
      <c r="B95" s="4" t="s">
        <v>95</v>
      </c>
      <c r="D95" s="5" t="s">
        <v>16</v>
      </c>
      <c r="E95" s="108">
        <v>0</v>
      </c>
      <c r="F95" s="46">
        <f>+E96</f>
        <v>12000000</v>
      </c>
      <c r="G95" s="46">
        <f t="shared" ref="G95:O95" si="63">+F96</f>
        <v>5.0136450678110123E-2</v>
      </c>
      <c r="H95" s="46">
        <f t="shared" si="63"/>
        <v>5.0136450678110123E-2</v>
      </c>
      <c r="I95" s="46">
        <f t="shared" si="63"/>
        <v>5.0136450678110123E-2</v>
      </c>
      <c r="J95" s="46">
        <f t="shared" si="63"/>
        <v>5.0136450678110123E-2</v>
      </c>
      <c r="K95" s="46">
        <f t="shared" si="63"/>
        <v>5.0136450678110123E-2</v>
      </c>
      <c r="L95" s="46">
        <f t="shared" si="63"/>
        <v>5.0136450678110123E-2</v>
      </c>
      <c r="M95" s="46">
        <f t="shared" si="63"/>
        <v>5.0136450678110123E-2</v>
      </c>
      <c r="N95" s="46">
        <f t="shared" si="63"/>
        <v>5.0136450678110123E-2</v>
      </c>
      <c r="O95" s="46">
        <f t="shared" si="63"/>
        <v>5.0136450678110123E-2</v>
      </c>
    </row>
    <row r="96" spans="1:15" s="15" customFormat="1">
      <c r="A96" s="52" t="s">
        <v>62</v>
      </c>
      <c r="B96" s="15" t="s">
        <v>96</v>
      </c>
      <c r="C96" s="20"/>
      <c r="D96" s="20" t="s">
        <v>16</v>
      </c>
      <c r="E96" s="46">
        <f>+E94+E95</f>
        <v>12000000</v>
      </c>
      <c r="F96" s="46">
        <f>+F94+F95</f>
        <v>5.0136450678110123E-2</v>
      </c>
      <c r="G96" s="46">
        <f t="shared" ref="G96:O96" si="64">+G94+G95</f>
        <v>5.0136450678110123E-2</v>
      </c>
      <c r="H96" s="46">
        <f t="shared" si="64"/>
        <v>5.0136450678110123E-2</v>
      </c>
      <c r="I96" s="46">
        <f t="shared" si="64"/>
        <v>5.0136450678110123E-2</v>
      </c>
      <c r="J96" s="46">
        <f t="shared" si="64"/>
        <v>5.0136450678110123E-2</v>
      </c>
      <c r="K96" s="46">
        <f t="shared" si="64"/>
        <v>5.0136450678110123E-2</v>
      </c>
      <c r="L96" s="46">
        <f t="shared" si="64"/>
        <v>5.0136450678110123E-2</v>
      </c>
      <c r="M96" s="46">
        <f t="shared" si="64"/>
        <v>5.0136450678110123E-2</v>
      </c>
      <c r="N96" s="46">
        <f t="shared" si="64"/>
        <v>5.0136450678110123E-2</v>
      </c>
      <c r="O96" s="46">
        <f t="shared" si="64"/>
        <v>5.0136450678110123E-2</v>
      </c>
    </row>
    <row r="97" spans="1:15" s="47" customFormat="1">
      <c r="A97" s="68"/>
      <c r="C97" s="48"/>
      <c r="D97" s="48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</row>
    <row r="98" spans="1:15">
      <c r="B98" s="109" t="s">
        <v>97</v>
      </c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 spans="1:15">
      <c r="B99" s="4" t="s">
        <v>98</v>
      </c>
      <c r="D99" s="5" t="s">
        <v>16</v>
      </c>
      <c r="E99" s="62">
        <f>+E96</f>
        <v>12000000</v>
      </c>
      <c r="F99" s="62">
        <f t="shared" ref="F99:O99" si="65">+F96</f>
        <v>5.0136450678110123E-2</v>
      </c>
      <c r="G99" s="62">
        <f t="shared" si="65"/>
        <v>5.0136450678110123E-2</v>
      </c>
      <c r="H99" s="62">
        <f t="shared" si="65"/>
        <v>5.0136450678110123E-2</v>
      </c>
      <c r="I99" s="62">
        <f t="shared" si="65"/>
        <v>5.0136450678110123E-2</v>
      </c>
      <c r="J99" s="62">
        <f t="shared" si="65"/>
        <v>5.0136450678110123E-2</v>
      </c>
      <c r="K99" s="62">
        <f t="shared" si="65"/>
        <v>5.0136450678110123E-2</v>
      </c>
      <c r="L99" s="62">
        <f t="shared" si="65"/>
        <v>5.0136450678110123E-2</v>
      </c>
      <c r="M99" s="62">
        <f t="shared" si="65"/>
        <v>5.0136450678110123E-2</v>
      </c>
      <c r="N99" s="62">
        <f t="shared" si="65"/>
        <v>5.0136450678110123E-2</v>
      </c>
      <c r="O99" s="62">
        <f t="shared" si="65"/>
        <v>5.0136450678110123E-2</v>
      </c>
    </row>
    <row r="100" spans="1:15">
      <c r="B100" s="4" t="s">
        <v>99</v>
      </c>
      <c r="D100" s="5" t="s">
        <v>16</v>
      </c>
      <c r="E100" s="62">
        <f t="shared" ref="E100:O100" si="66">+E57</f>
        <v>0</v>
      </c>
      <c r="F100" s="62">
        <f t="shared" si="66"/>
        <v>16666666.666666666</v>
      </c>
      <c r="G100" s="62">
        <f t="shared" si="66"/>
        <v>17333333.333333332</v>
      </c>
      <c r="H100" s="62">
        <f t="shared" si="66"/>
        <v>18026666.666666664</v>
      </c>
      <c r="I100" s="62">
        <f t="shared" si="66"/>
        <v>18747733.333333336</v>
      </c>
      <c r="J100" s="62">
        <f t="shared" si="66"/>
        <v>19497642.666666668</v>
      </c>
      <c r="K100" s="62">
        <f t="shared" si="66"/>
        <v>20277548.373333335</v>
      </c>
      <c r="L100" s="62">
        <f t="shared" si="66"/>
        <v>21088650.30826667</v>
      </c>
      <c r="M100" s="62">
        <f t="shared" si="66"/>
        <v>21932196.320597339</v>
      </c>
      <c r="N100" s="62">
        <f t="shared" si="66"/>
        <v>22809484.173421234</v>
      </c>
      <c r="O100" s="62">
        <f t="shared" si="66"/>
        <v>23721863.540358085</v>
      </c>
    </row>
    <row r="101" spans="1:15">
      <c r="B101" s="4" t="s">
        <v>59</v>
      </c>
      <c r="D101" s="5" t="s">
        <v>16</v>
      </c>
      <c r="E101" s="62">
        <f t="shared" ref="E101:O101" si="67">+E58</f>
        <v>0</v>
      </c>
      <c r="F101" s="62">
        <f t="shared" si="67"/>
        <v>14166666.666666666</v>
      </c>
      <c r="G101" s="62">
        <f t="shared" si="67"/>
        <v>14733333.333333332</v>
      </c>
      <c r="H101" s="62">
        <f t="shared" si="67"/>
        <v>15322666.666666666</v>
      </c>
      <c r="I101" s="62">
        <f t="shared" si="67"/>
        <v>15935573.333333332</v>
      </c>
      <c r="J101" s="62">
        <f t="shared" si="67"/>
        <v>16572996.266666666</v>
      </c>
      <c r="K101" s="62">
        <f t="shared" si="67"/>
        <v>17235916.117333334</v>
      </c>
      <c r="L101" s="62">
        <f t="shared" si="67"/>
        <v>17925352.762026668</v>
      </c>
      <c r="M101" s="62">
        <f t="shared" si="67"/>
        <v>18642366.872507732</v>
      </c>
      <c r="N101" s="62">
        <f t="shared" si="67"/>
        <v>19388061.547408044</v>
      </c>
      <c r="O101" s="62">
        <f t="shared" si="67"/>
        <v>20163584.009304367</v>
      </c>
    </row>
    <row r="102" spans="1:15">
      <c r="B102" s="4" t="s">
        <v>100</v>
      </c>
      <c r="D102" s="36">
        <v>0</v>
      </c>
      <c r="E102" s="62">
        <f>+D102+E85-E80</f>
        <v>40000000</v>
      </c>
      <c r="F102" s="62">
        <f>+E102+F85-F80</f>
        <v>39900000</v>
      </c>
      <c r="G102" s="62">
        <f t="shared" ref="G102:O102" si="68">+F102+G85-G80</f>
        <v>39776000</v>
      </c>
      <c r="H102" s="62">
        <f t="shared" si="68"/>
        <v>39627040</v>
      </c>
      <c r="I102" s="62">
        <f t="shared" si="68"/>
        <v>39452121.600000001</v>
      </c>
      <c r="J102" s="62">
        <f t="shared" si="68"/>
        <v>39250206.464000002</v>
      </c>
      <c r="K102" s="62">
        <f t="shared" si="68"/>
        <v>39020214.722560003</v>
      </c>
      <c r="L102" s="62">
        <f t="shared" si="68"/>
        <v>38761023.311462402</v>
      </c>
      <c r="M102" s="62">
        <f t="shared" si="68"/>
        <v>38471464.2439209</v>
      </c>
      <c r="N102" s="62">
        <f t="shared" si="68"/>
        <v>38150322.813677736</v>
      </c>
      <c r="O102" s="62">
        <f t="shared" si="68"/>
        <v>38472408.837125055</v>
      </c>
    </row>
    <row r="103" spans="1:15" s="15" customFormat="1">
      <c r="A103" s="52"/>
      <c r="B103" s="10" t="s">
        <v>101</v>
      </c>
      <c r="C103" s="11"/>
      <c r="D103" s="11" t="s">
        <v>16</v>
      </c>
      <c r="E103" s="34">
        <f>+E99+E100+E101+E102</f>
        <v>52000000</v>
      </c>
      <c r="F103" s="34">
        <f t="shared" ref="F103:O103" si="69">+F99+F100+F101+F102</f>
        <v>70733333.38346979</v>
      </c>
      <c r="G103" s="34">
        <f t="shared" si="69"/>
        <v>71842666.716803119</v>
      </c>
      <c r="H103" s="34">
        <f t="shared" si="69"/>
        <v>72976373.38346979</v>
      </c>
      <c r="I103" s="34">
        <f t="shared" si="69"/>
        <v>74135428.316803128</v>
      </c>
      <c r="J103" s="34">
        <f t="shared" si="69"/>
        <v>75320845.447469786</v>
      </c>
      <c r="K103" s="34">
        <f t="shared" si="69"/>
        <v>76533679.263363123</v>
      </c>
      <c r="L103" s="34">
        <f t="shared" si="69"/>
        <v>77775026.431892186</v>
      </c>
      <c r="M103" s="34">
        <f t="shared" si="69"/>
        <v>79046027.487162411</v>
      </c>
      <c r="N103" s="34">
        <f t="shared" si="69"/>
        <v>80347868.584643453</v>
      </c>
      <c r="O103" s="34">
        <f t="shared" si="69"/>
        <v>82357856.436923951</v>
      </c>
    </row>
    <row r="104" spans="1:15">
      <c r="B104" s="4" t="s">
        <v>61</v>
      </c>
      <c r="D104" s="5" t="s">
        <v>16</v>
      </c>
      <c r="E104" s="62">
        <f t="shared" ref="E104:O104" si="70">+E59</f>
        <v>0</v>
      </c>
      <c r="F104" s="62">
        <f t="shared" si="70"/>
        <v>14166666.666666666</v>
      </c>
      <c r="G104" s="62">
        <f t="shared" si="70"/>
        <v>14733333.333333332</v>
      </c>
      <c r="H104" s="62">
        <f t="shared" si="70"/>
        <v>15322666.666666666</v>
      </c>
      <c r="I104" s="62">
        <f t="shared" si="70"/>
        <v>15935573.333333332</v>
      </c>
      <c r="J104" s="62">
        <f t="shared" si="70"/>
        <v>16572996.266666666</v>
      </c>
      <c r="K104" s="62">
        <f t="shared" si="70"/>
        <v>17235916.117333334</v>
      </c>
      <c r="L104" s="62">
        <f t="shared" si="70"/>
        <v>17925352.762026668</v>
      </c>
      <c r="M104" s="62">
        <f t="shared" si="70"/>
        <v>18642366.872507732</v>
      </c>
      <c r="N104" s="62">
        <f t="shared" si="70"/>
        <v>19388061.547408044</v>
      </c>
      <c r="O104" s="62">
        <f t="shared" si="70"/>
        <v>20163584.009304367</v>
      </c>
    </row>
    <row r="105" spans="1:15">
      <c r="B105" s="4" t="s">
        <v>102</v>
      </c>
      <c r="D105" s="36">
        <v>0</v>
      </c>
      <c r="E105" s="62">
        <f>+D105+E88-E89</f>
        <v>20000000</v>
      </c>
      <c r="F105" s="62">
        <f>+E105+F88-F89</f>
        <v>18860316.716803119</v>
      </c>
      <c r="G105" s="62">
        <f t="shared" ref="G105:O105" si="71">+F105+G88-G89</f>
        <v>17583871.439622611</v>
      </c>
      <c r="H105" s="62">
        <f t="shared" si="71"/>
        <v>16154252.729180442</v>
      </c>
      <c r="I105" s="62">
        <f t="shared" si="71"/>
        <v>14553079.773485214</v>
      </c>
      <c r="J105" s="62">
        <f t="shared" si="71"/>
        <v>12759766.063106557</v>
      </c>
      <c r="K105" s="62">
        <f t="shared" si="71"/>
        <v>10751254.707482461</v>
      </c>
      <c r="L105" s="62">
        <f t="shared" si="71"/>
        <v>8501721.9891834743</v>
      </c>
      <c r="M105" s="62">
        <f t="shared" si="71"/>
        <v>5982245.3446886092</v>
      </c>
      <c r="N105" s="62">
        <f t="shared" si="71"/>
        <v>3160431.5028543598</v>
      </c>
      <c r="O105" s="62">
        <f t="shared" si="71"/>
        <v>0</v>
      </c>
    </row>
    <row r="106" spans="1:15" s="15" customFormat="1">
      <c r="A106" s="52"/>
      <c r="B106" s="10" t="s">
        <v>103</v>
      </c>
      <c r="C106" s="11"/>
      <c r="D106" s="11" t="s">
        <v>16</v>
      </c>
      <c r="E106" s="34">
        <f>+E104+E105</f>
        <v>20000000</v>
      </c>
      <c r="F106" s="34">
        <f t="shared" ref="F106:O106" si="72">+F104+F105</f>
        <v>33026983.383469783</v>
      </c>
      <c r="G106" s="34">
        <f t="shared" si="72"/>
        <v>32317204.772955943</v>
      </c>
      <c r="H106" s="34">
        <f t="shared" si="72"/>
        <v>31476919.395847108</v>
      </c>
      <c r="I106" s="34">
        <f t="shared" si="72"/>
        <v>30488653.106818546</v>
      </c>
      <c r="J106" s="34">
        <f t="shared" si="72"/>
        <v>29332762.329773225</v>
      </c>
      <c r="K106" s="34">
        <f t="shared" si="72"/>
        <v>27987170.824815795</v>
      </c>
      <c r="L106" s="34">
        <f t="shared" si="72"/>
        <v>26427074.751210142</v>
      </c>
      <c r="M106" s="34">
        <f t="shared" si="72"/>
        <v>24624612.217196342</v>
      </c>
      <c r="N106" s="34">
        <f t="shared" si="72"/>
        <v>22548493.050262403</v>
      </c>
      <c r="O106" s="34">
        <f t="shared" si="72"/>
        <v>20163584.009304367</v>
      </c>
    </row>
    <row r="107" spans="1:15">
      <c r="B107" s="4" t="s">
        <v>80</v>
      </c>
      <c r="D107" s="36">
        <v>0</v>
      </c>
      <c r="E107" s="62">
        <f>+E73</f>
        <v>0</v>
      </c>
      <c r="F107" s="62">
        <f t="shared" ref="F107:O107" si="73">+F73</f>
        <v>5963000</v>
      </c>
      <c r="G107" s="62">
        <f t="shared" si="73"/>
        <v>6344070.5359690301</v>
      </c>
      <c r="H107" s="62">
        <f t="shared" si="73"/>
        <v>6747714.3362543425</v>
      </c>
      <c r="I107" s="62">
        <f t="shared" si="73"/>
        <v>7175713.9845739026</v>
      </c>
      <c r="J107" s="62">
        <f t="shared" si="73"/>
        <v>7630028.9263718035</v>
      </c>
      <c r="K107" s="62">
        <f t="shared" si="73"/>
        <v>8112815.2102926411</v>
      </c>
      <c r="L107" s="62">
        <f t="shared" si="73"/>
        <v>8626447.5393554829</v>
      </c>
      <c r="M107" s="62">
        <f t="shared" si="73"/>
        <v>9173543.9066202138</v>
      </c>
      <c r="N107" s="62">
        <f t="shared" si="73"/>
        <v>9756993.1230196171</v>
      </c>
      <c r="O107" s="62">
        <f t="shared" si="73"/>
        <v>10356145.108994344</v>
      </c>
    </row>
    <row r="108" spans="1:15">
      <c r="B108" s="4" t="s">
        <v>104</v>
      </c>
      <c r="D108" s="36">
        <v>0</v>
      </c>
      <c r="E108" s="62">
        <f>+D108+D107-E91</f>
        <v>0</v>
      </c>
      <c r="F108" s="62">
        <f>+E108+E107-F91</f>
        <v>-256650</v>
      </c>
      <c r="G108" s="62">
        <f t="shared" ref="G108:O108" si="74">+F108+F107-G91</f>
        <v>1181391.4078781437</v>
      </c>
      <c r="H108" s="62">
        <f t="shared" si="74"/>
        <v>2751739.6513683312</v>
      </c>
      <c r="I108" s="62">
        <f t="shared" si="74"/>
        <v>4471061.2254106766</v>
      </c>
      <c r="J108" s="62">
        <f t="shared" si="74"/>
        <v>6358054.1913247649</v>
      </c>
      <c r="K108" s="62">
        <f t="shared" si="74"/>
        <v>8433693.2282546908</v>
      </c>
      <c r="L108" s="62">
        <f t="shared" si="74"/>
        <v>10721504.141326567</v>
      </c>
      <c r="M108" s="62">
        <f t="shared" si="74"/>
        <v>13247871.363345865</v>
      </c>
      <c r="N108" s="62">
        <f t="shared" si="74"/>
        <v>16042382.411361443</v>
      </c>
      <c r="O108" s="62">
        <f t="shared" si="74"/>
        <v>19838127.318625249</v>
      </c>
    </row>
    <row r="109" spans="1:15">
      <c r="B109" s="4" t="s">
        <v>105</v>
      </c>
      <c r="D109" s="36">
        <v>0</v>
      </c>
      <c r="E109" s="62">
        <f t="shared" ref="E109:O109" si="75">+D109+E90</f>
        <v>32000000</v>
      </c>
      <c r="F109" s="62">
        <f t="shared" si="75"/>
        <v>32000000</v>
      </c>
      <c r="G109" s="62">
        <f t="shared" si="75"/>
        <v>32000000</v>
      </c>
      <c r="H109" s="62">
        <f t="shared" si="75"/>
        <v>32000000</v>
      </c>
      <c r="I109" s="62">
        <f t="shared" si="75"/>
        <v>32000000</v>
      </c>
      <c r="J109" s="62">
        <f t="shared" si="75"/>
        <v>32000000</v>
      </c>
      <c r="K109" s="62">
        <f t="shared" si="75"/>
        <v>32000000</v>
      </c>
      <c r="L109" s="62">
        <f t="shared" si="75"/>
        <v>32000000</v>
      </c>
      <c r="M109" s="62">
        <f t="shared" si="75"/>
        <v>32000000</v>
      </c>
      <c r="N109" s="62">
        <f t="shared" si="75"/>
        <v>32000000</v>
      </c>
      <c r="O109" s="62">
        <f t="shared" si="75"/>
        <v>32000000</v>
      </c>
    </row>
    <row r="110" spans="1:15" s="15" customFormat="1">
      <c r="A110" s="52"/>
      <c r="B110" s="10" t="s">
        <v>106</v>
      </c>
      <c r="C110" s="11"/>
      <c r="D110" s="11" t="s">
        <v>16</v>
      </c>
      <c r="E110" s="34">
        <f>+E107+E108+E109</f>
        <v>32000000</v>
      </c>
      <c r="F110" s="34">
        <f t="shared" ref="F110:O110" si="76">+F107+F108+F109</f>
        <v>37706350</v>
      </c>
      <c r="G110" s="34">
        <f t="shared" si="76"/>
        <v>39525461.943847172</v>
      </c>
      <c r="H110" s="34">
        <f t="shared" si="76"/>
        <v>41499453.987622678</v>
      </c>
      <c r="I110" s="34">
        <f t="shared" si="76"/>
        <v>43646775.209984578</v>
      </c>
      <c r="J110" s="34">
        <f t="shared" si="76"/>
        <v>45988083.117696568</v>
      </c>
      <c r="K110" s="34">
        <f t="shared" si="76"/>
        <v>48546508.438547328</v>
      </c>
      <c r="L110" s="34">
        <f t="shared" si="76"/>
        <v>51347951.680682048</v>
      </c>
      <c r="M110" s="34">
        <f t="shared" si="76"/>
        <v>54421415.269966081</v>
      </c>
      <c r="N110" s="34">
        <f t="shared" si="76"/>
        <v>57799375.534381062</v>
      </c>
      <c r="O110" s="34">
        <f t="shared" si="76"/>
        <v>62194272.427619591</v>
      </c>
    </row>
    <row r="111" spans="1:15">
      <c r="B111" s="4" t="s">
        <v>107</v>
      </c>
      <c r="E111" s="50">
        <f>+E103-E106-E110</f>
        <v>0</v>
      </c>
      <c r="F111" s="50">
        <f>+F103-F106-F110</f>
        <v>0</v>
      </c>
      <c r="G111" s="50">
        <f t="shared" ref="G111:O111" si="77">+G103-G106-G110</f>
        <v>0</v>
      </c>
      <c r="H111" s="50">
        <f t="shared" si="77"/>
        <v>0</v>
      </c>
      <c r="I111" s="50">
        <f t="shared" si="77"/>
        <v>0</v>
      </c>
      <c r="J111" s="50">
        <f t="shared" si="77"/>
        <v>0</v>
      </c>
      <c r="K111" s="50">
        <f t="shared" si="77"/>
        <v>0</v>
      </c>
      <c r="L111" s="50">
        <f t="shared" si="77"/>
        <v>0</v>
      </c>
      <c r="M111" s="50">
        <f t="shared" si="77"/>
        <v>0</v>
      </c>
      <c r="N111" s="50">
        <f t="shared" si="77"/>
        <v>0</v>
      </c>
      <c r="O111" s="50">
        <f t="shared" si="77"/>
        <v>0</v>
      </c>
    </row>
    <row r="113" spans="1:15" s="78" customFormat="1">
      <c r="A113" s="80"/>
      <c r="B113" s="110" t="s">
        <v>108</v>
      </c>
      <c r="C113" s="79"/>
      <c r="D113" s="79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1:15" s="112" customFormat="1">
      <c r="A114" s="111" t="s">
        <v>62</v>
      </c>
      <c r="B114" s="112" t="s">
        <v>72</v>
      </c>
      <c r="C114" s="113" t="s">
        <v>73</v>
      </c>
      <c r="D114" s="113" t="s">
        <v>16</v>
      </c>
      <c r="E114" s="114">
        <f t="shared" ref="E114:O114" si="78">+E69</f>
        <v>0</v>
      </c>
      <c r="F114" s="114">
        <f t="shared" si="78"/>
        <v>11300000</v>
      </c>
      <c r="G114" s="114">
        <f t="shared" si="78"/>
        <v>11732000</v>
      </c>
      <c r="H114" s="114">
        <f t="shared" si="78"/>
        <v>12181280</v>
      </c>
      <c r="I114" s="114">
        <f t="shared" si="78"/>
        <v>12648531.200000014</v>
      </c>
      <c r="J114" s="114">
        <f t="shared" si="78"/>
        <v>13134472.448000021</v>
      </c>
      <c r="K114" s="114">
        <f t="shared" si="78"/>
        <v>13639851.345920013</v>
      </c>
      <c r="L114" s="114">
        <f t="shared" si="78"/>
        <v>14165445.399756826</v>
      </c>
      <c r="M114" s="114">
        <f t="shared" si="78"/>
        <v>14712063.215747112</v>
      </c>
      <c r="N114" s="114">
        <f t="shared" si="78"/>
        <v>15280545.744376987</v>
      </c>
      <c r="O114" s="114">
        <f t="shared" si="78"/>
        <v>15836184.778841544</v>
      </c>
    </row>
    <row r="115" spans="1:15" s="78" customFormat="1">
      <c r="A115" s="80" t="s">
        <v>60</v>
      </c>
      <c r="B115" s="78" t="s">
        <v>109</v>
      </c>
      <c r="C115" s="79" t="s">
        <v>110</v>
      </c>
      <c r="D115" s="79" t="s">
        <v>16</v>
      </c>
      <c r="E115" s="89">
        <f>+IF(E114&lt;0,0,E114*$E$4)</f>
        <v>0</v>
      </c>
      <c r="F115" s="89">
        <f t="shared" ref="F115:O115" si="79">+IF(F114&lt;0,0,F114*$E$4)</f>
        <v>3729000</v>
      </c>
      <c r="G115" s="89">
        <f t="shared" si="79"/>
        <v>3871560</v>
      </c>
      <c r="H115" s="89">
        <f t="shared" si="79"/>
        <v>4019822.4000000004</v>
      </c>
      <c r="I115" s="89">
        <f t="shared" si="79"/>
        <v>4174015.2960000047</v>
      </c>
      <c r="J115" s="89">
        <f t="shared" si="79"/>
        <v>4334375.907840007</v>
      </c>
      <c r="K115" s="89">
        <f t="shared" si="79"/>
        <v>4501150.944153605</v>
      </c>
      <c r="L115" s="89">
        <f t="shared" si="79"/>
        <v>4674596.9819197534</v>
      </c>
      <c r="M115" s="89">
        <f t="shared" si="79"/>
        <v>4854980.8611965477</v>
      </c>
      <c r="N115" s="89">
        <f t="shared" si="79"/>
        <v>5042580.095644406</v>
      </c>
      <c r="O115" s="89">
        <f t="shared" si="79"/>
        <v>5225940.97701771</v>
      </c>
    </row>
    <row r="116" spans="1:15" s="81" customFormat="1">
      <c r="A116" s="83" t="s">
        <v>62</v>
      </c>
      <c r="B116" s="81" t="s">
        <v>111</v>
      </c>
      <c r="C116" s="82" t="s">
        <v>112</v>
      </c>
      <c r="D116" s="79" t="s">
        <v>16</v>
      </c>
      <c r="E116" s="90">
        <f>+E114-E115</f>
        <v>0</v>
      </c>
      <c r="F116" s="90">
        <f t="shared" ref="F116:O116" si="80">+F114-F115</f>
        <v>7571000</v>
      </c>
      <c r="G116" s="90">
        <f t="shared" si="80"/>
        <v>7860440</v>
      </c>
      <c r="H116" s="90">
        <f t="shared" si="80"/>
        <v>8161457.5999999996</v>
      </c>
      <c r="I116" s="90">
        <f t="shared" si="80"/>
        <v>8474515.9040000103</v>
      </c>
      <c r="J116" s="90">
        <f t="shared" si="80"/>
        <v>8800096.5401600152</v>
      </c>
      <c r="K116" s="90">
        <f t="shared" si="80"/>
        <v>9138700.4017664082</v>
      </c>
      <c r="L116" s="90">
        <f t="shared" si="80"/>
        <v>9490848.4178370722</v>
      </c>
      <c r="M116" s="90">
        <f t="shared" si="80"/>
        <v>9857082.3545505647</v>
      </c>
      <c r="N116" s="90">
        <f t="shared" si="80"/>
        <v>10237965.64873258</v>
      </c>
      <c r="O116" s="90">
        <f t="shared" si="80"/>
        <v>10610243.801823834</v>
      </c>
    </row>
    <row r="117" spans="1:15" s="81" customFormat="1">
      <c r="A117" s="80" t="s">
        <v>57</v>
      </c>
      <c r="B117" s="78" t="s">
        <v>22</v>
      </c>
      <c r="C117" s="82"/>
      <c r="D117" s="79"/>
      <c r="E117" s="90">
        <f>+E80</f>
        <v>0</v>
      </c>
      <c r="F117" s="90">
        <f>+F80</f>
        <v>2100000</v>
      </c>
      <c r="G117" s="90">
        <f t="shared" ref="G117:O117" si="81">+G80</f>
        <v>2204000</v>
      </c>
      <c r="H117" s="90">
        <f t="shared" si="81"/>
        <v>2312160</v>
      </c>
      <c r="I117" s="90">
        <f t="shared" si="81"/>
        <v>2424646.4</v>
      </c>
      <c r="J117" s="90">
        <f t="shared" si="81"/>
        <v>2541632.2560000001</v>
      </c>
      <c r="K117" s="90">
        <f t="shared" si="81"/>
        <v>2663297.5462400001</v>
      </c>
      <c r="L117" s="90">
        <f t="shared" si="81"/>
        <v>2789829.4480896001</v>
      </c>
      <c r="M117" s="90">
        <f t="shared" si="81"/>
        <v>2921422.626013184</v>
      </c>
      <c r="N117" s="90">
        <f t="shared" si="81"/>
        <v>3058279.5310537117</v>
      </c>
      <c r="O117" s="90">
        <f t="shared" si="81"/>
        <v>3236193.5076063974</v>
      </c>
    </row>
    <row r="118" spans="1:15" s="78" customFormat="1">
      <c r="A118" s="80" t="s">
        <v>60</v>
      </c>
      <c r="B118" s="78" t="s">
        <v>113</v>
      </c>
      <c r="C118" s="79"/>
      <c r="D118" s="79" t="s">
        <v>16</v>
      </c>
      <c r="E118" s="89">
        <f t="shared" ref="E118:O118" si="82">+E26</f>
        <v>40000000</v>
      </c>
      <c r="F118" s="89">
        <f t="shared" si="82"/>
        <v>2000000</v>
      </c>
      <c r="G118" s="89">
        <f t="shared" si="82"/>
        <v>2080000</v>
      </c>
      <c r="H118" s="89">
        <f t="shared" si="82"/>
        <v>2163200</v>
      </c>
      <c r="I118" s="89">
        <f t="shared" si="82"/>
        <v>2249728</v>
      </c>
      <c r="J118" s="89">
        <f t="shared" si="82"/>
        <v>2339717.1200000001</v>
      </c>
      <c r="K118" s="89">
        <f t="shared" si="82"/>
        <v>2433305.8048</v>
      </c>
      <c r="L118" s="89">
        <f t="shared" si="82"/>
        <v>2530638.036992</v>
      </c>
      <c r="M118" s="89">
        <f t="shared" si="82"/>
        <v>2631863.5584716802</v>
      </c>
      <c r="N118" s="89">
        <f t="shared" si="82"/>
        <v>2737138.1008105474</v>
      </c>
      <c r="O118" s="89">
        <f t="shared" si="82"/>
        <v>3558279.5310537131</v>
      </c>
    </row>
    <row r="119" spans="1:15" s="78" customFormat="1">
      <c r="A119" s="80" t="s">
        <v>60</v>
      </c>
      <c r="B119" s="78" t="s">
        <v>114</v>
      </c>
      <c r="C119" s="79"/>
      <c r="D119" s="79" t="s">
        <v>16</v>
      </c>
      <c r="E119" s="89">
        <f>+E81-E83</f>
        <v>0</v>
      </c>
      <c r="F119" s="89">
        <f>+F81-F83</f>
        <v>16666666.666666666</v>
      </c>
      <c r="G119" s="89">
        <f t="shared" ref="G119:O119" si="83">+G81-G83</f>
        <v>666666.66666666605</v>
      </c>
      <c r="H119" s="89">
        <f t="shared" si="83"/>
        <v>693333.33333333209</v>
      </c>
      <c r="I119" s="89">
        <f t="shared" si="83"/>
        <v>721066.66666667536</v>
      </c>
      <c r="J119" s="89">
        <f t="shared" si="83"/>
        <v>749909.33333333209</v>
      </c>
      <c r="K119" s="89">
        <f t="shared" si="83"/>
        <v>779905.70666666701</v>
      </c>
      <c r="L119" s="89">
        <f t="shared" si="83"/>
        <v>811101.93493333086</v>
      </c>
      <c r="M119" s="89">
        <f t="shared" si="83"/>
        <v>843546.01233066991</v>
      </c>
      <c r="N119" s="89">
        <f t="shared" si="83"/>
        <v>877287.85282389447</v>
      </c>
      <c r="O119" s="89">
        <f t="shared" si="83"/>
        <v>912379.36693685502</v>
      </c>
    </row>
    <row r="120" spans="1:15" s="81" customFormat="1">
      <c r="A120" s="91" t="s">
        <v>62</v>
      </c>
      <c r="B120" s="92" t="s">
        <v>115</v>
      </c>
      <c r="C120" s="93"/>
      <c r="D120" s="93"/>
      <c r="E120" s="94">
        <f>+E116+E117-E118-E119</f>
        <v>-40000000</v>
      </c>
      <c r="F120" s="94">
        <f t="shared" ref="F120:O120" si="84">+F116+F117-F118-F119</f>
        <v>-8995666.666666666</v>
      </c>
      <c r="G120" s="94">
        <f t="shared" si="84"/>
        <v>7317773.333333334</v>
      </c>
      <c r="H120" s="94">
        <f t="shared" si="84"/>
        <v>7617084.2666666675</v>
      </c>
      <c r="I120" s="94">
        <f t="shared" si="84"/>
        <v>7928367.6373333354</v>
      </c>
      <c r="J120" s="94">
        <f t="shared" si="84"/>
        <v>8252102.3428266831</v>
      </c>
      <c r="K120" s="94">
        <f t="shared" si="84"/>
        <v>8588786.4365397412</v>
      </c>
      <c r="L120" s="94">
        <f t="shared" si="84"/>
        <v>8938937.8940013405</v>
      </c>
      <c r="M120" s="94">
        <f t="shared" si="84"/>
        <v>9303095.409761399</v>
      </c>
      <c r="N120" s="94">
        <f t="shared" si="84"/>
        <v>9681819.2261518501</v>
      </c>
      <c r="O120" s="94">
        <f t="shared" si="84"/>
        <v>9375778.4114396628</v>
      </c>
    </row>
    <row r="121" spans="1:15" s="78" customFormat="1">
      <c r="A121" s="80"/>
      <c r="B121" s="78" t="s">
        <v>116</v>
      </c>
      <c r="C121" s="79"/>
      <c r="D121" s="79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95">
        <f>+(O120*(1+D126))/(D125-D126)</f>
        <v>102640100.50418158</v>
      </c>
    </row>
    <row r="122" spans="1:15" s="81" customFormat="1">
      <c r="A122" s="91" t="s">
        <v>62</v>
      </c>
      <c r="B122" s="92" t="s">
        <v>115</v>
      </c>
      <c r="C122" s="93"/>
      <c r="D122" s="93"/>
      <c r="E122" s="94">
        <f>+E120+E121</f>
        <v>-40000000</v>
      </c>
      <c r="F122" s="94">
        <f t="shared" ref="F122:O122" si="85">+F120+F121</f>
        <v>-8995666.666666666</v>
      </c>
      <c r="G122" s="94">
        <f t="shared" si="85"/>
        <v>7317773.333333334</v>
      </c>
      <c r="H122" s="94">
        <f t="shared" si="85"/>
        <v>7617084.2666666675</v>
      </c>
      <c r="I122" s="94">
        <f t="shared" si="85"/>
        <v>7928367.6373333354</v>
      </c>
      <c r="J122" s="94">
        <f t="shared" si="85"/>
        <v>8252102.3428266831</v>
      </c>
      <c r="K122" s="94">
        <f t="shared" si="85"/>
        <v>8588786.4365397412</v>
      </c>
      <c r="L122" s="94">
        <f t="shared" si="85"/>
        <v>8938937.8940013405</v>
      </c>
      <c r="M122" s="94">
        <f t="shared" si="85"/>
        <v>9303095.409761399</v>
      </c>
      <c r="N122" s="94">
        <f t="shared" si="85"/>
        <v>9681819.2261518501</v>
      </c>
      <c r="O122" s="94">
        <f t="shared" si="85"/>
        <v>112015878.91562124</v>
      </c>
    </row>
    <row r="123" spans="1:15" s="81" customFormat="1">
      <c r="A123" s="83"/>
      <c r="B123" s="81" t="s">
        <v>117</v>
      </c>
      <c r="C123" s="82"/>
      <c r="D123" s="82"/>
      <c r="E123" s="96">
        <f>+IRR(E122:O122)</f>
        <v>0.18711535709012361</v>
      </c>
      <c r="F123" s="169" t="s">
        <v>185</v>
      </c>
      <c r="G123" s="90" t="s">
        <v>186</v>
      </c>
      <c r="H123" s="90"/>
      <c r="I123" s="90"/>
      <c r="J123" s="90"/>
      <c r="K123" s="90"/>
      <c r="L123" s="90"/>
      <c r="M123" s="90"/>
      <c r="N123" s="90"/>
      <c r="O123" s="90"/>
    </row>
    <row r="124" spans="1:15" s="78" customFormat="1">
      <c r="A124" s="80"/>
      <c r="C124" s="79"/>
      <c r="D124" s="79"/>
      <c r="E124" s="80" t="s">
        <v>187</v>
      </c>
      <c r="F124" s="171" t="s">
        <v>188</v>
      </c>
      <c r="G124" s="80"/>
      <c r="H124" s="80"/>
      <c r="I124" s="80"/>
      <c r="J124" s="80"/>
      <c r="K124" s="80"/>
      <c r="L124" s="80"/>
      <c r="M124" s="80"/>
      <c r="N124" s="80"/>
      <c r="O124" s="80"/>
    </row>
    <row r="125" spans="1:15" s="78" customFormat="1">
      <c r="A125" s="80"/>
      <c r="B125" s="78" t="s">
        <v>118</v>
      </c>
      <c r="C125" s="79"/>
      <c r="D125" s="97">
        <v>0.13500000000000001</v>
      </c>
      <c r="E125" s="170">
        <f>+((E43*(1-E4)))</f>
        <v>8.0399999999999985E-2</v>
      </c>
      <c r="F125" s="170">
        <f>+(D125-(E125*0.5))/0.5</f>
        <v>0.18960000000000005</v>
      </c>
      <c r="G125" s="170">
        <f>+(E125*0.5)+(F125*0.5)</f>
        <v>0.13500000000000001</v>
      </c>
      <c r="H125" s="172">
        <f>+D125-G125</f>
        <v>0</v>
      </c>
      <c r="I125" s="80"/>
      <c r="J125" s="80"/>
      <c r="K125" s="80"/>
      <c r="L125" s="80"/>
      <c r="M125" s="80"/>
      <c r="N125" s="80"/>
      <c r="O125" s="80"/>
    </row>
    <row r="126" spans="1:15" s="78" customFormat="1">
      <c r="A126" s="80"/>
      <c r="B126" s="78" t="s">
        <v>119</v>
      </c>
      <c r="C126" s="79"/>
      <c r="D126" s="97">
        <v>0.04</v>
      </c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</row>
    <row r="127" spans="1:15" s="78" customFormat="1">
      <c r="A127" s="80"/>
      <c r="C127" s="79"/>
      <c r="D127" s="79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</row>
    <row r="128" spans="1:15" s="78" customFormat="1">
      <c r="B128" s="78" t="s">
        <v>120</v>
      </c>
      <c r="C128" s="79"/>
      <c r="D128" s="79" t="s">
        <v>16</v>
      </c>
      <c r="E128" s="98">
        <f>+NPV(D125,F122:O122)+E122</f>
        <v>17873215.089723408</v>
      </c>
      <c r="F128" s="80" t="s">
        <v>185</v>
      </c>
      <c r="G128" s="80">
        <v>0</v>
      </c>
      <c r="H128" s="80"/>
      <c r="I128" s="80"/>
      <c r="J128" s="80"/>
      <c r="K128" s="80"/>
      <c r="L128" s="80"/>
      <c r="M128" s="80"/>
      <c r="N128" s="80"/>
      <c r="O128" s="80"/>
    </row>
    <row r="130" spans="1:15">
      <c r="A130" s="80"/>
      <c r="B130" s="51" t="s">
        <v>92</v>
      </c>
    </row>
    <row r="131" spans="1:15">
      <c r="A131" s="6" t="s">
        <v>60</v>
      </c>
      <c r="B131" s="4" t="s">
        <v>91</v>
      </c>
      <c r="D131" s="5" t="s">
        <v>16</v>
      </c>
      <c r="E131" s="33">
        <f>E90</f>
        <v>32000000</v>
      </c>
      <c r="F131" s="27"/>
      <c r="G131" s="27"/>
      <c r="H131" s="27"/>
      <c r="I131" s="27"/>
      <c r="J131" s="27"/>
      <c r="K131" s="27"/>
      <c r="L131" s="27"/>
    </row>
    <row r="132" spans="1:15">
      <c r="A132" s="6" t="s">
        <v>57</v>
      </c>
      <c r="B132" s="4" t="s">
        <v>92</v>
      </c>
      <c r="D132" s="5" t="s">
        <v>16</v>
      </c>
      <c r="E132" s="33">
        <f>+E91</f>
        <v>0</v>
      </c>
      <c r="F132" s="33">
        <f t="shared" ref="F132:O132" si="86">+F91</f>
        <v>256650</v>
      </c>
      <c r="G132" s="33">
        <f t="shared" si="86"/>
        <v>4524958.5921218563</v>
      </c>
      <c r="H132" s="33">
        <f t="shared" si="86"/>
        <v>4773722.2924788427</v>
      </c>
      <c r="I132" s="33">
        <f t="shared" si="86"/>
        <v>5028392.762211998</v>
      </c>
      <c r="J132" s="33">
        <f t="shared" si="86"/>
        <v>5288721.0186598133</v>
      </c>
      <c r="K132" s="33">
        <f t="shared" si="86"/>
        <v>5554389.8894418785</v>
      </c>
      <c r="L132" s="33">
        <f t="shared" si="86"/>
        <v>5825004.2972207647</v>
      </c>
      <c r="M132" s="33">
        <f t="shared" si="86"/>
        <v>6100080.317336183</v>
      </c>
      <c r="N132" s="33">
        <f t="shared" si="86"/>
        <v>6379032.8586046379</v>
      </c>
      <c r="O132" s="33">
        <f t="shared" si="86"/>
        <v>5961248.2157558147</v>
      </c>
    </row>
    <row r="133" spans="1:15" s="15" customFormat="1">
      <c r="A133" s="52" t="s">
        <v>62</v>
      </c>
      <c r="B133" s="15" t="s">
        <v>124</v>
      </c>
      <c r="C133" s="20"/>
      <c r="D133" s="20" t="s">
        <v>16</v>
      </c>
      <c r="E133" s="46">
        <f>-E131+E132</f>
        <v>-32000000</v>
      </c>
      <c r="F133" s="46">
        <f t="shared" ref="F133:O133" si="87">-F131+F132</f>
        <v>256650</v>
      </c>
      <c r="G133" s="46">
        <f>-G131+G132</f>
        <v>4524958.5921218563</v>
      </c>
      <c r="H133" s="46">
        <f t="shared" si="87"/>
        <v>4773722.2924788427</v>
      </c>
      <c r="I133" s="46">
        <f t="shared" si="87"/>
        <v>5028392.762211998</v>
      </c>
      <c r="J133" s="46">
        <f t="shared" si="87"/>
        <v>5288721.0186598133</v>
      </c>
      <c r="K133" s="46">
        <f t="shared" si="87"/>
        <v>5554389.8894418785</v>
      </c>
      <c r="L133" s="46">
        <f t="shared" si="87"/>
        <v>5825004.2972207647</v>
      </c>
      <c r="M133" s="46">
        <f t="shared" si="87"/>
        <v>6100080.317336183</v>
      </c>
      <c r="N133" s="46">
        <f t="shared" si="87"/>
        <v>6379032.8586046379</v>
      </c>
      <c r="O133" s="46">
        <f t="shared" si="87"/>
        <v>5961248.2157558147</v>
      </c>
    </row>
    <row r="134" spans="1:15">
      <c r="A134" s="6" t="s">
        <v>57</v>
      </c>
      <c r="B134" s="4" t="s">
        <v>116</v>
      </c>
      <c r="D134" s="5" t="s">
        <v>16</v>
      </c>
      <c r="O134" s="33">
        <f>+O133*(1+D139)/(D138-D139)</f>
        <v>65259980.467221551</v>
      </c>
    </row>
    <row r="135" spans="1:15" s="15" customFormat="1">
      <c r="A135" s="52" t="s">
        <v>62</v>
      </c>
      <c r="B135" s="15" t="s">
        <v>124</v>
      </c>
      <c r="C135" s="20"/>
      <c r="D135" s="20" t="s">
        <v>16</v>
      </c>
      <c r="E135" s="46">
        <f t="shared" ref="E135:N135" si="88">+E133+E134</f>
        <v>-32000000</v>
      </c>
      <c r="F135" s="46">
        <f t="shared" si="88"/>
        <v>256650</v>
      </c>
      <c r="G135" s="46">
        <f t="shared" si="88"/>
        <v>4524958.5921218563</v>
      </c>
      <c r="H135" s="46">
        <f t="shared" si="88"/>
        <v>4773722.2924788427</v>
      </c>
      <c r="I135" s="46">
        <f t="shared" si="88"/>
        <v>5028392.762211998</v>
      </c>
      <c r="J135" s="46">
        <f t="shared" si="88"/>
        <v>5288721.0186598133</v>
      </c>
      <c r="K135" s="46">
        <f t="shared" si="88"/>
        <v>5554389.8894418785</v>
      </c>
      <c r="L135" s="46">
        <f t="shared" si="88"/>
        <v>5825004.2972207647</v>
      </c>
      <c r="M135" s="46">
        <f t="shared" si="88"/>
        <v>6100080.317336183</v>
      </c>
      <c r="N135" s="46">
        <f t="shared" si="88"/>
        <v>6379032.8586046379</v>
      </c>
      <c r="O135" s="46">
        <f>+O133+O134</f>
        <v>71221228.682977363</v>
      </c>
    </row>
    <row r="136" spans="1:15" s="15" customFormat="1">
      <c r="A136" s="52"/>
      <c r="B136" s="81" t="s">
        <v>117</v>
      </c>
      <c r="C136" s="82"/>
      <c r="D136" s="82"/>
      <c r="E136" s="96">
        <f>+IRR(E135:O135)</f>
        <v>0.17912563265067405</v>
      </c>
      <c r="F136" s="46"/>
      <c r="G136" s="46"/>
      <c r="H136" s="46"/>
      <c r="I136" s="46"/>
      <c r="J136" s="46"/>
      <c r="K136" s="46"/>
      <c r="L136" s="46"/>
      <c r="M136" s="46"/>
      <c r="N136" s="46"/>
      <c r="O136" s="46"/>
    </row>
    <row r="138" spans="1:15">
      <c r="B138" s="78" t="s">
        <v>118</v>
      </c>
      <c r="C138" s="79"/>
      <c r="D138" s="97">
        <v>0.13500000000000001</v>
      </c>
    </row>
    <row r="139" spans="1:15">
      <c r="B139" s="78" t="s">
        <v>119</v>
      </c>
      <c r="C139" s="79"/>
      <c r="D139" s="97">
        <v>0.04</v>
      </c>
    </row>
    <row r="141" spans="1:15">
      <c r="B141" s="51" t="s">
        <v>125</v>
      </c>
    </row>
    <row r="142" spans="1:15">
      <c r="A142" s="6" t="s">
        <v>57</v>
      </c>
      <c r="B142" s="4" t="s">
        <v>126</v>
      </c>
      <c r="D142" s="5" t="s">
        <v>16</v>
      </c>
      <c r="E142" s="89">
        <f t="shared" ref="E142:O142" si="89">+E69*(1-E4)</f>
        <v>0</v>
      </c>
      <c r="F142" s="89">
        <f t="shared" si="89"/>
        <v>7570999.9999999991</v>
      </c>
      <c r="G142" s="89">
        <f t="shared" si="89"/>
        <v>7860439.9999999991</v>
      </c>
      <c r="H142" s="89">
        <f t="shared" si="89"/>
        <v>8161457.5999999987</v>
      </c>
      <c r="I142" s="89">
        <f t="shared" si="89"/>
        <v>8474515.9040000085</v>
      </c>
      <c r="J142" s="89">
        <f t="shared" si="89"/>
        <v>8800096.5401600134</v>
      </c>
      <c r="K142" s="89">
        <f t="shared" si="89"/>
        <v>9138700.4017664082</v>
      </c>
      <c r="L142" s="89">
        <f t="shared" si="89"/>
        <v>9490848.4178370722</v>
      </c>
      <c r="M142" s="89">
        <f t="shared" si="89"/>
        <v>9857082.3545505647</v>
      </c>
      <c r="N142" s="89">
        <f t="shared" si="89"/>
        <v>10237965.64873258</v>
      </c>
      <c r="O142" s="89">
        <f t="shared" si="89"/>
        <v>10610243.801823834</v>
      </c>
    </row>
    <row r="143" spans="1:15">
      <c r="A143" s="6" t="s">
        <v>60</v>
      </c>
      <c r="B143" s="4" t="s">
        <v>127</v>
      </c>
      <c r="D143" s="5" t="s">
        <v>16</v>
      </c>
      <c r="E143" s="89">
        <f t="shared" ref="E143:O143" si="90">+E26-E80</f>
        <v>40000000</v>
      </c>
      <c r="F143" s="89">
        <f t="shared" si="90"/>
        <v>-100000</v>
      </c>
      <c r="G143" s="89">
        <f t="shared" si="90"/>
        <v>-124000</v>
      </c>
      <c r="H143" s="89">
        <f t="shared" si="90"/>
        <v>-148960</v>
      </c>
      <c r="I143" s="89">
        <f t="shared" si="90"/>
        <v>-174918.39999999991</v>
      </c>
      <c r="J143" s="89">
        <f t="shared" si="90"/>
        <v>-201915.13599999994</v>
      </c>
      <c r="K143" s="89">
        <f t="shared" si="90"/>
        <v>-229991.74144000001</v>
      </c>
      <c r="L143" s="89">
        <f t="shared" si="90"/>
        <v>-259191.41109760012</v>
      </c>
      <c r="M143" s="89">
        <f t="shared" si="90"/>
        <v>-289559.06754150381</v>
      </c>
      <c r="N143" s="89">
        <f t="shared" si="90"/>
        <v>-321141.4302431643</v>
      </c>
      <c r="O143" s="89">
        <f t="shared" si="90"/>
        <v>322086.02344731567</v>
      </c>
    </row>
    <row r="144" spans="1:15">
      <c r="A144" s="6" t="s">
        <v>60</v>
      </c>
      <c r="B144" s="4" t="s">
        <v>128</v>
      </c>
      <c r="D144" s="5" t="s">
        <v>16</v>
      </c>
      <c r="E144" s="89">
        <f>+E82</f>
        <v>0</v>
      </c>
      <c r="F144" s="89">
        <f t="shared" ref="F144:O144" si="91">+F82</f>
        <v>16666666.666666666</v>
      </c>
      <c r="G144" s="89">
        <f t="shared" si="91"/>
        <v>666666.66666666605</v>
      </c>
      <c r="H144" s="89">
        <f t="shared" si="91"/>
        <v>693333.33333333209</v>
      </c>
      <c r="I144" s="89">
        <f t="shared" si="91"/>
        <v>721066.66666667536</v>
      </c>
      <c r="J144" s="89">
        <f t="shared" si="91"/>
        <v>749909.33333333209</v>
      </c>
      <c r="K144" s="89">
        <f t="shared" si="91"/>
        <v>779905.70666666701</v>
      </c>
      <c r="L144" s="89">
        <f t="shared" si="91"/>
        <v>811101.93493333086</v>
      </c>
      <c r="M144" s="89">
        <f t="shared" si="91"/>
        <v>843546.01233066991</v>
      </c>
      <c r="N144" s="89">
        <f t="shared" si="91"/>
        <v>877287.85282389447</v>
      </c>
      <c r="O144" s="89">
        <f t="shared" si="91"/>
        <v>912379.36693685502</v>
      </c>
    </row>
    <row r="145" spans="1:15" s="15" customFormat="1">
      <c r="A145" s="52" t="s">
        <v>62</v>
      </c>
      <c r="B145" s="15" t="s">
        <v>129</v>
      </c>
      <c r="C145" s="20"/>
      <c r="D145" s="20" t="s">
        <v>16</v>
      </c>
      <c r="E145" s="46">
        <f>+E142-E143-E144</f>
        <v>-40000000</v>
      </c>
      <c r="F145" s="46">
        <f t="shared" ref="F145:O145" si="92">+F142-F143-F144</f>
        <v>-8995666.6666666679</v>
      </c>
      <c r="G145" s="46">
        <f t="shared" si="92"/>
        <v>7317773.333333333</v>
      </c>
      <c r="H145" s="46">
        <f t="shared" si="92"/>
        <v>7617084.2666666666</v>
      </c>
      <c r="I145" s="46">
        <f t="shared" si="92"/>
        <v>7928367.6373333335</v>
      </c>
      <c r="J145" s="46">
        <f t="shared" si="92"/>
        <v>8252102.3428266812</v>
      </c>
      <c r="K145" s="46">
        <f t="shared" si="92"/>
        <v>8588786.4365397412</v>
      </c>
      <c r="L145" s="46">
        <f t="shared" si="92"/>
        <v>8938937.8940013424</v>
      </c>
      <c r="M145" s="46">
        <f t="shared" si="92"/>
        <v>9303095.409761399</v>
      </c>
      <c r="N145" s="46">
        <f t="shared" si="92"/>
        <v>9681819.2261518501</v>
      </c>
      <c r="O145" s="46">
        <f t="shared" si="92"/>
        <v>9375778.4114396628</v>
      </c>
    </row>
    <row r="148" spans="1:15">
      <c r="D148" s="5" t="s">
        <v>189</v>
      </c>
      <c r="E148" s="7">
        <f>+IRR(E145:O145)</f>
        <v>8.1106606997122466E-2</v>
      </c>
      <c r="F148" s="173">
        <f>+E123-E148</f>
        <v>0.10600875009300115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B86A-72E3-4F04-AF15-ABDDF4C09816}">
  <sheetPr codeName="Hoja12">
    <pageSetUpPr autoPageBreaks="0"/>
  </sheetPr>
  <dimension ref="A1:AA151"/>
  <sheetViews>
    <sheetView showGridLines="0" zoomScale="80" zoomScaleNormal="80" workbookViewId="0">
      <pane xSplit="4" ySplit="1" topLeftCell="E89" activePane="bottomRight" state="frozen"/>
      <selection activeCell="L12" sqref="L12"/>
      <selection pane="topRight" activeCell="L12" sqref="L12"/>
      <selection pane="bottomLeft" activeCell="L12" sqref="L12"/>
      <selection pane="bottomRight" activeCell="E92" sqref="E92"/>
    </sheetView>
  </sheetViews>
  <sheetFormatPr baseColWidth="10" defaultColWidth="11.42578125" defaultRowHeight="15" outlineLevelRow="1"/>
  <cols>
    <col min="1" max="1" width="4.28515625" style="6" bestFit="1" customWidth="1"/>
    <col min="2" max="2" width="47.5703125" style="4" customWidth="1"/>
    <col min="3" max="3" width="12.42578125" style="5" bestFit="1" customWidth="1"/>
    <col min="4" max="4" width="13.5703125" style="5" bestFit="1" customWidth="1"/>
    <col min="5" max="5" width="15" style="6" customWidth="1"/>
    <col min="6" max="11" width="14.42578125" style="6" customWidth="1"/>
    <col min="12" max="13" width="15.7109375" style="6" bestFit="1" customWidth="1"/>
    <col min="14" max="14" width="15.28515625" style="6" customWidth="1"/>
    <col min="15" max="15" width="15.140625" style="6" customWidth="1"/>
    <col min="16" max="16" width="16.7109375" style="4" bestFit="1" customWidth="1"/>
    <col min="17" max="17" width="17.5703125" style="4" customWidth="1"/>
    <col min="18" max="16384" width="11.42578125" style="4"/>
  </cols>
  <sheetData>
    <row r="1" spans="1:15">
      <c r="B1" s="1"/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>
      <c r="F2" s="7"/>
      <c r="G2" s="8"/>
    </row>
    <row r="3" spans="1:15">
      <c r="B3" s="4" t="s">
        <v>13</v>
      </c>
      <c r="E3" s="54">
        <v>0.04</v>
      </c>
      <c r="F3" s="9">
        <f>+E3</f>
        <v>0.04</v>
      </c>
      <c r="G3" s="9">
        <f t="shared" ref="G3:O6" si="0">+F3</f>
        <v>0.04</v>
      </c>
      <c r="H3" s="9">
        <f t="shared" si="0"/>
        <v>0.04</v>
      </c>
      <c r="I3" s="9">
        <f t="shared" si="0"/>
        <v>0.04</v>
      </c>
      <c r="J3" s="9">
        <f t="shared" si="0"/>
        <v>0.04</v>
      </c>
      <c r="K3" s="9">
        <f t="shared" si="0"/>
        <v>0.04</v>
      </c>
      <c r="L3" s="9">
        <f t="shared" si="0"/>
        <v>0.04</v>
      </c>
      <c r="M3" s="9">
        <f t="shared" si="0"/>
        <v>0.04</v>
      </c>
      <c r="N3" s="9">
        <f t="shared" si="0"/>
        <v>0.04</v>
      </c>
      <c r="O3" s="9">
        <f t="shared" si="0"/>
        <v>0.04</v>
      </c>
    </row>
    <row r="4" spans="1:15">
      <c r="B4" s="4" t="s">
        <v>14</v>
      </c>
      <c r="E4" s="54">
        <v>0.35</v>
      </c>
      <c r="F4" s="9">
        <f>+E4</f>
        <v>0.35</v>
      </c>
      <c r="G4" s="9">
        <f t="shared" si="0"/>
        <v>0.35</v>
      </c>
      <c r="H4" s="9">
        <f t="shared" si="0"/>
        <v>0.35</v>
      </c>
      <c r="I4" s="9">
        <f t="shared" si="0"/>
        <v>0.35</v>
      </c>
      <c r="J4" s="9">
        <f t="shared" si="0"/>
        <v>0.35</v>
      </c>
      <c r="K4" s="9">
        <f t="shared" si="0"/>
        <v>0.35</v>
      </c>
      <c r="L4" s="9">
        <f t="shared" si="0"/>
        <v>0.35</v>
      </c>
      <c r="M4" s="9">
        <f t="shared" si="0"/>
        <v>0.35</v>
      </c>
      <c r="N4" s="9">
        <f t="shared" si="0"/>
        <v>0.35</v>
      </c>
      <c r="O4" s="9">
        <f t="shared" si="0"/>
        <v>0.35</v>
      </c>
    </row>
    <row r="5" spans="1:15">
      <c r="B5" s="4" t="s">
        <v>190</v>
      </c>
      <c r="E5" s="54">
        <v>3.5000000000000003E-2</v>
      </c>
      <c r="F5" s="9">
        <f>+E5</f>
        <v>3.5000000000000003E-2</v>
      </c>
      <c r="G5" s="9">
        <f>+F5</f>
        <v>3.5000000000000003E-2</v>
      </c>
      <c r="H5" s="9">
        <f>+G5</f>
        <v>3.5000000000000003E-2</v>
      </c>
      <c r="I5" s="9">
        <f t="shared" si="0"/>
        <v>3.5000000000000003E-2</v>
      </c>
      <c r="J5" s="9">
        <f t="shared" si="0"/>
        <v>3.5000000000000003E-2</v>
      </c>
      <c r="K5" s="9">
        <f t="shared" si="0"/>
        <v>3.5000000000000003E-2</v>
      </c>
      <c r="L5" s="9">
        <f t="shared" si="0"/>
        <v>3.5000000000000003E-2</v>
      </c>
      <c r="M5" s="9">
        <f t="shared" si="0"/>
        <v>3.5000000000000003E-2</v>
      </c>
      <c r="N5" s="9">
        <f t="shared" si="0"/>
        <v>3.5000000000000003E-2</v>
      </c>
      <c r="O5" s="9">
        <f t="shared" si="0"/>
        <v>3.5000000000000003E-2</v>
      </c>
    </row>
    <row r="6" spans="1:15">
      <c r="B6" s="4" t="s">
        <v>230</v>
      </c>
      <c r="E6" s="174"/>
      <c r="F6" s="9"/>
      <c r="G6" s="9"/>
      <c r="H6" s="9"/>
      <c r="I6" s="9">
        <v>0.1</v>
      </c>
      <c r="J6" s="9">
        <v>0.06</v>
      </c>
      <c r="K6" s="9">
        <v>0.04</v>
      </c>
      <c r="L6" s="9">
        <v>0.02</v>
      </c>
      <c r="M6" s="9">
        <f>+L6</f>
        <v>0.02</v>
      </c>
      <c r="N6" s="9">
        <f t="shared" si="0"/>
        <v>0.02</v>
      </c>
      <c r="O6" s="9">
        <f t="shared" si="0"/>
        <v>0.02</v>
      </c>
    </row>
    <row r="7" spans="1:15">
      <c r="F7" s="7"/>
      <c r="G7" s="8"/>
    </row>
    <row r="8" spans="1:15" s="15" customFormat="1">
      <c r="A8" s="52"/>
      <c r="B8" s="10" t="s">
        <v>15</v>
      </c>
      <c r="C8" s="11"/>
      <c r="D8" s="11" t="s">
        <v>191</v>
      </c>
      <c r="E8" s="55">
        <v>28000000</v>
      </c>
      <c r="F8" s="12"/>
      <c r="G8" s="13"/>
      <c r="H8" s="14"/>
      <c r="I8" s="14"/>
      <c r="J8" s="14"/>
      <c r="K8" s="14"/>
      <c r="L8" s="14"/>
      <c r="M8" s="14"/>
      <c r="N8" s="14"/>
      <c r="O8" s="14"/>
    </row>
    <row r="9" spans="1:15">
      <c r="E9" s="16"/>
      <c r="F9" s="17"/>
      <c r="G9" s="18"/>
      <c r="H9" s="16"/>
      <c r="I9" s="16"/>
      <c r="J9" s="16"/>
      <c r="K9" s="16"/>
      <c r="L9" s="16"/>
      <c r="M9" s="16"/>
      <c r="N9" s="16"/>
      <c r="O9" s="16"/>
    </row>
    <row r="10" spans="1:15" s="15" customFormat="1">
      <c r="A10" s="52"/>
      <c r="B10" s="15" t="s">
        <v>17</v>
      </c>
      <c r="C10" s="19"/>
      <c r="D10" s="20" t="s">
        <v>191</v>
      </c>
      <c r="E10" s="21">
        <f>+$E$8</f>
        <v>28000000</v>
      </c>
      <c r="F10" s="21">
        <f t="shared" ref="F10:O10" si="1">+$E$8</f>
        <v>28000000</v>
      </c>
      <c r="G10" s="21">
        <f t="shared" si="1"/>
        <v>28000000</v>
      </c>
      <c r="H10" s="21">
        <f t="shared" si="1"/>
        <v>28000000</v>
      </c>
      <c r="I10" s="21">
        <f t="shared" si="1"/>
        <v>28000000</v>
      </c>
      <c r="J10" s="21">
        <f t="shared" si="1"/>
        <v>28000000</v>
      </c>
      <c r="K10" s="21">
        <f t="shared" si="1"/>
        <v>28000000</v>
      </c>
      <c r="L10" s="21">
        <f t="shared" si="1"/>
        <v>28000000</v>
      </c>
      <c r="M10" s="21">
        <f t="shared" si="1"/>
        <v>28000000</v>
      </c>
      <c r="N10" s="21">
        <f t="shared" si="1"/>
        <v>28000000</v>
      </c>
      <c r="O10" s="21">
        <f t="shared" si="1"/>
        <v>28000000</v>
      </c>
    </row>
    <row r="11" spans="1:15">
      <c r="B11" s="4" t="s">
        <v>18</v>
      </c>
      <c r="C11" s="56">
        <v>5</v>
      </c>
      <c r="D11" s="5" t="s">
        <v>191</v>
      </c>
      <c r="E11" s="22"/>
      <c r="F11" s="22">
        <f>+F10/$C$11</f>
        <v>5600000</v>
      </c>
      <c r="G11" s="22">
        <f t="shared" ref="G11:O11" si="2">+G10/$C$11</f>
        <v>5600000</v>
      </c>
      <c r="H11" s="22">
        <f t="shared" si="2"/>
        <v>5600000</v>
      </c>
      <c r="I11" s="22">
        <f t="shared" si="2"/>
        <v>5600000</v>
      </c>
      <c r="J11" s="22">
        <f t="shared" si="2"/>
        <v>5600000</v>
      </c>
      <c r="K11" s="22">
        <f t="shared" si="2"/>
        <v>5600000</v>
      </c>
      <c r="L11" s="22">
        <f t="shared" si="2"/>
        <v>5600000</v>
      </c>
      <c r="M11" s="22">
        <f t="shared" si="2"/>
        <v>5600000</v>
      </c>
      <c r="N11" s="22">
        <f t="shared" si="2"/>
        <v>5600000</v>
      </c>
      <c r="O11" s="22">
        <f t="shared" si="2"/>
        <v>5600000</v>
      </c>
    </row>
    <row r="12" spans="1:15">
      <c r="B12" s="4" t="s">
        <v>19</v>
      </c>
      <c r="C12" s="215">
        <v>8</v>
      </c>
      <c r="D12" s="5" t="s">
        <v>191</v>
      </c>
      <c r="E12" s="23">
        <v>0</v>
      </c>
      <c r="F12" s="22">
        <f>+E12+F11</f>
        <v>5600000</v>
      </c>
      <c r="G12" s="22">
        <f>+F12+G11</f>
        <v>11200000</v>
      </c>
      <c r="H12" s="22">
        <f t="shared" ref="H12:O12" si="3">+G12+H11</f>
        <v>16800000</v>
      </c>
      <c r="I12" s="22">
        <f t="shared" si="3"/>
        <v>22400000</v>
      </c>
      <c r="J12" s="22">
        <f t="shared" si="3"/>
        <v>28000000</v>
      </c>
      <c r="K12" s="22">
        <f t="shared" si="3"/>
        <v>33600000</v>
      </c>
      <c r="L12" s="22">
        <f t="shared" si="3"/>
        <v>39200000</v>
      </c>
      <c r="M12" s="22">
        <f t="shared" si="3"/>
        <v>44800000</v>
      </c>
      <c r="N12" s="22">
        <f t="shared" si="3"/>
        <v>50400000</v>
      </c>
      <c r="O12" s="22">
        <f t="shared" si="3"/>
        <v>56000000</v>
      </c>
    </row>
    <row r="13" spans="1:15" s="15" customFormat="1">
      <c r="A13" s="52"/>
      <c r="B13" s="15" t="s">
        <v>20</v>
      </c>
      <c r="C13" s="19"/>
      <c r="D13" s="5" t="s">
        <v>191</v>
      </c>
      <c r="E13" s="21">
        <f>+E10-E12</f>
        <v>28000000</v>
      </c>
      <c r="F13" s="21">
        <f t="shared" ref="F13:O13" si="4">+F10-F12</f>
        <v>22400000</v>
      </c>
      <c r="G13" s="21">
        <f t="shared" si="4"/>
        <v>16800000</v>
      </c>
      <c r="H13" s="21">
        <f t="shared" si="4"/>
        <v>11200000</v>
      </c>
      <c r="I13" s="21">
        <f t="shared" si="4"/>
        <v>5600000</v>
      </c>
      <c r="J13" s="21">
        <f t="shared" si="4"/>
        <v>0</v>
      </c>
      <c r="K13" s="21">
        <f t="shared" si="4"/>
        <v>-5600000</v>
      </c>
      <c r="L13" s="21">
        <f t="shared" si="4"/>
        <v>-11200000</v>
      </c>
      <c r="M13" s="21">
        <f t="shared" si="4"/>
        <v>-16800000</v>
      </c>
      <c r="N13" s="21">
        <f t="shared" si="4"/>
        <v>-22400000</v>
      </c>
      <c r="O13" s="21">
        <f t="shared" si="4"/>
        <v>-28000000</v>
      </c>
    </row>
    <row r="14" spans="1:15"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>
      <c r="B15" s="24" t="s">
        <v>21</v>
      </c>
      <c r="C15" s="25"/>
      <c r="D15" s="25" t="s">
        <v>191</v>
      </c>
      <c r="E15" s="26"/>
      <c r="F15" s="57"/>
      <c r="G15" s="26">
        <v>12000000</v>
      </c>
      <c r="H15" s="26">
        <f>140000000+65000000</f>
        <v>205000000</v>
      </c>
      <c r="I15" s="26"/>
      <c r="J15" s="26">
        <f>30000000+200000000</f>
        <v>230000000</v>
      </c>
      <c r="K15" s="26">
        <f>+K34*0.1%</f>
        <v>9309793.0023142267</v>
      </c>
      <c r="L15" s="26">
        <f>+L34*0.1%</f>
        <v>10214704.882139169</v>
      </c>
      <c r="M15" s="26">
        <f t="shared" ref="M15:O15" si="5">+M34*0.1%</f>
        <v>11207574.196683094</v>
      </c>
      <c r="N15" s="26">
        <f t="shared" si="5"/>
        <v>12296950.408600692</v>
      </c>
      <c r="O15" s="101">
        <f t="shared" si="5"/>
        <v>13492213.988316676</v>
      </c>
    </row>
    <row r="16" spans="1:15" outlineLevel="1">
      <c r="B16" s="4" t="s">
        <v>22</v>
      </c>
      <c r="D16" s="5" t="s">
        <v>191</v>
      </c>
      <c r="E16" s="22"/>
      <c r="F16" s="22">
        <f>+$F$15/$C$11/12*8</f>
        <v>0</v>
      </c>
      <c r="G16" s="22">
        <f t="shared" ref="G16:O16" si="6">+$F$15/$C$11</f>
        <v>0</v>
      </c>
      <c r="H16" s="22">
        <f t="shared" si="6"/>
        <v>0</v>
      </c>
      <c r="I16" s="22">
        <f t="shared" si="6"/>
        <v>0</v>
      </c>
      <c r="J16" s="22">
        <f t="shared" si="6"/>
        <v>0</v>
      </c>
      <c r="K16" s="22">
        <f t="shared" si="6"/>
        <v>0</v>
      </c>
      <c r="L16" s="22">
        <f t="shared" si="6"/>
        <v>0</v>
      </c>
      <c r="M16" s="22">
        <f t="shared" si="6"/>
        <v>0</v>
      </c>
      <c r="N16" s="22">
        <f t="shared" si="6"/>
        <v>0</v>
      </c>
      <c r="O16" s="22">
        <f t="shared" si="6"/>
        <v>0</v>
      </c>
    </row>
    <row r="17" spans="1:15" outlineLevel="1">
      <c r="B17" s="4" t="s">
        <v>22</v>
      </c>
      <c r="D17" s="5" t="s">
        <v>191</v>
      </c>
      <c r="E17" s="27"/>
      <c r="F17" s="22"/>
      <c r="G17" s="22">
        <f>+$G$15/$C$11/12*8</f>
        <v>1600000</v>
      </c>
      <c r="H17" s="22">
        <f>+$G$15/$C$11</f>
        <v>2400000</v>
      </c>
      <c r="I17" s="22">
        <f>+$G$15/$C$11</f>
        <v>2400000</v>
      </c>
      <c r="J17" s="22">
        <f>+$G$15/$C$11</f>
        <v>2400000</v>
      </c>
      <c r="K17" s="22">
        <f>+$G$15/$C$11</f>
        <v>2400000</v>
      </c>
      <c r="L17" s="22">
        <f>+H17-G17</f>
        <v>800000</v>
      </c>
      <c r="M17" s="22"/>
      <c r="N17" s="22"/>
      <c r="O17" s="22"/>
    </row>
    <row r="18" spans="1:15" outlineLevel="1">
      <c r="B18" s="4" t="s">
        <v>22</v>
      </c>
      <c r="D18" s="5" t="s">
        <v>191</v>
      </c>
      <c r="E18" s="27"/>
      <c r="F18" s="22"/>
      <c r="G18" s="22"/>
      <c r="H18" s="22">
        <f>+$H$15/$C$12/12*8</f>
        <v>17083333.333333332</v>
      </c>
      <c r="I18" s="22">
        <f>+$H$15/$C$12</f>
        <v>25625000</v>
      </c>
      <c r="J18" s="22">
        <f>+$H$15/$C$12</f>
        <v>25625000</v>
      </c>
      <c r="K18" s="22">
        <f t="shared" ref="K18:O18" si="7">+$H$15/$C$12</f>
        <v>25625000</v>
      </c>
      <c r="L18" s="22">
        <f t="shared" si="7"/>
        <v>25625000</v>
      </c>
      <c r="M18" s="22">
        <f t="shared" si="7"/>
        <v>25625000</v>
      </c>
      <c r="N18" s="22">
        <f t="shared" si="7"/>
        <v>25625000</v>
      </c>
      <c r="O18" s="22">
        <f t="shared" si="7"/>
        <v>25625000</v>
      </c>
    </row>
    <row r="19" spans="1:15" outlineLevel="1">
      <c r="B19" s="4" t="s">
        <v>22</v>
      </c>
      <c r="D19" s="5" t="s">
        <v>191</v>
      </c>
      <c r="E19" s="27"/>
      <c r="F19" s="22"/>
      <c r="G19" s="22"/>
      <c r="H19" s="22"/>
      <c r="I19" s="22">
        <f t="shared" ref="I19:O19" si="8">+$I$15/$C$11</f>
        <v>0</v>
      </c>
      <c r="J19" s="22">
        <f t="shared" si="8"/>
        <v>0</v>
      </c>
      <c r="K19" s="22">
        <f t="shared" si="8"/>
        <v>0</v>
      </c>
      <c r="L19" s="22">
        <f t="shared" si="8"/>
        <v>0</v>
      </c>
      <c r="M19" s="22">
        <f t="shared" si="8"/>
        <v>0</v>
      </c>
      <c r="N19" s="22">
        <f t="shared" si="8"/>
        <v>0</v>
      </c>
      <c r="O19" s="22">
        <f t="shared" si="8"/>
        <v>0</v>
      </c>
    </row>
    <row r="20" spans="1:15" outlineLevel="1">
      <c r="B20" s="4" t="s">
        <v>22</v>
      </c>
      <c r="D20" s="5" t="s">
        <v>191</v>
      </c>
      <c r="E20" s="27"/>
      <c r="F20" s="22"/>
      <c r="G20" s="22"/>
      <c r="H20" s="22"/>
      <c r="I20" s="22"/>
      <c r="J20" s="22">
        <f t="shared" ref="J20:O20" si="9">+$J$15/$C$11</f>
        <v>46000000</v>
      </c>
      <c r="K20" s="22">
        <f t="shared" si="9"/>
        <v>46000000</v>
      </c>
      <c r="L20" s="22">
        <f t="shared" si="9"/>
        <v>46000000</v>
      </c>
      <c r="M20" s="22">
        <f t="shared" si="9"/>
        <v>46000000</v>
      </c>
      <c r="N20" s="22">
        <f t="shared" si="9"/>
        <v>46000000</v>
      </c>
      <c r="O20" s="22">
        <f t="shared" si="9"/>
        <v>46000000</v>
      </c>
    </row>
    <row r="21" spans="1:15" outlineLevel="1">
      <c r="B21" s="4" t="s">
        <v>22</v>
      </c>
      <c r="D21" s="5" t="s">
        <v>191</v>
      </c>
      <c r="E21" s="27"/>
      <c r="F21" s="22"/>
      <c r="G21" s="22"/>
      <c r="H21" s="22"/>
      <c r="I21" s="22"/>
      <c r="J21" s="22"/>
      <c r="K21" s="22">
        <f>+$K$15/$C$11</f>
        <v>1861958.6004628453</v>
      </c>
      <c r="L21" s="22">
        <f>+$K$15/$C$11</f>
        <v>1861958.6004628453</v>
      </c>
      <c r="M21" s="22">
        <f>+$K$15/$C$11</f>
        <v>1861958.6004628453</v>
      </c>
      <c r="N21" s="22">
        <f>+$K$15/$C$11</f>
        <v>1861958.6004628453</v>
      </c>
      <c r="O21" s="22">
        <f>+$K$15/$C$11</f>
        <v>1861958.6004628453</v>
      </c>
    </row>
    <row r="22" spans="1:15" outlineLevel="1">
      <c r="B22" s="4" t="s">
        <v>22</v>
      </c>
      <c r="D22" s="5" t="s">
        <v>191</v>
      </c>
      <c r="E22" s="27"/>
      <c r="F22" s="22"/>
      <c r="G22" s="22"/>
      <c r="H22" s="22"/>
      <c r="I22" s="22"/>
      <c r="J22" s="22"/>
      <c r="K22" s="22"/>
      <c r="L22" s="22">
        <f>+$L$15/$C$11</f>
        <v>2042940.9764278338</v>
      </c>
      <c r="M22" s="22">
        <f>+$L$15/$C$11</f>
        <v>2042940.9764278338</v>
      </c>
      <c r="N22" s="22">
        <f>+$L$15/$C$11</f>
        <v>2042940.9764278338</v>
      </c>
      <c r="O22" s="22">
        <f>+$L$15/$C$11</f>
        <v>2042940.9764278338</v>
      </c>
    </row>
    <row r="23" spans="1:15" outlineLevel="1">
      <c r="B23" s="4" t="s">
        <v>22</v>
      </c>
      <c r="D23" s="5" t="s">
        <v>191</v>
      </c>
      <c r="E23" s="27"/>
      <c r="F23" s="22"/>
      <c r="G23" s="22"/>
      <c r="H23" s="22"/>
      <c r="I23" s="22"/>
      <c r="J23" s="22"/>
      <c r="K23" s="22"/>
      <c r="L23" s="22"/>
      <c r="M23" s="22">
        <f>+$M$15/$C$11</f>
        <v>2241514.8393366188</v>
      </c>
      <c r="N23" s="22">
        <f>+$M$15/$C$11</f>
        <v>2241514.8393366188</v>
      </c>
      <c r="O23" s="22">
        <f>+$M$15/$C$11</f>
        <v>2241514.8393366188</v>
      </c>
    </row>
    <row r="24" spans="1:15" outlineLevel="1">
      <c r="B24" s="4" t="s">
        <v>22</v>
      </c>
      <c r="D24" s="5" t="s">
        <v>191</v>
      </c>
      <c r="E24" s="27"/>
      <c r="F24" s="22"/>
      <c r="G24" s="22"/>
      <c r="H24" s="22"/>
      <c r="I24" s="22"/>
      <c r="J24" s="22"/>
      <c r="K24" s="22"/>
      <c r="L24" s="22"/>
      <c r="M24" s="22"/>
      <c r="N24" s="22">
        <f>+$N$15/$C$11</f>
        <v>2459390.0817201384</v>
      </c>
      <c r="O24" s="22">
        <f>+$N$15/$C$11</f>
        <v>2459390.0817201384</v>
      </c>
    </row>
    <row r="25" spans="1:15" outlineLevel="1">
      <c r="B25" s="4" t="s">
        <v>22</v>
      </c>
      <c r="D25" s="5" t="s">
        <v>191</v>
      </c>
      <c r="E25" s="27"/>
      <c r="F25" s="22"/>
      <c r="G25" s="22"/>
      <c r="H25" s="22"/>
      <c r="I25" s="22"/>
      <c r="J25" s="22"/>
      <c r="K25" s="22"/>
      <c r="L25" s="22"/>
      <c r="M25" s="22"/>
      <c r="N25" s="22"/>
      <c r="O25" s="22">
        <f>+$O$15/$C$11</f>
        <v>2698442.7976633352</v>
      </c>
    </row>
    <row r="26" spans="1:15">
      <c r="B26" s="24" t="s">
        <v>23</v>
      </c>
      <c r="C26" s="25"/>
      <c r="D26" s="25" t="s">
        <v>191</v>
      </c>
      <c r="E26" s="26"/>
      <c r="F26" s="26">
        <f t="shared" ref="F26:N26" si="10">+F25+F24+F23+F22+F21+F20+F19+F18+F17+F16</f>
        <v>0</v>
      </c>
      <c r="G26" s="26">
        <f t="shared" si="10"/>
        <v>1600000</v>
      </c>
      <c r="H26" s="26">
        <f t="shared" si="10"/>
        <v>19483333.333333332</v>
      </c>
      <c r="I26" s="26">
        <f t="shared" si="10"/>
        <v>28025000</v>
      </c>
      <c r="J26" s="26">
        <f t="shared" si="10"/>
        <v>74025000</v>
      </c>
      <c r="K26" s="26">
        <f t="shared" si="10"/>
        <v>75886958.600462854</v>
      </c>
      <c r="L26" s="26">
        <f t="shared" si="10"/>
        <v>76329899.576890677</v>
      </c>
      <c r="M26" s="26">
        <f t="shared" si="10"/>
        <v>77771414.416227296</v>
      </c>
      <c r="N26" s="26">
        <f t="shared" si="10"/>
        <v>80230804.49794744</v>
      </c>
      <c r="O26" s="26">
        <f>+O25+O24+O23+O22+O21+O20+O19+O18+O17+O16</f>
        <v>82929247.295610771</v>
      </c>
    </row>
    <row r="27" spans="1:15">
      <c r="F27" s="17"/>
      <c r="G27" s="18"/>
      <c r="H27" s="16"/>
      <c r="I27" s="16"/>
      <c r="J27" s="16"/>
      <c r="K27" s="16"/>
      <c r="L27" s="16"/>
      <c r="M27" s="16"/>
      <c r="N27" s="16"/>
      <c r="O27" s="16"/>
    </row>
    <row r="28" spans="1:15" ht="15.75" thickBot="1">
      <c r="A28" s="4"/>
      <c r="B28" s="28" t="s">
        <v>24</v>
      </c>
      <c r="C28" s="29"/>
      <c r="D28" s="29" t="s">
        <v>191</v>
      </c>
      <c r="E28" s="31">
        <f>+E15+E8</f>
        <v>28000000</v>
      </c>
      <c r="F28" s="31">
        <f>+F15+F8</f>
        <v>0</v>
      </c>
      <c r="G28" s="31">
        <f t="shared" ref="G28:O28" si="11">+G15+G8</f>
        <v>12000000</v>
      </c>
      <c r="H28" s="31">
        <f t="shared" si="11"/>
        <v>205000000</v>
      </c>
      <c r="I28" s="31">
        <f t="shared" si="11"/>
        <v>0</v>
      </c>
      <c r="J28" s="31">
        <f t="shared" si="11"/>
        <v>230000000</v>
      </c>
      <c r="K28" s="31">
        <f t="shared" si="11"/>
        <v>9309793.0023142267</v>
      </c>
      <c r="L28" s="31">
        <f t="shared" si="11"/>
        <v>10214704.882139169</v>
      </c>
      <c r="M28" s="31">
        <f t="shared" si="11"/>
        <v>11207574.196683094</v>
      </c>
      <c r="N28" s="31">
        <f t="shared" si="11"/>
        <v>12296950.408600692</v>
      </c>
      <c r="O28" s="31">
        <f t="shared" si="11"/>
        <v>13492213.988316676</v>
      </c>
    </row>
    <row r="29" spans="1:15" ht="16.5" thickTop="1" thickBot="1">
      <c r="B29" s="28" t="s">
        <v>25</v>
      </c>
      <c r="C29" s="29"/>
      <c r="D29" s="29" t="s">
        <v>191</v>
      </c>
      <c r="E29" s="30"/>
      <c r="F29" s="58">
        <f>+F26+F11</f>
        <v>5600000</v>
      </c>
      <c r="G29" s="58">
        <f t="shared" ref="G29:O29" si="12">+G26+G11</f>
        <v>7200000</v>
      </c>
      <c r="H29" s="58">
        <f t="shared" si="12"/>
        <v>25083333.333333332</v>
      </c>
      <c r="I29" s="58">
        <f t="shared" si="12"/>
        <v>33625000</v>
      </c>
      <c r="J29" s="58">
        <f t="shared" si="12"/>
        <v>79625000</v>
      </c>
      <c r="K29" s="58">
        <f t="shared" si="12"/>
        <v>81486958.600462854</v>
      </c>
      <c r="L29" s="58">
        <f t="shared" si="12"/>
        <v>81929899.576890677</v>
      </c>
      <c r="M29" s="58">
        <f t="shared" si="12"/>
        <v>83371414.416227296</v>
      </c>
      <c r="N29" s="58">
        <f t="shared" si="12"/>
        <v>85830804.49794744</v>
      </c>
      <c r="O29" s="58">
        <f t="shared" si="12"/>
        <v>88529247.295610771</v>
      </c>
    </row>
    <row r="30" spans="1:15" ht="15.75" thickTop="1">
      <c r="F30" s="7"/>
      <c r="G30" s="8"/>
    </row>
    <row r="31" spans="1:15">
      <c r="B31" s="32" t="s">
        <v>26</v>
      </c>
      <c r="F31" s="7"/>
      <c r="G31" s="8">
        <f t="shared" ref="G31:O31" si="13">+(G34/F34)-1</f>
        <v>3.5614576053389522</v>
      </c>
      <c r="H31" s="8">
        <f t="shared" si="13"/>
        <v>0.54352151198731646</v>
      </c>
      <c r="I31" s="8">
        <f t="shared" si="13"/>
        <v>0.18039999999999989</v>
      </c>
      <c r="J31" s="8">
        <f t="shared" si="13"/>
        <v>0.13880000000000003</v>
      </c>
      <c r="K31" s="8">
        <f t="shared" si="13"/>
        <v>0.11799999999999988</v>
      </c>
      <c r="L31" s="8">
        <f t="shared" si="13"/>
        <v>9.7199999999999953E-2</v>
      </c>
      <c r="M31" s="8">
        <f t="shared" si="13"/>
        <v>9.7199999999999953E-2</v>
      </c>
      <c r="N31" s="8">
        <f t="shared" si="13"/>
        <v>9.7199999999999953E-2</v>
      </c>
      <c r="O31" s="8">
        <f t="shared" si="13"/>
        <v>9.7199999999999731E-2</v>
      </c>
    </row>
    <row r="32" spans="1:15">
      <c r="A32" s="6">
        <v>1</v>
      </c>
      <c r="B32" s="4" t="s">
        <v>27</v>
      </c>
      <c r="C32" s="5" t="s">
        <v>28</v>
      </c>
      <c r="D32" s="5" t="s">
        <v>1</v>
      </c>
      <c r="F32" s="59">
        <f>+'Proyectado anual optimista'!P10</f>
        <v>14541</v>
      </c>
      <c r="G32" s="59">
        <f>+'Proyectado anual optimista'!AF10</f>
        <v>65527</v>
      </c>
      <c r="H32" s="59">
        <f>+'Proyectado anual optimista'!AV10</f>
        <v>99448</v>
      </c>
      <c r="I32" s="33">
        <f t="shared" ref="I32:O32" si="14">+H32*(1+(I5+I6))</f>
        <v>112873.48</v>
      </c>
      <c r="J32" s="33">
        <f t="shared" si="14"/>
        <v>123596.46059999999</v>
      </c>
      <c r="K32" s="33">
        <f t="shared" si="14"/>
        <v>132866.19514499998</v>
      </c>
      <c r="L32" s="33">
        <f t="shared" si="14"/>
        <v>140173.83587797495</v>
      </c>
      <c r="M32" s="33">
        <f t="shared" si="14"/>
        <v>147883.39685126356</v>
      </c>
      <c r="N32" s="33">
        <f t="shared" si="14"/>
        <v>156016.98367808305</v>
      </c>
      <c r="O32" s="33">
        <f t="shared" si="14"/>
        <v>164597.91778037761</v>
      </c>
    </row>
    <row r="33" spans="1:15">
      <c r="A33" s="6">
        <v>2</v>
      </c>
      <c r="B33" s="4" t="s">
        <v>29</v>
      </c>
      <c r="C33" s="5" t="s">
        <v>30</v>
      </c>
      <c r="D33" s="5" t="s">
        <v>192</v>
      </c>
      <c r="F33" s="59">
        <f>+'Proyectado anual optimista'!R23</f>
        <v>60507.743621484078</v>
      </c>
      <c r="G33" s="59">
        <f>+'Proyectado anual optimista'!AH23</f>
        <v>61247.53155187938</v>
      </c>
      <c r="H33" s="59">
        <f>+'Proyectado anual optimista'!AX23</f>
        <v>62291.029482744751</v>
      </c>
      <c r="I33" s="33">
        <f t="shared" ref="I33:O33" si="15">+H33*(1+I$3)</f>
        <v>64782.670662054545</v>
      </c>
      <c r="J33" s="33">
        <f t="shared" si="15"/>
        <v>67373.977488536722</v>
      </c>
      <c r="K33" s="33">
        <f t="shared" si="15"/>
        <v>70068.936588078199</v>
      </c>
      <c r="L33" s="33">
        <f t="shared" si="15"/>
        <v>72871.694051601327</v>
      </c>
      <c r="M33" s="33">
        <f t="shared" si="15"/>
        <v>75786.561813665379</v>
      </c>
      <c r="N33" s="33">
        <f t="shared" si="15"/>
        <v>78818.024286211992</v>
      </c>
      <c r="O33" s="33">
        <f t="shared" si="15"/>
        <v>81970.74525766047</v>
      </c>
    </row>
    <row r="34" spans="1:15" s="15" customFormat="1">
      <c r="A34" s="52"/>
      <c r="B34" s="10" t="s">
        <v>32</v>
      </c>
      <c r="C34" s="11"/>
      <c r="D34" s="11" t="s">
        <v>191</v>
      </c>
      <c r="E34" s="34"/>
      <c r="F34" s="34">
        <f t="shared" ref="F34:O34" si="16">+F32*F33</f>
        <v>879843100</v>
      </c>
      <c r="G34" s="34">
        <f t="shared" si="16"/>
        <v>4013367000</v>
      </c>
      <c r="H34" s="34">
        <f t="shared" si="16"/>
        <v>6194718300</v>
      </c>
      <c r="I34" s="34">
        <f t="shared" si="16"/>
        <v>7312245481.3199997</v>
      </c>
      <c r="J34" s="34">
        <f t="shared" si="16"/>
        <v>8327185154.1272154</v>
      </c>
      <c r="K34" s="34">
        <f t="shared" si="16"/>
        <v>9309793002.3142262</v>
      </c>
      <c r="L34" s="34">
        <f t="shared" si="16"/>
        <v>10214704882.139168</v>
      </c>
      <c r="M34" s="34">
        <f t="shared" si="16"/>
        <v>11207574196.683094</v>
      </c>
      <c r="N34" s="34">
        <f t="shared" si="16"/>
        <v>12296950408.600691</v>
      </c>
      <c r="O34" s="34">
        <f t="shared" si="16"/>
        <v>13492213988.316675</v>
      </c>
    </row>
    <row r="35" spans="1:15" s="15" customFormat="1">
      <c r="A35" s="52"/>
      <c r="C35" s="20"/>
      <c r="D35" s="20"/>
      <c r="E35" s="6"/>
      <c r="F35" s="7"/>
      <c r="G35" s="8"/>
      <c r="H35" s="6"/>
      <c r="I35" s="6"/>
      <c r="J35" s="6"/>
      <c r="K35" s="6"/>
      <c r="L35" s="6"/>
      <c r="M35" s="6"/>
      <c r="N35" s="6"/>
      <c r="O35" s="6"/>
    </row>
    <row r="36" spans="1:15">
      <c r="B36" s="4" t="s">
        <v>33</v>
      </c>
      <c r="C36" s="5" t="s">
        <v>34</v>
      </c>
      <c r="D36" s="5" t="s">
        <v>192</v>
      </c>
      <c r="F36" s="59">
        <f>+'Proyectado anual optimista'!R28</f>
        <v>32659.643765903307</v>
      </c>
      <c r="G36" s="59">
        <f>+'Proyectado anual optimista'!AH28</f>
        <v>33037.759216811384</v>
      </c>
      <c r="H36" s="59">
        <f>+'Proyectado anual optimista'!AX28</f>
        <v>33608.283975343904</v>
      </c>
      <c r="I36" s="33">
        <f t="shared" ref="I36:O38" si="17">+H36*(1+I$3)</f>
        <v>34952.615334357659</v>
      </c>
      <c r="J36" s="33">
        <f t="shared" si="17"/>
        <v>36350.719947731966</v>
      </c>
      <c r="K36" s="33">
        <f t="shared" si="17"/>
        <v>37804.748745641249</v>
      </c>
      <c r="L36" s="33">
        <f t="shared" si="17"/>
        <v>39316.938695466903</v>
      </c>
      <c r="M36" s="33">
        <f t="shared" si="17"/>
        <v>40889.616243285578</v>
      </c>
      <c r="N36" s="33">
        <f t="shared" si="17"/>
        <v>42525.200893017005</v>
      </c>
      <c r="O36" s="33">
        <f t="shared" si="17"/>
        <v>44226.208928737688</v>
      </c>
    </row>
    <row r="37" spans="1:15">
      <c r="B37" s="4" t="s">
        <v>35</v>
      </c>
      <c r="D37" s="5" t="s">
        <v>191</v>
      </c>
      <c r="F37" s="33">
        <f>+(F36*F32)+'Proyectado anual optimista'!P30</f>
        <v>509802280</v>
      </c>
      <c r="G37" s="33">
        <f>+(G36*G32)+'Proyectado anual optimista'!AF30</f>
        <v>2319896888.04</v>
      </c>
      <c r="H37" s="33">
        <f>+(H36*H32)+'Proyectado anual optimista'!AV30</f>
        <v>3583209501.2318406</v>
      </c>
      <c r="I37" s="33">
        <f t="shared" ref="I37:O37" si="18">+I36*I32</f>
        <v>3945223327.8903122</v>
      </c>
      <c r="J37" s="33">
        <f t="shared" si="18"/>
        <v>4492820325.8014879</v>
      </c>
      <c r="K37" s="33">
        <f t="shared" si="18"/>
        <v>5022973124.2460632</v>
      </c>
      <c r="L37" s="33">
        <f t="shared" si="18"/>
        <v>5511206111.92278</v>
      </c>
      <c r="M37" s="33">
        <f t="shared" si="18"/>
        <v>6046895346.0016737</v>
      </c>
      <c r="N37" s="33">
        <f t="shared" si="18"/>
        <v>6634653573.6330366</v>
      </c>
      <c r="O37" s="33">
        <f t="shared" si="18"/>
        <v>7279541900.9901676</v>
      </c>
    </row>
    <row r="38" spans="1:15">
      <c r="B38" s="4" t="s">
        <v>36</v>
      </c>
      <c r="D38" s="5" t="s">
        <v>191</v>
      </c>
      <c r="F38" s="59"/>
      <c r="G38" s="59">
        <f>+F38*(1+G$3)</f>
        <v>0</v>
      </c>
      <c r="H38" s="59">
        <f>+G38*(1+H$3)</f>
        <v>0</v>
      </c>
      <c r="I38" s="33">
        <f t="shared" si="17"/>
        <v>0</v>
      </c>
      <c r="J38" s="33">
        <f t="shared" si="17"/>
        <v>0</v>
      </c>
      <c r="K38" s="33">
        <f t="shared" si="17"/>
        <v>0</v>
      </c>
      <c r="L38" s="33">
        <f t="shared" si="17"/>
        <v>0</v>
      </c>
      <c r="M38" s="33">
        <f t="shared" si="17"/>
        <v>0</v>
      </c>
      <c r="N38" s="33">
        <f t="shared" si="17"/>
        <v>0</v>
      </c>
      <c r="O38" s="33">
        <f t="shared" si="17"/>
        <v>0</v>
      </c>
    </row>
    <row r="39" spans="1:15" s="15" customFormat="1">
      <c r="A39" s="52"/>
      <c r="B39" s="10" t="s">
        <v>37</v>
      </c>
      <c r="C39" s="11"/>
      <c r="D39" s="11" t="s">
        <v>191</v>
      </c>
      <c r="E39" s="34"/>
      <c r="F39" s="34">
        <f>+F37+F38</f>
        <v>509802280</v>
      </c>
      <c r="G39" s="34">
        <f t="shared" ref="G39:O39" si="19">+G37+G38</f>
        <v>2319896888.04</v>
      </c>
      <c r="H39" s="34">
        <f t="shared" si="19"/>
        <v>3583209501.2318406</v>
      </c>
      <c r="I39" s="34">
        <f t="shared" si="19"/>
        <v>3945223327.8903122</v>
      </c>
      <c r="J39" s="34">
        <f t="shared" si="19"/>
        <v>4492820325.8014879</v>
      </c>
      <c r="K39" s="34">
        <f t="shared" si="19"/>
        <v>5022973124.2460632</v>
      </c>
      <c r="L39" s="34">
        <f t="shared" si="19"/>
        <v>5511206111.92278</v>
      </c>
      <c r="M39" s="34">
        <f t="shared" si="19"/>
        <v>6046895346.0016737</v>
      </c>
      <c r="N39" s="34">
        <f t="shared" si="19"/>
        <v>6634653573.6330366</v>
      </c>
      <c r="O39" s="34">
        <f t="shared" si="19"/>
        <v>7279541900.9901676</v>
      </c>
    </row>
    <row r="40" spans="1:15">
      <c r="F40" s="7"/>
      <c r="G40" s="8"/>
    </row>
    <row r="41" spans="1:15">
      <c r="B41" s="4" t="s">
        <v>38</v>
      </c>
      <c r="C41" s="102">
        <f>+F41/F34</f>
        <v>0.15929315750349887</v>
      </c>
      <c r="D41" s="5" t="s">
        <v>191</v>
      </c>
      <c r="F41" s="33">
        <f>+F43-F42</f>
        <v>140152985.50666672</v>
      </c>
      <c r="G41" s="33">
        <f t="shared" ref="G41:H41" si="20">+G43-G42</f>
        <v>675524906.05833316</v>
      </c>
      <c r="H41" s="33">
        <f t="shared" si="20"/>
        <v>998276960.00095224</v>
      </c>
      <c r="I41" s="33">
        <f t="shared" ref="I41:O41" si="21">+$C$41*I34</f>
        <v>1164790671.1601546</v>
      </c>
      <c r="J41" s="33">
        <f t="shared" si="21"/>
        <v>1326463616.317184</v>
      </c>
      <c r="K41" s="33">
        <f t="shared" si="21"/>
        <v>1482986323.0426116</v>
      </c>
      <c r="L41" s="33">
        <f t="shared" si="21"/>
        <v>1627132593.6423533</v>
      </c>
      <c r="M41" s="33">
        <f t="shared" si="21"/>
        <v>1785289881.74439</v>
      </c>
      <c r="N41" s="33">
        <f t="shared" si="21"/>
        <v>1958820058.2499447</v>
      </c>
      <c r="O41" s="33">
        <f t="shared" si="21"/>
        <v>2149217367.911839</v>
      </c>
    </row>
    <row r="42" spans="1:15">
      <c r="B42" s="4" t="s">
        <v>39</v>
      </c>
      <c r="D42" s="5" t="s">
        <v>191</v>
      </c>
      <c r="F42" s="59">
        <f>+'Proyectado anual optimista'!P79-'Proyectado anual optimista'!P77-'Proyectado anual optimista'!P76-'Proyectado anual optimista'!P72-'Proyectado anual optimista'!P68-'Proyectado anual optimista'!P67-'Proyectado anual optimista'!P63-'Proyectado anual optimista'!P62-'Proyectado anual optimista'!P61-'Proyectado anual optimista'!P58-'Proyectado anual optimista'!P57-'Proyectado anual optimista'!P56-'Proyectado anual optimista'!P55-'Proyectado anual optimista'!P54-'Proyectado anual optimista'!P53-'Proyectado anual optimista'!P52</f>
        <v>240772256.08333325</v>
      </c>
      <c r="G42" s="59">
        <f>+'Proyectado anual optimista'!AF79-'Proyectado anual optimista'!AF77-'Proyectado anual optimista'!AF76-'Proyectado anual optimista'!AF72-'Proyectado anual optimista'!AF68-'Proyectado anual optimista'!AF67-'Proyectado anual optimista'!AF63-'Proyectado anual optimista'!AF62-'Proyectado anual optimista'!AF61-'Proyectado anual optimista'!AF58-'Proyectado anual optimista'!AF57-'Proyectado anual optimista'!AF56-'Proyectado anual optimista'!AF55-'Proyectado anual optimista'!AF54-'Proyectado anual optimista'!AF53-'Proyectado anual optimista'!AF52</f>
        <v>592455549.29166675</v>
      </c>
      <c r="H42" s="59">
        <f>+'Proyectado anual optimista'!AV79-'Proyectado anual optimista'!AV77-'Proyectado anual optimista'!AV76-'Proyectado anual optimista'!AV72-'Proyectado anual optimista'!AV68-'Proyectado anual optimista'!AV67-'Proyectado anual optimista'!AV63-'Proyectado anual optimista'!AV62-'Proyectado anual optimista'!AV61-'Proyectado anual optimista'!AV58-'Proyectado anual optimista'!AV57-'Proyectado anual optimista'!AV56-'Proyectado anual optimista'!AV55-'Proyectado anual optimista'!AV54-'Proyectado anual optimista'!AV53-'Proyectado anual optimista'!AV52</f>
        <v>1081142016.4690478</v>
      </c>
      <c r="I42" s="33">
        <f>+H42*(1+(I$3+I6))</f>
        <v>1232501898.7747147</v>
      </c>
      <c r="J42" s="33">
        <f t="shared" ref="J42:O42" si="22">+I42*(1+(J$3+J6))</f>
        <v>1355752088.6521864</v>
      </c>
      <c r="K42" s="33">
        <f t="shared" si="22"/>
        <v>1464212255.7443614</v>
      </c>
      <c r="L42" s="33">
        <f t="shared" si="22"/>
        <v>1552064991.0890231</v>
      </c>
      <c r="M42" s="33">
        <f t="shared" si="22"/>
        <v>1645188890.5543647</v>
      </c>
      <c r="N42" s="33">
        <f t="shared" si="22"/>
        <v>1743900223.9876266</v>
      </c>
      <c r="O42" s="33">
        <f t="shared" si="22"/>
        <v>1848534237.4268842</v>
      </c>
    </row>
    <row r="43" spans="1:15" s="15" customFormat="1">
      <c r="A43" s="52"/>
      <c r="B43" s="10" t="s">
        <v>40</v>
      </c>
      <c r="C43" s="11"/>
      <c r="D43" s="11"/>
      <c r="E43" s="34"/>
      <c r="F43" s="34">
        <f>+'Proyectado anual optimista'!P79-'Proyectado anual optimista'!P73</f>
        <v>380925241.58999997</v>
      </c>
      <c r="G43" s="34">
        <f>+'Proyectado anual optimista'!AF79-'Proyectado anual optimista'!AF73</f>
        <v>1267980455.3499999</v>
      </c>
      <c r="H43" s="34">
        <f>+'Proyectado anual optimista'!AV79-'Proyectado anual optimista'!AV73</f>
        <v>2079418976.47</v>
      </c>
      <c r="I43" s="34">
        <f t="shared" ref="I43:O43" si="23">+I41+I42</f>
        <v>2397292569.9348693</v>
      </c>
      <c r="J43" s="34">
        <f t="shared" si="23"/>
        <v>2682215704.9693704</v>
      </c>
      <c r="K43" s="34">
        <f t="shared" si="23"/>
        <v>2947198578.786973</v>
      </c>
      <c r="L43" s="34">
        <f t="shared" si="23"/>
        <v>3179197584.7313766</v>
      </c>
      <c r="M43" s="34">
        <f t="shared" si="23"/>
        <v>3430478772.2987547</v>
      </c>
      <c r="N43" s="34">
        <f t="shared" si="23"/>
        <v>3702720282.2375712</v>
      </c>
      <c r="O43" s="34">
        <f t="shared" si="23"/>
        <v>3997751605.3387232</v>
      </c>
    </row>
    <row r="44" spans="1:15">
      <c r="F44" s="7"/>
      <c r="G44" s="8"/>
    </row>
    <row r="45" spans="1:15">
      <c r="B45" s="4" t="s">
        <v>41</v>
      </c>
      <c r="D45" s="5" t="s">
        <v>42</v>
      </c>
      <c r="E45" s="60">
        <f>+EFFECT('prestamo optimista'!B4*12,12)</f>
        <v>0.14299605449973818</v>
      </c>
      <c r="F45" s="7"/>
      <c r="G45" s="8"/>
      <c r="H45" s="6">
        <v>1</v>
      </c>
      <c r="I45" s="6">
        <v>2</v>
      </c>
      <c r="J45" s="6">
        <v>3</v>
      </c>
      <c r="K45" s="6">
        <v>4</v>
      </c>
      <c r="L45" s="6">
        <v>5</v>
      </c>
      <c r="M45" s="6">
        <v>6</v>
      </c>
      <c r="N45" s="6">
        <v>7</v>
      </c>
    </row>
    <row r="46" spans="1:15">
      <c r="B46" s="4" t="s">
        <v>43</v>
      </c>
      <c r="D46" s="5" t="s">
        <v>44</v>
      </c>
      <c r="E46" s="61">
        <f>+'prestamo optimista'!B3/12</f>
        <v>2</v>
      </c>
      <c r="F46" s="7"/>
      <c r="G46" s="8"/>
      <c r="H46" s="33">
        <f>+H15</f>
        <v>205000000</v>
      </c>
      <c r="I46" s="33">
        <v>4</v>
      </c>
      <c r="J46" s="33"/>
    </row>
    <row r="47" spans="1:15">
      <c r="B47" s="4" t="s">
        <v>45</v>
      </c>
      <c r="D47" s="5" t="s">
        <v>44</v>
      </c>
      <c r="F47" s="6">
        <v>1</v>
      </c>
      <c r="G47" s="6">
        <v>2</v>
      </c>
      <c r="H47" s="6">
        <v>3</v>
      </c>
      <c r="I47" s="6">
        <v>4</v>
      </c>
      <c r="J47" s="6">
        <v>5</v>
      </c>
      <c r="K47" s="6">
        <v>6</v>
      </c>
      <c r="L47" s="6">
        <v>7</v>
      </c>
      <c r="M47" s="6">
        <v>8</v>
      </c>
      <c r="N47" s="6">
        <v>9</v>
      </c>
      <c r="O47" s="6">
        <v>10</v>
      </c>
    </row>
    <row r="48" spans="1:15">
      <c r="A48" s="6" t="s">
        <v>46</v>
      </c>
      <c r="B48" s="4" t="s">
        <v>47</v>
      </c>
      <c r="D48" s="5" t="s">
        <v>191</v>
      </c>
      <c r="E48" s="167">
        <f>+'prestamo optimista'!B2</f>
        <v>73000000</v>
      </c>
      <c r="F48" s="33">
        <f>+E51</f>
        <v>73000000</v>
      </c>
      <c r="G48" s="33">
        <f t="shared" ref="G48:O48" si="24">+F51</f>
        <v>38935541.576607727</v>
      </c>
      <c r="H48" s="33">
        <f>+H46</f>
        <v>205000000</v>
      </c>
      <c r="I48" s="33">
        <f t="shared" si="24"/>
        <v>163524623.9919121</v>
      </c>
      <c r="J48" s="33">
        <f t="shared" si="24"/>
        <v>116118432.85577452</v>
      </c>
      <c r="K48" s="33">
        <f t="shared" si="24"/>
        <v>61933343.428308807</v>
      </c>
      <c r="L48" s="33">
        <f t="shared" si="24"/>
        <v>1.4901161193847656E-8</v>
      </c>
      <c r="M48" s="33">
        <f t="shared" si="24"/>
        <v>1.4901161193847656E-8</v>
      </c>
      <c r="N48" s="33">
        <f t="shared" si="24"/>
        <v>1.4901161193847656E-8</v>
      </c>
      <c r="O48" s="33">
        <f t="shared" si="24"/>
        <v>1.4901161193847656E-8</v>
      </c>
    </row>
    <row r="49" spans="1:16">
      <c r="B49" s="4" t="s">
        <v>48</v>
      </c>
      <c r="D49" s="5" t="s">
        <v>191</v>
      </c>
      <c r="E49" s="33"/>
      <c r="F49" s="33">
        <f>+IFERROR(IPMT($E$45,F47,$E$46,-$E$48),0)</f>
        <v>10438711.978480887</v>
      </c>
      <c r="G49" s="33">
        <f>+IFERROR(IPMT($E$45,G47,$E$46,-$E$48),0)</f>
        <v>5567628.8252654225</v>
      </c>
      <c r="H49" s="33">
        <f>+IFERROR(IPMT($E$45,H45,$I$46,-$H$46),0)</f>
        <v>29314191.172446325</v>
      </c>
      <c r="I49" s="33">
        <f t="shared" ref="I49:L49" si="25">+IFERROR(IPMT($E$45,I45,$I$46,-$H$46),0)</f>
        <v>23383376.044396654</v>
      </c>
      <c r="J49" s="33">
        <f t="shared" si="25"/>
        <v>16604477.753068518</v>
      </c>
      <c r="K49" s="33">
        <f t="shared" si="25"/>
        <v>8856223.7522254456</v>
      </c>
      <c r="L49" s="33">
        <f t="shared" si="25"/>
        <v>0</v>
      </c>
      <c r="M49" s="33">
        <f t="shared" ref="M49:O49" si="26">+IFERROR(IPMT($E$45,M47,$E$46,-$E$48),0)</f>
        <v>0</v>
      </c>
      <c r="N49" s="33">
        <f t="shared" si="26"/>
        <v>0</v>
      </c>
      <c r="O49" s="33">
        <f t="shared" si="26"/>
        <v>0</v>
      </c>
    </row>
    <row r="50" spans="1:16">
      <c r="B50" s="4" t="s">
        <v>49</v>
      </c>
      <c r="D50" s="5" t="s">
        <v>191</v>
      </c>
      <c r="E50" s="33"/>
      <c r="F50" s="33">
        <f>+IFERROR(PPMT($E$45,F47,$E$46,-$E$48),0)</f>
        <v>34064458.423392273</v>
      </c>
      <c r="G50" s="33">
        <f>+IFERROR(PPMT($E$45,G47,$E$46,-$E$48),0)</f>
        <v>38935541.576607734</v>
      </c>
      <c r="H50" s="33">
        <f>+IFERROR(PPMT($E$45,H45,$I$46,-$H$46),0)</f>
        <v>41475376.008087903</v>
      </c>
      <c r="I50" s="33">
        <f t="shared" ref="I50:L50" si="27">+IFERROR(PPMT($E$45,I45,$I$46,-$H$46),0)</f>
        <v>47406191.136137582</v>
      </c>
      <c r="J50" s="33">
        <f t="shared" si="27"/>
        <v>54185089.427465715</v>
      </c>
      <c r="K50" s="33">
        <f t="shared" si="27"/>
        <v>61933343.428308792</v>
      </c>
      <c r="L50" s="33">
        <f t="shared" si="27"/>
        <v>0</v>
      </c>
      <c r="M50" s="33">
        <f t="shared" ref="M50:O50" si="28">+IFERROR(PPMT($E$45,M47,$E$46,-$E$48),0)</f>
        <v>0</v>
      </c>
      <c r="N50" s="33">
        <f t="shared" si="28"/>
        <v>0</v>
      </c>
      <c r="O50" s="33">
        <f t="shared" si="28"/>
        <v>0</v>
      </c>
    </row>
    <row r="51" spans="1:16">
      <c r="B51" s="4" t="s">
        <v>50</v>
      </c>
      <c r="D51" s="5" t="s">
        <v>191</v>
      </c>
      <c r="E51" s="33">
        <f>+E48-E50</f>
        <v>73000000</v>
      </c>
      <c r="F51" s="33">
        <f>+F48-F50</f>
        <v>38935541.576607727</v>
      </c>
      <c r="G51" s="33">
        <f t="shared" ref="G51" si="29">+G48-G50</f>
        <v>0</v>
      </c>
      <c r="H51" s="33">
        <f>IFERROR(H48-H50,0)</f>
        <v>163524623.9919121</v>
      </c>
      <c r="I51" s="33">
        <f>IFERROR(I48-I50,0)</f>
        <v>116118432.85577452</v>
      </c>
      <c r="J51" s="33">
        <f t="shared" ref="J51:O51" si="30">IFERROR(J48-J50,0)</f>
        <v>61933343.428308807</v>
      </c>
      <c r="K51" s="33">
        <f t="shared" si="30"/>
        <v>1.4901161193847656E-8</v>
      </c>
      <c r="L51" s="33">
        <f t="shared" si="30"/>
        <v>1.4901161193847656E-8</v>
      </c>
      <c r="M51" s="33">
        <f t="shared" si="30"/>
        <v>1.4901161193847656E-8</v>
      </c>
      <c r="N51" s="33">
        <f t="shared" si="30"/>
        <v>1.4901161193847656E-8</v>
      </c>
      <c r="O51" s="33">
        <f t="shared" si="30"/>
        <v>1.4901161193847656E-8</v>
      </c>
    </row>
    <row r="52" spans="1:16">
      <c r="B52" s="4" t="s">
        <v>51</v>
      </c>
      <c r="D52" s="5" t="s">
        <v>191</v>
      </c>
      <c r="E52" s="33"/>
      <c r="F52" s="33">
        <f>+PMT($E$45,$E$46,-$E$48)</f>
        <v>44503170.401873156</v>
      </c>
      <c r="G52" s="33">
        <f t="shared" ref="G52" si="31">+PMT($E$45,$E$46,-$E$48)</f>
        <v>44503170.401873156</v>
      </c>
      <c r="H52" s="33"/>
      <c r="I52" s="33"/>
      <c r="J52" s="33"/>
      <c r="K52" s="33"/>
      <c r="L52" s="33"/>
      <c r="M52" s="33"/>
      <c r="N52" s="33"/>
      <c r="O52" s="33"/>
    </row>
    <row r="53" spans="1:16"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6">
      <c r="B54" s="4" t="s">
        <v>52</v>
      </c>
      <c r="C54" s="63">
        <v>0</v>
      </c>
      <c r="D54" s="5" t="s">
        <v>53</v>
      </c>
      <c r="E54" s="33"/>
      <c r="F54" s="33">
        <f>+$C$54</f>
        <v>0</v>
      </c>
      <c r="G54" s="33">
        <f t="shared" ref="G54:O54" si="32">+$C$54</f>
        <v>0</v>
      </c>
      <c r="H54" s="33">
        <f t="shared" si="32"/>
        <v>0</v>
      </c>
      <c r="I54" s="33">
        <f t="shared" si="32"/>
        <v>0</v>
      </c>
      <c r="J54" s="33">
        <f t="shared" si="32"/>
        <v>0</v>
      </c>
      <c r="K54" s="33">
        <f t="shared" si="32"/>
        <v>0</v>
      </c>
      <c r="L54" s="33">
        <f t="shared" si="32"/>
        <v>0</v>
      </c>
      <c r="M54" s="33">
        <f t="shared" si="32"/>
        <v>0</v>
      </c>
      <c r="N54" s="33">
        <f t="shared" si="32"/>
        <v>0</v>
      </c>
      <c r="O54" s="33">
        <f t="shared" si="32"/>
        <v>0</v>
      </c>
    </row>
    <row r="55" spans="1:16">
      <c r="B55" s="4" t="s">
        <v>54</v>
      </c>
      <c r="C55" s="63">
        <v>15</v>
      </c>
      <c r="D55" s="5" t="s">
        <v>55</v>
      </c>
      <c r="E55" s="33"/>
      <c r="F55" s="33">
        <f t="shared" ref="F55" si="33">+$C$55</f>
        <v>15</v>
      </c>
      <c r="G55" s="33">
        <v>25</v>
      </c>
      <c r="H55" s="33">
        <v>30</v>
      </c>
      <c r="I55" s="33">
        <v>35</v>
      </c>
      <c r="J55" s="33">
        <v>40</v>
      </c>
      <c r="K55" s="33">
        <v>45</v>
      </c>
      <c r="L55" s="33">
        <f t="shared" ref="L55:O55" si="34">+K55</f>
        <v>45</v>
      </c>
      <c r="M55" s="33">
        <f t="shared" si="34"/>
        <v>45</v>
      </c>
      <c r="N55" s="33">
        <f t="shared" si="34"/>
        <v>45</v>
      </c>
      <c r="O55" s="33">
        <f t="shared" si="34"/>
        <v>45</v>
      </c>
    </row>
    <row r="56" spans="1:16">
      <c r="B56" s="4" t="s">
        <v>56</v>
      </c>
      <c r="C56" s="63">
        <v>0</v>
      </c>
      <c r="D56" s="5" t="s">
        <v>55</v>
      </c>
      <c r="E56" s="33"/>
      <c r="F56" s="33">
        <v>0</v>
      </c>
      <c r="G56" s="33">
        <v>10</v>
      </c>
      <c r="H56" s="33">
        <v>15</v>
      </c>
      <c r="I56" s="33">
        <f>+H56</f>
        <v>15</v>
      </c>
      <c r="J56" s="33">
        <f t="shared" ref="J56:O56" si="35">+I56</f>
        <v>15</v>
      </c>
      <c r="K56" s="33">
        <f t="shared" si="35"/>
        <v>15</v>
      </c>
      <c r="L56" s="33">
        <f t="shared" si="35"/>
        <v>15</v>
      </c>
      <c r="M56" s="33">
        <f t="shared" si="35"/>
        <v>15</v>
      </c>
      <c r="N56" s="33">
        <f t="shared" si="35"/>
        <v>15</v>
      </c>
      <c r="O56" s="33">
        <f t="shared" si="35"/>
        <v>15</v>
      </c>
    </row>
    <row r="57" spans="1:16"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6">
      <c r="E58" s="33"/>
      <c r="F58" s="33">
        <f>+F62/F34*360</f>
        <v>8.6913612211086271</v>
      </c>
      <c r="G58" s="33">
        <f>+G62/G34*360</f>
        <v>8.670638224862067</v>
      </c>
      <c r="H58" s="33"/>
      <c r="I58" s="33"/>
      <c r="J58" s="33"/>
      <c r="K58" s="33"/>
      <c r="L58" s="33"/>
      <c r="M58" s="33"/>
      <c r="N58" s="33"/>
      <c r="O58" s="33"/>
    </row>
    <row r="59" spans="1:16">
      <c r="A59" s="6" t="s">
        <v>57</v>
      </c>
      <c r="B59" s="4" t="s">
        <v>58</v>
      </c>
      <c r="D59" s="5" t="s">
        <v>191</v>
      </c>
      <c r="E59" s="62">
        <v>0</v>
      </c>
      <c r="F59" s="33">
        <f t="shared" ref="F59:O59" si="36">+F54/360*F34</f>
        <v>0</v>
      </c>
      <c r="G59" s="33">
        <f t="shared" si="36"/>
        <v>0</v>
      </c>
      <c r="H59" s="33">
        <f t="shared" si="36"/>
        <v>0</v>
      </c>
      <c r="I59" s="33">
        <f t="shared" si="36"/>
        <v>0</v>
      </c>
      <c r="J59" s="33">
        <f t="shared" si="36"/>
        <v>0</v>
      </c>
      <c r="K59" s="33">
        <f t="shared" si="36"/>
        <v>0</v>
      </c>
      <c r="L59" s="33">
        <f t="shared" si="36"/>
        <v>0</v>
      </c>
      <c r="M59" s="33">
        <f t="shared" si="36"/>
        <v>0</v>
      </c>
      <c r="N59" s="33">
        <f t="shared" si="36"/>
        <v>0</v>
      </c>
      <c r="O59" s="33">
        <f t="shared" si="36"/>
        <v>0</v>
      </c>
    </row>
    <row r="60" spans="1:16">
      <c r="A60" s="6" t="s">
        <v>57</v>
      </c>
      <c r="B60" s="4" t="s">
        <v>59</v>
      </c>
      <c r="D60" s="5" t="s">
        <v>191</v>
      </c>
      <c r="E60" s="62">
        <v>0</v>
      </c>
      <c r="F60" s="33">
        <f>+F55/360*F39</f>
        <v>21241761.666666664</v>
      </c>
      <c r="G60" s="33">
        <f t="shared" ref="G60:O60" si="37">+G55/360*G39</f>
        <v>161103950.55833334</v>
      </c>
      <c r="H60" s="33">
        <f t="shared" si="37"/>
        <v>298600791.76932001</v>
      </c>
      <c r="I60" s="33">
        <f t="shared" si="37"/>
        <v>383563379.100447</v>
      </c>
      <c r="J60" s="33">
        <f t="shared" si="37"/>
        <v>499202258.42238754</v>
      </c>
      <c r="K60" s="33">
        <f t="shared" si="37"/>
        <v>627871640.5307579</v>
      </c>
      <c r="L60" s="33">
        <f t="shared" si="37"/>
        <v>688900763.9903475</v>
      </c>
      <c r="M60" s="33">
        <f t="shared" si="37"/>
        <v>755861918.25020921</v>
      </c>
      <c r="N60" s="33">
        <f t="shared" si="37"/>
        <v>829331696.70412958</v>
      </c>
      <c r="O60" s="33">
        <f t="shared" si="37"/>
        <v>909942737.62377095</v>
      </c>
    </row>
    <row r="61" spans="1:16">
      <c r="A61" s="6" t="s">
        <v>60</v>
      </c>
      <c r="B61" s="4" t="s">
        <v>61</v>
      </c>
      <c r="D61" s="5" t="s">
        <v>191</v>
      </c>
      <c r="E61" s="62">
        <v>0</v>
      </c>
      <c r="F61" s="33">
        <f>+F56/360*F39</f>
        <v>0</v>
      </c>
      <c r="G61" s="33">
        <f t="shared" ref="G61:O61" si="38">+G56/360*G39</f>
        <v>64441580.223333329</v>
      </c>
      <c r="H61" s="33">
        <f t="shared" si="38"/>
        <v>149300395.88466001</v>
      </c>
      <c r="I61" s="33">
        <f t="shared" si="38"/>
        <v>164384305.32876301</v>
      </c>
      <c r="J61" s="33">
        <f t="shared" si="38"/>
        <v>187200846.90839532</v>
      </c>
      <c r="K61" s="33">
        <f t="shared" si="38"/>
        <v>209290546.84358597</v>
      </c>
      <c r="L61" s="33">
        <f t="shared" si="38"/>
        <v>229633587.99678248</v>
      </c>
      <c r="M61" s="33">
        <f t="shared" si="38"/>
        <v>251953972.75006974</v>
      </c>
      <c r="N61" s="33">
        <f t="shared" si="38"/>
        <v>276443898.90137649</v>
      </c>
      <c r="O61" s="33">
        <f t="shared" si="38"/>
        <v>303314245.87459028</v>
      </c>
    </row>
    <row r="62" spans="1:16">
      <c r="A62" s="6" t="s">
        <v>62</v>
      </c>
      <c r="B62" s="15" t="s">
        <v>63</v>
      </c>
      <c r="C62" s="20"/>
      <c r="D62" s="20" t="s">
        <v>191</v>
      </c>
      <c r="E62" s="62"/>
      <c r="F62" s="62">
        <f>+F59+F60-F61</f>
        <v>21241761.666666664</v>
      </c>
      <c r="G62" s="62">
        <f>+G59+G60-G61</f>
        <v>96662370.335000008</v>
      </c>
      <c r="H62" s="62">
        <f t="shared" ref="H62:O62" si="39">+H59+H60-H61</f>
        <v>149300395.88466001</v>
      </c>
      <c r="I62" s="62">
        <f t="shared" si="39"/>
        <v>219179073.77168399</v>
      </c>
      <c r="J62" s="62">
        <f t="shared" si="39"/>
        <v>312001411.51399219</v>
      </c>
      <c r="K62" s="62">
        <f t="shared" si="39"/>
        <v>418581093.68717194</v>
      </c>
      <c r="L62" s="62">
        <f t="shared" si="39"/>
        <v>459267175.99356502</v>
      </c>
      <c r="M62" s="62">
        <f t="shared" si="39"/>
        <v>503907945.50013947</v>
      </c>
      <c r="N62" s="62">
        <f t="shared" si="39"/>
        <v>552887797.80275309</v>
      </c>
      <c r="O62" s="62">
        <f t="shared" si="39"/>
        <v>606628491.74918067</v>
      </c>
    </row>
    <row r="63" spans="1:16">
      <c r="A63" s="53" t="s">
        <v>62</v>
      </c>
      <c r="B63" s="10" t="s">
        <v>64</v>
      </c>
      <c r="C63" s="11"/>
      <c r="D63" s="11" t="s">
        <v>191</v>
      </c>
      <c r="E63" s="66"/>
      <c r="F63" s="66">
        <f>+F62-E62</f>
        <v>21241761.666666664</v>
      </c>
      <c r="G63" s="66">
        <f>+G62-F62</f>
        <v>75420608.668333352</v>
      </c>
      <c r="H63" s="66">
        <f t="shared" ref="H63:O63" si="40">+H62-G62</f>
        <v>52638025.549659997</v>
      </c>
      <c r="I63" s="66">
        <f t="shared" si="40"/>
        <v>69878677.887023985</v>
      </c>
      <c r="J63" s="66">
        <f t="shared" si="40"/>
        <v>92822337.742308199</v>
      </c>
      <c r="K63" s="66">
        <f t="shared" si="40"/>
        <v>106579682.17317975</v>
      </c>
      <c r="L63" s="66">
        <f t="shared" si="40"/>
        <v>40686082.306393087</v>
      </c>
      <c r="M63" s="66">
        <f t="shared" si="40"/>
        <v>44640769.506574452</v>
      </c>
      <c r="N63" s="66">
        <f t="shared" si="40"/>
        <v>48979852.302613616</v>
      </c>
      <c r="O63" s="66">
        <f t="shared" si="40"/>
        <v>53740693.946427584</v>
      </c>
    </row>
    <row r="64" spans="1:16"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219" t="s">
        <v>302</v>
      </c>
    </row>
    <row r="65" spans="1:27">
      <c r="B65" s="37" t="s">
        <v>65</v>
      </c>
      <c r="E65" s="33"/>
      <c r="F65" s="33"/>
      <c r="G65" s="33"/>
      <c r="H65" s="217"/>
      <c r="I65" s="33"/>
      <c r="J65" s="33"/>
      <c r="K65" s="33"/>
      <c r="L65" s="33"/>
      <c r="M65" s="33"/>
      <c r="N65" s="33"/>
      <c r="O65" s="33"/>
    </row>
    <row r="66" spans="1:27" s="15" customFormat="1">
      <c r="A66" s="52"/>
      <c r="B66" s="38" t="s">
        <v>66</v>
      </c>
      <c r="C66" s="39"/>
      <c r="D66" s="39" t="s">
        <v>191</v>
      </c>
      <c r="E66" s="64">
        <f>+E34</f>
        <v>0</v>
      </c>
      <c r="F66" s="64">
        <f t="shared" ref="F66:O66" si="41">+F34</f>
        <v>879843100</v>
      </c>
      <c r="G66" s="64">
        <f t="shared" si="41"/>
        <v>4013367000</v>
      </c>
      <c r="H66" s="64">
        <f t="shared" si="41"/>
        <v>6194718300</v>
      </c>
      <c r="I66" s="64">
        <f t="shared" si="41"/>
        <v>7312245481.3199997</v>
      </c>
      <c r="J66" s="64">
        <f t="shared" si="41"/>
        <v>8327185154.1272154</v>
      </c>
      <c r="K66" s="64">
        <f t="shared" si="41"/>
        <v>9309793002.3142262</v>
      </c>
      <c r="L66" s="64">
        <f t="shared" si="41"/>
        <v>10214704882.139168</v>
      </c>
      <c r="M66" s="64">
        <f t="shared" si="41"/>
        <v>11207574196.683094</v>
      </c>
      <c r="N66" s="64">
        <f t="shared" si="41"/>
        <v>12296950408.600691</v>
      </c>
      <c r="O66" s="64">
        <f t="shared" si="41"/>
        <v>13492213988.316675</v>
      </c>
      <c r="P66" s="4"/>
      <c r="Q66" s="4"/>
    </row>
    <row r="67" spans="1:27">
      <c r="B67" s="41" t="s">
        <v>67</v>
      </c>
      <c r="C67" s="42" t="s">
        <v>68</v>
      </c>
      <c r="D67" s="42" t="s">
        <v>191</v>
      </c>
      <c r="E67" s="65">
        <f>+E39</f>
        <v>0</v>
      </c>
      <c r="F67" s="65">
        <f>+F39</f>
        <v>509802280</v>
      </c>
      <c r="G67" s="65">
        <f t="shared" ref="G67:O67" si="42">+G39</f>
        <v>2319896888.04</v>
      </c>
      <c r="H67" s="65">
        <f t="shared" si="42"/>
        <v>3583209501.2318406</v>
      </c>
      <c r="I67" s="65">
        <f t="shared" si="42"/>
        <v>3945223327.8903122</v>
      </c>
      <c r="J67" s="65">
        <f t="shared" si="42"/>
        <v>4492820325.8014879</v>
      </c>
      <c r="K67" s="65">
        <f t="shared" si="42"/>
        <v>5022973124.2460632</v>
      </c>
      <c r="L67" s="65">
        <f t="shared" si="42"/>
        <v>5511206111.92278</v>
      </c>
      <c r="M67" s="65">
        <f t="shared" si="42"/>
        <v>6046895346.0016737</v>
      </c>
      <c r="N67" s="65">
        <f t="shared" si="42"/>
        <v>6634653573.6330366</v>
      </c>
      <c r="O67" s="65">
        <f t="shared" si="42"/>
        <v>7279541900.9901676</v>
      </c>
      <c r="P67" s="4" t="s">
        <v>215</v>
      </c>
      <c r="Q67" s="173">
        <f>+(F66-F67)/F66</f>
        <v>0.42057591859275817</v>
      </c>
      <c r="R67" s="173">
        <f>+(G66-G67)/G66</f>
        <v>0.42195745167586218</v>
      </c>
      <c r="S67" s="173">
        <f t="shared" ref="S67:Z67" si="43">+(H66-H67)/H66</f>
        <v>0.42157022681211498</v>
      </c>
      <c r="T67" s="173">
        <f t="shared" si="43"/>
        <v>0.46046350085362231</v>
      </c>
      <c r="U67" s="173">
        <f t="shared" si="43"/>
        <v>0.46046350085362225</v>
      </c>
      <c r="V67" s="173">
        <f t="shared" si="43"/>
        <v>0.46046350085362225</v>
      </c>
      <c r="W67" s="173">
        <f t="shared" si="43"/>
        <v>0.4604635008536222</v>
      </c>
      <c r="X67" s="173">
        <f t="shared" si="43"/>
        <v>0.46046350085362225</v>
      </c>
      <c r="Y67" s="173">
        <f t="shared" si="43"/>
        <v>0.4604635008536222</v>
      </c>
      <c r="Z67" s="173">
        <f t="shared" si="43"/>
        <v>0.46046350085362209</v>
      </c>
    </row>
    <row r="68" spans="1:27">
      <c r="B68" s="41" t="s">
        <v>69</v>
      </c>
      <c r="C68" s="42" t="s">
        <v>68</v>
      </c>
      <c r="D68" s="42" t="s">
        <v>191</v>
      </c>
      <c r="E68" s="65">
        <f>+E43</f>
        <v>0</v>
      </c>
      <c r="F68" s="65">
        <f t="shared" ref="F68:O68" si="44">+F43</f>
        <v>380925241.58999997</v>
      </c>
      <c r="G68" s="65">
        <f t="shared" si="44"/>
        <v>1267980455.3499999</v>
      </c>
      <c r="H68" s="65">
        <f t="shared" si="44"/>
        <v>2079418976.47</v>
      </c>
      <c r="I68" s="65">
        <f t="shared" si="44"/>
        <v>2397292569.9348693</v>
      </c>
      <c r="J68" s="65">
        <f t="shared" si="44"/>
        <v>2682215704.9693704</v>
      </c>
      <c r="K68" s="65">
        <f t="shared" si="44"/>
        <v>2947198578.786973</v>
      </c>
      <c r="L68" s="65">
        <f t="shared" si="44"/>
        <v>3179197584.7313766</v>
      </c>
      <c r="M68" s="65">
        <f t="shared" si="44"/>
        <v>3430478772.2987547</v>
      </c>
      <c r="N68" s="65">
        <f t="shared" si="44"/>
        <v>3702720282.2375712</v>
      </c>
      <c r="O68" s="65">
        <f t="shared" si="44"/>
        <v>3997751605.3387232</v>
      </c>
      <c r="P68" s="4" t="s">
        <v>304</v>
      </c>
      <c r="Q68" s="220">
        <f>+F41/F32</f>
        <v>9638.4695348783935</v>
      </c>
      <c r="R68" s="220">
        <f t="shared" ref="R68:Z68" si="45">+G41/G32</f>
        <v>10309.107788519743</v>
      </c>
      <c r="S68" s="220">
        <f t="shared" si="45"/>
        <v>10038.180355572282</v>
      </c>
      <c r="T68" s="220">
        <f t="shared" si="45"/>
        <v>10319.43616126795</v>
      </c>
      <c r="U68" s="220">
        <f t="shared" si="45"/>
        <v>10732.213607718666</v>
      </c>
      <c r="V68" s="220">
        <f t="shared" si="45"/>
        <v>11161.502152027415</v>
      </c>
      <c r="W68" s="220">
        <f t="shared" si="45"/>
        <v>11607.962238108512</v>
      </c>
      <c r="X68" s="220">
        <f t="shared" si="45"/>
        <v>12072.280727632853</v>
      </c>
      <c r="Y68" s="220">
        <f t="shared" si="45"/>
        <v>12555.171956738168</v>
      </c>
      <c r="Z68" s="220">
        <f t="shared" si="45"/>
        <v>13057.378835007692</v>
      </c>
      <c r="AA68" s="220"/>
    </row>
    <row r="69" spans="1:27" s="15" customFormat="1">
      <c r="A69" s="52"/>
      <c r="B69" s="38" t="s">
        <v>70</v>
      </c>
      <c r="C69" s="39" t="s">
        <v>70</v>
      </c>
      <c r="D69" s="39" t="s">
        <v>191</v>
      </c>
      <c r="E69" s="40">
        <f>+E66-E67-E68</f>
        <v>0</v>
      </c>
      <c r="F69" s="40">
        <f>+F66-F67-F68</f>
        <v>-10884421.589999974</v>
      </c>
      <c r="G69" s="40">
        <f t="shared" ref="G69:O69" si="46">+G66-G67-G68</f>
        <v>425489656.61000013</v>
      </c>
      <c r="H69" s="40">
        <f t="shared" si="46"/>
        <v>532089822.29815936</v>
      </c>
      <c r="I69" s="40">
        <f t="shared" si="46"/>
        <v>969729583.49481821</v>
      </c>
      <c r="J69" s="40">
        <f t="shared" si="46"/>
        <v>1152149123.3563571</v>
      </c>
      <c r="K69" s="40">
        <f t="shared" si="46"/>
        <v>1339621299.2811899</v>
      </c>
      <c r="L69" s="40">
        <f t="shared" si="46"/>
        <v>1524301185.4850111</v>
      </c>
      <c r="M69" s="40">
        <f t="shared" si="46"/>
        <v>1730200078.3826656</v>
      </c>
      <c r="N69" s="40">
        <f t="shared" si="46"/>
        <v>1959576552.730083</v>
      </c>
      <c r="O69" s="40">
        <f t="shared" si="46"/>
        <v>2214920481.9877844</v>
      </c>
      <c r="P69" s="4" t="s">
        <v>305</v>
      </c>
      <c r="Q69" s="173">
        <f t="shared" ref="Q69:Z69" si="47">+F69/F66</f>
        <v>-1.2370866567004929E-2</v>
      </c>
      <c r="R69" s="173">
        <f t="shared" si="47"/>
        <v>0.10601812807301204</v>
      </c>
      <c r="S69" s="173">
        <f t="shared" si="47"/>
        <v>8.5894111165338918E-2</v>
      </c>
      <c r="T69" s="173">
        <f t="shared" si="47"/>
        <v>0.13261720848569811</v>
      </c>
      <c r="U69" s="173">
        <f t="shared" si="47"/>
        <v>0.13835997423274726</v>
      </c>
      <c r="V69" s="173">
        <f t="shared" si="47"/>
        <v>0.14389377926535929</v>
      </c>
      <c r="W69" s="173">
        <f t="shared" si="47"/>
        <v>0.14922616003819303</v>
      </c>
      <c r="X69" s="173">
        <f t="shared" si="47"/>
        <v>0.15437774919167807</v>
      </c>
      <c r="Y69" s="173">
        <f t="shared" si="47"/>
        <v>0.15935467637240552</v>
      </c>
      <c r="Z69" s="173">
        <f t="shared" si="47"/>
        <v>0.16416286340446071</v>
      </c>
    </row>
    <row r="70" spans="1:27">
      <c r="B70" s="41" t="s">
        <v>22</v>
      </c>
      <c r="C70" s="39" t="s">
        <v>71</v>
      </c>
      <c r="D70" s="42" t="s">
        <v>191</v>
      </c>
      <c r="E70" s="65">
        <f>+E29</f>
        <v>0</v>
      </c>
      <c r="F70" s="65">
        <f>+F29</f>
        <v>5600000</v>
      </c>
      <c r="G70" s="65">
        <f t="shared" ref="G70:O70" si="48">+G29</f>
        <v>7200000</v>
      </c>
      <c r="H70" s="65">
        <f t="shared" si="48"/>
        <v>25083333.333333332</v>
      </c>
      <c r="I70" s="65">
        <f t="shared" si="48"/>
        <v>33625000</v>
      </c>
      <c r="J70" s="65">
        <f t="shared" si="48"/>
        <v>79625000</v>
      </c>
      <c r="K70" s="65">
        <f t="shared" si="48"/>
        <v>81486958.600462854</v>
      </c>
      <c r="L70" s="65">
        <f t="shared" si="48"/>
        <v>81929899.576890677</v>
      </c>
      <c r="M70" s="65">
        <f t="shared" si="48"/>
        <v>83371414.416227296</v>
      </c>
      <c r="N70" s="65">
        <f t="shared" si="48"/>
        <v>85830804.49794744</v>
      </c>
      <c r="O70" s="65">
        <f t="shared" si="48"/>
        <v>88529247.295610771</v>
      </c>
    </row>
    <row r="71" spans="1:27" s="15" customFormat="1">
      <c r="A71" s="52"/>
      <c r="B71" s="38" t="s">
        <v>72</v>
      </c>
      <c r="C71" s="39" t="s">
        <v>73</v>
      </c>
      <c r="D71" s="39" t="s">
        <v>191</v>
      </c>
      <c r="E71" s="40">
        <f t="shared" ref="E71:O71" si="49">+E69-E70</f>
        <v>0</v>
      </c>
      <c r="F71" s="40">
        <f t="shared" si="49"/>
        <v>-16484421.589999974</v>
      </c>
      <c r="G71" s="40">
        <f t="shared" si="49"/>
        <v>418289656.61000013</v>
      </c>
      <c r="H71" s="40">
        <f t="shared" si="49"/>
        <v>507006488.96482605</v>
      </c>
      <c r="I71" s="40">
        <f t="shared" si="49"/>
        <v>936104583.49481821</v>
      </c>
      <c r="J71" s="40">
        <f t="shared" si="49"/>
        <v>1072524123.3563571</v>
      </c>
      <c r="K71" s="40">
        <f t="shared" si="49"/>
        <v>1258134340.680727</v>
      </c>
      <c r="L71" s="40">
        <f t="shared" si="49"/>
        <v>1442371285.9081204</v>
      </c>
      <c r="M71" s="40">
        <f t="shared" si="49"/>
        <v>1646828663.9664383</v>
      </c>
      <c r="N71" s="40">
        <f t="shared" si="49"/>
        <v>1873745748.2321355</v>
      </c>
      <c r="O71" s="40">
        <f t="shared" si="49"/>
        <v>2126391234.6921737</v>
      </c>
      <c r="P71" s="4" t="s">
        <v>303</v>
      </c>
      <c r="Q71" s="173">
        <f>+F71/F66</f>
        <v>-1.8735637740410732E-2</v>
      </c>
      <c r="R71" s="173">
        <f t="shared" ref="R71:Z71" si="50">+G71/G66</f>
        <v>0.10422412318883374</v>
      </c>
      <c r="S71" s="173">
        <f t="shared" si="50"/>
        <v>8.1844962823382314E-2</v>
      </c>
      <c r="T71" s="173">
        <f t="shared" si="50"/>
        <v>0.12801875783385674</v>
      </c>
      <c r="U71" s="173">
        <f t="shared" si="50"/>
        <v>0.1287979195256371</v>
      </c>
      <c r="V71" s="173">
        <f t="shared" si="50"/>
        <v>0.13514095752375807</v>
      </c>
      <c r="W71" s="173">
        <f t="shared" si="50"/>
        <v>0.14120538014075826</v>
      </c>
      <c r="X71" s="173">
        <f t="shared" si="50"/>
        <v>0.14693890355451056</v>
      </c>
      <c r="Y71" s="173">
        <f t="shared" si="50"/>
        <v>0.15237483164294188</v>
      </c>
      <c r="Z71" s="173">
        <f t="shared" si="50"/>
        <v>0.15760135708887227</v>
      </c>
    </row>
    <row r="72" spans="1:27" s="69" customFormat="1">
      <c r="A72" s="75"/>
      <c r="B72" s="69" t="s">
        <v>74</v>
      </c>
      <c r="C72" s="73" t="s">
        <v>75</v>
      </c>
      <c r="D72" s="71" t="s">
        <v>191</v>
      </c>
      <c r="E72" s="76">
        <f>+E49</f>
        <v>0</v>
      </c>
      <c r="F72" s="76">
        <f>+F49</f>
        <v>10438711.978480887</v>
      </c>
      <c r="G72" s="76">
        <f>+G49</f>
        <v>5567628.8252654225</v>
      </c>
      <c r="H72" s="76">
        <f>+H49</f>
        <v>29314191.172446325</v>
      </c>
      <c r="I72" s="76">
        <f>+I49</f>
        <v>23383376.044396654</v>
      </c>
      <c r="J72" s="76">
        <f t="shared" ref="J72:O72" si="51">+J49</f>
        <v>16604477.753068518</v>
      </c>
      <c r="K72" s="76">
        <f t="shared" si="51"/>
        <v>8856223.7522254456</v>
      </c>
      <c r="L72" s="76">
        <f t="shared" si="51"/>
        <v>0</v>
      </c>
      <c r="M72" s="76">
        <f t="shared" si="51"/>
        <v>0</v>
      </c>
      <c r="N72" s="76">
        <f t="shared" si="51"/>
        <v>0</v>
      </c>
      <c r="O72" s="76">
        <f t="shared" si="51"/>
        <v>0</v>
      </c>
    </row>
    <row r="73" spans="1:27" s="69" customFormat="1">
      <c r="A73" s="75"/>
      <c r="B73" s="69" t="s">
        <v>289</v>
      </c>
      <c r="C73" s="218">
        <v>0.02</v>
      </c>
      <c r="D73" s="71"/>
      <c r="E73" s="76"/>
      <c r="F73" s="76">
        <f>+'Proyectado anual optimista'!P84</f>
        <v>17596862</v>
      </c>
      <c r="G73" s="76">
        <f>+'Proyectado anual optimista'!AF84</f>
        <v>80267340</v>
      </c>
      <c r="H73" s="76">
        <f>+'Proyectado anual optimista'!AV84</f>
        <v>123894366</v>
      </c>
      <c r="I73" s="76">
        <f>+$C$73*I34</f>
        <v>146244909.62639999</v>
      </c>
      <c r="J73" s="76">
        <f>+$C$73*J34</f>
        <v>166543703.0825443</v>
      </c>
      <c r="K73" s="76">
        <f t="shared" ref="K73:O73" si="52">+$C$73*K34</f>
        <v>186195860.04628453</v>
      </c>
      <c r="L73" s="76">
        <f t="shared" si="52"/>
        <v>204294097.64278337</v>
      </c>
      <c r="M73" s="76">
        <f t="shared" si="52"/>
        <v>224151483.93366188</v>
      </c>
      <c r="N73" s="76">
        <f t="shared" si="52"/>
        <v>245939008.17201382</v>
      </c>
      <c r="O73" s="76">
        <f t="shared" si="52"/>
        <v>269844279.76633352</v>
      </c>
    </row>
    <row r="74" spans="1:27" s="72" customFormat="1">
      <c r="A74" s="77"/>
      <c r="B74" s="72" t="s">
        <v>76</v>
      </c>
      <c r="C74" s="73" t="s">
        <v>77</v>
      </c>
      <c r="D74" s="73" t="s">
        <v>191</v>
      </c>
      <c r="E74" s="74">
        <f>+E71-E72</f>
        <v>0</v>
      </c>
      <c r="F74" s="74">
        <f>+F71-F72-F73</f>
        <v>-44519995.568480864</v>
      </c>
      <c r="G74" s="74">
        <f>+G71-G72-G73</f>
        <v>332454687.78473473</v>
      </c>
      <c r="H74" s="74">
        <f t="shared" ref="H74" si="53">+H71-H72-H73</f>
        <v>353797931.79237974</v>
      </c>
      <c r="I74" s="74">
        <f>+I71-I72-I73</f>
        <v>766476297.82402158</v>
      </c>
      <c r="J74" s="74">
        <f t="shared" ref="J74:O74" si="54">+J71-J72-J73</f>
        <v>889375942.5207442</v>
      </c>
      <c r="K74" s="74">
        <f t="shared" si="54"/>
        <v>1063082256.882217</v>
      </c>
      <c r="L74" s="74">
        <f t="shared" si="54"/>
        <v>1238077188.265337</v>
      </c>
      <c r="M74" s="74">
        <f t="shared" si="54"/>
        <v>1422677180.0327764</v>
      </c>
      <c r="N74" s="74">
        <f t="shared" si="54"/>
        <v>1627806740.0601218</v>
      </c>
      <c r="O74" s="74">
        <f t="shared" si="54"/>
        <v>1856546954.9258401</v>
      </c>
    </row>
    <row r="75" spans="1:27" s="69" customFormat="1">
      <c r="A75" s="75"/>
      <c r="B75" s="69" t="s">
        <v>78</v>
      </c>
      <c r="C75" s="73" t="s">
        <v>79</v>
      </c>
      <c r="D75" s="71" t="s">
        <v>191</v>
      </c>
      <c r="E75" s="76">
        <f>+IF(E74&lt;0,0,E74*$E$4)</f>
        <v>0</v>
      </c>
      <c r="F75" s="76">
        <f t="shared" ref="F75:H75" si="55">+IF(F74&lt;0,0,F74*F4)</f>
        <v>0</v>
      </c>
      <c r="G75" s="76">
        <f t="shared" si="55"/>
        <v>116359140.72465715</v>
      </c>
      <c r="H75" s="76">
        <f t="shared" si="55"/>
        <v>123829276.1273329</v>
      </c>
      <c r="I75" s="76">
        <f>+IF(I74&lt;0,0,I74*I4)</f>
        <v>268266704.23840752</v>
      </c>
      <c r="J75" s="76">
        <f t="shared" ref="J75:O75" si="56">+IF(J74&lt;0,0,J74*J4)</f>
        <v>311281579.88226044</v>
      </c>
      <c r="K75" s="76">
        <f t="shared" si="56"/>
        <v>372078789.90877593</v>
      </c>
      <c r="L75" s="76">
        <f t="shared" si="56"/>
        <v>433327015.89286792</v>
      </c>
      <c r="M75" s="76">
        <f t="shared" si="56"/>
        <v>497937013.01147169</v>
      </c>
      <c r="N75" s="76">
        <f t="shared" si="56"/>
        <v>569732359.02104259</v>
      </c>
      <c r="O75" s="76">
        <f t="shared" si="56"/>
        <v>649791434.22404397</v>
      </c>
    </row>
    <row r="76" spans="1:27" s="72" customFormat="1">
      <c r="A76" s="77"/>
      <c r="B76" s="72" t="s">
        <v>80</v>
      </c>
      <c r="C76" s="73" t="s">
        <v>81</v>
      </c>
      <c r="D76" s="73" t="s">
        <v>191</v>
      </c>
      <c r="E76" s="74">
        <f t="shared" ref="E76:O76" si="57">+E74-E75</f>
        <v>0</v>
      </c>
      <c r="F76" s="74">
        <f t="shared" si="57"/>
        <v>-44519995.568480864</v>
      </c>
      <c r="G76" s="74">
        <f t="shared" si="57"/>
        <v>216095547.06007758</v>
      </c>
      <c r="H76" s="74">
        <f t="shared" si="57"/>
        <v>229968655.66504684</v>
      </c>
      <c r="I76" s="74">
        <f t="shared" si="57"/>
        <v>498209593.58561409</v>
      </c>
      <c r="J76" s="74">
        <f t="shared" si="57"/>
        <v>578094362.63848376</v>
      </c>
      <c r="K76" s="74">
        <f t="shared" si="57"/>
        <v>691003466.97344112</v>
      </c>
      <c r="L76" s="74">
        <f t="shared" si="57"/>
        <v>804750172.37246907</v>
      </c>
      <c r="M76" s="74">
        <f t="shared" si="57"/>
        <v>924740167.02130461</v>
      </c>
      <c r="N76" s="74">
        <f t="shared" si="57"/>
        <v>1058074381.0390792</v>
      </c>
      <c r="O76" s="74">
        <f t="shared" si="57"/>
        <v>1206755520.7017961</v>
      </c>
      <c r="P76" s="72" t="s">
        <v>306</v>
      </c>
      <c r="Q76" s="173">
        <f>+F76/F66</f>
        <v>-5.0599925791860914E-2</v>
      </c>
      <c r="R76" s="173">
        <f t="shared" ref="R76:Z76" si="58">+G76/G66</f>
        <v>5.3843953732633364E-2</v>
      </c>
      <c r="S76" s="173">
        <f t="shared" si="58"/>
        <v>3.7123343553014644E-2</v>
      </c>
      <c r="T76" s="173">
        <f t="shared" si="58"/>
        <v>6.8133597929439016E-2</v>
      </c>
      <c r="U76" s="173">
        <f t="shared" si="58"/>
        <v>6.9422542184253214E-2</v>
      </c>
      <c r="V76" s="173">
        <f t="shared" si="58"/>
        <v>7.4223290120593616E-2</v>
      </c>
      <c r="W76" s="173">
        <f t="shared" si="58"/>
        <v>7.8783497091492863E-2</v>
      </c>
      <c r="X76" s="173">
        <f t="shared" si="58"/>
        <v>8.2510287310431862E-2</v>
      </c>
      <c r="Y76" s="173">
        <f t="shared" si="58"/>
        <v>8.6043640567912222E-2</v>
      </c>
      <c r="Z76" s="173">
        <f t="shared" si="58"/>
        <v>8.9440882107766961E-2</v>
      </c>
    </row>
    <row r="77" spans="1:27" s="15" customFormat="1">
      <c r="A77" s="52"/>
      <c r="C77" s="20"/>
      <c r="D77" s="20"/>
      <c r="E77" s="33"/>
      <c r="F77" s="190">
        <f t="shared" ref="F77:O77" si="59">+F76/F66</f>
        <v>-5.0599925791860914E-2</v>
      </c>
      <c r="G77" s="190">
        <f t="shared" si="59"/>
        <v>5.3843953732633364E-2</v>
      </c>
      <c r="H77" s="190">
        <f t="shared" si="59"/>
        <v>3.7123343553014644E-2</v>
      </c>
      <c r="I77" s="190">
        <f t="shared" si="59"/>
        <v>6.8133597929439016E-2</v>
      </c>
      <c r="J77" s="190">
        <f t="shared" si="59"/>
        <v>6.9422542184253214E-2</v>
      </c>
      <c r="K77" s="190">
        <f t="shared" si="59"/>
        <v>7.4223290120593616E-2</v>
      </c>
      <c r="L77" s="190">
        <f t="shared" si="59"/>
        <v>7.8783497091492863E-2</v>
      </c>
      <c r="M77" s="190">
        <f t="shared" si="59"/>
        <v>8.2510287310431862E-2</v>
      </c>
      <c r="N77" s="190">
        <f t="shared" si="59"/>
        <v>8.6043640567912222E-2</v>
      </c>
      <c r="O77" s="190">
        <f t="shared" si="59"/>
        <v>8.9440882107766961E-2</v>
      </c>
    </row>
    <row r="78" spans="1:27">
      <c r="A78" s="4"/>
      <c r="B78" s="41" t="s">
        <v>82</v>
      </c>
      <c r="C78" s="42" t="s">
        <v>70</v>
      </c>
      <c r="D78" s="42" t="s">
        <v>191</v>
      </c>
      <c r="E78" s="43">
        <f t="shared" ref="E78:O78" si="60">+E71+E70</f>
        <v>0</v>
      </c>
      <c r="F78" s="43">
        <f t="shared" si="60"/>
        <v>-10884421.589999974</v>
      </c>
      <c r="G78" s="43">
        <f t="shared" si="60"/>
        <v>425489656.61000013</v>
      </c>
      <c r="H78" s="43">
        <f t="shared" si="60"/>
        <v>532089822.29815936</v>
      </c>
      <c r="I78" s="43">
        <f t="shared" si="60"/>
        <v>969729583.49481821</v>
      </c>
      <c r="J78" s="43">
        <f t="shared" si="60"/>
        <v>1152149123.3563571</v>
      </c>
      <c r="K78" s="43">
        <f t="shared" si="60"/>
        <v>1339621299.2811899</v>
      </c>
      <c r="L78" s="43">
        <f t="shared" si="60"/>
        <v>1524301185.4850111</v>
      </c>
      <c r="M78" s="43">
        <f t="shared" si="60"/>
        <v>1730200078.3826656</v>
      </c>
      <c r="N78" s="43">
        <f t="shared" si="60"/>
        <v>1959576552.730083</v>
      </c>
      <c r="O78" s="43">
        <f t="shared" si="60"/>
        <v>2214920481.9877844</v>
      </c>
    </row>
    <row r="79" spans="1:27">
      <c r="A79" s="4"/>
      <c r="B79" s="41" t="s">
        <v>121</v>
      </c>
      <c r="C79" s="39"/>
      <c r="D79" s="42" t="s">
        <v>83</v>
      </c>
      <c r="E79" s="43"/>
      <c r="F79" s="168">
        <f t="shared" ref="F79:O79" si="61">+F71/F72</f>
        <v>-1.5791624123725367</v>
      </c>
      <c r="G79" s="168">
        <f t="shared" si="61"/>
        <v>75.128868992099029</v>
      </c>
      <c r="H79" s="168">
        <f t="shared" si="61"/>
        <v>17.2955987761103</v>
      </c>
      <c r="I79" s="168">
        <f t="shared" si="61"/>
        <v>40.032909778189897</v>
      </c>
      <c r="J79" s="168">
        <f t="shared" si="61"/>
        <v>64.592463509317781</v>
      </c>
      <c r="K79" s="168">
        <f t="shared" si="61"/>
        <v>142.06216733905072</v>
      </c>
      <c r="L79" s="168" t="e">
        <f t="shared" si="61"/>
        <v>#DIV/0!</v>
      </c>
      <c r="M79" s="168" t="e">
        <f t="shared" si="61"/>
        <v>#DIV/0!</v>
      </c>
      <c r="N79" s="168" t="e">
        <f t="shared" si="61"/>
        <v>#DIV/0!</v>
      </c>
      <c r="O79" s="168" t="e">
        <f t="shared" si="61"/>
        <v>#DIV/0!</v>
      </c>
    </row>
    <row r="80" spans="1:27" s="15" customFormat="1">
      <c r="A80" s="52"/>
      <c r="C80" s="20"/>
      <c r="D80" s="20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</row>
    <row r="81" spans="1:20" s="15" customFormat="1">
      <c r="A81" s="52"/>
      <c r="B81" s="109" t="s">
        <v>84</v>
      </c>
      <c r="C81" s="20"/>
      <c r="D81" s="20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</row>
    <row r="82" spans="1:20" s="15" customFormat="1">
      <c r="A82" s="52" t="s">
        <v>62</v>
      </c>
      <c r="B82" s="15" t="s">
        <v>85</v>
      </c>
      <c r="C82" s="20"/>
      <c r="D82" s="20" t="s">
        <v>191</v>
      </c>
      <c r="E82" s="46">
        <f t="shared" ref="E82:O82" si="62">+E76</f>
        <v>0</v>
      </c>
      <c r="F82" s="46">
        <f>+F76</f>
        <v>-44519995.568480864</v>
      </c>
      <c r="G82" s="46">
        <f>+G76</f>
        <v>216095547.06007758</v>
      </c>
      <c r="H82" s="46">
        <f t="shared" si="62"/>
        <v>229968655.66504684</v>
      </c>
      <c r="I82" s="46">
        <f t="shared" si="62"/>
        <v>498209593.58561409</v>
      </c>
      <c r="J82" s="46">
        <f t="shared" si="62"/>
        <v>578094362.63848376</v>
      </c>
      <c r="K82" s="46">
        <f t="shared" si="62"/>
        <v>691003466.97344112</v>
      </c>
      <c r="L82" s="46">
        <f t="shared" si="62"/>
        <v>804750172.37246907</v>
      </c>
      <c r="M82" s="46">
        <f t="shared" si="62"/>
        <v>924740167.02130461</v>
      </c>
      <c r="N82" s="46">
        <f t="shared" si="62"/>
        <v>1058074381.0390792</v>
      </c>
      <c r="O82" s="46">
        <f t="shared" si="62"/>
        <v>1206755520.7017961</v>
      </c>
    </row>
    <row r="83" spans="1:20">
      <c r="A83" s="6" t="s">
        <v>57</v>
      </c>
      <c r="B83" s="4" t="s">
        <v>22</v>
      </c>
      <c r="D83" s="5" t="s">
        <v>191</v>
      </c>
      <c r="E83" s="62">
        <f t="shared" ref="E83:O83" si="63">+E70</f>
        <v>0</v>
      </c>
      <c r="F83" s="62">
        <f t="shared" si="63"/>
        <v>5600000</v>
      </c>
      <c r="G83" s="62">
        <f t="shared" si="63"/>
        <v>7200000</v>
      </c>
      <c r="H83" s="62">
        <f t="shared" si="63"/>
        <v>25083333.333333332</v>
      </c>
      <c r="I83" s="62">
        <f t="shared" si="63"/>
        <v>33625000</v>
      </c>
      <c r="J83" s="62">
        <f t="shared" si="63"/>
        <v>79625000</v>
      </c>
      <c r="K83" s="62">
        <f t="shared" si="63"/>
        <v>81486958.600462854</v>
      </c>
      <c r="L83" s="62">
        <f t="shared" si="63"/>
        <v>81929899.576890677</v>
      </c>
      <c r="M83" s="62">
        <f t="shared" si="63"/>
        <v>83371414.416227296</v>
      </c>
      <c r="N83" s="62">
        <f t="shared" si="63"/>
        <v>85830804.49794744</v>
      </c>
      <c r="O83" s="62">
        <f t="shared" si="63"/>
        <v>88529247.295610771</v>
      </c>
    </row>
    <row r="84" spans="1:20" s="15" customFormat="1">
      <c r="A84" s="52" t="s">
        <v>62</v>
      </c>
      <c r="B84" s="15" t="s">
        <v>122</v>
      </c>
      <c r="C84" s="20"/>
      <c r="D84" s="20" t="s">
        <v>191</v>
      </c>
      <c r="E84" s="46">
        <f>+E82+E83</f>
        <v>0</v>
      </c>
      <c r="F84" s="46">
        <f>+F82+F83</f>
        <v>-38919995.568480864</v>
      </c>
      <c r="G84" s="46">
        <f t="shared" ref="G84:O84" si="64">+G82+G83</f>
        <v>223295547.06007758</v>
      </c>
      <c r="H84" s="46">
        <f t="shared" si="64"/>
        <v>255051988.99838018</v>
      </c>
      <c r="I84" s="46">
        <f t="shared" si="64"/>
        <v>531834593.58561409</v>
      </c>
      <c r="J84" s="46">
        <f t="shared" si="64"/>
        <v>657719362.63848376</v>
      </c>
      <c r="K84" s="46">
        <f t="shared" si="64"/>
        <v>772490425.57390404</v>
      </c>
      <c r="L84" s="46">
        <f t="shared" si="64"/>
        <v>886680071.94935977</v>
      </c>
      <c r="M84" s="46">
        <f t="shared" si="64"/>
        <v>1008111581.4375319</v>
      </c>
      <c r="N84" s="46">
        <f t="shared" si="64"/>
        <v>1143905185.5370266</v>
      </c>
      <c r="O84" s="46">
        <f t="shared" si="64"/>
        <v>1295284767.9974067</v>
      </c>
    </row>
    <row r="85" spans="1:20">
      <c r="A85" s="6" t="s">
        <v>60</v>
      </c>
      <c r="B85" s="4" t="s">
        <v>64</v>
      </c>
      <c r="D85" s="5" t="s">
        <v>191</v>
      </c>
      <c r="E85" s="62">
        <f t="shared" ref="E85:O85" si="65">+E63</f>
        <v>0</v>
      </c>
      <c r="F85" s="62">
        <f t="shared" si="65"/>
        <v>21241761.666666664</v>
      </c>
      <c r="G85" s="62">
        <f t="shared" si="65"/>
        <v>75420608.668333352</v>
      </c>
      <c r="H85" s="62">
        <f t="shared" si="65"/>
        <v>52638025.549659997</v>
      </c>
      <c r="I85" s="62">
        <f t="shared" si="65"/>
        <v>69878677.887023985</v>
      </c>
      <c r="J85" s="62">
        <f t="shared" si="65"/>
        <v>92822337.742308199</v>
      </c>
      <c r="K85" s="62">
        <f t="shared" si="65"/>
        <v>106579682.17317975</v>
      </c>
      <c r="L85" s="62">
        <f t="shared" si="65"/>
        <v>40686082.306393087</v>
      </c>
      <c r="M85" s="62">
        <f t="shared" si="65"/>
        <v>44640769.506574452</v>
      </c>
      <c r="N85" s="62">
        <f t="shared" si="65"/>
        <v>48979852.302613616</v>
      </c>
      <c r="O85" s="62">
        <f t="shared" si="65"/>
        <v>53740693.946427584</v>
      </c>
      <c r="Q85" s="222"/>
      <c r="R85" s="222"/>
      <c r="S85" s="222"/>
      <c r="T85" s="221"/>
    </row>
    <row r="86" spans="1:20" s="15" customFormat="1">
      <c r="A86" s="103" t="s">
        <v>62</v>
      </c>
      <c r="B86" s="104" t="s">
        <v>123</v>
      </c>
      <c r="C86" s="105"/>
      <c r="D86" s="105" t="s">
        <v>191</v>
      </c>
      <c r="E86" s="106">
        <f>+E84-E85</f>
        <v>0</v>
      </c>
      <c r="F86" s="106">
        <f>+F84-F85</f>
        <v>-60161757.235147528</v>
      </c>
      <c r="G86" s="106">
        <f>+G84-G85</f>
        <v>147874938.39174423</v>
      </c>
      <c r="H86" s="106">
        <f t="shared" ref="H86:O86" si="66">+H84-H85</f>
        <v>202413963.44872019</v>
      </c>
      <c r="I86" s="106">
        <f t="shared" si="66"/>
        <v>461955915.6985901</v>
      </c>
      <c r="J86" s="106">
        <f t="shared" si="66"/>
        <v>564897024.89617562</v>
      </c>
      <c r="K86" s="106">
        <f t="shared" si="66"/>
        <v>665910743.40072429</v>
      </c>
      <c r="L86" s="106">
        <f t="shared" si="66"/>
        <v>845993989.64296675</v>
      </c>
      <c r="M86" s="106">
        <f t="shared" si="66"/>
        <v>963470811.93095756</v>
      </c>
      <c r="N86" s="106">
        <f t="shared" si="66"/>
        <v>1094925333.2344131</v>
      </c>
      <c r="O86" s="106">
        <f t="shared" si="66"/>
        <v>1241544074.0509791</v>
      </c>
    </row>
    <row r="87" spans="1:20" s="15" customFormat="1">
      <c r="A87" s="52"/>
      <c r="C87" s="20"/>
      <c r="D87" s="20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1:20">
      <c r="A88" s="6" t="s">
        <v>60</v>
      </c>
      <c r="B88" s="4" t="s">
        <v>87</v>
      </c>
      <c r="D88" s="5" t="s">
        <v>191</v>
      </c>
      <c r="E88" s="62">
        <f t="shared" ref="E88:O88" si="67">+E28</f>
        <v>28000000</v>
      </c>
      <c r="F88" s="62">
        <f t="shared" si="67"/>
        <v>0</v>
      </c>
      <c r="G88" s="62">
        <f t="shared" si="67"/>
        <v>12000000</v>
      </c>
      <c r="H88" s="62">
        <f t="shared" si="67"/>
        <v>205000000</v>
      </c>
      <c r="I88" s="62">
        <f t="shared" si="67"/>
        <v>0</v>
      </c>
      <c r="J88" s="62">
        <f t="shared" si="67"/>
        <v>230000000</v>
      </c>
      <c r="K88" s="62">
        <f t="shared" si="67"/>
        <v>9309793.0023142267</v>
      </c>
      <c r="L88" s="62">
        <f t="shared" si="67"/>
        <v>10214704.882139169</v>
      </c>
      <c r="M88" s="62">
        <f t="shared" si="67"/>
        <v>11207574.196683094</v>
      </c>
      <c r="N88" s="62">
        <f t="shared" si="67"/>
        <v>12296950.408600692</v>
      </c>
      <c r="O88" s="62">
        <f t="shared" si="67"/>
        <v>13492213.988316676</v>
      </c>
    </row>
    <row r="89" spans="1:20" s="15" customFormat="1">
      <c r="A89" s="103" t="s">
        <v>62</v>
      </c>
      <c r="B89" s="104" t="s">
        <v>88</v>
      </c>
      <c r="C89" s="105"/>
      <c r="D89" s="105" t="s">
        <v>191</v>
      </c>
      <c r="E89" s="106">
        <f>-E88</f>
        <v>-28000000</v>
      </c>
      <c r="F89" s="106">
        <f t="shared" ref="F89:O89" si="68">-F88</f>
        <v>0</v>
      </c>
      <c r="G89" s="106">
        <f t="shared" si="68"/>
        <v>-12000000</v>
      </c>
      <c r="H89" s="106">
        <f t="shared" si="68"/>
        <v>-205000000</v>
      </c>
      <c r="I89" s="106">
        <f t="shared" si="68"/>
        <v>0</v>
      </c>
      <c r="J89" s="106">
        <f t="shared" si="68"/>
        <v>-230000000</v>
      </c>
      <c r="K89" s="106">
        <f t="shared" si="68"/>
        <v>-9309793.0023142267</v>
      </c>
      <c r="L89" s="106">
        <f t="shared" si="68"/>
        <v>-10214704.882139169</v>
      </c>
      <c r="M89" s="106">
        <f t="shared" si="68"/>
        <v>-11207574.196683094</v>
      </c>
      <c r="N89" s="106">
        <f t="shared" si="68"/>
        <v>-12296950.408600692</v>
      </c>
      <c r="O89" s="106">
        <f t="shared" si="68"/>
        <v>-13492213.988316676</v>
      </c>
    </row>
    <row r="90" spans="1:20" s="15" customFormat="1">
      <c r="A90" s="52"/>
      <c r="C90" s="20"/>
      <c r="D90" s="20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20">
      <c r="A91" s="6" t="s">
        <v>57</v>
      </c>
      <c r="B91" s="4" t="s">
        <v>89</v>
      </c>
      <c r="D91" s="5" t="s">
        <v>191</v>
      </c>
      <c r="E91" s="62">
        <f>+E48</f>
        <v>73000000</v>
      </c>
      <c r="F91" s="62"/>
      <c r="G91" s="62"/>
      <c r="H91" s="62">
        <f>+H48</f>
        <v>205000000</v>
      </c>
      <c r="I91" s="62"/>
      <c r="J91" s="62"/>
      <c r="K91" s="62"/>
      <c r="L91" s="62"/>
      <c r="M91" s="62"/>
      <c r="N91" s="62"/>
      <c r="O91" s="62"/>
    </row>
    <row r="92" spans="1:20">
      <c r="A92" s="6" t="s">
        <v>60</v>
      </c>
      <c r="B92" s="4" t="s">
        <v>90</v>
      </c>
      <c r="D92" s="5" t="s">
        <v>191</v>
      </c>
      <c r="E92" s="62">
        <f t="shared" ref="E92:O92" si="69">+E50</f>
        <v>0</v>
      </c>
      <c r="F92" s="62">
        <f t="shared" si="69"/>
        <v>34064458.423392273</v>
      </c>
      <c r="G92" s="62">
        <f t="shared" si="69"/>
        <v>38935541.576607734</v>
      </c>
      <c r="H92" s="62">
        <f t="shared" si="69"/>
        <v>41475376.008087903</v>
      </c>
      <c r="I92" s="62">
        <f t="shared" si="69"/>
        <v>47406191.136137582</v>
      </c>
      <c r="J92" s="62">
        <f t="shared" si="69"/>
        <v>54185089.427465715</v>
      </c>
      <c r="K92" s="62">
        <f t="shared" si="69"/>
        <v>61933343.428308792</v>
      </c>
      <c r="L92" s="62">
        <f t="shared" si="69"/>
        <v>0</v>
      </c>
      <c r="M92" s="62">
        <f t="shared" si="69"/>
        <v>0</v>
      </c>
      <c r="N92" s="62">
        <f t="shared" si="69"/>
        <v>0</v>
      </c>
      <c r="O92" s="62">
        <f t="shared" si="69"/>
        <v>0</v>
      </c>
    </row>
    <row r="93" spans="1:20">
      <c r="A93" s="6" t="s">
        <v>57</v>
      </c>
      <c r="B93" s="4" t="s">
        <v>91</v>
      </c>
      <c r="D93" s="5" t="s">
        <v>191</v>
      </c>
      <c r="E93" s="62">
        <v>50000000</v>
      </c>
      <c r="F93" s="62"/>
      <c r="G93" s="62"/>
      <c r="H93" s="62"/>
      <c r="I93" s="62"/>
      <c r="J93" s="62"/>
      <c r="K93" s="62"/>
      <c r="L93" s="62"/>
      <c r="M93" s="62"/>
      <c r="N93" s="62"/>
      <c r="O93" s="62"/>
    </row>
    <row r="94" spans="1:20">
      <c r="A94" s="6" t="s">
        <v>60</v>
      </c>
      <c r="B94" s="4" t="s">
        <v>92</v>
      </c>
      <c r="D94" s="5" t="s">
        <v>191</v>
      </c>
      <c r="E94" s="62"/>
      <c r="F94" s="62"/>
      <c r="G94" s="62">
        <f t="shared" ref="G94:O94" si="70">+(G86+G89-G92)*0.3</f>
        <v>29081819.044540945</v>
      </c>
      <c r="H94" s="62">
        <f t="shared" si="70"/>
        <v>-13218423.767810315</v>
      </c>
      <c r="I94" s="62">
        <f t="shared" si="70"/>
        <v>124364917.36873575</v>
      </c>
      <c r="J94" s="62">
        <f t="shared" si="70"/>
        <v>84213580.64061296</v>
      </c>
      <c r="K94" s="62">
        <f t="shared" si="70"/>
        <v>178400282.09103036</v>
      </c>
      <c r="L94" s="62">
        <f t="shared" si="70"/>
        <v>250733785.42824826</v>
      </c>
      <c r="M94" s="62">
        <f t="shared" si="70"/>
        <v>285678971.32028234</v>
      </c>
      <c r="N94" s="62">
        <f t="shared" si="70"/>
        <v>324788514.84774369</v>
      </c>
      <c r="O94" s="62">
        <f t="shared" si="70"/>
        <v>368415558.01879871</v>
      </c>
    </row>
    <row r="95" spans="1:20" s="15" customFormat="1">
      <c r="A95" s="103" t="s">
        <v>62</v>
      </c>
      <c r="B95" s="104" t="s">
        <v>93</v>
      </c>
      <c r="C95" s="105"/>
      <c r="D95" s="105" t="s">
        <v>191</v>
      </c>
      <c r="E95" s="106">
        <f>+E91-E92+E93-E94</f>
        <v>123000000</v>
      </c>
      <c r="F95" s="106">
        <f>+F91-F92+F93-F94</f>
        <v>-34064458.423392273</v>
      </c>
      <c r="G95" s="106">
        <f t="shared" ref="G95:O95" si="71">+G91-G92+G93-G94</f>
        <v>-68017360.621148676</v>
      </c>
      <c r="H95" s="106">
        <f t="shared" si="71"/>
        <v>176743047.75972241</v>
      </c>
      <c r="I95" s="106">
        <f t="shared" si="71"/>
        <v>-171771108.50487334</v>
      </c>
      <c r="J95" s="106">
        <f t="shared" si="71"/>
        <v>-138398670.06807867</v>
      </c>
      <c r="K95" s="106">
        <f t="shared" si="71"/>
        <v>-240333625.51933914</v>
      </c>
      <c r="L95" s="106">
        <f t="shared" si="71"/>
        <v>-250733785.42824826</v>
      </c>
      <c r="M95" s="106">
        <f t="shared" si="71"/>
        <v>-285678971.32028234</v>
      </c>
      <c r="N95" s="106">
        <f t="shared" si="71"/>
        <v>-324788514.84774369</v>
      </c>
      <c r="O95" s="106">
        <f t="shared" si="71"/>
        <v>-368415558.01879871</v>
      </c>
    </row>
    <row r="96" spans="1:20" s="15" customFormat="1">
      <c r="A96" s="52"/>
      <c r="C96" s="20"/>
      <c r="D96" s="20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1:21" s="15" customFormat="1">
      <c r="A97" s="52" t="s">
        <v>62</v>
      </c>
      <c r="B97" s="15" t="s">
        <v>94</v>
      </c>
      <c r="C97" s="20"/>
      <c r="D97" s="20" t="s">
        <v>191</v>
      </c>
      <c r="E97" s="46">
        <f t="shared" ref="E97:O97" si="72">+E86+E89+E95</f>
        <v>95000000</v>
      </c>
      <c r="F97" s="46">
        <f>+F86+F89+F95</f>
        <v>-94226215.658539802</v>
      </c>
      <c r="G97" s="46">
        <f>+G86+G89+G95</f>
        <v>67857577.770595551</v>
      </c>
      <c r="H97" s="46">
        <f t="shared" si="72"/>
        <v>174157011.2084426</v>
      </c>
      <c r="I97" s="46">
        <f t="shared" si="72"/>
        <v>290184807.19371676</v>
      </c>
      <c r="J97" s="46">
        <f t="shared" si="72"/>
        <v>196498354.82809696</v>
      </c>
      <c r="K97" s="46">
        <f t="shared" si="72"/>
        <v>416267324.87907094</v>
      </c>
      <c r="L97" s="46">
        <f t="shared" si="72"/>
        <v>585045499.33257926</v>
      </c>
      <c r="M97" s="46">
        <f t="shared" si="72"/>
        <v>666584266.41399217</v>
      </c>
      <c r="N97" s="46">
        <f t="shared" si="72"/>
        <v>757839867.97806859</v>
      </c>
      <c r="O97" s="46">
        <f t="shared" si="72"/>
        <v>859636302.04386365</v>
      </c>
      <c r="Q97" s="223">
        <f>+F67+F68</f>
        <v>890727521.58999991</v>
      </c>
      <c r="R97" s="15">
        <f>+G97/G85/360</f>
        <v>2.4992276635408513E-3</v>
      </c>
      <c r="S97" s="15">
        <f>+H97/H85/360</f>
        <v>9.1904943342262582E-3</v>
      </c>
      <c r="T97" s="15">
        <f>+I97/I85/360</f>
        <v>1.1535262733142197E-2</v>
      </c>
      <c r="U97" s="15">
        <f>+J97/J85/360</f>
        <v>5.8803600155675996E-3</v>
      </c>
    </row>
    <row r="98" spans="1:21">
      <c r="A98" s="6" t="s">
        <v>57</v>
      </c>
      <c r="B98" s="4" t="s">
        <v>95</v>
      </c>
      <c r="D98" s="5" t="s">
        <v>191</v>
      </c>
      <c r="E98" s="108">
        <v>0</v>
      </c>
      <c r="F98" s="46">
        <f>+E99</f>
        <v>95000000</v>
      </c>
      <c r="G98" s="46">
        <f>+F99</f>
        <v>773784.34146019816</v>
      </c>
      <c r="H98" s="46">
        <f t="shared" ref="H98:O98" si="73">+G99</f>
        <v>68631362.112055749</v>
      </c>
      <c r="I98" s="46">
        <f t="shared" si="73"/>
        <v>242788373.32049835</v>
      </c>
      <c r="J98" s="46">
        <f t="shared" si="73"/>
        <v>532973180.51421511</v>
      </c>
      <c r="K98" s="46">
        <f t="shared" si="73"/>
        <v>729471535.3423121</v>
      </c>
      <c r="L98" s="46">
        <f t="shared" si="73"/>
        <v>1145738860.2213831</v>
      </c>
      <c r="M98" s="46">
        <f t="shared" si="73"/>
        <v>1730784359.5539622</v>
      </c>
      <c r="N98" s="46">
        <f t="shared" si="73"/>
        <v>2397368625.9679546</v>
      </c>
      <c r="O98" s="46">
        <f t="shared" si="73"/>
        <v>3155208493.946023</v>
      </c>
    </row>
    <row r="99" spans="1:21" s="15" customFormat="1">
      <c r="A99" s="52" t="s">
        <v>62</v>
      </c>
      <c r="B99" s="15" t="s">
        <v>96</v>
      </c>
      <c r="C99" s="20"/>
      <c r="D99" s="20" t="s">
        <v>191</v>
      </c>
      <c r="E99" s="46">
        <f>+E97+E98</f>
        <v>95000000</v>
      </c>
      <c r="F99" s="46">
        <f>+F97+F98</f>
        <v>773784.34146019816</v>
      </c>
      <c r="G99" s="46">
        <f t="shared" ref="G99:O99" si="74">+G97+G98</f>
        <v>68631362.112055749</v>
      </c>
      <c r="H99" s="46">
        <f t="shared" si="74"/>
        <v>242788373.32049835</v>
      </c>
      <c r="I99" s="46">
        <f t="shared" si="74"/>
        <v>532973180.51421511</v>
      </c>
      <c r="J99" s="46">
        <f t="shared" si="74"/>
        <v>729471535.3423121</v>
      </c>
      <c r="K99" s="46">
        <f t="shared" si="74"/>
        <v>1145738860.2213831</v>
      </c>
      <c r="L99" s="46">
        <f t="shared" si="74"/>
        <v>1730784359.5539622</v>
      </c>
      <c r="M99" s="46">
        <f t="shared" si="74"/>
        <v>2397368625.9679546</v>
      </c>
      <c r="N99" s="46">
        <f t="shared" si="74"/>
        <v>3155208493.946023</v>
      </c>
      <c r="O99" s="46">
        <f t="shared" si="74"/>
        <v>4014844795.9898868</v>
      </c>
    </row>
    <row r="100" spans="1:21" s="47" customFormat="1">
      <c r="A100" s="68"/>
      <c r="C100" s="48"/>
      <c r="D100" s="48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</row>
    <row r="101" spans="1:21">
      <c r="B101" s="109" t="s">
        <v>97</v>
      </c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21">
      <c r="B102" s="4" t="s">
        <v>98</v>
      </c>
      <c r="D102" s="5" t="s">
        <v>191</v>
      </c>
      <c r="E102" s="62">
        <f>+E99</f>
        <v>95000000</v>
      </c>
      <c r="F102" s="62">
        <f t="shared" ref="F102:O102" si="75">+F99</f>
        <v>773784.34146019816</v>
      </c>
      <c r="G102" s="62">
        <f t="shared" si="75"/>
        <v>68631362.112055749</v>
      </c>
      <c r="H102" s="62">
        <f t="shared" si="75"/>
        <v>242788373.32049835</v>
      </c>
      <c r="I102" s="62">
        <f t="shared" si="75"/>
        <v>532973180.51421511</v>
      </c>
      <c r="J102" s="62">
        <f t="shared" si="75"/>
        <v>729471535.3423121</v>
      </c>
      <c r="K102" s="62">
        <f t="shared" si="75"/>
        <v>1145738860.2213831</v>
      </c>
      <c r="L102" s="62">
        <f t="shared" si="75"/>
        <v>1730784359.5539622</v>
      </c>
      <c r="M102" s="62">
        <f t="shared" si="75"/>
        <v>2397368625.9679546</v>
      </c>
      <c r="N102" s="62">
        <f t="shared" si="75"/>
        <v>3155208493.946023</v>
      </c>
      <c r="O102" s="62">
        <f t="shared" si="75"/>
        <v>4014844795.9898868</v>
      </c>
    </row>
    <row r="103" spans="1:21">
      <c r="B103" s="4" t="s">
        <v>99</v>
      </c>
      <c r="D103" s="5" t="s">
        <v>191</v>
      </c>
      <c r="E103" s="62">
        <f t="shared" ref="E103:O104" si="76">+E59</f>
        <v>0</v>
      </c>
      <c r="F103" s="62">
        <f t="shared" si="76"/>
        <v>0</v>
      </c>
      <c r="G103" s="62">
        <f t="shared" si="76"/>
        <v>0</v>
      </c>
      <c r="H103" s="62">
        <f t="shared" si="76"/>
        <v>0</v>
      </c>
      <c r="I103" s="62">
        <f t="shared" si="76"/>
        <v>0</v>
      </c>
      <c r="J103" s="62">
        <f t="shared" si="76"/>
        <v>0</v>
      </c>
      <c r="K103" s="62">
        <f t="shared" si="76"/>
        <v>0</v>
      </c>
      <c r="L103" s="62">
        <f t="shared" si="76"/>
        <v>0</v>
      </c>
      <c r="M103" s="62">
        <f t="shared" si="76"/>
        <v>0</v>
      </c>
      <c r="N103" s="62">
        <f t="shared" si="76"/>
        <v>0</v>
      </c>
      <c r="O103" s="62">
        <f t="shared" si="76"/>
        <v>0</v>
      </c>
    </row>
    <row r="104" spans="1:21">
      <c r="B104" s="4" t="s">
        <v>59</v>
      </c>
      <c r="D104" s="5" t="s">
        <v>191</v>
      </c>
      <c r="E104" s="62">
        <f t="shared" si="76"/>
        <v>0</v>
      </c>
      <c r="F104" s="62">
        <f t="shared" si="76"/>
        <v>21241761.666666664</v>
      </c>
      <c r="G104" s="62">
        <f t="shared" si="76"/>
        <v>161103950.55833334</v>
      </c>
      <c r="H104" s="62">
        <f t="shared" si="76"/>
        <v>298600791.76932001</v>
      </c>
      <c r="I104" s="62">
        <f t="shared" si="76"/>
        <v>383563379.100447</v>
      </c>
      <c r="J104" s="62">
        <f t="shared" si="76"/>
        <v>499202258.42238754</v>
      </c>
      <c r="K104" s="62">
        <f t="shared" si="76"/>
        <v>627871640.5307579</v>
      </c>
      <c r="L104" s="62">
        <f t="shared" si="76"/>
        <v>688900763.9903475</v>
      </c>
      <c r="M104" s="62">
        <f t="shared" si="76"/>
        <v>755861918.25020921</v>
      </c>
      <c r="N104" s="62">
        <f t="shared" si="76"/>
        <v>829331696.70412958</v>
      </c>
      <c r="O104" s="62">
        <f t="shared" si="76"/>
        <v>909942737.62377095</v>
      </c>
    </row>
    <row r="105" spans="1:21">
      <c r="B105" s="4" t="s">
        <v>100</v>
      </c>
      <c r="D105" s="36">
        <v>0</v>
      </c>
      <c r="E105" s="62">
        <f>+D105+E88-E83</f>
        <v>28000000</v>
      </c>
      <c r="F105" s="62">
        <f>+E105+F88-F83</f>
        <v>22400000</v>
      </c>
      <c r="G105" s="62">
        <f t="shared" ref="G105:O105" si="77">+F105+G88-G83</f>
        <v>27200000</v>
      </c>
      <c r="H105" s="62">
        <f t="shared" si="77"/>
        <v>207116666.66666666</v>
      </c>
      <c r="I105" s="62">
        <f t="shared" si="77"/>
        <v>173491666.66666666</v>
      </c>
      <c r="J105" s="62">
        <f t="shared" si="77"/>
        <v>323866666.66666663</v>
      </c>
      <c r="K105" s="62">
        <f t="shared" si="77"/>
        <v>251689501.06851798</v>
      </c>
      <c r="L105" s="62">
        <f t="shared" si="77"/>
        <v>179974306.37376648</v>
      </c>
      <c r="M105" s="62">
        <f t="shared" si="77"/>
        <v>107810466.15422229</v>
      </c>
      <c r="N105" s="62">
        <f t="shared" si="77"/>
        <v>34276612.064875543</v>
      </c>
      <c r="O105" s="62">
        <f t="shared" si="77"/>
        <v>-40760421.24241855</v>
      </c>
    </row>
    <row r="106" spans="1:21" s="15" customFormat="1">
      <c r="A106" s="52"/>
      <c r="B106" s="10" t="s">
        <v>101</v>
      </c>
      <c r="C106" s="11"/>
      <c r="D106" s="11" t="s">
        <v>191</v>
      </c>
      <c r="E106" s="34">
        <f>+E102+E103+E104+E105</f>
        <v>123000000</v>
      </c>
      <c r="F106" s="34">
        <f t="shared" ref="F106:O106" si="78">+F102+F103+F104+F105</f>
        <v>44415546.008126862</v>
      </c>
      <c r="G106" s="34">
        <f t="shared" si="78"/>
        <v>256935312.67038909</v>
      </c>
      <c r="H106" s="34">
        <f t="shared" si="78"/>
        <v>748505831.75648499</v>
      </c>
      <c r="I106" s="34">
        <f t="shared" si="78"/>
        <v>1090028226.2813289</v>
      </c>
      <c r="J106" s="34">
        <f t="shared" si="78"/>
        <v>1552540460.4313664</v>
      </c>
      <c r="K106" s="34">
        <f t="shared" si="78"/>
        <v>2025300001.8206589</v>
      </c>
      <c r="L106" s="34">
        <f t="shared" si="78"/>
        <v>2599659429.918076</v>
      </c>
      <c r="M106" s="34">
        <f t="shared" si="78"/>
        <v>3261041010.3723865</v>
      </c>
      <c r="N106" s="34">
        <f t="shared" si="78"/>
        <v>4018816802.7150283</v>
      </c>
      <c r="O106" s="34">
        <f t="shared" si="78"/>
        <v>4884027112.3712397</v>
      </c>
    </row>
    <row r="107" spans="1:21">
      <c r="B107" s="4" t="s">
        <v>61</v>
      </c>
      <c r="D107" s="5" t="s">
        <v>191</v>
      </c>
      <c r="E107" s="62">
        <f t="shared" ref="E107:O107" si="79">+E61</f>
        <v>0</v>
      </c>
      <c r="F107" s="62">
        <f t="shared" si="79"/>
        <v>0</v>
      </c>
      <c r="G107" s="62">
        <f t="shared" si="79"/>
        <v>64441580.223333329</v>
      </c>
      <c r="H107" s="62">
        <f t="shared" si="79"/>
        <v>149300395.88466001</v>
      </c>
      <c r="I107" s="62">
        <f t="shared" si="79"/>
        <v>164384305.32876301</v>
      </c>
      <c r="J107" s="62">
        <f t="shared" si="79"/>
        <v>187200846.90839532</v>
      </c>
      <c r="K107" s="62">
        <f t="shared" si="79"/>
        <v>209290546.84358597</v>
      </c>
      <c r="L107" s="62">
        <f t="shared" si="79"/>
        <v>229633587.99678248</v>
      </c>
      <c r="M107" s="62">
        <f t="shared" si="79"/>
        <v>251953972.75006974</v>
      </c>
      <c r="N107" s="62">
        <f t="shared" si="79"/>
        <v>276443898.90137649</v>
      </c>
      <c r="O107" s="62">
        <f t="shared" si="79"/>
        <v>303314245.87459028</v>
      </c>
    </row>
    <row r="108" spans="1:21">
      <c r="B108" s="4" t="s">
        <v>102</v>
      </c>
      <c r="D108" s="36">
        <v>0</v>
      </c>
      <c r="E108" s="62">
        <f>+D108+E91-E92</f>
        <v>73000000</v>
      </c>
      <c r="F108" s="62">
        <f>+E108+F91-F92</f>
        <v>38935541.576607727</v>
      </c>
      <c r="G108" s="62">
        <f t="shared" ref="G108:O108" si="80">+F108+G91-G92</f>
        <v>0</v>
      </c>
      <c r="H108" s="62">
        <f t="shared" si="80"/>
        <v>163524623.9919121</v>
      </c>
      <c r="I108" s="62">
        <f t="shared" si="80"/>
        <v>116118432.85577452</v>
      </c>
      <c r="J108" s="62">
        <f t="shared" si="80"/>
        <v>61933343.428308807</v>
      </c>
      <c r="K108" s="62">
        <f t="shared" si="80"/>
        <v>0</v>
      </c>
      <c r="L108" s="62">
        <f t="shared" si="80"/>
        <v>0</v>
      </c>
      <c r="M108" s="62">
        <f t="shared" si="80"/>
        <v>0</v>
      </c>
      <c r="N108" s="62">
        <f t="shared" si="80"/>
        <v>0</v>
      </c>
      <c r="O108" s="62">
        <f t="shared" si="80"/>
        <v>0</v>
      </c>
    </row>
    <row r="109" spans="1:21" s="15" customFormat="1">
      <c r="A109" s="52"/>
      <c r="B109" s="10" t="s">
        <v>103</v>
      </c>
      <c r="C109" s="11"/>
      <c r="D109" s="11" t="s">
        <v>191</v>
      </c>
      <c r="E109" s="34">
        <f>+E107+E108</f>
        <v>73000000</v>
      </c>
      <c r="F109" s="34">
        <f t="shared" ref="F109:O109" si="81">+F107+F108</f>
        <v>38935541.576607727</v>
      </c>
      <c r="G109" s="34">
        <f t="shared" si="81"/>
        <v>64441580.223333329</v>
      </c>
      <c r="H109" s="34">
        <f t="shared" si="81"/>
        <v>312825019.87657213</v>
      </c>
      <c r="I109" s="34">
        <f t="shared" si="81"/>
        <v>280502738.18453753</v>
      </c>
      <c r="J109" s="34">
        <f t="shared" si="81"/>
        <v>249134190.33670413</v>
      </c>
      <c r="K109" s="34">
        <f t="shared" si="81"/>
        <v>209290546.84358597</v>
      </c>
      <c r="L109" s="34">
        <f t="shared" si="81"/>
        <v>229633587.99678248</v>
      </c>
      <c r="M109" s="34">
        <f t="shared" si="81"/>
        <v>251953972.75006974</v>
      </c>
      <c r="N109" s="34">
        <f t="shared" si="81"/>
        <v>276443898.90137649</v>
      </c>
      <c r="O109" s="34">
        <f t="shared" si="81"/>
        <v>303314245.87459028</v>
      </c>
    </row>
    <row r="110" spans="1:21">
      <c r="B110" s="4" t="s">
        <v>80</v>
      </c>
      <c r="D110" s="36">
        <v>0</v>
      </c>
      <c r="E110" s="62">
        <f>+E76</f>
        <v>0</v>
      </c>
      <c r="F110" s="62">
        <f t="shared" ref="F110:O110" si="82">+F76</f>
        <v>-44519995.568480864</v>
      </c>
      <c r="G110" s="62">
        <f t="shared" si="82"/>
        <v>216095547.06007758</v>
      </c>
      <c r="H110" s="62">
        <f t="shared" si="82"/>
        <v>229968655.66504684</v>
      </c>
      <c r="I110" s="62">
        <f t="shared" si="82"/>
        <v>498209593.58561409</v>
      </c>
      <c r="J110" s="62">
        <f t="shared" si="82"/>
        <v>578094362.63848376</v>
      </c>
      <c r="K110" s="62">
        <f t="shared" si="82"/>
        <v>691003466.97344112</v>
      </c>
      <c r="L110" s="62">
        <f t="shared" si="82"/>
        <v>804750172.37246907</v>
      </c>
      <c r="M110" s="62">
        <f t="shared" si="82"/>
        <v>924740167.02130461</v>
      </c>
      <c r="N110" s="62">
        <f t="shared" si="82"/>
        <v>1058074381.0390792</v>
      </c>
      <c r="O110" s="62">
        <f t="shared" si="82"/>
        <v>1206755520.7017961</v>
      </c>
    </row>
    <row r="111" spans="1:21">
      <c r="B111" s="4" t="s">
        <v>104</v>
      </c>
      <c r="D111" s="36">
        <v>0</v>
      </c>
      <c r="E111" s="62">
        <f>+D111+D110-E94</f>
        <v>0</v>
      </c>
      <c r="F111" s="62">
        <f>+E111+E110-F94</f>
        <v>0</v>
      </c>
      <c r="G111" s="62">
        <f t="shared" ref="G111:O111" si="83">+F111+F110-G94</f>
        <v>-73601814.613021806</v>
      </c>
      <c r="H111" s="62">
        <f t="shared" si="83"/>
        <v>155712156.21486607</v>
      </c>
      <c r="I111" s="62">
        <f t="shared" si="83"/>
        <v>261315894.51117718</v>
      </c>
      <c r="J111" s="62">
        <f t="shared" si="83"/>
        <v>675311907.45617831</v>
      </c>
      <c r="K111" s="62">
        <f t="shared" si="83"/>
        <v>1075005988.0036318</v>
      </c>
      <c r="L111" s="62">
        <f t="shared" si="83"/>
        <v>1515275669.5488248</v>
      </c>
      <c r="M111" s="62">
        <f t="shared" si="83"/>
        <v>2034346870.6010113</v>
      </c>
      <c r="N111" s="62">
        <f t="shared" si="83"/>
        <v>2634298522.7745724</v>
      </c>
      <c r="O111" s="62">
        <f t="shared" si="83"/>
        <v>3323957345.7948527</v>
      </c>
    </row>
    <row r="112" spans="1:21">
      <c r="B112" s="4" t="s">
        <v>105</v>
      </c>
      <c r="D112" s="36">
        <v>0</v>
      </c>
      <c r="E112" s="62">
        <f t="shared" ref="E112:O112" si="84">+D112+E93</f>
        <v>50000000</v>
      </c>
      <c r="F112" s="62">
        <f>+E112+F93</f>
        <v>50000000</v>
      </c>
      <c r="G112" s="62">
        <f t="shared" si="84"/>
        <v>50000000</v>
      </c>
      <c r="H112" s="62">
        <f t="shared" si="84"/>
        <v>50000000</v>
      </c>
      <c r="I112" s="62">
        <f t="shared" si="84"/>
        <v>50000000</v>
      </c>
      <c r="J112" s="62">
        <f t="shared" si="84"/>
        <v>50000000</v>
      </c>
      <c r="K112" s="62">
        <f t="shared" si="84"/>
        <v>50000000</v>
      </c>
      <c r="L112" s="62">
        <f t="shared" si="84"/>
        <v>50000000</v>
      </c>
      <c r="M112" s="62">
        <f t="shared" si="84"/>
        <v>50000000</v>
      </c>
      <c r="N112" s="62">
        <f t="shared" si="84"/>
        <v>50000000</v>
      </c>
      <c r="O112" s="62">
        <f t="shared" si="84"/>
        <v>50000000</v>
      </c>
    </row>
    <row r="113" spans="1:15" s="15" customFormat="1">
      <c r="A113" s="52"/>
      <c r="B113" s="10" t="s">
        <v>106</v>
      </c>
      <c r="C113" s="11"/>
      <c r="D113" s="11" t="s">
        <v>191</v>
      </c>
      <c r="E113" s="34">
        <f>+E110+E111+E112</f>
        <v>50000000</v>
      </c>
      <c r="F113" s="34">
        <f t="shared" ref="F113:O113" si="85">+F110+F111+F112</f>
        <v>5480004.4315191358</v>
      </c>
      <c r="G113" s="34">
        <f t="shared" si="85"/>
        <v>192493732.44705576</v>
      </c>
      <c r="H113" s="34">
        <f t="shared" si="85"/>
        <v>435680811.87991291</v>
      </c>
      <c r="I113" s="34">
        <f t="shared" si="85"/>
        <v>809525488.09679127</v>
      </c>
      <c r="J113" s="34">
        <f t="shared" si="85"/>
        <v>1303406270.0946622</v>
      </c>
      <c r="K113" s="34">
        <f t="shared" si="85"/>
        <v>1816009454.977073</v>
      </c>
      <c r="L113" s="34">
        <f t="shared" si="85"/>
        <v>2370025841.9212937</v>
      </c>
      <c r="M113" s="34">
        <f t="shared" si="85"/>
        <v>3009087037.6223159</v>
      </c>
      <c r="N113" s="34">
        <f t="shared" si="85"/>
        <v>3742372903.8136516</v>
      </c>
      <c r="O113" s="34">
        <f t="shared" si="85"/>
        <v>4580712866.4966488</v>
      </c>
    </row>
    <row r="114" spans="1:15">
      <c r="B114" s="4" t="s">
        <v>107</v>
      </c>
      <c r="E114" s="50">
        <f>+E106-E109-E113</f>
        <v>0</v>
      </c>
      <c r="F114" s="50">
        <f>+F106-F109-F113</f>
        <v>0</v>
      </c>
      <c r="G114" s="50">
        <f t="shared" ref="G114:O114" si="86">+G106-G109-G113</f>
        <v>0</v>
      </c>
      <c r="H114" s="50">
        <f t="shared" si="86"/>
        <v>0</v>
      </c>
      <c r="I114" s="50">
        <f t="shared" si="86"/>
        <v>0</v>
      </c>
      <c r="J114" s="50">
        <f t="shared" si="86"/>
        <v>0</v>
      </c>
      <c r="K114" s="50">
        <f t="shared" si="86"/>
        <v>0</v>
      </c>
      <c r="L114" s="50">
        <f t="shared" si="86"/>
        <v>0</v>
      </c>
      <c r="M114" s="50">
        <f t="shared" si="86"/>
        <v>0</v>
      </c>
      <c r="N114" s="50">
        <f t="shared" si="86"/>
        <v>0</v>
      </c>
      <c r="O114" s="50">
        <f t="shared" si="86"/>
        <v>0</v>
      </c>
    </row>
    <row r="116" spans="1:15" s="78" customFormat="1">
      <c r="A116" s="80"/>
      <c r="B116" s="110" t="s">
        <v>108</v>
      </c>
      <c r="C116" s="79"/>
      <c r="D116" s="79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1:15" s="112" customFormat="1">
      <c r="A117" s="111" t="s">
        <v>62</v>
      </c>
      <c r="B117" s="112" t="s">
        <v>72</v>
      </c>
      <c r="C117" s="113" t="s">
        <v>73</v>
      </c>
      <c r="D117" s="113" t="s">
        <v>191</v>
      </c>
      <c r="E117" s="114">
        <f t="shared" ref="E117:O117" si="87">+E71</f>
        <v>0</v>
      </c>
      <c r="F117" s="114">
        <f t="shared" si="87"/>
        <v>-16484421.589999974</v>
      </c>
      <c r="G117" s="114">
        <f t="shared" si="87"/>
        <v>418289656.61000013</v>
      </c>
      <c r="H117" s="114">
        <f t="shared" si="87"/>
        <v>507006488.96482605</v>
      </c>
      <c r="I117" s="114">
        <f t="shared" si="87"/>
        <v>936104583.49481821</v>
      </c>
      <c r="J117" s="114">
        <f t="shared" si="87"/>
        <v>1072524123.3563571</v>
      </c>
      <c r="K117" s="114">
        <f t="shared" si="87"/>
        <v>1258134340.680727</v>
      </c>
      <c r="L117" s="114">
        <f t="shared" si="87"/>
        <v>1442371285.9081204</v>
      </c>
      <c r="M117" s="114">
        <f t="shared" si="87"/>
        <v>1646828663.9664383</v>
      </c>
      <c r="N117" s="114">
        <f t="shared" si="87"/>
        <v>1873745748.2321355</v>
      </c>
      <c r="O117" s="114">
        <f t="shared" si="87"/>
        <v>2126391234.6921737</v>
      </c>
    </row>
    <row r="118" spans="1:15" s="78" customFormat="1">
      <c r="A118" s="80" t="s">
        <v>60</v>
      </c>
      <c r="B118" s="78" t="s">
        <v>109</v>
      </c>
      <c r="C118" s="79" t="s">
        <v>110</v>
      </c>
      <c r="D118" s="79" t="s">
        <v>191</v>
      </c>
      <c r="E118" s="89">
        <f>+IF(E117&lt;0,0,E117*$E$4)</f>
        <v>0</v>
      </c>
      <c r="F118" s="89">
        <f t="shared" ref="F118:O118" si="88">+IF(F117&lt;0,0,F117*$E$4)</f>
        <v>0</v>
      </c>
      <c r="G118" s="89">
        <f t="shared" si="88"/>
        <v>146401379.81350005</v>
      </c>
      <c r="H118" s="89">
        <f t="shared" si="88"/>
        <v>177452271.13768911</v>
      </c>
      <c r="I118" s="89">
        <f t="shared" si="88"/>
        <v>327636604.22318637</v>
      </c>
      <c r="J118" s="89">
        <f t="shared" si="88"/>
        <v>375383443.17472494</v>
      </c>
      <c r="K118" s="89">
        <f t="shared" si="88"/>
        <v>440347019.23825443</v>
      </c>
      <c r="L118" s="89">
        <f t="shared" si="88"/>
        <v>504829950.06784213</v>
      </c>
      <c r="M118" s="89">
        <f t="shared" si="88"/>
        <v>576390032.38825333</v>
      </c>
      <c r="N118" s="89">
        <f t="shared" si="88"/>
        <v>655811011.8812474</v>
      </c>
      <c r="O118" s="89">
        <f t="shared" si="88"/>
        <v>744236932.14226079</v>
      </c>
    </row>
    <row r="119" spans="1:15" s="81" customFormat="1">
      <c r="A119" s="83" t="s">
        <v>62</v>
      </c>
      <c r="B119" s="81" t="s">
        <v>111</v>
      </c>
      <c r="C119" s="82" t="s">
        <v>112</v>
      </c>
      <c r="D119" s="79" t="s">
        <v>191</v>
      </c>
      <c r="E119" s="90">
        <f>+E117-E118</f>
        <v>0</v>
      </c>
      <c r="F119" s="90">
        <f t="shared" ref="F119:O119" si="89">+F117-F118</f>
        <v>-16484421.589999974</v>
      </c>
      <c r="G119" s="90">
        <f t="shared" si="89"/>
        <v>271888276.79650009</v>
      </c>
      <c r="H119" s="90">
        <f t="shared" si="89"/>
        <v>329554217.82713693</v>
      </c>
      <c r="I119" s="90">
        <f t="shared" si="89"/>
        <v>608467979.27163184</v>
      </c>
      <c r="J119" s="90">
        <f t="shared" si="89"/>
        <v>697140680.18163216</v>
      </c>
      <c r="K119" s="90">
        <f t="shared" si="89"/>
        <v>817787321.44247258</v>
      </c>
      <c r="L119" s="90">
        <f t="shared" si="89"/>
        <v>937541335.84027827</v>
      </c>
      <c r="M119" s="90">
        <f t="shared" si="89"/>
        <v>1070438631.578185</v>
      </c>
      <c r="N119" s="90">
        <f t="shared" si="89"/>
        <v>1217934736.3508883</v>
      </c>
      <c r="O119" s="90">
        <f t="shared" si="89"/>
        <v>1382154302.5499129</v>
      </c>
    </row>
    <row r="120" spans="1:15" s="81" customFormat="1">
      <c r="A120" s="80" t="s">
        <v>57</v>
      </c>
      <c r="B120" s="78" t="s">
        <v>22</v>
      </c>
      <c r="C120" s="82"/>
      <c r="D120" s="79"/>
      <c r="E120" s="90">
        <f>+E83</f>
        <v>0</v>
      </c>
      <c r="F120" s="90">
        <f>+F83</f>
        <v>5600000</v>
      </c>
      <c r="G120" s="90">
        <f t="shared" ref="G120:O120" si="90">+G83</f>
        <v>7200000</v>
      </c>
      <c r="H120" s="90">
        <f t="shared" si="90"/>
        <v>25083333.333333332</v>
      </c>
      <c r="I120" s="90">
        <f t="shared" si="90"/>
        <v>33625000</v>
      </c>
      <c r="J120" s="90">
        <f t="shared" si="90"/>
        <v>79625000</v>
      </c>
      <c r="K120" s="90">
        <f t="shared" si="90"/>
        <v>81486958.600462854</v>
      </c>
      <c r="L120" s="90">
        <f t="shared" si="90"/>
        <v>81929899.576890677</v>
      </c>
      <c r="M120" s="90">
        <f t="shared" si="90"/>
        <v>83371414.416227296</v>
      </c>
      <c r="N120" s="90">
        <f t="shared" si="90"/>
        <v>85830804.49794744</v>
      </c>
      <c r="O120" s="90">
        <f t="shared" si="90"/>
        <v>88529247.295610771</v>
      </c>
    </row>
    <row r="121" spans="1:15" s="78" customFormat="1">
      <c r="A121" s="80" t="s">
        <v>60</v>
      </c>
      <c r="B121" s="78" t="s">
        <v>113</v>
      </c>
      <c r="C121" s="79"/>
      <c r="D121" s="79" t="s">
        <v>191</v>
      </c>
      <c r="E121" s="89">
        <f t="shared" ref="E121:O121" si="91">+E28</f>
        <v>28000000</v>
      </c>
      <c r="F121" s="89">
        <f t="shared" si="91"/>
        <v>0</v>
      </c>
      <c r="G121" s="89">
        <f t="shared" si="91"/>
        <v>12000000</v>
      </c>
      <c r="H121" s="89">
        <f t="shared" si="91"/>
        <v>205000000</v>
      </c>
      <c r="I121" s="89">
        <f t="shared" si="91"/>
        <v>0</v>
      </c>
      <c r="J121" s="89">
        <f t="shared" si="91"/>
        <v>230000000</v>
      </c>
      <c r="K121" s="89">
        <f t="shared" si="91"/>
        <v>9309793.0023142267</v>
      </c>
      <c r="L121" s="89">
        <f t="shared" si="91"/>
        <v>10214704.882139169</v>
      </c>
      <c r="M121" s="89">
        <f t="shared" si="91"/>
        <v>11207574.196683094</v>
      </c>
      <c r="N121" s="89">
        <f t="shared" si="91"/>
        <v>12296950.408600692</v>
      </c>
      <c r="O121" s="89">
        <f t="shared" si="91"/>
        <v>13492213.988316676</v>
      </c>
    </row>
    <row r="122" spans="1:15" s="78" customFormat="1">
      <c r="A122" s="80" t="s">
        <v>60</v>
      </c>
      <c r="B122" s="78" t="s">
        <v>114</v>
      </c>
      <c r="C122" s="79"/>
      <c r="D122" s="79" t="s">
        <v>191</v>
      </c>
      <c r="E122" s="89">
        <f>+E84-E86</f>
        <v>0</v>
      </c>
      <c r="F122" s="89">
        <f>+F84-F86</f>
        <v>21241761.666666664</v>
      </c>
      <c r="G122" s="89">
        <f t="shared" ref="G122:O122" si="92">+G84-G86</f>
        <v>75420608.668333352</v>
      </c>
      <c r="H122" s="89">
        <f t="shared" si="92"/>
        <v>52638025.549659997</v>
      </c>
      <c r="I122" s="89">
        <f t="shared" si="92"/>
        <v>69878677.887023985</v>
      </c>
      <c r="J122" s="89">
        <f t="shared" si="92"/>
        <v>92822337.74230814</v>
      </c>
      <c r="K122" s="89">
        <f t="shared" si="92"/>
        <v>106579682.17317975</v>
      </c>
      <c r="L122" s="89">
        <f t="shared" si="92"/>
        <v>40686082.306393027</v>
      </c>
      <c r="M122" s="89">
        <f t="shared" si="92"/>
        <v>44640769.506574392</v>
      </c>
      <c r="N122" s="89">
        <f t="shared" si="92"/>
        <v>48979852.302613497</v>
      </c>
      <c r="O122" s="89">
        <f t="shared" si="92"/>
        <v>53740693.946427584</v>
      </c>
    </row>
    <row r="123" spans="1:15" s="81" customFormat="1">
      <c r="A123" s="91" t="s">
        <v>62</v>
      </c>
      <c r="B123" s="92" t="s">
        <v>115</v>
      </c>
      <c r="C123" s="93"/>
      <c r="D123" s="93"/>
      <c r="E123" s="94">
        <f>+E119+E120-E121-E122</f>
        <v>-28000000</v>
      </c>
      <c r="F123" s="94">
        <f t="shared" ref="F123:O123" si="93">+F119+F120-F121-F122</f>
        <v>-32126183.256666638</v>
      </c>
      <c r="G123" s="94">
        <f t="shared" si="93"/>
        <v>191667668.12816674</v>
      </c>
      <c r="H123" s="94">
        <f t="shared" si="93"/>
        <v>96999525.61081025</v>
      </c>
      <c r="I123" s="94">
        <f t="shared" si="93"/>
        <v>572214301.38460779</v>
      </c>
      <c r="J123" s="94">
        <f t="shared" si="93"/>
        <v>453943342.43932402</v>
      </c>
      <c r="K123" s="94">
        <f t="shared" si="93"/>
        <v>783384804.86744142</v>
      </c>
      <c r="L123" s="94">
        <f t="shared" si="93"/>
        <v>968570448.22863674</v>
      </c>
      <c r="M123" s="94">
        <f t="shared" si="93"/>
        <v>1097961702.2911546</v>
      </c>
      <c r="N123" s="94">
        <f t="shared" si="93"/>
        <v>1242488738.1376214</v>
      </c>
      <c r="O123" s="94">
        <f t="shared" si="93"/>
        <v>1403450641.9107792</v>
      </c>
    </row>
    <row r="124" spans="1:15" s="78" customFormat="1">
      <c r="A124" s="80"/>
      <c r="B124" s="78" t="s">
        <v>116</v>
      </c>
      <c r="C124" s="79"/>
      <c r="D124" s="7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216">
        <f>+(O123*(1+D129))/(D128-D129)</f>
        <v>14595886675.872103</v>
      </c>
    </row>
    <row r="125" spans="1:15" s="81" customFormat="1">
      <c r="A125" s="91" t="s">
        <v>62</v>
      </c>
      <c r="B125" s="92" t="s">
        <v>115</v>
      </c>
      <c r="C125" s="93"/>
      <c r="D125" s="93"/>
      <c r="E125" s="94">
        <f>+E123+E124</f>
        <v>-28000000</v>
      </c>
      <c r="F125" s="94">
        <f t="shared" ref="F125:O125" si="94">+F123+F124</f>
        <v>-32126183.256666638</v>
      </c>
      <c r="G125" s="94">
        <f t="shared" si="94"/>
        <v>191667668.12816674</v>
      </c>
      <c r="H125" s="94">
        <f t="shared" si="94"/>
        <v>96999525.61081025</v>
      </c>
      <c r="I125" s="94">
        <f t="shared" si="94"/>
        <v>572214301.38460779</v>
      </c>
      <c r="J125" s="94">
        <f t="shared" si="94"/>
        <v>453943342.43932402</v>
      </c>
      <c r="K125" s="94">
        <f t="shared" si="94"/>
        <v>783384804.86744142</v>
      </c>
      <c r="L125" s="94">
        <f t="shared" si="94"/>
        <v>968570448.22863674</v>
      </c>
      <c r="M125" s="94">
        <f t="shared" si="94"/>
        <v>1097961702.2911546</v>
      </c>
      <c r="N125" s="94">
        <f t="shared" si="94"/>
        <v>1242488738.1376214</v>
      </c>
      <c r="O125" s="94">
        <f t="shared" si="94"/>
        <v>15999337317.782883</v>
      </c>
    </row>
    <row r="126" spans="1:15" s="81" customFormat="1">
      <c r="A126" s="83"/>
      <c r="B126" s="81" t="s">
        <v>117</v>
      </c>
      <c r="C126" s="82"/>
      <c r="D126" s="82"/>
      <c r="E126" s="96">
        <f>+IRR(E125:O125)</f>
        <v>1.915151215473732</v>
      </c>
      <c r="F126" s="169" t="s">
        <v>185</v>
      </c>
      <c r="G126" s="90" t="s">
        <v>186</v>
      </c>
      <c r="H126" s="90"/>
      <c r="I126" s="90"/>
      <c r="J126" s="90"/>
      <c r="K126" s="90"/>
      <c r="L126" s="90"/>
      <c r="M126" s="90"/>
      <c r="N126" s="90"/>
      <c r="O126" s="90"/>
    </row>
    <row r="127" spans="1:15" s="78" customFormat="1">
      <c r="A127" s="80"/>
      <c r="C127" s="79"/>
      <c r="D127" s="79"/>
      <c r="E127" s="80" t="s">
        <v>187</v>
      </c>
      <c r="F127" s="171" t="s">
        <v>188</v>
      </c>
      <c r="G127" s="80"/>
      <c r="H127" s="80"/>
      <c r="I127" s="80"/>
      <c r="J127" s="80"/>
      <c r="K127" s="80"/>
      <c r="L127" s="80"/>
      <c r="M127" s="80"/>
      <c r="N127" s="80"/>
      <c r="O127" s="80"/>
    </row>
    <row r="128" spans="1:15" s="78" customFormat="1">
      <c r="A128" s="80"/>
      <c r="B128" s="78" t="s">
        <v>118</v>
      </c>
      <c r="C128" s="79"/>
      <c r="D128" s="97">
        <v>0.14000000000000001</v>
      </c>
      <c r="E128" s="170">
        <f>+((E45*(1-E4)))</f>
        <v>9.2947435424829819E-2</v>
      </c>
      <c r="F128" s="170">
        <f>+(D128-(E128*0.5))/0.5</f>
        <v>0.18705256457517022</v>
      </c>
      <c r="G128" s="170">
        <f>+(E128*0.5)+(F128*0.5)</f>
        <v>0.14000000000000001</v>
      </c>
      <c r="H128" s="172">
        <f>+D128-G128</f>
        <v>0</v>
      </c>
      <c r="I128" s="80"/>
      <c r="J128" s="80"/>
      <c r="K128" s="80"/>
      <c r="L128" s="80"/>
      <c r="M128" s="80"/>
      <c r="N128" s="80"/>
      <c r="O128" s="80"/>
    </row>
    <row r="129" spans="1:15" s="78" customFormat="1">
      <c r="A129" s="80"/>
      <c r="B129" s="78" t="s">
        <v>119</v>
      </c>
      <c r="C129" s="79"/>
      <c r="D129" s="97">
        <v>0.04</v>
      </c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</row>
    <row r="130" spans="1:15" s="78" customFormat="1">
      <c r="A130" s="80"/>
      <c r="C130" s="79"/>
      <c r="D130" s="79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</row>
    <row r="131" spans="1:15" s="78" customFormat="1">
      <c r="B131" s="78" t="s">
        <v>120</v>
      </c>
      <c r="C131" s="79"/>
      <c r="D131" s="79" t="s">
        <v>191</v>
      </c>
      <c r="E131" s="98">
        <f>+NPV(D128,F125:O125)+E125</f>
        <v>6558008100.7299376</v>
      </c>
      <c r="F131" s="80" t="s">
        <v>185</v>
      </c>
      <c r="G131" s="80">
        <v>0</v>
      </c>
      <c r="H131" s="80"/>
      <c r="I131" s="80"/>
      <c r="J131" s="80"/>
      <c r="K131" s="80"/>
      <c r="L131" s="80"/>
      <c r="M131" s="80"/>
      <c r="N131" s="80"/>
      <c r="O131" s="80"/>
    </row>
    <row r="133" spans="1:15">
      <c r="A133" s="80"/>
      <c r="B133" s="51" t="s">
        <v>92</v>
      </c>
    </row>
    <row r="134" spans="1:15">
      <c r="A134" s="6" t="s">
        <v>60</v>
      </c>
      <c r="B134" s="4" t="s">
        <v>91</v>
      </c>
      <c r="D134" s="5" t="s">
        <v>191</v>
      </c>
      <c r="E134" s="33">
        <f>E93</f>
        <v>50000000</v>
      </c>
      <c r="F134" s="27"/>
      <c r="G134" s="27"/>
      <c r="H134" s="27"/>
      <c r="I134" s="27"/>
      <c r="J134" s="27"/>
      <c r="K134" s="27"/>
      <c r="L134" s="27"/>
    </row>
    <row r="135" spans="1:15">
      <c r="A135" s="6" t="s">
        <v>57</v>
      </c>
      <c r="B135" s="4" t="s">
        <v>92</v>
      </c>
      <c r="D135" s="5" t="s">
        <v>191</v>
      </c>
      <c r="E135" s="33">
        <f>+E94</f>
        <v>0</v>
      </c>
      <c r="F135" s="33">
        <f t="shared" ref="F135:O135" si="95">+F94</f>
        <v>0</v>
      </c>
      <c r="G135" s="33">
        <f t="shared" si="95"/>
        <v>29081819.044540945</v>
      </c>
      <c r="H135" s="33">
        <f t="shared" si="95"/>
        <v>-13218423.767810315</v>
      </c>
      <c r="I135" s="33">
        <f t="shared" si="95"/>
        <v>124364917.36873575</v>
      </c>
      <c r="J135" s="33">
        <f t="shared" si="95"/>
        <v>84213580.64061296</v>
      </c>
      <c r="K135" s="33">
        <f t="shared" si="95"/>
        <v>178400282.09103036</v>
      </c>
      <c r="L135" s="33">
        <f t="shared" si="95"/>
        <v>250733785.42824826</v>
      </c>
      <c r="M135" s="33">
        <f t="shared" si="95"/>
        <v>285678971.32028234</v>
      </c>
      <c r="N135" s="33">
        <f t="shared" si="95"/>
        <v>324788514.84774369</v>
      </c>
      <c r="O135" s="33">
        <f t="shared" si="95"/>
        <v>368415558.01879871</v>
      </c>
    </row>
    <row r="136" spans="1:15" s="15" customFormat="1">
      <c r="A136" s="52" t="s">
        <v>62</v>
      </c>
      <c r="B136" s="15" t="s">
        <v>124</v>
      </c>
      <c r="C136" s="20"/>
      <c r="D136" s="20" t="s">
        <v>191</v>
      </c>
      <c r="E136" s="46">
        <f>-E134+E135</f>
        <v>-50000000</v>
      </c>
      <c r="F136" s="46">
        <f t="shared" ref="F136:O136" si="96">-F134+F135</f>
        <v>0</v>
      </c>
      <c r="G136" s="46">
        <f>-G134+G135</f>
        <v>29081819.044540945</v>
      </c>
      <c r="H136" s="46">
        <f t="shared" si="96"/>
        <v>-13218423.767810315</v>
      </c>
      <c r="I136" s="46">
        <f t="shared" si="96"/>
        <v>124364917.36873575</v>
      </c>
      <c r="J136" s="46">
        <f t="shared" si="96"/>
        <v>84213580.64061296</v>
      </c>
      <c r="K136" s="46">
        <f t="shared" si="96"/>
        <v>178400282.09103036</v>
      </c>
      <c r="L136" s="46">
        <f t="shared" si="96"/>
        <v>250733785.42824826</v>
      </c>
      <c r="M136" s="46">
        <f t="shared" si="96"/>
        <v>285678971.32028234</v>
      </c>
      <c r="N136" s="46">
        <f t="shared" si="96"/>
        <v>324788514.84774369</v>
      </c>
      <c r="O136" s="46">
        <f t="shared" si="96"/>
        <v>368415558.01879871</v>
      </c>
    </row>
    <row r="137" spans="1:15">
      <c r="A137" s="6" t="s">
        <v>57</v>
      </c>
      <c r="B137" s="4" t="s">
        <v>116</v>
      </c>
      <c r="D137" s="5" t="s">
        <v>191</v>
      </c>
      <c r="O137" s="33">
        <f>+O136*(1+D142)/(D141-D142)</f>
        <v>4033180845.6794806</v>
      </c>
    </row>
    <row r="138" spans="1:15" s="15" customFormat="1">
      <c r="A138" s="52" t="s">
        <v>62</v>
      </c>
      <c r="B138" s="15" t="s">
        <v>124</v>
      </c>
      <c r="C138" s="20"/>
      <c r="D138" s="20" t="s">
        <v>191</v>
      </c>
      <c r="E138" s="46">
        <f t="shared" ref="E138:N138" si="97">+E136+E137</f>
        <v>-50000000</v>
      </c>
      <c r="F138" s="46">
        <f t="shared" si="97"/>
        <v>0</v>
      </c>
      <c r="G138" s="46">
        <f t="shared" si="97"/>
        <v>29081819.044540945</v>
      </c>
      <c r="H138" s="46">
        <f t="shared" si="97"/>
        <v>-13218423.767810315</v>
      </c>
      <c r="I138" s="46">
        <f t="shared" si="97"/>
        <v>124364917.36873575</v>
      </c>
      <c r="J138" s="46">
        <f t="shared" si="97"/>
        <v>84213580.64061296</v>
      </c>
      <c r="K138" s="46">
        <f t="shared" si="97"/>
        <v>178400282.09103036</v>
      </c>
      <c r="L138" s="46">
        <f t="shared" si="97"/>
        <v>250733785.42824826</v>
      </c>
      <c r="M138" s="46">
        <f t="shared" si="97"/>
        <v>285678971.32028234</v>
      </c>
      <c r="N138" s="46">
        <f t="shared" si="97"/>
        <v>324788514.84774369</v>
      </c>
      <c r="O138" s="46">
        <f>+O136+O137</f>
        <v>4401596403.6982794</v>
      </c>
    </row>
    <row r="139" spans="1:15" s="15" customFormat="1">
      <c r="A139" s="52"/>
      <c r="B139" s="81" t="s">
        <v>117</v>
      </c>
      <c r="C139" s="82"/>
      <c r="D139" s="82"/>
      <c r="E139" s="96">
        <f>+IRR(E138:O138)</f>
        <v>0.79356029439309594</v>
      </c>
      <c r="F139" s="46"/>
      <c r="G139" s="46"/>
      <c r="H139" s="46"/>
      <c r="I139" s="46"/>
      <c r="J139" s="46"/>
      <c r="K139" s="46"/>
      <c r="L139" s="46"/>
      <c r="M139" s="46"/>
      <c r="N139" s="46"/>
      <c r="O139" s="46"/>
    </row>
    <row r="141" spans="1:15">
      <c r="B141" s="78" t="s">
        <v>118</v>
      </c>
      <c r="C141" s="79"/>
      <c r="D141" s="97">
        <v>0.13500000000000001</v>
      </c>
    </row>
    <row r="142" spans="1:15">
      <c r="B142" s="78" t="s">
        <v>119</v>
      </c>
      <c r="C142" s="79"/>
      <c r="D142" s="97">
        <v>0.04</v>
      </c>
    </row>
    <row r="144" spans="1:15">
      <c r="B144" s="51" t="s">
        <v>125</v>
      </c>
    </row>
    <row r="145" spans="1:15">
      <c r="A145" s="6" t="s">
        <v>57</v>
      </c>
      <c r="B145" s="4" t="s">
        <v>126</v>
      </c>
      <c r="D145" s="5" t="s">
        <v>191</v>
      </c>
      <c r="E145" s="89">
        <f t="shared" ref="E145:O145" si="98">+E71*(1-E4)</f>
        <v>0</v>
      </c>
      <c r="F145" s="89">
        <f t="shared" si="98"/>
        <v>-10714874.033499984</v>
      </c>
      <c r="G145" s="89">
        <f t="shared" si="98"/>
        <v>271888276.79650009</v>
      </c>
      <c r="H145" s="89">
        <f t="shared" si="98"/>
        <v>329554217.82713693</v>
      </c>
      <c r="I145" s="89">
        <f t="shared" si="98"/>
        <v>608467979.27163184</v>
      </c>
      <c r="J145" s="89">
        <f t="shared" si="98"/>
        <v>697140680.18163216</v>
      </c>
      <c r="K145" s="89">
        <f t="shared" si="98"/>
        <v>817787321.44247258</v>
      </c>
      <c r="L145" s="89">
        <f t="shared" si="98"/>
        <v>937541335.84027827</v>
      </c>
      <c r="M145" s="89">
        <f t="shared" si="98"/>
        <v>1070438631.578185</v>
      </c>
      <c r="N145" s="89">
        <f t="shared" si="98"/>
        <v>1217934736.3508883</v>
      </c>
      <c r="O145" s="89">
        <f t="shared" si="98"/>
        <v>1382154302.5499129</v>
      </c>
    </row>
    <row r="146" spans="1:15">
      <c r="A146" s="6" t="s">
        <v>60</v>
      </c>
      <c r="B146" s="4" t="s">
        <v>127</v>
      </c>
      <c r="D146" s="5" t="s">
        <v>191</v>
      </c>
      <c r="E146" s="89">
        <f t="shared" ref="E146:O146" si="99">+E28-E83</f>
        <v>28000000</v>
      </c>
      <c r="F146" s="89">
        <f t="shared" si="99"/>
        <v>-5600000</v>
      </c>
      <c r="G146" s="89">
        <f t="shared" si="99"/>
        <v>4800000</v>
      </c>
      <c r="H146" s="89">
        <f t="shared" si="99"/>
        <v>179916666.66666666</v>
      </c>
      <c r="I146" s="89">
        <f t="shared" si="99"/>
        <v>-33625000</v>
      </c>
      <c r="J146" s="89">
        <f t="shared" si="99"/>
        <v>150375000</v>
      </c>
      <c r="K146" s="89">
        <f t="shared" si="99"/>
        <v>-72177165.598148629</v>
      </c>
      <c r="L146" s="89">
        <f t="shared" si="99"/>
        <v>-71715194.694751501</v>
      </c>
      <c r="M146" s="89">
        <f t="shared" si="99"/>
        <v>-72163840.219544202</v>
      </c>
      <c r="N146" s="89">
        <f t="shared" si="99"/>
        <v>-73533854.089346752</v>
      </c>
      <c r="O146" s="89">
        <f t="shared" si="99"/>
        <v>-75037033.307294101</v>
      </c>
    </row>
    <row r="147" spans="1:15">
      <c r="A147" s="6" t="s">
        <v>60</v>
      </c>
      <c r="B147" s="4" t="s">
        <v>128</v>
      </c>
      <c r="D147" s="5" t="s">
        <v>191</v>
      </c>
      <c r="E147" s="89">
        <f>+E85</f>
        <v>0</v>
      </c>
      <c r="F147" s="89">
        <f t="shared" ref="F147:O147" si="100">+F85</f>
        <v>21241761.666666664</v>
      </c>
      <c r="G147" s="89">
        <f t="shared" si="100"/>
        <v>75420608.668333352</v>
      </c>
      <c r="H147" s="89">
        <f t="shared" si="100"/>
        <v>52638025.549659997</v>
      </c>
      <c r="I147" s="89">
        <f t="shared" si="100"/>
        <v>69878677.887023985</v>
      </c>
      <c r="J147" s="89">
        <f t="shared" si="100"/>
        <v>92822337.742308199</v>
      </c>
      <c r="K147" s="89">
        <f t="shared" si="100"/>
        <v>106579682.17317975</v>
      </c>
      <c r="L147" s="89">
        <f t="shared" si="100"/>
        <v>40686082.306393087</v>
      </c>
      <c r="M147" s="89">
        <f t="shared" si="100"/>
        <v>44640769.506574452</v>
      </c>
      <c r="N147" s="89">
        <f t="shared" si="100"/>
        <v>48979852.302613616</v>
      </c>
      <c r="O147" s="89">
        <f t="shared" si="100"/>
        <v>53740693.946427584</v>
      </c>
    </row>
    <row r="148" spans="1:15" s="15" customFormat="1">
      <c r="A148" s="52" t="s">
        <v>62</v>
      </c>
      <c r="B148" s="15" t="s">
        <v>129</v>
      </c>
      <c r="C148" s="20"/>
      <c r="D148" s="20" t="s">
        <v>191</v>
      </c>
      <c r="E148" s="46">
        <f>+E145-E146-E147</f>
        <v>-28000000</v>
      </c>
      <c r="F148" s="46">
        <f t="shared" ref="F148:O148" si="101">+F145-F146-F147</f>
        <v>-26356635.70016665</v>
      </c>
      <c r="G148" s="46">
        <f t="shared" si="101"/>
        <v>191667668.12816674</v>
      </c>
      <c r="H148" s="46">
        <f t="shared" si="101"/>
        <v>96999525.61081028</v>
      </c>
      <c r="I148" s="46">
        <f t="shared" si="101"/>
        <v>572214301.38460779</v>
      </c>
      <c r="J148" s="46">
        <f t="shared" si="101"/>
        <v>453943342.43932396</v>
      </c>
      <c r="K148" s="46">
        <f t="shared" si="101"/>
        <v>783384804.86744142</v>
      </c>
      <c r="L148" s="46">
        <f t="shared" si="101"/>
        <v>968570448.22863674</v>
      </c>
      <c r="M148" s="46">
        <f t="shared" si="101"/>
        <v>1097961702.2911549</v>
      </c>
      <c r="N148" s="46">
        <f t="shared" si="101"/>
        <v>1242488738.1376214</v>
      </c>
      <c r="O148" s="46">
        <f t="shared" si="101"/>
        <v>1403450641.9107795</v>
      </c>
    </row>
    <row r="151" spans="1:15">
      <c r="D151" s="5" t="s">
        <v>189</v>
      </c>
      <c r="E151" s="7">
        <f>+IRR(E148:O148)</f>
        <v>1.9629941596056781</v>
      </c>
      <c r="F151" s="173">
        <f>+E126-E151</f>
        <v>-4.7842944131946119E-2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298B-A846-4971-A8E2-B43A662E55B4}">
  <sheetPr codeName="Hoja10"/>
  <dimension ref="A1:AX132"/>
  <sheetViews>
    <sheetView zoomScale="70" zoomScaleNormal="70" workbookViewId="0">
      <pane xSplit="2" ySplit="6" topLeftCell="AJ47" activePane="bottomRight" state="frozen"/>
      <selection pane="topRight" activeCell="C1" sqref="C1"/>
      <selection pane="bottomLeft" activeCell="A6" sqref="A6"/>
      <selection pane="bottomRight" activeCell="P82" sqref="P82"/>
    </sheetView>
  </sheetViews>
  <sheetFormatPr baseColWidth="10" defaultRowHeight="15.75"/>
  <cols>
    <col min="1" max="1" width="12.42578125" style="177" bestFit="1" customWidth="1"/>
    <col min="2" max="2" width="40.85546875" style="177" bestFit="1" customWidth="1"/>
    <col min="3" max="3" width="14.85546875" style="177" bestFit="1" customWidth="1"/>
    <col min="4" max="11" width="14.28515625" style="177" bestFit="1" customWidth="1"/>
    <col min="12" max="12" width="15.28515625" style="177" customWidth="1"/>
    <col min="13" max="15" width="14.85546875" style="177" bestFit="1" customWidth="1"/>
    <col min="16" max="16" width="16.7109375" style="198" bestFit="1" customWidth="1"/>
    <col min="17" max="17" width="13.5703125" style="177" bestFit="1" customWidth="1"/>
    <col min="18" max="18" width="14.85546875" style="177" bestFit="1" customWidth="1"/>
    <col min="19" max="19" width="9.28515625" style="177" bestFit="1" customWidth="1"/>
    <col min="20" max="20" width="15" style="177" bestFit="1" customWidth="1"/>
    <col min="21" max="25" width="14.85546875" style="177" bestFit="1" customWidth="1"/>
    <col min="26" max="26" width="14.85546875" style="177" customWidth="1"/>
    <col min="27" max="31" width="14.85546875" style="177" bestFit="1" customWidth="1"/>
    <col min="32" max="32" width="16.7109375" style="198" bestFit="1" customWidth="1"/>
    <col min="33" max="34" width="14.85546875" style="177" bestFit="1" customWidth="1"/>
    <col min="35" max="35" width="9.28515625" style="177" bestFit="1" customWidth="1"/>
    <col min="36" max="41" width="14.85546875" style="177" bestFit="1" customWidth="1"/>
    <col min="42" max="42" width="14.85546875" style="177" customWidth="1"/>
    <col min="43" max="47" width="14.85546875" style="177" bestFit="1" customWidth="1"/>
    <col min="48" max="48" width="16.7109375" style="198" bestFit="1" customWidth="1"/>
    <col min="49" max="49" width="14.85546875" style="177" bestFit="1" customWidth="1"/>
    <col min="50" max="16384" width="11.42578125" style="177"/>
  </cols>
  <sheetData>
    <row r="1" spans="1:49">
      <c r="D1" s="183">
        <v>0</v>
      </c>
      <c r="E1" s="183">
        <v>0.01</v>
      </c>
      <c r="F1" s="183">
        <v>0.04</v>
      </c>
      <c r="G1" s="183">
        <v>0.06</v>
      </c>
      <c r="H1" s="183">
        <v>0.08</v>
      </c>
      <c r="I1" s="183">
        <v>0.09</v>
      </c>
      <c r="J1" s="183">
        <v>0.12</v>
      </c>
      <c r="K1" s="183">
        <v>0.14000000000000001</v>
      </c>
      <c r="L1" s="183">
        <v>0.15</v>
      </c>
      <c r="M1" s="183">
        <v>0.15</v>
      </c>
      <c r="N1" s="183">
        <v>0.18</v>
      </c>
      <c r="O1" s="183">
        <v>0.18</v>
      </c>
      <c r="T1" s="183">
        <v>0.18</v>
      </c>
      <c r="U1" s="183">
        <v>0.18</v>
      </c>
      <c r="V1" s="183">
        <v>0.18</v>
      </c>
      <c r="W1" s="183">
        <v>0.19</v>
      </c>
      <c r="X1" s="183">
        <v>0.19</v>
      </c>
      <c r="Y1" s="183">
        <v>0.2</v>
      </c>
      <c r="Z1" s="183">
        <v>0.2</v>
      </c>
      <c r="AA1" s="183">
        <v>0.2</v>
      </c>
      <c r="AB1" s="183">
        <v>0.2</v>
      </c>
      <c r="AC1" s="183">
        <v>0.21</v>
      </c>
      <c r="AD1" s="183">
        <v>0.24</v>
      </c>
      <c r="AE1" s="183">
        <v>0.25</v>
      </c>
      <c r="AJ1" s="183">
        <v>0.25</v>
      </c>
      <c r="AK1" s="183">
        <v>0.25</v>
      </c>
      <c r="AL1" s="183">
        <v>0.25</v>
      </c>
      <c r="AM1" s="183">
        <v>0.25</v>
      </c>
      <c r="AN1" s="183">
        <v>0.28999999999999998</v>
      </c>
      <c r="AO1" s="183">
        <v>0.32</v>
      </c>
      <c r="AP1" s="183">
        <v>0.34</v>
      </c>
      <c r="AQ1" s="183">
        <v>0.35</v>
      </c>
      <c r="AR1" s="183">
        <v>0.35</v>
      </c>
      <c r="AS1" s="183">
        <v>0.36</v>
      </c>
      <c r="AT1" s="183">
        <v>0.38</v>
      </c>
      <c r="AU1" s="183">
        <v>0.39</v>
      </c>
    </row>
    <row r="2" spans="1:49">
      <c r="F2" s="178">
        <v>0.57999999999999996</v>
      </c>
      <c r="G2" s="178">
        <v>0.4</v>
      </c>
      <c r="H2" s="178">
        <v>0.28000000000000003</v>
      </c>
      <c r="I2" s="178">
        <v>0.16</v>
      </c>
      <c r="J2" s="178">
        <v>0.09</v>
      </c>
      <c r="K2" s="178">
        <v>0.06</v>
      </c>
      <c r="L2" s="178">
        <v>0.04</v>
      </c>
      <c r="M2" s="178">
        <v>0.03</v>
      </c>
      <c r="N2" s="178">
        <v>0.03</v>
      </c>
      <c r="O2" s="182">
        <v>0.02</v>
      </c>
      <c r="P2" s="199"/>
      <c r="Q2" s="182"/>
      <c r="AF2" s="199"/>
      <c r="AG2" s="182"/>
      <c r="AV2" s="199"/>
      <c r="AW2" s="182"/>
    </row>
    <row r="3" spans="1:49" s="182" customFormat="1">
      <c r="A3" s="177"/>
      <c r="B3" s="177"/>
      <c r="C3" s="177"/>
      <c r="D3" s="177"/>
      <c r="E3" s="178">
        <v>2.1800000000000002</v>
      </c>
      <c r="F3" s="183">
        <f>+E3*(1-F$2)</f>
        <v>0.91560000000000019</v>
      </c>
      <c r="G3" s="183">
        <f t="shared" ref="G3:O5" si="0">+F3*(1-G$2)</f>
        <v>0.54936000000000007</v>
      </c>
      <c r="H3" s="183">
        <f t="shared" si="0"/>
        <v>0.39553920000000004</v>
      </c>
      <c r="I3" s="183">
        <f t="shared" si="0"/>
        <v>0.332252928</v>
      </c>
      <c r="J3" s="183">
        <f t="shared" si="0"/>
        <v>0.30235016448000002</v>
      </c>
      <c r="K3" s="183">
        <f t="shared" si="0"/>
        <v>0.2842091546112</v>
      </c>
      <c r="L3" s="183">
        <f t="shared" si="0"/>
        <v>0.27284078842675197</v>
      </c>
      <c r="M3" s="183">
        <f t="shared" si="0"/>
        <v>0.26465556477394941</v>
      </c>
      <c r="N3" s="183">
        <f t="shared" si="0"/>
        <v>0.2567158978307309</v>
      </c>
      <c r="O3" s="183">
        <f t="shared" si="0"/>
        <v>0.25158157987411628</v>
      </c>
      <c r="P3" s="200"/>
      <c r="Q3" s="180">
        <v>901800</v>
      </c>
      <c r="R3" s="177"/>
      <c r="S3" s="177"/>
      <c r="T3" s="182">
        <v>0.2</v>
      </c>
      <c r="U3" s="189">
        <v>0.16</v>
      </c>
      <c r="V3" s="189">
        <f t="shared" ref="V3:AE5" si="1">+U3*0.8</f>
        <v>0.128</v>
      </c>
      <c r="W3" s="189">
        <f t="shared" si="1"/>
        <v>0.1024</v>
      </c>
      <c r="X3" s="189">
        <f t="shared" si="1"/>
        <v>8.1920000000000007E-2</v>
      </c>
      <c r="Y3" s="189">
        <f t="shared" si="1"/>
        <v>6.5536000000000011E-2</v>
      </c>
      <c r="Z3" s="189">
        <f t="shared" si="1"/>
        <v>5.2428800000000012E-2</v>
      </c>
      <c r="AA3" s="189">
        <f t="shared" si="1"/>
        <v>4.1943040000000015E-2</v>
      </c>
      <c r="AB3" s="189">
        <f t="shared" si="1"/>
        <v>3.3554432000000016E-2</v>
      </c>
      <c r="AC3" s="189">
        <f t="shared" si="1"/>
        <v>2.6843545600000015E-2</v>
      </c>
      <c r="AD3" s="189">
        <f t="shared" si="1"/>
        <v>2.1474836480000013E-2</v>
      </c>
      <c r="AE3" s="189">
        <f t="shared" si="1"/>
        <v>1.717986918400001E-2</v>
      </c>
      <c r="AF3" s="200"/>
      <c r="AG3" s="180">
        <f>+Q3*(1+6%)</f>
        <v>955908</v>
      </c>
      <c r="AJ3" s="182">
        <v>1.4999999999999999E-2</v>
      </c>
      <c r="AK3" s="182">
        <v>1.4999999999999999E-2</v>
      </c>
      <c r="AL3" s="189">
        <f>+AK3*0.8</f>
        <v>1.2E-2</v>
      </c>
      <c r="AM3" s="189">
        <f>+AL3*0.8</f>
        <v>9.6000000000000009E-3</v>
      </c>
      <c r="AN3" s="189">
        <f>+AM3*11</f>
        <v>0.10560000000000001</v>
      </c>
      <c r="AO3" s="189">
        <f t="shared" ref="AO3:AU5" si="2">+AN3*0.8</f>
        <v>8.4480000000000013E-2</v>
      </c>
      <c r="AP3" s="189">
        <f t="shared" si="2"/>
        <v>6.7584000000000019E-2</v>
      </c>
      <c r="AQ3" s="189">
        <f t="shared" si="2"/>
        <v>5.4067200000000017E-2</v>
      </c>
      <c r="AR3" s="189">
        <f t="shared" si="2"/>
        <v>4.3253760000000016E-2</v>
      </c>
      <c r="AS3" s="189">
        <f t="shared" si="2"/>
        <v>3.4603008000000011E-2</v>
      </c>
      <c r="AT3" s="189">
        <f t="shared" si="2"/>
        <v>2.7682406400000012E-2</v>
      </c>
      <c r="AU3" s="189">
        <f t="shared" si="2"/>
        <v>2.214592512000001E-2</v>
      </c>
      <c r="AV3" s="200"/>
      <c r="AW3" s="180">
        <f>+AG3*(1+6%)</f>
        <v>1013262.4800000001</v>
      </c>
    </row>
    <row r="4" spans="1:49" s="182" customFormat="1">
      <c r="A4" s="177"/>
      <c r="B4" s="177"/>
      <c r="C4" s="177"/>
      <c r="D4" s="177"/>
      <c r="E4" s="178">
        <v>1.65</v>
      </c>
      <c r="F4" s="183">
        <f t="shared" ref="F4:F5" si="3">+E4*(1-F$2)</f>
        <v>0.69300000000000006</v>
      </c>
      <c r="G4" s="183">
        <f t="shared" si="0"/>
        <v>0.4158</v>
      </c>
      <c r="H4" s="183">
        <f t="shared" si="0"/>
        <v>0.29937599999999998</v>
      </c>
      <c r="I4" s="183">
        <f t="shared" si="0"/>
        <v>0.25147583999999995</v>
      </c>
      <c r="J4" s="183">
        <f t="shared" si="0"/>
        <v>0.22884301439999996</v>
      </c>
      <c r="K4" s="183">
        <f t="shared" si="0"/>
        <v>0.21511243353599996</v>
      </c>
      <c r="L4" s="183">
        <f t="shared" si="0"/>
        <v>0.20650793619455995</v>
      </c>
      <c r="M4" s="183">
        <f t="shared" si="0"/>
        <v>0.20031269810872315</v>
      </c>
      <c r="N4" s="183">
        <f t="shared" si="0"/>
        <v>0.19430331716546145</v>
      </c>
      <c r="O4" s="183">
        <f t="shared" si="0"/>
        <v>0.19041725082215222</v>
      </c>
      <c r="P4" s="200"/>
      <c r="Q4" s="180">
        <f>+Q3*2</f>
        <v>1803600</v>
      </c>
      <c r="R4" s="177"/>
      <c r="S4" s="177"/>
      <c r="T4" s="182">
        <v>0.16</v>
      </c>
      <c r="U4" s="189">
        <v>0.12</v>
      </c>
      <c r="V4" s="189">
        <f t="shared" si="1"/>
        <v>9.6000000000000002E-2</v>
      </c>
      <c r="W4" s="189">
        <f t="shared" si="1"/>
        <v>7.6800000000000007E-2</v>
      </c>
      <c r="X4" s="189">
        <f t="shared" si="1"/>
        <v>6.1440000000000008E-2</v>
      </c>
      <c r="Y4" s="189">
        <f t="shared" si="1"/>
        <v>4.9152000000000008E-2</v>
      </c>
      <c r="Z4" s="189">
        <f t="shared" si="1"/>
        <v>3.9321600000000012E-2</v>
      </c>
      <c r="AA4" s="189">
        <f t="shared" si="1"/>
        <v>3.1457280000000011E-2</v>
      </c>
      <c r="AB4" s="189">
        <f t="shared" si="1"/>
        <v>2.516582400000001E-2</v>
      </c>
      <c r="AC4" s="189">
        <f t="shared" si="1"/>
        <v>2.013265920000001E-2</v>
      </c>
      <c r="AD4" s="189">
        <f t="shared" si="1"/>
        <v>1.610612736000001E-2</v>
      </c>
      <c r="AE4" s="189">
        <f t="shared" si="1"/>
        <v>1.2884901888000009E-2</v>
      </c>
      <c r="AF4" s="200"/>
      <c r="AG4" s="180">
        <f>+AG3*2</f>
        <v>1911816</v>
      </c>
      <c r="AJ4" s="182">
        <v>1.2E-2</v>
      </c>
      <c r="AK4" s="182">
        <v>1.2E-2</v>
      </c>
      <c r="AL4" s="189">
        <f t="shared" ref="AL4:AU5" si="4">+AK4*0.8</f>
        <v>9.6000000000000009E-3</v>
      </c>
      <c r="AM4" s="189">
        <f t="shared" si="4"/>
        <v>7.6800000000000011E-3</v>
      </c>
      <c r="AN4" s="189">
        <f t="shared" ref="AN4:AN5" si="5">+AM4*11</f>
        <v>8.4480000000000013E-2</v>
      </c>
      <c r="AO4" s="189">
        <f t="shared" si="2"/>
        <v>6.7584000000000019E-2</v>
      </c>
      <c r="AP4" s="189">
        <f t="shared" si="2"/>
        <v>5.4067200000000017E-2</v>
      </c>
      <c r="AQ4" s="189">
        <f t="shared" si="4"/>
        <v>4.3253760000000016E-2</v>
      </c>
      <c r="AR4" s="189">
        <f t="shared" si="4"/>
        <v>3.4603008000000011E-2</v>
      </c>
      <c r="AS4" s="189">
        <f t="shared" si="4"/>
        <v>2.7682406400000012E-2</v>
      </c>
      <c r="AT4" s="189">
        <f t="shared" si="4"/>
        <v>2.214592512000001E-2</v>
      </c>
      <c r="AU4" s="189">
        <f t="shared" si="4"/>
        <v>1.7716740096000008E-2</v>
      </c>
      <c r="AV4" s="200"/>
      <c r="AW4" s="180">
        <f>+AW3*2</f>
        <v>2026524.9600000002</v>
      </c>
    </row>
    <row r="5" spans="1:49" s="182" customFormat="1">
      <c r="A5" s="177"/>
      <c r="B5" s="177"/>
      <c r="C5" s="177"/>
      <c r="D5" s="177"/>
      <c r="E5" s="178">
        <v>1.76</v>
      </c>
      <c r="F5" s="183">
        <f t="shared" si="3"/>
        <v>0.73920000000000008</v>
      </c>
      <c r="G5" s="183">
        <v>0.28999999999999998</v>
      </c>
      <c r="H5" s="183">
        <f t="shared" si="0"/>
        <v>0.20879999999999999</v>
      </c>
      <c r="I5" s="183">
        <f t="shared" si="0"/>
        <v>0.17539199999999999</v>
      </c>
      <c r="J5" s="183">
        <f t="shared" si="0"/>
        <v>0.15960672000000001</v>
      </c>
      <c r="K5" s="183">
        <f t="shared" si="0"/>
        <v>0.15003031680000001</v>
      </c>
      <c r="L5" s="183">
        <f t="shared" si="0"/>
        <v>0.14402910412799999</v>
      </c>
      <c r="M5" s="183">
        <f t="shared" si="0"/>
        <v>0.13970823100415999</v>
      </c>
      <c r="N5" s="183">
        <f t="shared" si="0"/>
        <v>0.1355169840740352</v>
      </c>
      <c r="O5" s="183">
        <f t="shared" si="0"/>
        <v>0.13280664439255449</v>
      </c>
      <c r="P5" s="200"/>
      <c r="Q5" s="183"/>
      <c r="R5" s="177"/>
      <c r="S5" s="177"/>
      <c r="T5" s="182">
        <v>0.12</v>
      </c>
      <c r="U5" s="189">
        <v>8.3984392263482074E-2</v>
      </c>
      <c r="V5" s="189">
        <f t="shared" si="1"/>
        <v>6.7187513810785665E-2</v>
      </c>
      <c r="W5" s="189">
        <f t="shared" si="1"/>
        <v>5.3750011048628532E-2</v>
      </c>
      <c r="X5" s="189">
        <f t="shared" si="1"/>
        <v>4.3000008838902828E-2</v>
      </c>
      <c r="Y5" s="189">
        <f t="shared" si="1"/>
        <v>3.4400007071122264E-2</v>
      </c>
      <c r="Z5" s="189">
        <f t="shared" si="1"/>
        <v>2.7520005656897814E-2</v>
      </c>
      <c r="AA5" s="189">
        <f t="shared" si="1"/>
        <v>2.2016004525518253E-2</v>
      </c>
      <c r="AB5" s="189">
        <f t="shared" si="1"/>
        <v>1.7612803620414601E-2</v>
      </c>
      <c r="AC5" s="189">
        <f t="shared" si="1"/>
        <v>1.4090242896331682E-2</v>
      </c>
      <c r="AD5" s="189">
        <f t="shared" si="1"/>
        <v>1.1272194317065345E-2</v>
      </c>
      <c r="AE5" s="189">
        <f t="shared" si="1"/>
        <v>9.017755453652276E-3</v>
      </c>
      <c r="AF5" s="200"/>
      <c r="AG5" s="189"/>
      <c r="AJ5" s="182">
        <v>6.0000000000000001E-3</v>
      </c>
      <c r="AK5" s="182">
        <v>6.0000000000000001E-3</v>
      </c>
      <c r="AL5" s="189">
        <f t="shared" si="4"/>
        <v>4.8000000000000004E-3</v>
      </c>
      <c r="AM5" s="189">
        <f t="shared" si="4"/>
        <v>3.8400000000000005E-3</v>
      </c>
      <c r="AN5" s="189">
        <f t="shared" si="5"/>
        <v>4.2240000000000007E-2</v>
      </c>
      <c r="AO5" s="189">
        <f t="shared" si="2"/>
        <v>3.379200000000001E-2</v>
      </c>
      <c r="AP5" s="189">
        <f t="shared" si="2"/>
        <v>2.7033600000000008E-2</v>
      </c>
      <c r="AQ5" s="189">
        <f t="shared" si="4"/>
        <v>2.1626880000000008E-2</v>
      </c>
      <c r="AR5" s="189">
        <f t="shared" si="4"/>
        <v>1.7301504000000006E-2</v>
      </c>
      <c r="AS5" s="189">
        <f t="shared" si="4"/>
        <v>1.3841203200000006E-2</v>
      </c>
      <c r="AT5" s="189">
        <f t="shared" si="4"/>
        <v>1.1072962560000005E-2</v>
      </c>
      <c r="AU5" s="189">
        <f t="shared" si="4"/>
        <v>8.8583700480000041E-3</v>
      </c>
      <c r="AV5" s="200"/>
      <c r="AW5" s="189"/>
    </row>
    <row r="6" spans="1:49" s="179" customFormat="1">
      <c r="A6" s="179" t="s">
        <v>213</v>
      </c>
      <c r="B6" s="195">
        <v>0.46</v>
      </c>
      <c r="C6" s="195"/>
      <c r="D6" s="179" t="s">
        <v>196</v>
      </c>
      <c r="E6" s="179" t="s">
        <v>197</v>
      </c>
      <c r="F6" s="179" t="s">
        <v>198</v>
      </c>
      <c r="G6" s="179" t="s">
        <v>199</v>
      </c>
      <c r="H6" s="179" t="s">
        <v>200</v>
      </c>
      <c r="I6" s="179" t="s">
        <v>201</v>
      </c>
      <c r="J6" s="179" t="s">
        <v>202</v>
      </c>
      <c r="K6" s="179" t="s">
        <v>203</v>
      </c>
      <c r="L6" s="179" t="s">
        <v>204</v>
      </c>
      <c r="M6" s="179" t="s">
        <v>205</v>
      </c>
      <c r="N6" s="179" t="s">
        <v>206</v>
      </c>
      <c r="O6" s="179" t="s">
        <v>207</v>
      </c>
      <c r="P6" s="201" t="s">
        <v>212</v>
      </c>
      <c r="Q6" s="179" t="s">
        <v>214</v>
      </c>
      <c r="T6" s="179" t="s">
        <v>196</v>
      </c>
      <c r="U6" s="179" t="s">
        <v>197</v>
      </c>
      <c r="V6" s="179" t="s">
        <v>198</v>
      </c>
      <c r="W6" s="179" t="s">
        <v>199</v>
      </c>
      <c r="X6" s="179" t="s">
        <v>200</v>
      </c>
      <c r="Y6" s="179" t="s">
        <v>201</v>
      </c>
      <c r="Z6" s="179" t="s">
        <v>202</v>
      </c>
      <c r="AA6" s="179" t="s">
        <v>203</v>
      </c>
      <c r="AB6" s="179" t="s">
        <v>204</v>
      </c>
      <c r="AC6" s="179" t="s">
        <v>205</v>
      </c>
      <c r="AD6" s="179" t="s">
        <v>206</v>
      </c>
      <c r="AE6" s="179" t="s">
        <v>207</v>
      </c>
      <c r="AF6" s="201" t="s">
        <v>212</v>
      </c>
      <c r="AG6" s="179" t="s">
        <v>214</v>
      </c>
      <c r="AJ6" s="179" t="s">
        <v>196</v>
      </c>
      <c r="AK6" s="179" t="s">
        <v>197</v>
      </c>
      <c r="AL6" s="179" t="s">
        <v>198</v>
      </c>
      <c r="AM6" s="179" t="s">
        <v>199</v>
      </c>
      <c r="AN6" s="179" t="s">
        <v>200</v>
      </c>
      <c r="AO6" s="179" t="s">
        <v>201</v>
      </c>
      <c r="AP6" s="179" t="s">
        <v>202</v>
      </c>
      <c r="AQ6" s="179" t="s">
        <v>203</v>
      </c>
      <c r="AR6" s="179" t="s">
        <v>204</v>
      </c>
      <c r="AS6" s="179" t="s">
        <v>205</v>
      </c>
      <c r="AT6" s="179" t="s">
        <v>206</v>
      </c>
      <c r="AU6" s="179" t="s">
        <v>207</v>
      </c>
      <c r="AV6" s="201" t="s">
        <v>212</v>
      </c>
      <c r="AW6" s="179" t="s">
        <v>214</v>
      </c>
    </row>
    <row r="7" spans="1:49">
      <c r="B7" s="177" t="s">
        <v>193</v>
      </c>
      <c r="D7" s="179">
        <v>22</v>
      </c>
      <c r="E7" s="179">
        <f>ROUND(D7*(1+E3),0)</f>
        <v>70</v>
      </c>
      <c r="F7" s="179">
        <f t="shared" ref="F7:O9" si="6">ROUND(E7*(1+F3),0)</f>
        <v>134</v>
      </c>
      <c r="G7" s="179">
        <f t="shared" si="6"/>
        <v>208</v>
      </c>
      <c r="H7" s="179">
        <f t="shared" si="6"/>
        <v>290</v>
      </c>
      <c r="I7" s="179">
        <f t="shared" si="6"/>
        <v>386</v>
      </c>
      <c r="J7" s="179">
        <f t="shared" si="6"/>
        <v>503</v>
      </c>
      <c r="K7" s="179">
        <f t="shared" si="6"/>
        <v>646</v>
      </c>
      <c r="L7" s="179">
        <f t="shared" si="6"/>
        <v>822</v>
      </c>
      <c r="M7" s="179">
        <f t="shared" si="6"/>
        <v>1040</v>
      </c>
      <c r="N7" s="179">
        <f t="shared" si="6"/>
        <v>1307</v>
      </c>
      <c r="O7" s="179">
        <f t="shared" si="6"/>
        <v>1636</v>
      </c>
      <c r="P7" s="201">
        <f>SUM(D7:O7)</f>
        <v>7064</v>
      </c>
      <c r="Q7" s="184">
        <f>+P7/12</f>
        <v>588.66666666666663</v>
      </c>
      <c r="T7" s="179">
        <f>ROUND(O7*(1+T3),0)</f>
        <v>1963</v>
      </c>
      <c r="U7" s="179">
        <f>ROUND(T7*(1+U3),0)</f>
        <v>2277</v>
      </c>
      <c r="V7" s="179">
        <f>ROUND(U7*(1+V3),0)</f>
        <v>2568</v>
      </c>
      <c r="W7" s="179">
        <f t="shared" ref="W7:AE9" si="7">ROUND(V7*(1+W3),0)</f>
        <v>2831</v>
      </c>
      <c r="X7" s="179">
        <f t="shared" si="7"/>
        <v>3063</v>
      </c>
      <c r="Y7" s="179">
        <f t="shared" si="7"/>
        <v>3264</v>
      </c>
      <c r="Z7" s="179">
        <f t="shared" si="7"/>
        <v>3435</v>
      </c>
      <c r="AA7" s="179">
        <f t="shared" si="7"/>
        <v>3579</v>
      </c>
      <c r="AB7" s="179">
        <f t="shared" si="7"/>
        <v>3699</v>
      </c>
      <c r="AC7" s="179">
        <f t="shared" si="7"/>
        <v>3798</v>
      </c>
      <c r="AD7" s="179">
        <f t="shared" si="7"/>
        <v>3880</v>
      </c>
      <c r="AE7" s="179">
        <f t="shared" si="7"/>
        <v>3947</v>
      </c>
      <c r="AF7" s="201">
        <f>SUM(T7:AE7)</f>
        <v>38304</v>
      </c>
      <c r="AG7" s="184">
        <f>+AF7/12</f>
        <v>3192</v>
      </c>
      <c r="AJ7" s="179">
        <f>ROUND(AE7*(1+AJ3),0)</f>
        <v>4006</v>
      </c>
      <c r="AK7" s="179">
        <f>ROUND(AJ7*(1+AK3),0)</f>
        <v>4066</v>
      </c>
      <c r="AL7" s="179">
        <f>ROUND(AK7*(1+AL3),0)</f>
        <v>4115</v>
      </c>
      <c r="AM7" s="179">
        <f t="shared" ref="AM7:AU7" si="8">ROUND(AL7*(1+AM3),0)</f>
        <v>4155</v>
      </c>
      <c r="AN7" s="179">
        <f t="shared" si="8"/>
        <v>4594</v>
      </c>
      <c r="AO7" s="179">
        <f t="shared" si="8"/>
        <v>4982</v>
      </c>
      <c r="AP7" s="179">
        <f t="shared" si="8"/>
        <v>5319</v>
      </c>
      <c r="AQ7" s="179">
        <f t="shared" si="8"/>
        <v>5607</v>
      </c>
      <c r="AR7" s="179">
        <f t="shared" si="8"/>
        <v>5850</v>
      </c>
      <c r="AS7" s="179">
        <f t="shared" si="8"/>
        <v>6052</v>
      </c>
      <c r="AT7" s="179">
        <f t="shared" si="8"/>
        <v>6220</v>
      </c>
      <c r="AU7" s="179">
        <f t="shared" si="8"/>
        <v>6358</v>
      </c>
      <c r="AV7" s="201">
        <f>SUM(AJ7:AU7)</f>
        <v>61324</v>
      </c>
      <c r="AW7" s="184">
        <f>+AV7/12</f>
        <v>5110.333333333333</v>
      </c>
    </row>
    <row r="8" spans="1:49">
      <c r="A8" s="177" t="s">
        <v>1</v>
      </c>
      <c r="B8" s="177" t="s">
        <v>194</v>
      </c>
      <c r="D8" s="179">
        <v>33</v>
      </c>
      <c r="E8" s="179">
        <f>ROUND(D8*(1+E4),0)</f>
        <v>87</v>
      </c>
      <c r="F8" s="179">
        <f t="shared" si="6"/>
        <v>147</v>
      </c>
      <c r="G8" s="179">
        <f t="shared" si="6"/>
        <v>208</v>
      </c>
      <c r="H8" s="179">
        <f t="shared" si="6"/>
        <v>270</v>
      </c>
      <c r="I8" s="179">
        <f t="shared" si="6"/>
        <v>338</v>
      </c>
      <c r="J8" s="179">
        <f t="shared" si="6"/>
        <v>415</v>
      </c>
      <c r="K8" s="179">
        <f t="shared" si="6"/>
        <v>504</v>
      </c>
      <c r="L8" s="179">
        <f t="shared" si="6"/>
        <v>608</v>
      </c>
      <c r="M8" s="179">
        <f t="shared" si="6"/>
        <v>730</v>
      </c>
      <c r="N8" s="179">
        <f t="shared" si="6"/>
        <v>872</v>
      </c>
      <c r="O8" s="179">
        <f t="shared" si="6"/>
        <v>1038</v>
      </c>
      <c r="P8" s="201">
        <f>SUM(D8:O8)</f>
        <v>5250</v>
      </c>
      <c r="Q8" s="184">
        <f t="shared" ref="Q8:Q10" si="9">+P8/12</f>
        <v>437.5</v>
      </c>
      <c r="T8" s="179">
        <f t="shared" ref="T8:T9" si="10">ROUND(O8*(1+T4),0)</f>
        <v>1204</v>
      </c>
      <c r="U8" s="179">
        <f t="shared" ref="U8:V9" si="11">ROUND(T8*(1+U4),0)</f>
        <v>1348</v>
      </c>
      <c r="V8" s="179">
        <f t="shared" si="11"/>
        <v>1477</v>
      </c>
      <c r="W8" s="179">
        <f t="shared" si="7"/>
        <v>1590</v>
      </c>
      <c r="X8" s="179">
        <f t="shared" si="7"/>
        <v>1688</v>
      </c>
      <c r="Y8" s="179">
        <f t="shared" si="7"/>
        <v>1771</v>
      </c>
      <c r="Z8" s="179">
        <f t="shared" si="7"/>
        <v>1841</v>
      </c>
      <c r="AA8" s="179">
        <f t="shared" si="7"/>
        <v>1899</v>
      </c>
      <c r="AB8" s="179">
        <f t="shared" si="7"/>
        <v>1947</v>
      </c>
      <c r="AC8" s="179">
        <f t="shared" si="7"/>
        <v>1986</v>
      </c>
      <c r="AD8" s="179">
        <f t="shared" si="7"/>
        <v>2018</v>
      </c>
      <c r="AE8" s="179">
        <f t="shared" si="7"/>
        <v>2044</v>
      </c>
      <c r="AF8" s="201">
        <f>SUM(T8:AE8)</f>
        <v>20813</v>
      </c>
      <c r="AG8" s="184">
        <f t="shared" ref="AG8:AG10" si="12">+AF8/12</f>
        <v>1734.4166666666667</v>
      </c>
      <c r="AJ8" s="179">
        <f t="shared" ref="AJ8:AJ9" si="13">ROUND(AE8*(1+AJ4),0)</f>
        <v>2069</v>
      </c>
      <c r="AK8" s="179">
        <f t="shared" ref="AK8:AU9" si="14">ROUND(AJ8*(1+AK4),0)</f>
        <v>2094</v>
      </c>
      <c r="AL8" s="179">
        <f t="shared" si="14"/>
        <v>2114</v>
      </c>
      <c r="AM8" s="179">
        <f t="shared" si="14"/>
        <v>2130</v>
      </c>
      <c r="AN8" s="179">
        <f t="shared" si="14"/>
        <v>2310</v>
      </c>
      <c r="AO8" s="179">
        <f t="shared" si="14"/>
        <v>2466</v>
      </c>
      <c r="AP8" s="179">
        <f t="shared" si="14"/>
        <v>2599</v>
      </c>
      <c r="AQ8" s="179">
        <f t="shared" si="14"/>
        <v>2711</v>
      </c>
      <c r="AR8" s="179">
        <f t="shared" si="14"/>
        <v>2805</v>
      </c>
      <c r="AS8" s="179">
        <f t="shared" si="14"/>
        <v>2883</v>
      </c>
      <c r="AT8" s="179">
        <f t="shared" si="14"/>
        <v>2947</v>
      </c>
      <c r="AU8" s="179">
        <f t="shared" si="14"/>
        <v>2999</v>
      </c>
      <c r="AV8" s="201">
        <f>SUM(AJ8:AU8)</f>
        <v>30127</v>
      </c>
      <c r="AW8" s="184">
        <f t="shared" ref="AW8:AW10" si="15">+AV8/12</f>
        <v>2510.5833333333335</v>
      </c>
    </row>
    <row r="9" spans="1:49">
      <c r="B9" s="177" t="s">
        <v>195</v>
      </c>
      <c r="D9" s="179">
        <v>19</v>
      </c>
      <c r="E9" s="179">
        <f>ROUND(D9*(1+E5),0)</f>
        <v>52</v>
      </c>
      <c r="F9" s="179">
        <f t="shared" si="6"/>
        <v>90</v>
      </c>
      <c r="G9" s="179">
        <f t="shared" si="6"/>
        <v>116</v>
      </c>
      <c r="H9" s="179">
        <f t="shared" si="6"/>
        <v>140</v>
      </c>
      <c r="I9" s="179">
        <f t="shared" si="6"/>
        <v>165</v>
      </c>
      <c r="J9" s="179">
        <f t="shared" si="6"/>
        <v>191</v>
      </c>
      <c r="K9" s="179">
        <f t="shared" si="6"/>
        <v>220</v>
      </c>
      <c r="L9" s="179">
        <f t="shared" si="6"/>
        <v>252</v>
      </c>
      <c r="M9" s="179">
        <f t="shared" si="6"/>
        <v>287</v>
      </c>
      <c r="N9" s="179">
        <f t="shared" si="6"/>
        <v>326</v>
      </c>
      <c r="O9" s="179">
        <f t="shared" si="6"/>
        <v>369</v>
      </c>
      <c r="P9" s="201">
        <f>SUM(D9:O9)</f>
        <v>2227</v>
      </c>
      <c r="Q9" s="184">
        <f t="shared" si="9"/>
        <v>185.58333333333334</v>
      </c>
      <c r="T9" s="179">
        <f t="shared" si="10"/>
        <v>413</v>
      </c>
      <c r="U9" s="179">
        <f t="shared" si="11"/>
        <v>448</v>
      </c>
      <c r="V9" s="179">
        <f t="shared" si="11"/>
        <v>478</v>
      </c>
      <c r="W9" s="179">
        <f t="shared" si="7"/>
        <v>504</v>
      </c>
      <c r="X9" s="179">
        <f t="shared" si="7"/>
        <v>526</v>
      </c>
      <c r="Y9" s="179">
        <f t="shared" si="7"/>
        <v>544</v>
      </c>
      <c r="Z9" s="179">
        <f t="shared" si="7"/>
        <v>559</v>
      </c>
      <c r="AA9" s="179">
        <f t="shared" si="7"/>
        <v>571</v>
      </c>
      <c r="AB9" s="179">
        <f t="shared" si="7"/>
        <v>581</v>
      </c>
      <c r="AC9" s="179">
        <f t="shared" si="7"/>
        <v>589</v>
      </c>
      <c r="AD9" s="179">
        <f t="shared" si="7"/>
        <v>596</v>
      </c>
      <c r="AE9" s="179">
        <f t="shared" si="7"/>
        <v>601</v>
      </c>
      <c r="AF9" s="201">
        <f>SUM(T9:AE9)</f>
        <v>6410</v>
      </c>
      <c r="AG9" s="184">
        <f t="shared" si="12"/>
        <v>534.16666666666663</v>
      </c>
      <c r="AJ9" s="179">
        <f t="shared" si="13"/>
        <v>605</v>
      </c>
      <c r="AK9" s="179">
        <f t="shared" si="14"/>
        <v>609</v>
      </c>
      <c r="AL9" s="179">
        <f t="shared" si="14"/>
        <v>612</v>
      </c>
      <c r="AM9" s="179">
        <f t="shared" si="14"/>
        <v>614</v>
      </c>
      <c r="AN9" s="179">
        <f t="shared" si="14"/>
        <v>640</v>
      </c>
      <c r="AO9" s="179">
        <f t="shared" si="14"/>
        <v>662</v>
      </c>
      <c r="AP9" s="179">
        <f t="shared" si="14"/>
        <v>680</v>
      </c>
      <c r="AQ9" s="179">
        <f t="shared" si="14"/>
        <v>695</v>
      </c>
      <c r="AR9" s="179">
        <f t="shared" si="14"/>
        <v>707</v>
      </c>
      <c r="AS9" s="179">
        <f t="shared" si="14"/>
        <v>717</v>
      </c>
      <c r="AT9" s="179">
        <f t="shared" si="14"/>
        <v>725</v>
      </c>
      <c r="AU9" s="179">
        <f t="shared" si="14"/>
        <v>731</v>
      </c>
      <c r="AV9" s="201">
        <f>SUM(AJ9:AU9)</f>
        <v>7997</v>
      </c>
      <c r="AW9" s="184">
        <f t="shared" si="15"/>
        <v>666.41666666666663</v>
      </c>
    </row>
    <row r="10" spans="1:49">
      <c r="D10" s="179">
        <f>+D7+D8+D9</f>
        <v>74</v>
      </c>
      <c r="E10" s="179">
        <f t="shared" ref="E10:P10" si="16">+E7+E8+E9</f>
        <v>209</v>
      </c>
      <c r="F10" s="179">
        <f t="shared" si="16"/>
        <v>371</v>
      </c>
      <c r="G10" s="179">
        <f t="shared" si="16"/>
        <v>532</v>
      </c>
      <c r="H10" s="179">
        <f t="shared" si="16"/>
        <v>700</v>
      </c>
      <c r="I10" s="179">
        <f t="shared" si="16"/>
        <v>889</v>
      </c>
      <c r="J10" s="179">
        <f t="shared" si="16"/>
        <v>1109</v>
      </c>
      <c r="K10" s="179">
        <f t="shared" si="16"/>
        <v>1370</v>
      </c>
      <c r="L10" s="179">
        <f t="shared" si="16"/>
        <v>1682</v>
      </c>
      <c r="M10" s="179">
        <f t="shared" si="16"/>
        <v>2057</v>
      </c>
      <c r="N10" s="179">
        <f t="shared" si="16"/>
        <v>2505</v>
      </c>
      <c r="O10" s="179">
        <f t="shared" si="16"/>
        <v>3043</v>
      </c>
      <c r="P10" s="201">
        <f t="shared" si="16"/>
        <v>14541</v>
      </c>
      <c r="Q10" s="184">
        <f t="shared" si="9"/>
        <v>1211.75</v>
      </c>
      <c r="T10" s="179">
        <f t="shared" ref="T10:AF10" si="17">+T7+T8+T9</f>
        <v>3580</v>
      </c>
      <c r="U10" s="179">
        <f t="shared" si="17"/>
        <v>4073</v>
      </c>
      <c r="V10" s="179">
        <f t="shared" si="17"/>
        <v>4523</v>
      </c>
      <c r="W10" s="179">
        <f t="shared" si="17"/>
        <v>4925</v>
      </c>
      <c r="X10" s="179">
        <f t="shared" si="17"/>
        <v>5277</v>
      </c>
      <c r="Y10" s="179">
        <f t="shared" si="17"/>
        <v>5579</v>
      </c>
      <c r="Z10" s="179">
        <f t="shared" si="17"/>
        <v>5835</v>
      </c>
      <c r="AA10" s="179">
        <f t="shared" si="17"/>
        <v>6049</v>
      </c>
      <c r="AB10" s="179">
        <f t="shared" si="17"/>
        <v>6227</v>
      </c>
      <c r="AC10" s="179">
        <f t="shared" si="17"/>
        <v>6373</v>
      </c>
      <c r="AD10" s="179">
        <f t="shared" si="17"/>
        <v>6494</v>
      </c>
      <c r="AE10" s="179">
        <f t="shared" si="17"/>
        <v>6592</v>
      </c>
      <c r="AF10" s="201">
        <f t="shared" si="17"/>
        <v>65527</v>
      </c>
      <c r="AG10" s="184">
        <f t="shared" si="12"/>
        <v>5460.583333333333</v>
      </c>
      <c r="AJ10" s="179">
        <f t="shared" ref="AJ10:AV10" si="18">+AJ7+AJ8+AJ9</f>
        <v>6680</v>
      </c>
      <c r="AK10" s="179">
        <f t="shared" si="18"/>
        <v>6769</v>
      </c>
      <c r="AL10" s="179">
        <f t="shared" si="18"/>
        <v>6841</v>
      </c>
      <c r="AM10" s="179">
        <f t="shared" si="18"/>
        <v>6899</v>
      </c>
      <c r="AN10" s="179">
        <f t="shared" si="18"/>
        <v>7544</v>
      </c>
      <c r="AO10" s="179">
        <f t="shared" si="18"/>
        <v>8110</v>
      </c>
      <c r="AP10" s="179">
        <f t="shared" si="18"/>
        <v>8598</v>
      </c>
      <c r="AQ10" s="179">
        <f t="shared" si="18"/>
        <v>9013</v>
      </c>
      <c r="AR10" s="179">
        <f t="shared" si="18"/>
        <v>9362</v>
      </c>
      <c r="AS10" s="179">
        <f t="shared" si="18"/>
        <v>9652</v>
      </c>
      <c r="AT10" s="179">
        <f t="shared" si="18"/>
        <v>9892</v>
      </c>
      <c r="AU10" s="179">
        <f t="shared" si="18"/>
        <v>10088</v>
      </c>
      <c r="AV10" s="201">
        <f t="shared" si="18"/>
        <v>99448</v>
      </c>
      <c r="AW10" s="184">
        <f t="shared" si="15"/>
        <v>8287.3333333333339</v>
      </c>
    </row>
    <row r="11" spans="1:49">
      <c r="Q11" s="208">
        <f>+P10/Q4</f>
        <v>8.062208915502328E-3</v>
      </c>
      <c r="AG11" s="208">
        <f>+AF10/AG4</f>
        <v>3.4274741920770617E-2</v>
      </c>
      <c r="AW11" s="208">
        <f>+AV10/AW4</f>
        <v>4.9073168089674053E-2</v>
      </c>
    </row>
    <row r="12" spans="1:49">
      <c r="B12" s="177" t="s">
        <v>193</v>
      </c>
      <c r="D12" s="180">
        <f t="shared" ref="D12:O14" si="19">ROUNDUP(D16/(1-$B$6),-2)</f>
        <v>58300</v>
      </c>
      <c r="E12" s="180">
        <f t="shared" si="19"/>
        <v>58300</v>
      </c>
      <c r="F12" s="180">
        <f t="shared" si="19"/>
        <v>58300</v>
      </c>
      <c r="G12" s="180">
        <f t="shared" si="19"/>
        <v>58300</v>
      </c>
      <c r="H12" s="180">
        <f t="shared" si="19"/>
        <v>58300</v>
      </c>
      <c r="I12" s="180">
        <f t="shared" si="19"/>
        <v>58300</v>
      </c>
      <c r="J12" s="180">
        <f t="shared" si="19"/>
        <v>58300</v>
      </c>
      <c r="K12" s="180">
        <f t="shared" si="19"/>
        <v>58300</v>
      </c>
      <c r="L12" s="180">
        <f t="shared" si="19"/>
        <v>58300</v>
      </c>
      <c r="M12" s="180">
        <f t="shared" si="19"/>
        <v>58300</v>
      </c>
      <c r="N12" s="180">
        <f t="shared" si="19"/>
        <v>58300</v>
      </c>
      <c r="O12" s="180">
        <f t="shared" si="19"/>
        <v>58300</v>
      </c>
      <c r="P12" s="202">
        <f>SUM(D12:O12)</f>
        <v>699600</v>
      </c>
      <c r="Q12" s="185"/>
      <c r="T12" s="180">
        <f t="shared" ref="T12:W14" si="20">ROUNDUP(T16/(1-$B$6),-2)</f>
        <v>59500</v>
      </c>
      <c r="U12" s="180">
        <f>ROUNDUP(U16/(1-$B$6),-2)</f>
        <v>59500</v>
      </c>
      <c r="V12" s="180">
        <f>ROUNDUP(V16/(1-$B$6),-2)</f>
        <v>59500</v>
      </c>
      <c r="W12" s="180">
        <f t="shared" ref="W12:AE14" si="21">ROUNDUP(W16/(1-$B$6),-2)</f>
        <v>59500</v>
      </c>
      <c r="X12" s="180">
        <f t="shared" si="21"/>
        <v>59500</v>
      </c>
      <c r="Y12" s="180">
        <f t="shared" si="21"/>
        <v>59500</v>
      </c>
      <c r="Z12" s="180">
        <f t="shared" si="21"/>
        <v>59500</v>
      </c>
      <c r="AA12" s="180">
        <f t="shared" si="21"/>
        <v>59500</v>
      </c>
      <c r="AB12" s="180">
        <f t="shared" si="21"/>
        <v>59500</v>
      </c>
      <c r="AC12" s="180">
        <f t="shared" si="21"/>
        <v>59500</v>
      </c>
      <c r="AD12" s="180">
        <f t="shared" si="21"/>
        <v>59500</v>
      </c>
      <c r="AE12" s="180">
        <f t="shared" si="21"/>
        <v>59500</v>
      </c>
      <c r="AF12" s="202">
        <f>SUM(T12:AE12)</f>
        <v>714000</v>
      </c>
      <c r="AG12" s="185"/>
      <c r="AJ12" s="180">
        <f>ROUNDUP(AJ16/(1-$B$6),-2)</f>
        <v>60700</v>
      </c>
      <c r="AK12" s="180">
        <f>ROUNDUP(AK16/(1-$B$6),-2)</f>
        <v>60700</v>
      </c>
      <c r="AL12" s="180">
        <f>ROUNDUP(AL16/(1-$B$6),-2)</f>
        <v>60700</v>
      </c>
      <c r="AM12" s="180">
        <f t="shared" ref="AM12:AU12" si="22">ROUNDUP(AM16/(1-$B$6),-2)</f>
        <v>60700</v>
      </c>
      <c r="AN12" s="180">
        <f t="shared" si="22"/>
        <v>60700</v>
      </c>
      <c r="AO12" s="180">
        <f t="shared" si="22"/>
        <v>60700</v>
      </c>
      <c r="AP12" s="180">
        <f t="shared" si="22"/>
        <v>60700</v>
      </c>
      <c r="AQ12" s="180">
        <f t="shared" si="22"/>
        <v>60700</v>
      </c>
      <c r="AR12" s="180">
        <f t="shared" si="22"/>
        <v>60700</v>
      </c>
      <c r="AS12" s="180">
        <f t="shared" si="22"/>
        <v>60700</v>
      </c>
      <c r="AT12" s="180">
        <f t="shared" si="22"/>
        <v>60700</v>
      </c>
      <c r="AU12" s="180">
        <f t="shared" si="22"/>
        <v>60700</v>
      </c>
      <c r="AV12" s="202">
        <f>SUM(AJ12:AU12)</f>
        <v>728400</v>
      </c>
      <c r="AW12" s="185"/>
    </row>
    <row r="13" spans="1:49">
      <c r="A13" s="177" t="s">
        <v>208</v>
      </c>
      <c r="B13" s="177" t="s">
        <v>194</v>
      </c>
      <c r="D13" s="180">
        <f t="shared" si="19"/>
        <v>61700</v>
      </c>
      <c r="E13" s="180">
        <f t="shared" si="19"/>
        <v>61700</v>
      </c>
      <c r="F13" s="180">
        <f t="shared" si="19"/>
        <v>61700</v>
      </c>
      <c r="G13" s="180">
        <f t="shared" si="19"/>
        <v>61700</v>
      </c>
      <c r="H13" s="180">
        <f t="shared" si="19"/>
        <v>61700</v>
      </c>
      <c r="I13" s="180">
        <f t="shared" si="19"/>
        <v>61700</v>
      </c>
      <c r="J13" s="180">
        <f t="shared" si="19"/>
        <v>61700</v>
      </c>
      <c r="K13" s="180">
        <f t="shared" si="19"/>
        <v>61700</v>
      </c>
      <c r="L13" s="180">
        <f t="shared" si="19"/>
        <v>61700</v>
      </c>
      <c r="M13" s="180">
        <f t="shared" si="19"/>
        <v>61700</v>
      </c>
      <c r="N13" s="180">
        <f t="shared" si="19"/>
        <v>61700</v>
      </c>
      <c r="O13" s="180">
        <f t="shared" si="19"/>
        <v>61700</v>
      </c>
      <c r="P13" s="202">
        <f>SUM(D13:O13)</f>
        <v>740400</v>
      </c>
      <c r="Q13" s="185"/>
      <c r="T13" s="180">
        <f t="shared" si="20"/>
        <v>63000</v>
      </c>
      <c r="U13" s="180">
        <f t="shared" si="20"/>
        <v>63000</v>
      </c>
      <c r="V13" s="180">
        <f t="shared" si="20"/>
        <v>63000</v>
      </c>
      <c r="W13" s="180">
        <f t="shared" si="20"/>
        <v>63000</v>
      </c>
      <c r="X13" s="180">
        <f t="shared" si="21"/>
        <v>63000</v>
      </c>
      <c r="Y13" s="180">
        <f t="shared" si="21"/>
        <v>63000</v>
      </c>
      <c r="Z13" s="180">
        <f t="shared" si="21"/>
        <v>63000</v>
      </c>
      <c r="AA13" s="180">
        <f t="shared" si="21"/>
        <v>63000</v>
      </c>
      <c r="AB13" s="180">
        <f t="shared" si="21"/>
        <v>63000</v>
      </c>
      <c r="AC13" s="180">
        <f t="shared" si="21"/>
        <v>63000</v>
      </c>
      <c r="AD13" s="180">
        <f t="shared" si="21"/>
        <v>63000</v>
      </c>
      <c r="AE13" s="180">
        <f t="shared" si="21"/>
        <v>63000</v>
      </c>
      <c r="AF13" s="202">
        <f>SUM(T13:AE13)</f>
        <v>756000</v>
      </c>
      <c r="AG13" s="185"/>
      <c r="AJ13" s="180">
        <f t="shared" ref="AJ13:AU14" si="23">ROUNDUP(AJ17/(1-$B$6),-2)</f>
        <v>64200</v>
      </c>
      <c r="AK13" s="180">
        <f t="shared" si="23"/>
        <v>64200</v>
      </c>
      <c r="AL13" s="180">
        <f t="shared" si="23"/>
        <v>64200</v>
      </c>
      <c r="AM13" s="180">
        <f t="shared" si="23"/>
        <v>64200</v>
      </c>
      <c r="AN13" s="180">
        <f t="shared" si="23"/>
        <v>64200</v>
      </c>
      <c r="AO13" s="180">
        <f t="shared" si="23"/>
        <v>64200</v>
      </c>
      <c r="AP13" s="180">
        <f t="shared" si="23"/>
        <v>64200</v>
      </c>
      <c r="AQ13" s="180">
        <f t="shared" si="23"/>
        <v>64200</v>
      </c>
      <c r="AR13" s="180">
        <f t="shared" si="23"/>
        <v>64200</v>
      </c>
      <c r="AS13" s="180">
        <f t="shared" si="23"/>
        <v>64200</v>
      </c>
      <c r="AT13" s="180">
        <f t="shared" si="23"/>
        <v>64200</v>
      </c>
      <c r="AU13" s="180">
        <f t="shared" si="23"/>
        <v>64200</v>
      </c>
      <c r="AV13" s="202">
        <f>SUM(AJ13:AU13)</f>
        <v>770400</v>
      </c>
      <c r="AW13" s="185"/>
    </row>
    <row r="14" spans="1:49">
      <c r="B14" s="177" t="s">
        <v>195</v>
      </c>
      <c r="D14" s="180">
        <f t="shared" si="19"/>
        <v>64700</v>
      </c>
      <c r="E14" s="180">
        <f t="shared" si="19"/>
        <v>64700</v>
      </c>
      <c r="F14" s="180">
        <f t="shared" si="19"/>
        <v>64700</v>
      </c>
      <c r="G14" s="180">
        <f t="shared" si="19"/>
        <v>64700</v>
      </c>
      <c r="H14" s="180">
        <f t="shared" si="19"/>
        <v>64700</v>
      </c>
      <c r="I14" s="180">
        <f t="shared" si="19"/>
        <v>64700</v>
      </c>
      <c r="J14" s="180">
        <f t="shared" si="19"/>
        <v>64700</v>
      </c>
      <c r="K14" s="180">
        <f t="shared" si="19"/>
        <v>64700</v>
      </c>
      <c r="L14" s="180">
        <f t="shared" si="19"/>
        <v>64700</v>
      </c>
      <c r="M14" s="180">
        <f t="shared" si="19"/>
        <v>64700</v>
      </c>
      <c r="N14" s="180">
        <f t="shared" si="19"/>
        <v>64700</v>
      </c>
      <c r="O14" s="180">
        <f t="shared" si="19"/>
        <v>64700</v>
      </c>
      <c r="P14" s="202">
        <f>SUM(D14:O14)</f>
        <v>776400</v>
      </c>
      <c r="Q14" s="185"/>
      <c r="T14" s="180">
        <f t="shared" si="20"/>
        <v>66000</v>
      </c>
      <c r="U14" s="180">
        <f t="shared" si="20"/>
        <v>66000</v>
      </c>
      <c r="V14" s="180">
        <f t="shared" si="20"/>
        <v>66000</v>
      </c>
      <c r="W14" s="180">
        <f t="shared" si="20"/>
        <v>66000</v>
      </c>
      <c r="X14" s="180">
        <f t="shared" si="21"/>
        <v>66000</v>
      </c>
      <c r="Y14" s="180">
        <f t="shared" si="21"/>
        <v>66000</v>
      </c>
      <c r="Z14" s="180">
        <f t="shared" si="21"/>
        <v>66000</v>
      </c>
      <c r="AA14" s="180">
        <f t="shared" si="21"/>
        <v>66000</v>
      </c>
      <c r="AB14" s="180">
        <f t="shared" si="21"/>
        <v>66000</v>
      </c>
      <c r="AC14" s="180">
        <f t="shared" si="21"/>
        <v>66000</v>
      </c>
      <c r="AD14" s="180">
        <f t="shared" si="21"/>
        <v>66000</v>
      </c>
      <c r="AE14" s="180">
        <f t="shared" si="21"/>
        <v>66000</v>
      </c>
      <c r="AF14" s="202">
        <f>SUM(T14:AE14)</f>
        <v>792000</v>
      </c>
      <c r="AG14" s="185"/>
      <c r="AJ14" s="180">
        <f t="shared" si="23"/>
        <v>67300</v>
      </c>
      <c r="AK14" s="180">
        <f t="shared" si="23"/>
        <v>67300</v>
      </c>
      <c r="AL14" s="180">
        <f t="shared" si="23"/>
        <v>67300</v>
      </c>
      <c r="AM14" s="180">
        <f t="shared" si="23"/>
        <v>67300</v>
      </c>
      <c r="AN14" s="180">
        <f t="shared" si="23"/>
        <v>67300</v>
      </c>
      <c r="AO14" s="180">
        <f t="shared" si="23"/>
        <v>67300</v>
      </c>
      <c r="AP14" s="180">
        <f t="shared" si="23"/>
        <v>67300</v>
      </c>
      <c r="AQ14" s="180">
        <f t="shared" si="23"/>
        <v>67300</v>
      </c>
      <c r="AR14" s="180">
        <f t="shared" si="23"/>
        <v>67300</v>
      </c>
      <c r="AS14" s="180">
        <f t="shared" si="23"/>
        <v>67300</v>
      </c>
      <c r="AT14" s="180">
        <f t="shared" si="23"/>
        <v>67300</v>
      </c>
      <c r="AU14" s="180">
        <f t="shared" si="23"/>
        <v>67300</v>
      </c>
      <c r="AV14" s="202">
        <f>SUM(AJ14:AU14)</f>
        <v>807600</v>
      </c>
      <c r="AW14" s="185"/>
    </row>
    <row r="15" spans="1:49"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202"/>
      <c r="Q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202"/>
      <c r="AG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202"/>
      <c r="AW15" s="180"/>
    </row>
    <row r="16" spans="1:49">
      <c r="B16" s="177" t="s">
        <v>193</v>
      </c>
      <c r="D16" s="180">
        <v>31470</v>
      </c>
      <c r="E16" s="180">
        <f>+D16</f>
        <v>31470</v>
      </c>
      <c r="F16" s="180">
        <f t="shared" ref="F16:O18" si="24">+E16</f>
        <v>31470</v>
      </c>
      <c r="G16" s="180">
        <f t="shared" si="24"/>
        <v>31470</v>
      </c>
      <c r="H16" s="180">
        <f t="shared" si="24"/>
        <v>31470</v>
      </c>
      <c r="I16" s="180">
        <f t="shared" si="24"/>
        <v>31470</v>
      </c>
      <c r="J16" s="180">
        <f t="shared" si="24"/>
        <v>31470</v>
      </c>
      <c r="K16" s="180">
        <f t="shared" si="24"/>
        <v>31470</v>
      </c>
      <c r="L16" s="180">
        <f t="shared" si="24"/>
        <v>31470</v>
      </c>
      <c r="M16" s="180">
        <f t="shared" si="24"/>
        <v>31470</v>
      </c>
      <c r="N16" s="180">
        <f t="shared" si="24"/>
        <v>31470</v>
      </c>
      <c r="O16" s="180">
        <f t="shared" si="24"/>
        <v>31470</v>
      </c>
      <c r="P16" s="202">
        <f>SUM(D16:O16)</f>
        <v>377640</v>
      </c>
      <c r="Q16" s="185"/>
      <c r="R16" s="182">
        <v>0.02</v>
      </c>
      <c r="S16" s="180">
        <f>+O16*(1+$R$16)</f>
        <v>32099.4</v>
      </c>
      <c r="T16" s="180">
        <f t="shared" ref="T16:W18" si="25">+S16</f>
        <v>32099.4</v>
      </c>
      <c r="U16" s="180">
        <f>+T16</f>
        <v>32099.4</v>
      </c>
      <c r="V16" s="180">
        <f>+U16</f>
        <v>32099.4</v>
      </c>
      <c r="W16" s="180">
        <f t="shared" ref="W16:AE18" si="26">+V16</f>
        <v>32099.4</v>
      </c>
      <c r="X16" s="180">
        <f t="shared" si="26"/>
        <v>32099.4</v>
      </c>
      <c r="Y16" s="180">
        <f t="shared" si="26"/>
        <v>32099.4</v>
      </c>
      <c r="Z16" s="180">
        <f t="shared" si="26"/>
        <v>32099.4</v>
      </c>
      <c r="AA16" s="180">
        <f t="shared" si="26"/>
        <v>32099.4</v>
      </c>
      <c r="AB16" s="180">
        <f t="shared" si="26"/>
        <v>32099.4</v>
      </c>
      <c r="AC16" s="180">
        <f t="shared" si="26"/>
        <v>32099.4</v>
      </c>
      <c r="AD16" s="180">
        <f t="shared" si="26"/>
        <v>32099.4</v>
      </c>
      <c r="AE16" s="180">
        <f t="shared" si="26"/>
        <v>32099.4</v>
      </c>
      <c r="AF16" s="202">
        <f>SUM(T16:AE16)</f>
        <v>385192.80000000005</v>
      </c>
      <c r="AG16" s="185"/>
      <c r="AH16" s="182">
        <v>0.02</v>
      </c>
      <c r="AI16" s="180">
        <f>+AE16*(1+$R$16)</f>
        <v>32741.388000000003</v>
      </c>
      <c r="AJ16" s="180">
        <f>+AI16</f>
        <v>32741.388000000003</v>
      </c>
      <c r="AK16" s="180">
        <f>+AJ16</f>
        <v>32741.388000000003</v>
      </c>
      <c r="AL16" s="180">
        <f>+AK16</f>
        <v>32741.388000000003</v>
      </c>
      <c r="AM16" s="180">
        <f t="shared" ref="AM16:AU16" si="27">+AL16</f>
        <v>32741.388000000003</v>
      </c>
      <c r="AN16" s="180">
        <f t="shared" si="27"/>
        <v>32741.388000000003</v>
      </c>
      <c r="AO16" s="180">
        <f t="shared" si="27"/>
        <v>32741.388000000003</v>
      </c>
      <c r="AP16" s="180">
        <f t="shared" si="27"/>
        <v>32741.388000000003</v>
      </c>
      <c r="AQ16" s="180">
        <f t="shared" si="27"/>
        <v>32741.388000000003</v>
      </c>
      <c r="AR16" s="180">
        <f t="shared" si="27"/>
        <v>32741.388000000003</v>
      </c>
      <c r="AS16" s="180">
        <f t="shared" si="27"/>
        <v>32741.388000000003</v>
      </c>
      <c r="AT16" s="180">
        <f t="shared" si="27"/>
        <v>32741.388000000003</v>
      </c>
      <c r="AU16" s="180">
        <f t="shared" si="27"/>
        <v>32741.388000000003</v>
      </c>
      <c r="AV16" s="202">
        <f>SUM(AJ16:AU16)</f>
        <v>392896.65599999996</v>
      </c>
      <c r="AW16" s="185"/>
    </row>
    <row r="17" spans="1:50">
      <c r="A17" s="177" t="s">
        <v>209</v>
      </c>
      <c r="B17" s="177" t="s">
        <v>194</v>
      </c>
      <c r="D17" s="180">
        <v>33310</v>
      </c>
      <c r="E17" s="180">
        <f>+D17</f>
        <v>33310</v>
      </c>
      <c r="F17" s="180">
        <f t="shared" si="24"/>
        <v>33310</v>
      </c>
      <c r="G17" s="180">
        <f t="shared" si="24"/>
        <v>33310</v>
      </c>
      <c r="H17" s="180">
        <f t="shared" si="24"/>
        <v>33310</v>
      </c>
      <c r="I17" s="180">
        <f t="shared" si="24"/>
        <v>33310</v>
      </c>
      <c r="J17" s="180">
        <f t="shared" si="24"/>
        <v>33310</v>
      </c>
      <c r="K17" s="180">
        <f t="shared" si="24"/>
        <v>33310</v>
      </c>
      <c r="L17" s="180">
        <f t="shared" si="24"/>
        <v>33310</v>
      </c>
      <c r="M17" s="180">
        <f t="shared" si="24"/>
        <v>33310</v>
      </c>
      <c r="N17" s="180">
        <f t="shared" si="24"/>
        <v>33310</v>
      </c>
      <c r="O17" s="180">
        <f t="shared" si="24"/>
        <v>33310</v>
      </c>
      <c r="P17" s="202">
        <f>SUM(D17:O17)</f>
        <v>399720</v>
      </c>
      <c r="Q17" s="185"/>
      <c r="S17" s="180">
        <f t="shared" ref="S17:S18" si="28">+O17*(1+$R$16)</f>
        <v>33976.199999999997</v>
      </c>
      <c r="T17" s="180">
        <f t="shared" si="25"/>
        <v>33976.199999999997</v>
      </c>
      <c r="U17" s="180">
        <f t="shared" si="25"/>
        <v>33976.199999999997</v>
      </c>
      <c r="V17" s="180">
        <f t="shared" si="25"/>
        <v>33976.199999999997</v>
      </c>
      <c r="W17" s="180">
        <f t="shared" si="25"/>
        <v>33976.199999999997</v>
      </c>
      <c r="X17" s="180">
        <f t="shared" si="26"/>
        <v>33976.199999999997</v>
      </c>
      <c r="Y17" s="180">
        <f t="shared" si="26"/>
        <v>33976.199999999997</v>
      </c>
      <c r="Z17" s="180">
        <f t="shared" si="26"/>
        <v>33976.199999999997</v>
      </c>
      <c r="AA17" s="180">
        <f t="shared" si="26"/>
        <v>33976.199999999997</v>
      </c>
      <c r="AB17" s="180">
        <f t="shared" si="26"/>
        <v>33976.199999999997</v>
      </c>
      <c r="AC17" s="180">
        <f t="shared" si="26"/>
        <v>33976.199999999997</v>
      </c>
      <c r="AD17" s="180">
        <f t="shared" si="26"/>
        <v>33976.199999999997</v>
      </c>
      <c r="AE17" s="180">
        <f t="shared" si="26"/>
        <v>33976.199999999997</v>
      </c>
      <c r="AF17" s="202">
        <f>SUM(T17:AE17)</f>
        <v>407714.40000000008</v>
      </c>
      <c r="AG17" s="185"/>
      <c r="AI17" s="180">
        <f t="shared" ref="AI17:AI18" si="29">+AE17*(1+$R$16)</f>
        <v>34655.723999999995</v>
      </c>
      <c r="AJ17" s="180">
        <f t="shared" ref="AJ17:AU18" si="30">+AI17</f>
        <v>34655.723999999995</v>
      </c>
      <c r="AK17" s="180">
        <f t="shared" si="30"/>
        <v>34655.723999999995</v>
      </c>
      <c r="AL17" s="180">
        <f t="shared" si="30"/>
        <v>34655.723999999995</v>
      </c>
      <c r="AM17" s="180">
        <f t="shared" si="30"/>
        <v>34655.723999999995</v>
      </c>
      <c r="AN17" s="180">
        <f t="shared" si="30"/>
        <v>34655.723999999995</v>
      </c>
      <c r="AO17" s="180">
        <f t="shared" si="30"/>
        <v>34655.723999999995</v>
      </c>
      <c r="AP17" s="180">
        <f t="shared" si="30"/>
        <v>34655.723999999995</v>
      </c>
      <c r="AQ17" s="180">
        <f t="shared" si="30"/>
        <v>34655.723999999995</v>
      </c>
      <c r="AR17" s="180">
        <f t="shared" si="30"/>
        <v>34655.723999999995</v>
      </c>
      <c r="AS17" s="180">
        <f t="shared" si="30"/>
        <v>34655.723999999995</v>
      </c>
      <c r="AT17" s="180">
        <f t="shared" si="30"/>
        <v>34655.723999999995</v>
      </c>
      <c r="AU17" s="180">
        <f t="shared" si="30"/>
        <v>34655.723999999995</v>
      </c>
      <c r="AV17" s="202">
        <f>SUM(AJ17:AU17)</f>
        <v>415868.68799999991</v>
      </c>
      <c r="AW17" s="185"/>
    </row>
    <row r="18" spans="1:50">
      <c r="B18" s="177" t="s">
        <v>195</v>
      </c>
      <c r="D18" s="180">
        <v>34900</v>
      </c>
      <c r="E18" s="180">
        <f>+D18</f>
        <v>34900</v>
      </c>
      <c r="F18" s="180">
        <f t="shared" si="24"/>
        <v>34900</v>
      </c>
      <c r="G18" s="180">
        <f t="shared" si="24"/>
        <v>34900</v>
      </c>
      <c r="H18" s="180">
        <f t="shared" si="24"/>
        <v>34900</v>
      </c>
      <c r="I18" s="180">
        <f t="shared" si="24"/>
        <v>34900</v>
      </c>
      <c r="J18" s="180">
        <f t="shared" si="24"/>
        <v>34900</v>
      </c>
      <c r="K18" s="180">
        <f t="shared" si="24"/>
        <v>34900</v>
      </c>
      <c r="L18" s="180">
        <f t="shared" si="24"/>
        <v>34900</v>
      </c>
      <c r="M18" s="180">
        <f t="shared" si="24"/>
        <v>34900</v>
      </c>
      <c r="N18" s="180">
        <f t="shared" si="24"/>
        <v>34900</v>
      </c>
      <c r="O18" s="180">
        <f t="shared" si="24"/>
        <v>34900</v>
      </c>
      <c r="P18" s="202">
        <f>SUM(D18:O18)</f>
        <v>418800</v>
      </c>
      <c r="Q18" s="185"/>
      <c r="S18" s="180">
        <f t="shared" si="28"/>
        <v>35598</v>
      </c>
      <c r="T18" s="180">
        <f t="shared" si="25"/>
        <v>35598</v>
      </c>
      <c r="U18" s="180">
        <f t="shared" si="25"/>
        <v>35598</v>
      </c>
      <c r="V18" s="180">
        <f t="shared" si="25"/>
        <v>35598</v>
      </c>
      <c r="W18" s="180">
        <f t="shared" si="25"/>
        <v>35598</v>
      </c>
      <c r="X18" s="180">
        <f t="shared" si="26"/>
        <v>35598</v>
      </c>
      <c r="Y18" s="180">
        <f t="shared" si="26"/>
        <v>35598</v>
      </c>
      <c r="Z18" s="180">
        <f t="shared" si="26"/>
        <v>35598</v>
      </c>
      <c r="AA18" s="180">
        <f t="shared" si="26"/>
        <v>35598</v>
      </c>
      <c r="AB18" s="180">
        <f t="shared" si="26"/>
        <v>35598</v>
      </c>
      <c r="AC18" s="180">
        <f t="shared" si="26"/>
        <v>35598</v>
      </c>
      <c r="AD18" s="180">
        <f t="shared" si="26"/>
        <v>35598</v>
      </c>
      <c r="AE18" s="180">
        <f t="shared" si="26"/>
        <v>35598</v>
      </c>
      <c r="AF18" s="202">
        <f>SUM(T18:AE18)</f>
        <v>427176</v>
      </c>
      <c r="AG18" s="185"/>
      <c r="AI18" s="180">
        <f t="shared" si="29"/>
        <v>36309.96</v>
      </c>
      <c r="AJ18" s="180">
        <f t="shared" si="30"/>
        <v>36309.96</v>
      </c>
      <c r="AK18" s="180">
        <f t="shared" si="30"/>
        <v>36309.96</v>
      </c>
      <c r="AL18" s="180">
        <f t="shared" si="30"/>
        <v>36309.96</v>
      </c>
      <c r="AM18" s="180">
        <f t="shared" si="30"/>
        <v>36309.96</v>
      </c>
      <c r="AN18" s="180">
        <f t="shared" si="30"/>
        <v>36309.96</v>
      </c>
      <c r="AO18" s="180">
        <f t="shared" si="30"/>
        <v>36309.96</v>
      </c>
      <c r="AP18" s="180">
        <f t="shared" si="30"/>
        <v>36309.96</v>
      </c>
      <c r="AQ18" s="180">
        <f t="shared" si="30"/>
        <v>36309.96</v>
      </c>
      <c r="AR18" s="180">
        <f t="shared" si="30"/>
        <v>36309.96</v>
      </c>
      <c r="AS18" s="180">
        <f t="shared" si="30"/>
        <v>36309.96</v>
      </c>
      <c r="AT18" s="180">
        <f t="shared" si="30"/>
        <v>36309.96</v>
      </c>
      <c r="AU18" s="180">
        <f t="shared" si="30"/>
        <v>36309.96</v>
      </c>
      <c r="AV18" s="202">
        <f>SUM(AJ18:AU18)</f>
        <v>435719.52000000008</v>
      </c>
      <c r="AW18" s="185"/>
    </row>
    <row r="19" spans="1:50"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202"/>
      <c r="Q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202"/>
      <c r="AG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202"/>
      <c r="AW19" s="180"/>
    </row>
    <row r="20" spans="1:50">
      <c r="B20" s="177" t="s">
        <v>193</v>
      </c>
      <c r="D20" s="180">
        <f t="shared" ref="D20:O22" si="31">+SUMPRODUCT(D7,D12)</f>
        <v>1282600</v>
      </c>
      <c r="E20" s="180">
        <f t="shared" si="31"/>
        <v>4081000</v>
      </c>
      <c r="F20" s="180">
        <f t="shared" si="31"/>
        <v>7812200</v>
      </c>
      <c r="G20" s="180">
        <f t="shared" si="31"/>
        <v>12126400</v>
      </c>
      <c r="H20" s="180">
        <f t="shared" si="31"/>
        <v>16907000</v>
      </c>
      <c r="I20" s="180">
        <f t="shared" si="31"/>
        <v>22503800</v>
      </c>
      <c r="J20" s="180">
        <f t="shared" si="31"/>
        <v>29324900</v>
      </c>
      <c r="K20" s="180">
        <f t="shared" si="31"/>
        <v>37661800</v>
      </c>
      <c r="L20" s="180">
        <f t="shared" si="31"/>
        <v>47922600</v>
      </c>
      <c r="M20" s="180">
        <f t="shared" si="31"/>
        <v>60632000</v>
      </c>
      <c r="N20" s="180">
        <f t="shared" si="31"/>
        <v>76198100</v>
      </c>
      <c r="O20" s="180">
        <f t="shared" si="31"/>
        <v>95378800</v>
      </c>
      <c r="P20" s="202">
        <f>SUM(D20:O20)</f>
        <v>411831200</v>
      </c>
      <c r="Q20" s="180">
        <f>+P20/12</f>
        <v>34319266.666666664</v>
      </c>
      <c r="T20" s="180">
        <f t="shared" ref="T20:AE22" si="32">+SUMPRODUCT(T7,T12)</f>
        <v>116798500</v>
      </c>
      <c r="U20" s="180">
        <f t="shared" si="32"/>
        <v>135481500</v>
      </c>
      <c r="V20" s="180">
        <f t="shared" si="32"/>
        <v>152796000</v>
      </c>
      <c r="W20" s="180">
        <f t="shared" si="32"/>
        <v>168444500</v>
      </c>
      <c r="X20" s="180">
        <f t="shared" si="32"/>
        <v>182248500</v>
      </c>
      <c r="Y20" s="180">
        <f t="shared" si="32"/>
        <v>194208000</v>
      </c>
      <c r="Z20" s="180">
        <f t="shared" si="32"/>
        <v>204382500</v>
      </c>
      <c r="AA20" s="180">
        <f t="shared" si="32"/>
        <v>212950500</v>
      </c>
      <c r="AB20" s="180">
        <f t="shared" si="32"/>
        <v>220090500</v>
      </c>
      <c r="AC20" s="180">
        <f t="shared" si="32"/>
        <v>225981000</v>
      </c>
      <c r="AD20" s="180">
        <f t="shared" si="32"/>
        <v>230860000</v>
      </c>
      <c r="AE20" s="180">
        <f t="shared" si="32"/>
        <v>234846500</v>
      </c>
      <c r="AF20" s="202">
        <f>SUM(T20:AE20)</f>
        <v>2279088000</v>
      </c>
      <c r="AG20" s="180">
        <f>+AF20/12</f>
        <v>189924000</v>
      </c>
      <c r="AJ20" s="180">
        <f>+SUMPRODUCT(AJ7,AJ12)</f>
        <v>243164200</v>
      </c>
      <c r="AK20" s="180">
        <f>+SUMPRODUCT(AK7,AK12)</f>
        <v>246806200</v>
      </c>
      <c r="AL20" s="180">
        <f>+SUMPRODUCT(AL7,AL12)</f>
        <v>249780500</v>
      </c>
      <c r="AM20" s="180">
        <f t="shared" ref="AM20:AU22" si="33">+SUMPRODUCT(AM7,AM12)</f>
        <v>252208500</v>
      </c>
      <c r="AN20" s="180">
        <f t="shared" si="33"/>
        <v>278855800</v>
      </c>
      <c r="AO20" s="180">
        <f t="shared" si="33"/>
        <v>302407400</v>
      </c>
      <c r="AP20" s="180">
        <f t="shared" si="33"/>
        <v>322863300</v>
      </c>
      <c r="AQ20" s="180">
        <f t="shared" si="33"/>
        <v>340344900</v>
      </c>
      <c r="AR20" s="180">
        <f t="shared" si="33"/>
        <v>355095000</v>
      </c>
      <c r="AS20" s="180">
        <f t="shared" si="33"/>
        <v>367356400</v>
      </c>
      <c r="AT20" s="180">
        <f t="shared" si="33"/>
        <v>377554000</v>
      </c>
      <c r="AU20" s="180">
        <f t="shared" si="33"/>
        <v>385930600</v>
      </c>
      <c r="AV20" s="202">
        <f>SUM(AJ20:AU20)</f>
        <v>3722366800</v>
      </c>
      <c r="AW20" s="180">
        <f>+AV20/12</f>
        <v>310197233.33333331</v>
      </c>
    </row>
    <row r="21" spans="1:50">
      <c r="A21" s="177" t="s">
        <v>210</v>
      </c>
      <c r="B21" s="177" t="s">
        <v>194</v>
      </c>
      <c r="D21" s="180">
        <f t="shared" si="31"/>
        <v>2036100</v>
      </c>
      <c r="E21" s="180">
        <f t="shared" si="31"/>
        <v>5367900</v>
      </c>
      <c r="F21" s="180">
        <f t="shared" si="31"/>
        <v>9069900</v>
      </c>
      <c r="G21" s="180">
        <f t="shared" si="31"/>
        <v>12833600</v>
      </c>
      <c r="H21" s="180">
        <f t="shared" si="31"/>
        <v>16659000</v>
      </c>
      <c r="I21" s="180">
        <f t="shared" si="31"/>
        <v>20854600</v>
      </c>
      <c r="J21" s="180">
        <f t="shared" si="31"/>
        <v>25605500</v>
      </c>
      <c r="K21" s="180">
        <f t="shared" si="31"/>
        <v>31096800</v>
      </c>
      <c r="L21" s="180">
        <f t="shared" si="31"/>
        <v>37513600</v>
      </c>
      <c r="M21" s="180">
        <f t="shared" si="31"/>
        <v>45041000</v>
      </c>
      <c r="N21" s="180">
        <f t="shared" si="31"/>
        <v>53802400</v>
      </c>
      <c r="O21" s="180">
        <f t="shared" si="31"/>
        <v>64044600</v>
      </c>
      <c r="P21" s="202">
        <f>SUM(D21:O21)</f>
        <v>323925000</v>
      </c>
      <c r="Q21" s="180">
        <f>+P21/12</f>
        <v>26993750</v>
      </c>
      <c r="T21" s="180">
        <f t="shared" si="32"/>
        <v>75852000</v>
      </c>
      <c r="U21" s="180">
        <f t="shared" si="32"/>
        <v>84924000</v>
      </c>
      <c r="V21" s="180">
        <f t="shared" si="32"/>
        <v>93051000</v>
      </c>
      <c r="W21" s="180">
        <f t="shared" si="32"/>
        <v>100170000</v>
      </c>
      <c r="X21" s="180">
        <f t="shared" si="32"/>
        <v>106344000</v>
      </c>
      <c r="Y21" s="180">
        <f t="shared" si="32"/>
        <v>111573000</v>
      </c>
      <c r="Z21" s="180">
        <f t="shared" si="32"/>
        <v>115983000</v>
      </c>
      <c r="AA21" s="180">
        <f t="shared" si="32"/>
        <v>119637000</v>
      </c>
      <c r="AB21" s="180">
        <f t="shared" si="32"/>
        <v>122661000</v>
      </c>
      <c r="AC21" s="180">
        <f t="shared" si="32"/>
        <v>125118000</v>
      </c>
      <c r="AD21" s="180">
        <f t="shared" si="32"/>
        <v>127134000</v>
      </c>
      <c r="AE21" s="180">
        <f t="shared" si="32"/>
        <v>128772000</v>
      </c>
      <c r="AF21" s="202">
        <f>SUM(T21:AE21)</f>
        <v>1311219000</v>
      </c>
      <c r="AG21" s="180">
        <f>+AF21/12</f>
        <v>109268250</v>
      </c>
      <c r="AJ21" s="180">
        <f t="shared" ref="AJ21:AJ22" si="34">+SUMPRODUCT(AJ8,AJ13)</f>
        <v>132829800</v>
      </c>
      <c r="AK21" s="180">
        <f>+SUMPRODUCT(AK8,AK13)</f>
        <v>134434800</v>
      </c>
      <c r="AL21" s="180">
        <f>+SUMPRODUCT(AL8,AL13)</f>
        <v>135718800</v>
      </c>
      <c r="AM21" s="180">
        <f t="shared" si="33"/>
        <v>136746000</v>
      </c>
      <c r="AN21" s="180">
        <f t="shared" si="33"/>
        <v>148302000</v>
      </c>
      <c r="AO21" s="180">
        <f t="shared" si="33"/>
        <v>158317200</v>
      </c>
      <c r="AP21" s="180">
        <f t="shared" si="33"/>
        <v>166855800</v>
      </c>
      <c r="AQ21" s="180">
        <f t="shared" si="33"/>
        <v>174046200</v>
      </c>
      <c r="AR21" s="180">
        <f t="shared" si="33"/>
        <v>180081000</v>
      </c>
      <c r="AS21" s="180">
        <f t="shared" si="33"/>
        <v>185088600</v>
      </c>
      <c r="AT21" s="180">
        <f t="shared" si="33"/>
        <v>189197400</v>
      </c>
      <c r="AU21" s="180">
        <f t="shared" si="33"/>
        <v>192535800</v>
      </c>
      <c r="AV21" s="202">
        <f>SUM(AJ21:AU21)</f>
        <v>1934153400</v>
      </c>
      <c r="AW21" s="180">
        <f>+AV21/12</f>
        <v>161179450</v>
      </c>
    </row>
    <row r="22" spans="1:50">
      <c r="B22" s="177" t="s">
        <v>195</v>
      </c>
      <c r="D22" s="180">
        <f t="shared" si="31"/>
        <v>1229300</v>
      </c>
      <c r="E22" s="180">
        <f t="shared" si="31"/>
        <v>3364400</v>
      </c>
      <c r="F22" s="180">
        <f t="shared" si="31"/>
        <v>5823000</v>
      </c>
      <c r="G22" s="180">
        <f t="shared" si="31"/>
        <v>7505200</v>
      </c>
      <c r="H22" s="180">
        <f t="shared" si="31"/>
        <v>9058000</v>
      </c>
      <c r="I22" s="180">
        <f t="shared" si="31"/>
        <v>10675500</v>
      </c>
      <c r="J22" s="180">
        <f t="shared" si="31"/>
        <v>12357700</v>
      </c>
      <c r="K22" s="180">
        <f t="shared" si="31"/>
        <v>14234000</v>
      </c>
      <c r="L22" s="180">
        <f t="shared" si="31"/>
        <v>16304400</v>
      </c>
      <c r="M22" s="180">
        <f t="shared" si="31"/>
        <v>18568900</v>
      </c>
      <c r="N22" s="180">
        <f t="shared" si="31"/>
        <v>21092200</v>
      </c>
      <c r="O22" s="180">
        <f t="shared" si="31"/>
        <v>23874300</v>
      </c>
      <c r="P22" s="202">
        <f>SUM(D22:O22)</f>
        <v>144086900</v>
      </c>
      <c r="Q22" s="180">
        <f>+P22/12</f>
        <v>12007241.666666666</v>
      </c>
      <c r="T22" s="180">
        <f t="shared" si="32"/>
        <v>27258000</v>
      </c>
      <c r="U22" s="180">
        <f t="shared" si="32"/>
        <v>29568000</v>
      </c>
      <c r="V22" s="180">
        <f t="shared" si="32"/>
        <v>31548000</v>
      </c>
      <c r="W22" s="180">
        <f t="shared" si="32"/>
        <v>33264000</v>
      </c>
      <c r="X22" s="180">
        <f t="shared" si="32"/>
        <v>34716000</v>
      </c>
      <c r="Y22" s="180">
        <f t="shared" si="32"/>
        <v>35904000</v>
      </c>
      <c r="Z22" s="180">
        <f t="shared" si="32"/>
        <v>36894000</v>
      </c>
      <c r="AA22" s="180">
        <f t="shared" si="32"/>
        <v>37686000</v>
      </c>
      <c r="AB22" s="180">
        <f t="shared" si="32"/>
        <v>38346000</v>
      </c>
      <c r="AC22" s="180">
        <f t="shared" si="32"/>
        <v>38874000</v>
      </c>
      <c r="AD22" s="180">
        <f t="shared" si="32"/>
        <v>39336000</v>
      </c>
      <c r="AE22" s="180">
        <f t="shared" si="32"/>
        <v>39666000</v>
      </c>
      <c r="AF22" s="202">
        <f>SUM(T22:AE22)</f>
        <v>423060000</v>
      </c>
      <c r="AG22" s="180">
        <f>+AF22/12</f>
        <v>35255000</v>
      </c>
      <c r="AJ22" s="180">
        <f t="shared" si="34"/>
        <v>40716500</v>
      </c>
      <c r="AK22" s="180">
        <f>+SUMPRODUCT(AK9,AK14)</f>
        <v>40985700</v>
      </c>
      <c r="AL22" s="180">
        <f>+SUMPRODUCT(AL9,AL14)</f>
        <v>41187600</v>
      </c>
      <c r="AM22" s="180">
        <f t="shared" si="33"/>
        <v>41322200</v>
      </c>
      <c r="AN22" s="180">
        <f t="shared" si="33"/>
        <v>43072000</v>
      </c>
      <c r="AO22" s="180">
        <f t="shared" si="33"/>
        <v>44552600</v>
      </c>
      <c r="AP22" s="180">
        <f t="shared" si="33"/>
        <v>45764000</v>
      </c>
      <c r="AQ22" s="180">
        <f t="shared" si="33"/>
        <v>46773500</v>
      </c>
      <c r="AR22" s="180">
        <f t="shared" si="33"/>
        <v>47581100</v>
      </c>
      <c r="AS22" s="180">
        <f t="shared" si="33"/>
        <v>48254100</v>
      </c>
      <c r="AT22" s="180">
        <f t="shared" si="33"/>
        <v>48792500</v>
      </c>
      <c r="AU22" s="180">
        <f t="shared" si="33"/>
        <v>49196300</v>
      </c>
      <c r="AV22" s="202">
        <f>SUM(AJ22:AU22)</f>
        <v>538198100</v>
      </c>
      <c r="AW22" s="180">
        <f>+AV22/12</f>
        <v>44849841.666666664</v>
      </c>
    </row>
    <row r="23" spans="1:50">
      <c r="D23" s="180">
        <f>+D20+D21+D22</f>
        <v>4548000</v>
      </c>
      <c r="E23" s="180">
        <f>+E20+E21+E22</f>
        <v>12813300</v>
      </c>
      <c r="F23" s="180">
        <f t="shared" ref="F23:O23" si="35">+F20+F21+F22</f>
        <v>22705100</v>
      </c>
      <c r="G23" s="180">
        <f t="shared" si="35"/>
        <v>32465200</v>
      </c>
      <c r="H23" s="180">
        <f t="shared" si="35"/>
        <v>42624000</v>
      </c>
      <c r="I23" s="180">
        <f t="shared" si="35"/>
        <v>54033900</v>
      </c>
      <c r="J23" s="180">
        <f t="shared" si="35"/>
        <v>67288100</v>
      </c>
      <c r="K23" s="180">
        <f t="shared" si="35"/>
        <v>82992600</v>
      </c>
      <c r="L23" s="180">
        <f t="shared" si="35"/>
        <v>101740600</v>
      </c>
      <c r="M23" s="180">
        <f t="shared" si="35"/>
        <v>124241900</v>
      </c>
      <c r="N23" s="180">
        <f t="shared" si="35"/>
        <v>151092700</v>
      </c>
      <c r="O23" s="180">
        <f t="shared" si="35"/>
        <v>183297700</v>
      </c>
      <c r="P23" s="202">
        <f>SUM(D23:O23)</f>
        <v>879843100</v>
      </c>
      <c r="Q23" s="180">
        <f>+P23/12</f>
        <v>73320258.333333328</v>
      </c>
      <c r="R23" s="180">
        <f>+P23/P10</f>
        <v>60507.743621484078</v>
      </c>
      <c r="T23" s="180">
        <f t="shared" ref="T23:AE23" si="36">+T20+T21+T22</f>
        <v>219908500</v>
      </c>
      <c r="U23" s="180">
        <f t="shared" si="36"/>
        <v>249973500</v>
      </c>
      <c r="V23" s="180">
        <f t="shared" si="36"/>
        <v>277395000</v>
      </c>
      <c r="W23" s="180">
        <f t="shared" si="36"/>
        <v>301878500</v>
      </c>
      <c r="X23" s="180">
        <f t="shared" si="36"/>
        <v>323308500</v>
      </c>
      <c r="Y23" s="180">
        <f t="shared" si="36"/>
        <v>341685000</v>
      </c>
      <c r="Z23" s="180">
        <f t="shared" si="36"/>
        <v>357259500</v>
      </c>
      <c r="AA23" s="180">
        <f t="shared" si="36"/>
        <v>370273500</v>
      </c>
      <c r="AB23" s="180">
        <f t="shared" si="36"/>
        <v>381097500</v>
      </c>
      <c r="AC23" s="180">
        <f t="shared" si="36"/>
        <v>389973000</v>
      </c>
      <c r="AD23" s="180">
        <f t="shared" si="36"/>
        <v>397330000</v>
      </c>
      <c r="AE23" s="180">
        <f t="shared" si="36"/>
        <v>403284500</v>
      </c>
      <c r="AF23" s="202">
        <f>SUM(T23:AE23)</f>
        <v>4013367000</v>
      </c>
      <c r="AG23" s="180">
        <f>+AF23/12</f>
        <v>334447250</v>
      </c>
      <c r="AH23" s="180">
        <f>+AF23/AF10</f>
        <v>61247.53155187938</v>
      </c>
      <c r="AJ23" s="180">
        <f t="shared" ref="AJ23:AU23" si="37">+AJ20+AJ21+AJ22</f>
        <v>416710500</v>
      </c>
      <c r="AK23" s="180">
        <f t="shared" si="37"/>
        <v>422226700</v>
      </c>
      <c r="AL23" s="180">
        <f t="shared" si="37"/>
        <v>426686900</v>
      </c>
      <c r="AM23" s="180">
        <f t="shared" si="37"/>
        <v>430276700</v>
      </c>
      <c r="AN23" s="180">
        <f t="shared" si="37"/>
        <v>470229800</v>
      </c>
      <c r="AO23" s="180">
        <f t="shared" si="37"/>
        <v>505277200</v>
      </c>
      <c r="AP23" s="180">
        <f t="shared" si="37"/>
        <v>535483100</v>
      </c>
      <c r="AQ23" s="180">
        <f t="shared" si="37"/>
        <v>561164600</v>
      </c>
      <c r="AR23" s="180">
        <f t="shared" si="37"/>
        <v>582757100</v>
      </c>
      <c r="AS23" s="180">
        <f t="shared" si="37"/>
        <v>600699100</v>
      </c>
      <c r="AT23" s="180">
        <f t="shared" si="37"/>
        <v>615543900</v>
      </c>
      <c r="AU23" s="180">
        <f t="shared" si="37"/>
        <v>627662700</v>
      </c>
      <c r="AV23" s="202">
        <f>SUM(AJ23:AU23)</f>
        <v>6194718300</v>
      </c>
      <c r="AW23" s="180">
        <f>+AV23/12</f>
        <v>516226525</v>
      </c>
      <c r="AX23" s="180">
        <f>+AV23/AV10</f>
        <v>62291.029482744751</v>
      </c>
    </row>
    <row r="24" spans="1:50"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202"/>
      <c r="Q24" s="180"/>
      <c r="R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202"/>
      <c r="AG24" s="208">
        <f>+(AF23/P23)-1</f>
        <v>3.5614576053389522</v>
      </c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202"/>
      <c r="AW24" s="208">
        <f>+(AV23/AF23)-1</f>
        <v>0.54352151198731646</v>
      </c>
    </row>
    <row r="25" spans="1:50">
      <c r="B25" s="177" t="s">
        <v>193</v>
      </c>
      <c r="D25" s="180">
        <f t="shared" ref="D25:O27" si="38">+SUMPRODUCT(D7,D16)</f>
        <v>692340</v>
      </c>
      <c r="E25" s="180">
        <f t="shared" si="38"/>
        <v>2202900</v>
      </c>
      <c r="F25" s="180">
        <f t="shared" si="38"/>
        <v>4216980</v>
      </c>
      <c r="G25" s="180">
        <f t="shared" si="38"/>
        <v>6545760</v>
      </c>
      <c r="H25" s="180">
        <f t="shared" si="38"/>
        <v>9126300</v>
      </c>
      <c r="I25" s="180">
        <f t="shared" si="38"/>
        <v>12147420</v>
      </c>
      <c r="J25" s="180">
        <f t="shared" si="38"/>
        <v>15829410</v>
      </c>
      <c r="K25" s="180">
        <f t="shared" si="38"/>
        <v>20329620</v>
      </c>
      <c r="L25" s="180">
        <f t="shared" si="38"/>
        <v>25868340</v>
      </c>
      <c r="M25" s="180">
        <f t="shared" si="38"/>
        <v>32728800</v>
      </c>
      <c r="N25" s="180">
        <f t="shared" si="38"/>
        <v>41131290</v>
      </c>
      <c r="O25" s="180">
        <f t="shared" si="38"/>
        <v>51484920</v>
      </c>
      <c r="P25" s="202">
        <f>SUM(D25:O25)</f>
        <v>222304080</v>
      </c>
      <c r="Q25" s="180">
        <f>+P25/12</f>
        <v>18525340</v>
      </c>
      <c r="R25" s="180"/>
      <c r="T25" s="180">
        <f t="shared" ref="T25:W27" si="39">+SUMPRODUCT(T7,T16)</f>
        <v>63011122.200000003</v>
      </c>
      <c r="U25" s="180">
        <f>+SUMPRODUCT(U7,U16)</f>
        <v>73090333.799999997</v>
      </c>
      <c r="V25" s="180">
        <f>+SUMPRODUCT(V7,V16)</f>
        <v>82431259.200000003</v>
      </c>
      <c r="W25" s="180">
        <f t="shared" ref="W25:AE27" si="40">+SUMPRODUCT(W7,W16)</f>
        <v>90873401.400000006</v>
      </c>
      <c r="X25" s="180">
        <f t="shared" si="40"/>
        <v>98320462.200000003</v>
      </c>
      <c r="Y25" s="180">
        <f t="shared" si="40"/>
        <v>104772441.60000001</v>
      </c>
      <c r="Z25" s="180">
        <f t="shared" si="40"/>
        <v>110261439</v>
      </c>
      <c r="AA25" s="180">
        <f t="shared" si="40"/>
        <v>114883752.60000001</v>
      </c>
      <c r="AB25" s="180">
        <f t="shared" si="40"/>
        <v>118735680.60000001</v>
      </c>
      <c r="AC25" s="180">
        <f t="shared" si="40"/>
        <v>121913521.2</v>
      </c>
      <c r="AD25" s="180">
        <f t="shared" si="40"/>
        <v>124545672</v>
      </c>
      <c r="AE25" s="180">
        <f t="shared" si="40"/>
        <v>126696331.80000001</v>
      </c>
      <c r="AF25" s="202">
        <f>SUM(T25:AE25)</f>
        <v>1229535417.6000001</v>
      </c>
      <c r="AG25" s="180">
        <f>+AF25/12</f>
        <v>102461284.80000001</v>
      </c>
      <c r="AH25" s="180"/>
      <c r="AJ25" s="180">
        <f t="shared" ref="AJ25:AU27" si="41">+SUMPRODUCT(AJ7,AJ16)</f>
        <v>131162000.32800001</v>
      </c>
      <c r="AK25" s="180">
        <f>+SUMPRODUCT(AK7,AK16)</f>
        <v>133126483.60800001</v>
      </c>
      <c r="AL25" s="180">
        <f>+SUMPRODUCT(AL7,AL16)</f>
        <v>134730811.62</v>
      </c>
      <c r="AM25" s="180">
        <f t="shared" ref="AM25:AU25" si="42">+SUMPRODUCT(AM7,AM16)</f>
        <v>136040467.14000002</v>
      </c>
      <c r="AN25" s="180">
        <f t="shared" si="42"/>
        <v>150413936.472</v>
      </c>
      <c r="AO25" s="180">
        <f t="shared" si="42"/>
        <v>163117595.016</v>
      </c>
      <c r="AP25" s="180">
        <f t="shared" si="42"/>
        <v>174151442.77200001</v>
      </c>
      <c r="AQ25" s="180">
        <f t="shared" si="42"/>
        <v>183580962.516</v>
      </c>
      <c r="AR25" s="180">
        <f t="shared" si="42"/>
        <v>191537119.80000001</v>
      </c>
      <c r="AS25" s="180">
        <f t="shared" si="42"/>
        <v>198150880.17600003</v>
      </c>
      <c r="AT25" s="180">
        <f t="shared" si="42"/>
        <v>203651433.36000001</v>
      </c>
      <c r="AU25" s="180">
        <f t="shared" si="42"/>
        <v>208169744.90400001</v>
      </c>
      <c r="AV25" s="202">
        <f>SUM(AJ25:AU25)</f>
        <v>2007832877.7120001</v>
      </c>
      <c r="AW25" s="180">
        <f>+AV25/12</f>
        <v>167319406.47600001</v>
      </c>
      <c r="AX25" s="180"/>
    </row>
    <row r="26" spans="1:50">
      <c r="A26" s="177" t="s">
        <v>211</v>
      </c>
      <c r="B26" s="177" t="s">
        <v>194</v>
      </c>
      <c r="D26" s="180">
        <f t="shared" si="38"/>
        <v>1099230</v>
      </c>
      <c r="E26" s="180">
        <f t="shared" si="38"/>
        <v>2897970</v>
      </c>
      <c r="F26" s="180">
        <f t="shared" si="38"/>
        <v>4896570</v>
      </c>
      <c r="G26" s="180">
        <f t="shared" si="38"/>
        <v>6928480</v>
      </c>
      <c r="H26" s="180">
        <f t="shared" si="38"/>
        <v>8993700</v>
      </c>
      <c r="I26" s="180">
        <f t="shared" si="38"/>
        <v>11258780</v>
      </c>
      <c r="J26" s="180">
        <f t="shared" si="38"/>
        <v>13823650</v>
      </c>
      <c r="K26" s="180">
        <f t="shared" si="38"/>
        <v>16788240</v>
      </c>
      <c r="L26" s="180">
        <f t="shared" si="38"/>
        <v>20252480</v>
      </c>
      <c r="M26" s="180">
        <f t="shared" si="38"/>
        <v>24316300</v>
      </c>
      <c r="N26" s="180">
        <f t="shared" si="38"/>
        <v>29046320</v>
      </c>
      <c r="O26" s="180">
        <f t="shared" si="38"/>
        <v>34575780</v>
      </c>
      <c r="P26" s="202">
        <f>SUM(D26:O26)</f>
        <v>174877500</v>
      </c>
      <c r="Q26" s="180">
        <f>+P26/12</f>
        <v>14573125</v>
      </c>
      <c r="R26" s="180"/>
      <c r="T26" s="180">
        <f t="shared" si="39"/>
        <v>40907344.799999997</v>
      </c>
      <c r="U26" s="180">
        <f t="shared" si="39"/>
        <v>45799917.599999994</v>
      </c>
      <c r="V26" s="180">
        <f t="shared" si="39"/>
        <v>50182847.399999999</v>
      </c>
      <c r="W26" s="180">
        <f t="shared" si="39"/>
        <v>54022157.999999993</v>
      </c>
      <c r="X26" s="180">
        <f t="shared" si="40"/>
        <v>57351825.599999994</v>
      </c>
      <c r="Y26" s="180">
        <f t="shared" si="40"/>
        <v>60171850.199999996</v>
      </c>
      <c r="Z26" s="180">
        <f t="shared" si="40"/>
        <v>62550184.199999996</v>
      </c>
      <c r="AA26" s="180">
        <f t="shared" si="40"/>
        <v>64520803.799999997</v>
      </c>
      <c r="AB26" s="180">
        <f t="shared" si="40"/>
        <v>66151661.399999991</v>
      </c>
      <c r="AC26" s="180">
        <f t="shared" si="40"/>
        <v>67476733.199999988</v>
      </c>
      <c r="AD26" s="180">
        <f t="shared" si="40"/>
        <v>68563971.599999994</v>
      </c>
      <c r="AE26" s="180">
        <f t="shared" si="40"/>
        <v>69447352.799999997</v>
      </c>
      <c r="AF26" s="202">
        <f>SUM(T26:AE26)</f>
        <v>707146650.5999999</v>
      </c>
      <c r="AG26" s="180">
        <f>+AF26/12</f>
        <v>58928887.54999999</v>
      </c>
      <c r="AH26" s="180"/>
      <c r="AJ26" s="180">
        <f t="shared" si="41"/>
        <v>71702692.955999985</v>
      </c>
      <c r="AK26" s="180">
        <f t="shared" si="41"/>
        <v>72569086.055999994</v>
      </c>
      <c r="AL26" s="180">
        <f t="shared" si="41"/>
        <v>73262200.535999984</v>
      </c>
      <c r="AM26" s="180">
        <f t="shared" si="41"/>
        <v>73816692.11999999</v>
      </c>
      <c r="AN26" s="180">
        <f t="shared" si="41"/>
        <v>80054722.439999983</v>
      </c>
      <c r="AO26" s="180">
        <f t="shared" si="41"/>
        <v>85461015.383999988</v>
      </c>
      <c r="AP26" s="180">
        <f t="shared" si="41"/>
        <v>90070226.675999984</v>
      </c>
      <c r="AQ26" s="180">
        <f t="shared" si="41"/>
        <v>93951667.763999984</v>
      </c>
      <c r="AR26" s="180">
        <f t="shared" si="41"/>
        <v>97209305.819999978</v>
      </c>
      <c r="AS26" s="180">
        <f t="shared" si="41"/>
        <v>99912452.291999981</v>
      </c>
      <c r="AT26" s="180">
        <f t="shared" si="41"/>
        <v>102130418.62799999</v>
      </c>
      <c r="AU26" s="180">
        <f t="shared" si="41"/>
        <v>103932516.27599998</v>
      </c>
      <c r="AV26" s="202">
        <f>SUM(AJ26:AU26)</f>
        <v>1044072996.9479997</v>
      </c>
      <c r="AW26" s="180">
        <f>+AV26/12</f>
        <v>87006083.078999981</v>
      </c>
      <c r="AX26" s="180"/>
    </row>
    <row r="27" spans="1:50">
      <c r="B27" s="177" t="s">
        <v>195</v>
      </c>
      <c r="D27" s="180">
        <f t="shared" si="38"/>
        <v>663100</v>
      </c>
      <c r="E27" s="180">
        <f t="shared" si="38"/>
        <v>1814800</v>
      </c>
      <c r="F27" s="180">
        <f t="shared" si="38"/>
        <v>3141000</v>
      </c>
      <c r="G27" s="180">
        <f t="shared" si="38"/>
        <v>4048400</v>
      </c>
      <c r="H27" s="180">
        <f t="shared" si="38"/>
        <v>4886000</v>
      </c>
      <c r="I27" s="180">
        <f t="shared" si="38"/>
        <v>5758500</v>
      </c>
      <c r="J27" s="180">
        <f t="shared" si="38"/>
        <v>6665900</v>
      </c>
      <c r="K27" s="180">
        <f t="shared" si="38"/>
        <v>7678000</v>
      </c>
      <c r="L27" s="180">
        <f t="shared" si="38"/>
        <v>8794800</v>
      </c>
      <c r="M27" s="180">
        <f t="shared" si="38"/>
        <v>10016300</v>
      </c>
      <c r="N27" s="180">
        <f t="shared" si="38"/>
        <v>11377400</v>
      </c>
      <c r="O27" s="180">
        <f t="shared" si="38"/>
        <v>12878100</v>
      </c>
      <c r="P27" s="202">
        <f>SUM(D27:O27)</f>
        <v>77722300</v>
      </c>
      <c r="Q27" s="180">
        <f>+P27/12</f>
        <v>6476858.333333333</v>
      </c>
      <c r="R27" s="180"/>
      <c r="T27" s="180">
        <f t="shared" si="39"/>
        <v>14701974</v>
      </c>
      <c r="U27" s="180">
        <f t="shared" si="39"/>
        <v>15947904</v>
      </c>
      <c r="V27" s="180">
        <f t="shared" si="39"/>
        <v>17015844</v>
      </c>
      <c r="W27" s="180">
        <f t="shared" si="39"/>
        <v>17941392</v>
      </c>
      <c r="X27" s="180">
        <f t="shared" si="40"/>
        <v>18724548</v>
      </c>
      <c r="Y27" s="180">
        <f t="shared" si="40"/>
        <v>19365312</v>
      </c>
      <c r="Z27" s="180">
        <f t="shared" si="40"/>
        <v>19899282</v>
      </c>
      <c r="AA27" s="180">
        <f t="shared" si="40"/>
        <v>20326458</v>
      </c>
      <c r="AB27" s="180">
        <f t="shared" si="40"/>
        <v>20682438</v>
      </c>
      <c r="AC27" s="180">
        <f t="shared" si="40"/>
        <v>20967222</v>
      </c>
      <c r="AD27" s="180">
        <f t="shared" si="40"/>
        <v>21216408</v>
      </c>
      <c r="AE27" s="180">
        <f t="shared" si="40"/>
        <v>21394398</v>
      </c>
      <c r="AF27" s="202">
        <f>SUM(T27:AE27)</f>
        <v>228183180</v>
      </c>
      <c r="AG27" s="180">
        <f>+AF27/12</f>
        <v>19015265</v>
      </c>
      <c r="AH27" s="180"/>
      <c r="AJ27" s="180">
        <f t="shared" si="41"/>
        <v>21967525.800000001</v>
      </c>
      <c r="AK27" s="180">
        <f t="shared" si="41"/>
        <v>22112765.640000001</v>
      </c>
      <c r="AL27" s="180">
        <f t="shared" si="41"/>
        <v>22221695.52</v>
      </c>
      <c r="AM27" s="180">
        <f t="shared" si="41"/>
        <v>22294315.439999998</v>
      </c>
      <c r="AN27" s="180">
        <f t="shared" si="41"/>
        <v>23238374.399999999</v>
      </c>
      <c r="AO27" s="180">
        <f t="shared" si="41"/>
        <v>24037193.52</v>
      </c>
      <c r="AP27" s="180">
        <f t="shared" si="41"/>
        <v>24690772.800000001</v>
      </c>
      <c r="AQ27" s="180">
        <f t="shared" si="41"/>
        <v>25235422.199999999</v>
      </c>
      <c r="AR27" s="180">
        <f t="shared" si="41"/>
        <v>25671141.719999999</v>
      </c>
      <c r="AS27" s="180">
        <f t="shared" si="41"/>
        <v>26034241.32</v>
      </c>
      <c r="AT27" s="180">
        <f t="shared" si="41"/>
        <v>26324721</v>
      </c>
      <c r="AU27" s="180">
        <f t="shared" si="41"/>
        <v>26542580.759999998</v>
      </c>
      <c r="AV27" s="202">
        <f>SUM(AJ27:AU27)</f>
        <v>290370750.12</v>
      </c>
      <c r="AW27" s="180">
        <f>+AV27/12</f>
        <v>24197562.510000002</v>
      </c>
      <c r="AX27" s="180"/>
    </row>
    <row r="28" spans="1:50">
      <c r="D28" s="180">
        <f>+D25+D26+D27</f>
        <v>2454670</v>
      </c>
      <c r="E28" s="180">
        <f>+E25+E26+E27</f>
        <v>6915670</v>
      </c>
      <c r="F28" s="180">
        <f t="shared" ref="F28:O28" si="43">+F25+F26+F27</f>
        <v>12254550</v>
      </c>
      <c r="G28" s="180">
        <f t="shared" si="43"/>
        <v>17522640</v>
      </c>
      <c r="H28" s="180">
        <f t="shared" si="43"/>
        <v>23006000</v>
      </c>
      <c r="I28" s="180">
        <f t="shared" si="43"/>
        <v>29164700</v>
      </c>
      <c r="J28" s="180">
        <f t="shared" si="43"/>
        <v>36318960</v>
      </c>
      <c r="K28" s="180">
        <f t="shared" si="43"/>
        <v>44795860</v>
      </c>
      <c r="L28" s="180">
        <f t="shared" si="43"/>
        <v>54915620</v>
      </c>
      <c r="M28" s="180">
        <f t="shared" si="43"/>
        <v>67061400</v>
      </c>
      <c r="N28" s="180">
        <f t="shared" si="43"/>
        <v>81555010</v>
      </c>
      <c r="O28" s="180">
        <f t="shared" si="43"/>
        <v>98938800</v>
      </c>
      <c r="P28" s="202">
        <f>SUM(D28:O28)</f>
        <v>474903880</v>
      </c>
      <c r="Q28" s="180">
        <f>+P28/12</f>
        <v>39575323.333333336</v>
      </c>
      <c r="R28" s="180">
        <f>+P28/P10</f>
        <v>32659.643765903307</v>
      </c>
      <c r="T28" s="180">
        <f t="shared" ref="T28:AE28" si="44">+T25+T26+T27</f>
        <v>118620441</v>
      </c>
      <c r="U28" s="180">
        <f t="shared" si="44"/>
        <v>134838155.39999998</v>
      </c>
      <c r="V28" s="180">
        <f t="shared" si="44"/>
        <v>149629950.59999999</v>
      </c>
      <c r="W28" s="180">
        <f t="shared" si="44"/>
        <v>162836951.40000001</v>
      </c>
      <c r="X28" s="180">
        <f t="shared" si="44"/>
        <v>174396835.80000001</v>
      </c>
      <c r="Y28" s="180">
        <f t="shared" si="44"/>
        <v>184309603.80000001</v>
      </c>
      <c r="Z28" s="180">
        <f t="shared" si="44"/>
        <v>192710905.19999999</v>
      </c>
      <c r="AA28" s="180">
        <f t="shared" si="44"/>
        <v>199731014.40000001</v>
      </c>
      <c r="AB28" s="180">
        <f t="shared" si="44"/>
        <v>205569780</v>
      </c>
      <c r="AC28" s="180">
        <f t="shared" si="44"/>
        <v>210357476.39999998</v>
      </c>
      <c r="AD28" s="180">
        <f t="shared" si="44"/>
        <v>214326051.59999999</v>
      </c>
      <c r="AE28" s="180">
        <f t="shared" si="44"/>
        <v>217538082.60000002</v>
      </c>
      <c r="AF28" s="202">
        <f>SUM(T28:AE28)</f>
        <v>2164865248.1999998</v>
      </c>
      <c r="AG28" s="180">
        <f>+AF28/12</f>
        <v>180405437.34999999</v>
      </c>
      <c r="AH28" s="180">
        <f>+AF28/AF10</f>
        <v>33037.759216811384</v>
      </c>
      <c r="AJ28" s="180">
        <f t="shared" ref="AJ28:AU28" si="45">+AJ25+AJ26+AJ27</f>
        <v>224832219.08399999</v>
      </c>
      <c r="AK28" s="180">
        <f t="shared" si="45"/>
        <v>227808335.30400002</v>
      </c>
      <c r="AL28" s="180">
        <f t="shared" si="45"/>
        <v>230214707.676</v>
      </c>
      <c r="AM28" s="180">
        <f t="shared" si="45"/>
        <v>232151474.69999999</v>
      </c>
      <c r="AN28" s="180">
        <f t="shared" si="45"/>
        <v>253707033.31200001</v>
      </c>
      <c r="AO28" s="180">
        <f t="shared" si="45"/>
        <v>272615803.91999996</v>
      </c>
      <c r="AP28" s="180">
        <f t="shared" si="45"/>
        <v>288912442.24800003</v>
      </c>
      <c r="AQ28" s="180">
        <f t="shared" si="45"/>
        <v>302768052.47999996</v>
      </c>
      <c r="AR28" s="180">
        <f t="shared" si="45"/>
        <v>314417567.34000003</v>
      </c>
      <c r="AS28" s="180">
        <f t="shared" si="45"/>
        <v>324097573.78799999</v>
      </c>
      <c r="AT28" s="180">
        <f t="shared" si="45"/>
        <v>332106572.98800004</v>
      </c>
      <c r="AU28" s="180">
        <f t="shared" si="45"/>
        <v>338644841.94</v>
      </c>
      <c r="AV28" s="202">
        <f>SUM(AJ28:AU28)</f>
        <v>3342276624.7800002</v>
      </c>
      <c r="AW28" s="180">
        <f>+AV28/12</f>
        <v>278523052.065</v>
      </c>
      <c r="AX28" s="180">
        <f>+AV28/AV10</f>
        <v>33608.283975343904</v>
      </c>
    </row>
    <row r="29" spans="1:50"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202"/>
      <c r="Q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202"/>
      <c r="AG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202"/>
      <c r="AW29" s="180"/>
    </row>
    <row r="30" spans="1:50">
      <c r="A30" s="180">
        <v>2400</v>
      </c>
      <c r="B30" s="177" t="s">
        <v>238</v>
      </c>
      <c r="D30" s="180">
        <f>+$A$30*(D10)</f>
        <v>177600</v>
      </c>
      <c r="E30" s="180">
        <f t="shared" ref="E30:O30" si="46">+$A$30*(E10)</f>
        <v>501600</v>
      </c>
      <c r="F30" s="180">
        <f t="shared" si="46"/>
        <v>890400</v>
      </c>
      <c r="G30" s="180">
        <f t="shared" si="46"/>
        <v>1276800</v>
      </c>
      <c r="H30" s="180">
        <f t="shared" si="46"/>
        <v>1680000</v>
      </c>
      <c r="I30" s="180">
        <f t="shared" si="46"/>
        <v>2133600</v>
      </c>
      <c r="J30" s="180">
        <f t="shared" si="46"/>
        <v>2661600</v>
      </c>
      <c r="K30" s="180">
        <f t="shared" si="46"/>
        <v>3288000</v>
      </c>
      <c r="L30" s="180">
        <f t="shared" si="46"/>
        <v>4036800</v>
      </c>
      <c r="M30" s="180">
        <f t="shared" si="46"/>
        <v>4936800</v>
      </c>
      <c r="N30" s="180">
        <f t="shared" si="46"/>
        <v>6012000</v>
      </c>
      <c r="O30" s="180">
        <f t="shared" si="46"/>
        <v>7303200</v>
      </c>
      <c r="P30" s="202">
        <f>SUM(D30:O30)</f>
        <v>34898400</v>
      </c>
      <c r="Q30" s="180"/>
      <c r="S30" s="180">
        <f>+A30*(1+$S$36)*0.93</f>
        <v>2365.92</v>
      </c>
      <c r="T30" s="180">
        <f>+$S$30*T10</f>
        <v>8469993.5999999996</v>
      </c>
      <c r="U30" s="180">
        <f>+$S$30*U10</f>
        <v>9636392.1600000001</v>
      </c>
      <c r="V30" s="180">
        <f>+$S$30*V10</f>
        <v>10701056.16</v>
      </c>
      <c r="W30" s="180">
        <f t="shared" ref="W30:AE30" si="47">+$S$30*W10</f>
        <v>11652156</v>
      </c>
      <c r="X30" s="180">
        <f t="shared" si="47"/>
        <v>12484959.84</v>
      </c>
      <c r="Y30" s="180">
        <f t="shared" si="47"/>
        <v>13199467.68</v>
      </c>
      <c r="Z30" s="180">
        <f t="shared" si="47"/>
        <v>13805143.200000001</v>
      </c>
      <c r="AA30" s="180">
        <f t="shared" si="47"/>
        <v>14311450.08</v>
      </c>
      <c r="AB30" s="180">
        <f t="shared" si="47"/>
        <v>14732583.84</v>
      </c>
      <c r="AC30" s="180">
        <f t="shared" si="47"/>
        <v>15078008.16</v>
      </c>
      <c r="AD30" s="180">
        <f t="shared" si="47"/>
        <v>15364284.48</v>
      </c>
      <c r="AE30" s="180">
        <f t="shared" si="47"/>
        <v>15596144.640000001</v>
      </c>
      <c r="AF30" s="202">
        <f>SUM(T30:AE30)</f>
        <v>155031639.83999997</v>
      </c>
      <c r="AG30" s="180">
        <f>+AF30/12</f>
        <v>12919303.319999998</v>
      </c>
      <c r="AI30" s="180">
        <f>+S30*1.024</f>
        <v>2422.70208</v>
      </c>
      <c r="AJ30" s="180">
        <f>+$AI$30*AJ10</f>
        <v>16183649.894400001</v>
      </c>
      <c r="AK30" s="180">
        <f t="shared" ref="AK30:AU30" si="48">+$AI$30*AK10</f>
        <v>16399270.379520001</v>
      </c>
      <c r="AL30" s="180">
        <f t="shared" si="48"/>
        <v>16573704.92928</v>
      </c>
      <c r="AM30" s="180">
        <f t="shared" si="48"/>
        <v>16714221.64992</v>
      </c>
      <c r="AN30" s="180">
        <f t="shared" si="48"/>
        <v>18276864.491519999</v>
      </c>
      <c r="AO30" s="180">
        <f t="shared" si="48"/>
        <v>19648113.868799999</v>
      </c>
      <c r="AP30" s="180">
        <f t="shared" si="48"/>
        <v>20830392.48384</v>
      </c>
      <c r="AQ30" s="180">
        <f t="shared" si="48"/>
        <v>21835813.847040001</v>
      </c>
      <c r="AR30" s="180">
        <f t="shared" si="48"/>
        <v>22681336.872960001</v>
      </c>
      <c r="AS30" s="180">
        <f t="shared" si="48"/>
        <v>23383920.476160001</v>
      </c>
      <c r="AT30" s="180">
        <f t="shared" si="48"/>
        <v>23965368.975359999</v>
      </c>
      <c r="AU30" s="180">
        <f t="shared" si="48"/>
        <v>24440218.583039999</v>
      </c>
      <c r="AV30" s="202">
        <f>SUM(AJ30:AU30)</f>
        <v>240932876.45184001</v>
      </c>
      <c r="AW30" s="180">
        <f>+AV30/12</f>
        <v>20077739.704320002</v>
      </c>
    </row>
    <row r="31" spans="1:50"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203"/>
      <c r="AF31" s="203"/>
      <c r="AV31" s="203"/>
    </row>
    <row r="32" spans="1:50" s="192" customFormat="1">
      <c r="B32" s="192" t="s">
        <v>215</v>
      </c>
      <c r="D32" s="193">
        <f>+D23-D28-D30</f>
        <v>1915730</v>
      </c>
      <c r="E32" s="193">
        <f t="shared" ref="E32:O32" si="49">+E23-E28-E30</f>
        <v>5396030</v>
      </c>
      <c r="F32" s="193">
        <f t="shared" si="49"/>
        <v>9560150</v>
      </c>
      <c r="G32" s="193">
        <f t="shared" si="49"/>
        <v>13665760</v>
      </c>
      <c r="H32" s="193">
        <f t="shared" si="49"/>
        <v>17938000</v>
      </c>
      <c r="I32" s="193">
        <f t="shared" si="49"/>
        <v>22735600</v>
      </c>
      <c r="J32" s="193">
        <f t="shared" si="49"/>
        <v>28307540</v>
      </c>
      <c r="K32" s="193">
        <f t="shared" si="49"/>
        <v>34908740</v>
      </c>
      <c r="L32" s="193">
        <f t="shared" si="49"/>
        <v>42788180</v>
      </c>
      <c r="M32" s="193">
        <f t="shared" si="49"/>
        <v>52243700</v>
      </c>
      <c r="N32" s="193">
        <f t="shared" si="49"/>
        <v>63525690</v>
      </c>
      <c r="O32" s="193">
        <f t="shared" si="49"/>
        <v>77055700</v>
      </c>
      <c r="P32" s="204">
        <f>SUM(D32:O32)</f>
        <v>370040820</v>
      </c>
      <c r="Q32" s="191">
        <f>+P32/12</f>
        <v>30836735</v>
      </c>
      <c r="T32" s="193">
        <f t="shared" ref="T32:AF32" si="50">+T23-T28-T30</f>
        <v>92818065.400000006</v>
      </c>
      <c r="U32" s="193">
        <f t="shared" si="50"/>
        <v>105498952.44000003</v>
      </c>
      <c r="V32" s="193">
        <f t="shared" si="50"/>
        <v>117063993.24000001</v>
      </c>
      <c r="W32" s="193">
        <f t="shared" si="50"/>
        <v>127389392.59999999</v>
      </c>
      <c r="X32" s="193">
        <f t="shared" si="50"/>
        <v>136426704.35999998</v>
      </c>
      <c r="Y32" s="193">
        <f t="shared" si="50"/>
        <v>144175928.51999998</v>
      </c>
      <c r="Z32" s="193">
        <f t="shared" si="50"/>
        <v>150743451.60000002</v>
      </c>
      <c r="AA32" s="193">
        <f t="shared" si="50"/>
        <v>156231035.51999998</v>
      </c>
      <c r="AB32" s="193">
        <f t="shared" si="50"/>
        <v>160795136.16</v>
      </c>
      <c r="AC32" s="193">
        <f t="shared" si="50"/>
        <v>164537515.44000003</v>
      </c>
      <c r="AD32" s="193">
        <f t="shared" si="50"/>
        <v>167639663.92000002</v>
      </c>
      <c r="AE32" s="193">
        <f t="shared" si="50"/>
        <v>170150272.75999999</v>
      </c>
      <c r="AF32" s="204">
        <f t="shared" si="50"/>
        <v>1693470111.9600003</v>
      </c>
      <c r="AG32" s="191">
        <f>+AF32/12</f>
        <v>141122509.33000001</v>
      </c>
      <c r="AJ32" s="193">
        <f>+AJ23-AJ28-AJ30</f>
        <v>175694631.02160001</v>
      </c>
      <c r="AK32" s="193">
        <f t="shared" ref="AK32:AU32" si="51">+AK23-AK28-AK30</f>
        <v>178019094.31647998</v>
      </c>
      <c r="AL32" s="193">
        <f t="shared" si="51"/>
        <v>179898487.39471999</v>
      </c>
      <c r="AM32" s="193">
        <f t="shared" si="51"/>
        <v>181411003.65008003</v>
      </c>
      <c r="AN32" s="193">
        <f t="shared" si="51"/>
        <v>198245902.19648001</v>
      </c>
      <c r="AO32" s="193">
        <f t="shared" si="51"/>
        <v>213013282.21120006</v>
      </c>
      <c r="AP32" s="193">
        <f t="shared" si="51"/>
        <v>225740265.26815999</v>
      </c>
      <c r="AQ32" s="193">
        <f t="shared" si="51"/>
        <v>236560733.67296004</v>
      </c>
      <c r="AR32" s="193">
        <f t="shared" si="51"/>
        <v>245658195.78703997</v>
      </c>
      <c r="AS32" s="193">
        <f t="shared" si="51"/>
        <v>253217605.73584002</v>
      </c>
      <c r="AT32" s="193">
        <f t="shared" si="51"/>
        <v>259471958.03663996</v>
      </c>
      <c r="AU32" s="193">
        <f t="shared" si="51"/>
        <v>264577639.47696</v>
      </c>
      <c r="AV32" s="204">
        <f>SUM(AJ32:AU32)</f>
        <v>2611508798.7681603</v>
      </c>
      <c r="AW32" s="191">
        <f>+AV32/12</f>
        <v>217625733.23068002</v>
      </c>
    </row>
    <row r="34" spans="1:49">
      <c r="D34" s="177">
        <v>1</v>
      </c>
      <c r="E34" s="187">
        <f>+D34</f>
        <v>1</v>
      </c>
      <c r="F34" s="187">
        <f>+E34</f>
        <v>1</v>
      </c>
      <c r="G34" s="177">
        <v>2</v>
      </c>
      <c r="H34" s="187">
        <f t="shared" ref="H34:O34" si="52">+G34</f>
        <v>2</v>
      </c>
      <c r="I34" s="187">
        <f t="shared" si="52"/>
        <v>2</v>
      </c>
      <c r="J34" s="187">
        <f t="shared" si="52"/>
        <v>2</v>
      </c>
      <c r="K34" s="187">
        <f t="shared" si="52"/>
        <v>2</v>
      </c>
      <c r="L34" s="177">
        <v>2</v>
      </c>
      <c r="M34" s="187">
        <v>3</v>
      </c>
      <c r="N34" s="187">
        <f t="shared" si="52"/>
        <v>3</v>
      </c>
      <c r="O34" s="187">
        <f t="shared" si="52"/>
        <v>3</v>
      </c>
      <c r="T34" s="187">
        <v>4</v>
      </c>
      <c r="U34" s="187">
        <v>4</v>
      </c>
      <c r="V34" s="187">
        <v>4</v>
      </c>
      <c r="W34" s="187">
        <v>4</v>
      </c>
      <c r="X34" s="187">
        <v>5</v>
      </c>
      <c r="Y34" s="187">
        <f>+X34</f>
        <v>5</v>
      </c>
      <c r="Z34" s="187">
        <f t="shared" ref="Z34:AD34" si="53">+Y34</f>
        <v>5</v>
      </c>
      <c r="AA34" s="187">
        <f t="shared" si="53"/>
        <v>5</v>
      </c>
      <c r="AB34" s="187">
        <f t="shared" si="53"/>
        <v>5</v>
      </c>
      <c r="AC34" s="187">
        <f t="shared" si="53"/>
        <v>5</v>
      </c>
      <c r="AD34" s="187">
        <f t="shared" si="53"/>
        <v>5</v>
      </c>
      <c r="AE34" s="187">
        <f>+AD34</f>
        <v>5</v>
      </c>
      <c r="AJ34" s="187">
        <v>6</v>
      </c>
      <c r="AK34" s="187">
        <f>+AJ34</f>
        <v>6</v>
      </c>
      <c r="AL34" s="187">
        <f>+AK34</f>
        <v>6</v>
      </c>
      <c r="AM34" s="187">
        <v>6</v>
      </c>
      <c r="AN34" s="187">
        <f>+AM34</f>
        <v>6</v>
      </c>
      <c r="AO34" s="187">
        <f>+AN34</f>
        <v>6</v>
      </c>
      <c r="AP34" s="187">
        <v>7</v>
      </c>
      <c r="AQ34" s="187">
        <f t="shared" ref="AQ34:AU34" si="54">+AP34</f>
        <v>7</v>
      </c>
      <c r="AR34" s="187">
        <f t="shared" si="54"/>
        <v>7</v>
      </c>
      <c r="AS34" s="187">
        <f t="shared" si="54"/>
        <v>7</v>
      </c>
      <c r="AT34" s="187">
        <f t="shared" si="54"/>
        <v>7</v>
      </c>
      <c r="AU34" s="187">
        <f t="shared" si="54"/>
        <v>7</v>
      </c>
    </row>
    <row r="35" spans="1:49">
      <c r="D35" s="180">
        <f>+D23/D34</f>
        <v>4548000</v>
      </c>
      <c r="E35" s="180">
        <f t="shared" ref="E35:O35" si="55">+E23/E34</f>
        <v>12813300</v>
      </c>
      <c r="F35" s="180">
        <f t="shared" si="55"/>
        <v>22705100</v>
      </c>
      <c r="G35" s="180">
        <f t="shared" si="55"/>
        <v>16232600</v>
      </c>
      <c r="H35" s="180">
        <f t="shared" si="55"/>
        <v>21312000</v>
      </c>
      <c r="I35" s="180">
        <f t="shared" si="55"/>
        <v>27016950</v>
      </c>
      <c r="J35" s="180">
        <f t="shared" si="55"/>
        <v>33644050</v>
      </c>
      <c r="K35" s="180">
        <f t="shared" si="55"/>
        <v>41496300</v>
      </c>
      <c r="L35" s="180">
        <f t="shared" si="55"/>
        <v>50870300</v>
      </c>
      <c r="M35" s="180">
        <f t="shared" si="55"/>
        <v>41413966.666666664</v>
      </c>
      <c r="N35" s="180">
        <f t="shared" si="55"/>
        <v>50364233.333333336</v>
      </c>
      <c r="O35" s="180">
        <f t="shared" si="55"/>
        <v>61099233.333333336</v>
      </c>
      <c r="P35" s="202"/>
      <c r="T35" s="180">
        <f t="shared" ref="T35:U35" si="56">+T23/T34</f>
        <v>54977125</v>
      </c>
      <c r="U35" s="180">
        <f t="shared" si="56"/>
        <v>62493375</v>
      </c>
      <c r="V35" s="180">
        <f>+V23/V34</f>
        <v>69348750</v>
      </c>
      <c r="W35" s="180">
        <f t="shared" ref="W35:AE35" si="57">+W23/W34</f>
        <v>75469625</v>
      </c>
      <c r="X35" s="180">
        <f t="shared" si="57"/>
        <v>64661700</v>
      </c>
      <c r="Y35" s="180">
        <f t="shared" si="57"/>
        <v>68337000</v>
      </c>
      <c r="Z35" s="180">
        <f t="shared" si="57"/>
        <v>71451900</v>
      </c>
      <c r="AA35" s="180">
        <f t="shared" si="57"/>
        <v>74054700</v>
      </c>
      <c r="AB35" s="180">
        <f t="shared" si="57"/>
        <v>76219500</v>
      </c>
      <c r="AC35" s="180">
        <f t="shared" si="57"/>
        <v>77994600</v>
      </c>
      <c r="AD35" s="180">
        <f t="shared" si="57"/>
        <v>79466000</v>
      </c>
      <c r="AE35" s="180">
        <f t="shared" si="57"/>
        <v>80656900</v>
      </c>
      <c r="AF35" s="202"/>
      <c r="AJ35" s="180">
        <f t="shared" ref="AJ35:AK35" si="58">+AJ23/AJ34</f>
        <v>69451750</v>
      </c>
      <c r="AK35" s="180">
        <f t="shared" si="58"/>
        <v>70371116.666666672</v>
      </c>
      <c r="AL35" s="180">
        <f>+AL23/AL34</f>
        <v>71114483.333333328</v>
      </c>
      <c r="AM35" s="180">
        <f t="shared" ref="AM35:AU35" si="59">+AM23/AM34</f>
        <v>71712783.333333328</v>
      </c>
      <c r="AN35" s="180">
        <f t="shared" si="59"/>
        <v>78371633.333333328</v>
      </c>
      <c r="AO35" s="180">
        <f t="shared" si="59"/>
        <v>84212866.666666672</v>
      </c>
      <c r="AP35" s="180">
        <f t="shared" si="59"/>
        <v>76497585.714285716</v>
      </c>
      <c r="AQ35" s="180">
        <f t="shared" si="59"/>
        <v>80166371.428571433</v>
      </c>
      <c r="AR35" s="180">
        <f t="shared" si="59"/>
        <v>83251014.285714284</v>
      </c>
      <c r="AS35" s="180">
        <f t="shared" si="59"/>
        <v>85814157.142857149</v>
      </c>
      <c r="AT35" s="180">
        <f t="shared" si="59"/>
        <v>87934842.857142851</v>
      </c>
      <c r="AU35" s="180">
        <f t="shared" si="59"/>
        <v>89666100</v>
      </c>
      <c r="AV35" s="202"/>
    </row>
    <row r="36" spans="1:49" s="192" customFormat="1">
      <c r="A36" s="191">
        <v>1424000</v>
      </c>
      <c r="B36" s="209" t="s">
        <v>216</v>
      </c>
      <c r="D36" s="193">
        <f t="shared" ref="D36:O36" si="60">(SUM(D37:D60)*1.5)+D61</f>
        <v>12744308.75</v>
      </c>
      <c r="E36" s="193">
        <f t="shared" si="60"/>
        <v>13103849.300000001</v>
      </c>
      <c r="F36" s="193">
        <f t="shared" si="60"/>
        <v>13534142.6</v>
      </c>
      <c r="G36" s="193">
        <f t="shared" si="60"/>
        <v>13349984.449999999</v>
      </c>
      <c r="H36" s="193">
        <f t="shared" si="60"/>
        <v>13601414.75</v>
      </c>
      <c r="I36" s="193">
        <f t="shared" si="60"/>
        <v>17032945.399999999</v>
      </c>
      <c r="J36" s="193">
        <f t="shared" si="60"/>
        <v>17609503.100000001</v>
      </c>
      <c r="K36" s="193">
        <f t="shared" si="60"/>
        <v>20535448.850000001</v>
      </c>
      <c r="L36" s="193">
        <f t="shared" si="60"/>
        <v>23914186.850000001</v>
      </c>
      <c r="M36" s="193">
        <f t="shared" si="60"/>
        <v>27028993.399999995</v>
      </c>
      <c r="N36" s="193">
        <f t="shared" si="60"/>
        <v>28197003.199999992</v>
      </c>
      <c r="O36" s="193">
        <f t="shared" si="60"/>
        <v>31840720.699999992</v>
      </c>
      <c r="P36" s="205">
        <f>SUM(D36:O36)</f>
        <v>232492501.34999996</v>
      </c>
      <c r="R36" s="193">
        <f>+A36*(1+S36)</f>
        <v>1509440</v>
      </c>
      <c r="S36" s="194">
        <v>0.06</v>
      </c>
      <c r="T36" s="193">
        <f t="shared" ref="T36:AE36" si="61">(SUM(T37:T63)*1.5)</f>
        <v>51305349.75</v>
      </c>
      <c r="U36" s="193">
        <f t="shared" si="61"/>
        <v>55555445.25</v>
      </c>
      <c r="V36" s="193">
        <f t="shared" si="61"/>
        <v>59977188</v>
      </c>
      <c r="W36" s="193">
        <f t="shared" si="61"/>
        <v>61496199.75</v>
      </c>
      <c r="X36" s="193">
        <f t="shared" si="61"/>
        <v>67466007.75</v>
      </c>
      <c r="Y36" s="193">
        <f t="shared" si="61"/>
        <v>68603556</v>
      </c>
      <c r="Z36" s="193">
        <f t="shared" si="61"/>
        <v>69567165.75</v>
      </c>
      <c r="AA36" s="193">
        <f t="shared" si="61"/>
        <v>70371657.75</v>
      </c>
      <c r="AB36" s="193">
        <f t="shared" si="61"/>
        <v>71040429.75</v>
      </c>
      <c r="AC36" s="193">
        <f t="shared" si="61"/>
        <v>71588302.5</v>
      </c>
      <c r="AD36" s="193">
        <f t="shared" si="61"/>
        <v>74419344</v>
      </c>
      <c r="AE36" s="193">
        <f t="shared" si="61"/>
        <v>80075467.5</v>
      </c>
      <c r="AF36" s="205">
        <f>SUM(T36:AE36)</f>
        <v>801466113.75</v>
      </c>
      <c r="AG36" s="180">
        <f>+AF36/12</f>
        <v>66788842.8125</v>
      </c>
      <c r="AH36" s="193">
        <f>+R36*(1+AI36)</f>
        <v>1600006.4000000001</v>
      </c>
      <c r="AI36" s="194">
        <v>0.06</v>
      </c>
      <c r="AJ36" s="193">
        <f t="shared" ref="AJ36:AU36" si="62">(SUM(AJ37:AJ63)*1.5)</f>
        <v>92717795.609999999</v>
      </c>
      <c r="AK36" s="193">
        <f t="shared" si="62"/>
        <v>96400506.75000003</v>
      </c>
      <c r="AL36" s="193">
        <f t="shared" si="62"/>
        <v>103861457.25000003</v>
      </c>
      <c r="AM36" s="193">
        <f t="shared" si="62"/>
        <v>104071460.55000003</v>
      </c>
      <c r="AN36" s="193">
        <f t="shared" si="62"/>
        <v>106408716.90000001</v>
      </c>
      <c r="AO36" s="193">
        <f t="shared" si="62"/>
        <v>114579014.28</v>
      </c>
      <c r="AP36" s="193">
        <f t="shared" si="62"/>
        <v>118746069.03000002</v>
      </c>
      <c r="AQ36" s="193">
        <f t="shared" si="62"/>
        <v>120248436.78000006</v>
      </c>
      <c r="AR36" s="193">
        <f t="shared" si="62"/>
        <v>121511598.03000002</v>
      </c>
      <c r="AS36" s="193">
        <f t="shared" si="62"/>
        <v>125921218.47000006</v>
      </c>
      <c r="AT36" s="193">
        <f t="shared" si="62"/>
        <v>126789639.27000001</v>
      </c>
      <c r="AU36" s="193">
        <f t="shared" si="62"/>
        <v>127498589.06999999</v>
      </c>
      <c r="AV36" s="205">
        <f>SUM(AJ36:AU36)</f>
        <v>1358754501.99</v>
      </c>
      <c r="AW36" s="180">
        <f>+AV36/12</f>
        <v>113229541.8325</v>
      </c>
    </row>
    <row r="37" spans="1:49">
      <c r="A37" s="178">
        <v>0.05</v>
      </c>
      <c r="B37" s="213" t="s">
        <v>239</v>
      </c>
      <c r="C37" s="186"/>
      <c r="D37" s="180">
        <f>+$A$36*(1+A37)</f>
        <v>1495200</v>
      </c>
      <c r="E37" s="181">
        <f>+D37</f>
        <v>1495200</v>
      </c>
      <c r="F37" s="181">
        <f t="shared" ref="F37:O38" si="63">+E37</f>
        <v>1495200</v>
      </c>
      <c r="G37" s="181">
        <f t="shared" si="63"/>
        <v>1495200</v>
      </c>
      <c r="H37" s="181">
        <f t="shared" si="63"/>
        <v>1495200</v>
      </c>
      <c r="I37" s="181">
        <f t="shared" si="63"/>
        <v>1495200</v>
      </c>
      <c r="J37" s="181">
        <f t="shared" si="63"/>
        <v>1495200</v>
      </c>
      <c r="K37" s="181">
        <f t="shared" si="63"/>
        <v>1495200</v>
      </c>
      <c r="L37" s="181">
        <f t="shared" si="63"/>
        <v>1495200</v>
      </c>
      <c r="M37" s="181">
        <f t="shared" si="63"/>
        <v>1495200</v>
      </c>
      <c r="N37" s="181">
        <f t="shared" si="63"/>
        <v>1495200</v>
      </c>
      <c r="O37" s="181">
        <f t="shared" si="63"/>
        <v>1495200</v>
      </c>
      <c r="P37" s="202">
        <f>SUM(D37:O37)</f>
        <v>17942400</v>
      </c>
      <c r="T37" s="181">
        <f>+O37*(1+$S$36)</f>
        <v>1584912</v>
      </c>
      <c r="U37" s="181">
        <f>+T37</f>
        <v>1584912</v>
      </c>
      <c r="V37" s="181">
        <f t="shared" ref="V37:AE41" si="64">+U37</f>
        <v>1584912</v>
      </c>
      <c r="W37" s="181">
        <f t="shared" si="64"/>
        <v>1584912</v>
      </c>
      <c r="X37" s="181">
        <f t="shared" si="64"/>
        <v>1584912</v>
      </c>
      <c r="Y37" s="181">
        <f t="shared" si="64"/>
        <v>1584912</v>
      </c>
      <c r="Z37" s="181">
        <f t="shared" si="64"/>
        <v>1584912</v>
      </c>
      <c r="AA37" s="181">
        <f t="shared" si="64"/>
        <v>1584912</v>
      </c>
      <c r="AB37" s="181">
        <f t="shared" si="64"/>
        <v>1584912</v>
      </c>
      <c r="AC37" s="181">
        <f t="shared" si="64"/>
        <v>1584912</v>
      </c>
      <c r="AD37" s="181">
        <f t="shared" si="64"/>
        <v>1584912</v>
      </c>
      <c r="AE37" s="181">
        <f t="shared" si="64"/>
        <v>1584912</v>
      </c>
      <c r="AF37" s="202">
        <f>SUM(T37:AE37)</f>
        <v>19018944</v>
      </c>
      <c r="AI37" s="178">
        <v>0.15</v>
      </c>
      <c r="AJ37" s="181">
        <f>+AH36*(1+AI37)</f>
        <v>1840007.36</v>
      </c>
      <c r="AK37" s="181">
        <f>+AJ37</f>
        <v>1840007.36</v>
      </c>
      <c r="AL37" s="181">
        <f t="shared" ref="AL37:AU40" si="65">+AK37</f>
        <v>1840007.36</v>
      </c>
      <c r="AM37" s="181">
        <f t="shared" si="65"/>
        <v>1840007.36</v>
      </c>
      <c r="AN37" s="181">
        <f t="shared" si="65"/>
        <v>1840007.36</v>
      </c>
      <c r="AO37" s="181">
        <f t="shared" si="65"/>
        <v>1840007.36</v>
      </c>
      <c r="AP37" s="181">
        <f t="shared" si="65"/>
        <v>1840007.36</v>
      </c>
      <c r="AQ37" s="181">
        <f t="shared" si="65"/>
        <v>1840007.36</v>
      </c>
      <c r="AR37" s="181">
        <f t="shared" si="65"/>
        <v>1840007.36</v>
      </c>
      <c r="AS37" s="181">
        <f t="shared" si="65"/>
        <v>1840007.36</v>
      </c>
      <c r="AT37" s="181">
        <f t="shared" si="65"/>
        <v>1840007.36</v>
      </c>
      <c r="AU37" s="181">
        <f t="shared" si="65"/>
        <v>1840007.36</v>
      </c>
      <c r="AV37" s="202">
        <f>SUM(AJ37:AU37)</f>
        <v>22080088.319999997</v>
      </c>
    </row>
    <row r="38" spans="1:49">
      <c r="A38" s="178"/>
      <c r="B38" s="213" t="s">
        <v>240</v>
      </c>
      <c r="C38" s="186"/>
      <c r="D38" s="180"/>
      <c r="J38" s="180"/>
      <c r="K38" s="181">
        <f>+K37</f>
        <v>1495200</v>
      </c>
      <c r="L38" s="181">
        <f>+L37</f>
        <v>1495200</v>
      </c>
      <c r="M38" s="181">
        <f t="shared" si="63"/>
        <v>1495200</v>
      </c>
      <c r="N38" s="181">
        <f t="shared" si="63"/>
        <v>1495200</v>
      </c>
      <c r="O38" s="181">
        <f t="shared" si="63"/>
        <v>1495200</v>
      </c>
      <c r="P38" s="202">
        <f>SUM(D38:O38)</f>
        <v>7476000</v>
      </c>
      <c r="T38" s="181">
        <f>+T37</f>
        <v>1584912</v>
      </c>
      <c r="U38" s="181">
        <f>+T38</f>
        <v>1584912</v>
      </c>
      <c r="V38" s="181">
        <f t="shared" si="64"/>
        <v>1584912</v>
      </c>
      <c r="W38" s="181">
        <f t="shared" si="64"/>
        <v>1584912</v>
      </c>
      <c r="X38" s="181">
        <f t="shared" si="64"/>
        <v>1584912</v>
      </c>
      <c r="Y38" s="181">
        <f t="shared" si="64"/>
        <v>1584912</v>
      </c>
      <c r="Z38" s="181">
        <f t="shared" si="64"/>
        <v>1584912</v>
      </c>
      <c r="AA38" s="181">
        <f t="shared" si="64"/>
        <v>1584912</v>
      </c>
      <c r="AB38" s="181">
        <f t="shared" si="64"/>
        <v>1584912</v>
      </c>
      <c r="AC38" s="181">
        <f t="shared" si="64"/>
        <v>1584912</v>
      </c>
      <c r="AD38" s="181">
        <f t="shared" si="64"/>
        <v>1584912</v>
      </c>
      <c r="AE38" s="181">
        <f t="shared" si="64"/>
        <v>1584912</v>
      </c>
      <c r="AF38" s="202">
        <f>SUM(T38:AE38)</f>
        <v>19018944</v>
      </c>
      <c r="AJ38" s="181">
        <f>+AH36*(1+AI37)</f>
        <v>1840007.36</v>
      </c>
      <c r="AK38" s="181">
        <f>+AJ38</f>
        <v>1840007.36</v>
      </c>
      <c r="AL38" s="181">
        <f t="shared" si="65"/>
        <v>1840007.36</v>
      </c>
      <c r="AM38" s="181">
        <f t="shared" si="65"/>
        <v>1840007.36</v>
      </c>
      <c r="AN38" s="181">
        <f t="shared" si="65"/>
        <v>1840007.36</v>
      </c>
      <c r="AO38" s="181">
        <f t="shared" si="65"/>
        <v>1840007.36</v>
      </c>
      <c r="AP38" s="181">
        <f t="shared" si="65"/>
        <v>1840007.36</v>
      </c>
      <c r="AQ38" s="181">
        <f t="shared" si="65"/>
        <v>1840007.36</v>
      </c>
      <c r="AR38" s="181">
        <f t="shared" si="65"/>
        <v>1840007.36</v>
      </c>
      <c r="AS38" s="181">
        <f t="shared" si="65"/>
        <v>1840007.36</v>
      </c>
      <c r="AT38" s="181">
        <f t="shared" si="65"/>
        <v>1840007.36</v>
      </c>
      <c r="AU38" s="181">
        <f t="shared" si="65"/>
        <v>1840007.36</v>
      </c>
      <c r="AV38" s="202">
        <f>SUM(AJ38:AU38)</f>
        <v>22080088.319999997</v>
      </c>
    </row>
    <row r="39" spans="1:49">
      <c r="A39" s="178"/>
      <c r="B39" s="213" t="s">
        <v>241</v>
      </c>
      <c r="C39" s="186"/>
      <c r="D39" s="180"/>
      <c r="J39" s="180"/>
      <c r="K39" s="181"/>
      <c r="L39" s="181"/>
      <c r="M39" s="181"/>
      <c r="N39" s="181"/>
      <c r="O39" s="181">
        <f>+O38</f>
        <v>1495200</v>
      </c>
      <c r="P39" s="202">
        <f t="shared" ref="P39:P53" si="66">SUM(D39:O39)</f>
        <v>1495200</v>
      </c>
      <c r="T39" s="181">
        <f>+T38</f>
        <v>1584912</v>
      </c>
      <c r="U39" s="181">
        <f>+T39</f>
        <v>1584912</v>
      </c>
      <c r="V39" s="181">
        <f>+U39</f>
        <v>1584912</v>
      </c>
      <c r="W39" s="181">
        <f t="shared" si="64"/>
        <v>1584912</v>
      </c>
      <c r="X39" s="181">
        <f t="shared" si="64"/>
        <v>1584912</v>
      </c>
      <c r="Y39" s="181">
        <f t="shared" si="64"/>
        <v>1584912</v>
      </c>
      <c r="Z39" s="181">
        <f t="shared" si="64"/>
        <v>1584912</v>
      </c>
      <c r="AA39" s="181">
        <f t="shared" si="64"/>
        <v>1584912</v>
      </c>
      <c r="AB39" s="181">
        <f t="shared" si="64"/>
        <v>1584912</v>
      </c>
      <c r="AC39" s="181">
        <f t="shared" si="64"/>
        <v>1584912</v>
      </c>
      <c r="AD39" s="181">
        <f t="shared" si="64"/>
        <v>1584912</v>
      </c>
      <c r="AE39" s="181">
        <f t="shared" si="64"/>
        <v>1584912</v>
      </c>
      <c r="AF39" s="202">
        <f t="shared" ref="AF39:AF65" si="67">SUM(T39:AE39)</f>
        <v>19018944</v>
      </c>
      <c r="AJ39" s="181">
        <f>+AH36*(1+AI37)</f>
        <v>1840007.36</v>
      </c>
      <c r="AK39" s="181">
        <f>+AJ39</f>
        <v>1840007.36</v>
      </c>
      <c r="AL39" s="181">
        <f>+AK39</f>
        <v>1840007.36</v>
      </c>
      <c r="AM39" s="181">
        <f t="shared" si="65"/>
        <v>1840007.36</v>
      </c>
      <c r="AN39" s="181">
        <f t="shared" si="65"/>
        <v>1840007.36</v>
      </c>
      <c r="AO39" s="181">
        <f t="shared" si="65"/>
        <v>1840007.36</v>
      </c>
      <c r="AP39" s="181">
        <f t="shared" si="65"/>
        <v>1840007.36</v>
      </c>
      <c r="AQ39" s="181">
        <f t="shared" si="65"/>
        <v>1840007.36</v>
      </c>
      <c r="AR39" s="181">
        <f t="shared" si="65"/>
        <v>1840007.36</v>
      </c>
      <c r="AS39" s="181">
        <f t="shared" si="65"/>
        <v>1840007.36</v>
      </c>
      <c r="AT39" s="181">
        <f t="shared" si="65"/>
        <v>1840007.36</v>
      </c>
      <c r="AU39" s="181">
        <f t="shared" si="65"/>
        <v>1840007.36</v>
      </c>
      <c r="AV39" s="202">
        <f t="shared" ref="AV39:AV77" si="68">SUM(AJ39:AU39)</f>
        <v>22080088.319999997</v>
      </c>
    </row>
    <row r="40" spans="1:49">
      <c r="A40" s="178"/>
      <c r="B40" s="213" t="s">
        <v>242</v>
      </c>
      <c r="C40" s="186"/>
      <c r="D40" s="180"/>
      <c r="J40" s="180"/>
      <c r="K40" s="181"/>
      <c r="L40" s="181"/>
      <c r="M40" s="181"/>
      <c r="N40" s="181"/>
      <c r="O40" s="181"/>
      <c r="P40" s="202">
        <f t="shared" si="66"/>
        <v>0</v>
      </c>
      <c r="T40" s="181"/>
      <c r="U40" s="181">
        <f>+U39</f>
        <v>1584912</v>
      </c>
      <c r="V40" s="181">
        <f>+U40</f>
        <v>1584912</v>
      </c>
      <c r="W40" s="181">
        <f t="shared" si="64"/>
        <v>1584912</v>
      </c>
      <c r="X40" s="181">
        <f t="shared" si="64"/>
        <v>1584912</v>
      </c>
      <c r="Y40" s="181">
        <f t="shared" si="64"/>
        <v>1584912</v>
      </c>
      <c r="Z40" s="181">
        <f>+Z39</f>
        <v>1584912</v>
      </c>
      <c r="AA40" s="181">
        <f t="shared" si="64"/>
        <v>1584912</v>
      </c>
      <c r="AB40" s="181">
        <f t="shared" si="64"/>
        <v>1584912</v>
      </c>
      <c r="AC40" s="181">
        <f t="shared" si="64"/>
        <v>1584912</v>
      </c>
      <c r="AD40" s="181">
        <f t="shared" si="64"/>
        <v>1584912</v>
      </c>
      <c r="AE40" s="181">
        <f t="shared" si="64"/>
        <v>1584912</v>
      </c>
      <c r="AF40" s="202">
        <f t="shared" si="67"/>
        <v>17434032</v>
      </c>
      <c r="AJ40" s="181">
        <f>+AH36*(1+AI37)</f>
        <v>1840007.36</v>
      </c>
      <c r="AK40" s="181">
        <f>+AJ40</f>
        <v>1840007.36</v>
      </c>
      <c r="AL40" s="181">
        <f t="shared" ref="AL40:AM40" si="69">+AL39</f>
        <v>1840007.36</v>
      </c>
      <c r="AM40" s="181">
        <f t="shared" si="69"/>
        <v>1840007.36</v>
      </c>
      <c r="AN40" s="181">
        <f>+AN39</f>
        <v>1840007.36</v>
      </c>
      <c r="AO40" s="181">
        <f>+AN40</f>
        <v>1840007.36</v>
      </c>
      <c r="AP40" s="181">
        <f t="shared" si="65"/>
        <v>1840007.36</v>
      </c>
      <c r="AQ40" s="181">
        <f t="shared" si="65"/>
        <v>1840007.36</v>
      </c>
      <c r="AR40" s="181">
        <f t="shared" si="65"/>
        <v>1840007.36</v>
      </c>
      <c r="AS40" s="181">
        <f t="shared" si="65"/>
        <v>1840007.36</v>
      </c>
      <c r="AT40" s="181">
        <f t="shared" si="65"/>
        <v>1840007.36</v>
      </c>
      <c r="AU40" s="181">
        <f t="shared" si="65"/>
        <v>1840007.36</v>
      </c>
      <c r="AV40" s="202">
        <f t="shared" si="68"/>
        <v>22080088.319999997</v>
      </c>
    </row>
    <row r="41" spans="1:49">
      <c r="A41" s="178"/>
      <c r="B41" s="213" t="s">
        <v>257</v>
      </c>
      <c r="C41" s="186"/>
      <c r="D41" s="180"/>
      <c r="J41" s="180"/>
      <c r="K41" s="181"/>
      <c r="L41" s="181"/>
      <c r="M41" s="181"/>
      <c r="N41" s="181"/>
      <c r="O41" s="181"/>
      <c r="P41" s="202">
        <f t="shared" si="66"/>
        <v>0</v>
      </c>
      <c r="T41" s="181"/>
      <c r="U41" s="181"/>
      <c r="V41" s="181"/>
      <c r="W41" s="181"/>
      <c r="X41" s="181">
        <f>+X40</f>
        <v>1584912</v>
      </c>
      <c r="Y41" s="181">
        <f t="shared" si="64"/>
        <v>1584912</v>
      </c>
      <c r="Z41" s="181">
        <f t="shared" ref="Z41" si="70">+Y41</f>
        <v>1584912</v>
      </c>
      <c r="AA41" s="181">
        <f t="shared" ref="AA41" si="71">+Z41</f>
        <v>1584912</v>
      </c>
      <c r="AB41" s="181">
        <f t="shared" ref="AB41" si="72">+AA41</f>
        <v>1584912</v>
      </c>
      <c r="AC41" s="181">
        <f t="shared" ref="AC41" si="73">+AB41</f>
        <v>1584912</v>
      </c>
      <c r="AD41" s="181">
        <f t="shared" ref="AD41" si="74">+AC41</f>
        <v>1584912</v>
      </c>
      <c r="AE41" s="181">
        <f t="shared" ref="AE41:AE42" si="75">+AD41</f>
        <v>1584912</v>
      </c>
      <c r="AF41" s="202">
        <f t="shared" si="67"/>
        <v>12679296</v>
      </c>
      <c r="AJ41" s="181">
        <f>+AJ40</f>
        <v>1840007.36</v>
      </c>
      <c r="AK41" s="181">
        <f t="shared" ref="AK41:AM41" si="76">+AK40</f>
        <v>1840007.36</v>
      </c>
      <c r="AL41" s="181">
        <f t="shared" si="76"/>
        <v>1840007.36</v>
      </c>
      <c r="AM41" s="181">
        <f t="shared" si="76"/>
        <v>1840007.36</v>
      </c>
      <c r="AN41" s="181">
        <f>+AN40</f>
        <v>1840007.36</v>
      </c>
      <c r="AO41" s="181">
        <f t="shared" ref="AO41:AU43" si="77">+AN41</f>
        <v>1840007.36</v>
      </c>
      <c r="AP41" s="181">
        <f t="shared" si="77"/>
        <v>1840007.36</v>
      </c>
      <c r="AQ41" s="181">
        <f t="shared" si="77"/>
        <v>1840007.36</v>
      </c>
      <c r="AR41" s="181">
        <f t="shared" si="77"/>
        <v>1840007.36</v>
      </c>
      <c r="AS41" s="181">
        <f t="shared" si="77"/>
        <v>1840007.36</v>
      </c>
      <c r="AT41" s="181">
        <f t="shared" si="77"/>
        <v>1840007.36</v>
      </c>
      <c r="AU41" s="181">
        <f t="shared" si="77"/>
        <v>1840007.36</v>
      </c>
      <c r="AV41" s="202">
        <f t="shared" si="68"/>
        <v>22080088.319999997</v>
      </c>
    </row>
    <row r="42" spans="1:49">
      <c r="A42" s="178"/>
      <c r="B42" s="213" t="s">
        <v>258</v>
      </c>
      <c r="C42" s="186"/>
      <c r="D42" s="180"/>
      <c r="J42" s="180"/>
      <c r="K42" s="181"/>
      <c r="L42" s="181"/>
      <c r="M42" s="181"/>
      <c r="N42" s="181"/>
      <c r="O42" s="181"/>
      <c r="P42" s="202">
        <f t="shared" si="66"/>
        <v>0</v>
      </c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>
        <f>+AD41</f>
        <v>1584912</v>
      </c>
      <c r="AE42" s="181">
        <f t="shared" si="75"/>
        <v>1584912</v>
      </c>
      <c r="AF42" s="202">
        <f t="shared" si="67"/>
        <v>3169824</v>
      </c>
      <c r="AJ42" s="181">
        <f>+AJ41</f>
        <v>1840007.36</v>
      </c>
      <c r="AK42" s="181">
        <f>+AJ42</f>
        <v>1840007.36</v>
      </c>
      <c r="AL42" s="181">
        <f>+AK42</f>
        <v>1840007.36</v>
      </c>
      <c r="AM42" s="181">
        <f t="shared" ref="AM42:AN42" si="78">+AL42</f>
        <v>1840007.36</v>
      </c>
      <c r="AN42" s="181">
        <f t="shared" si="78"/>
        <v>1840007.36</v>
      </c>
      <c r="AO42" s="181">
        <f t="shared" si="77"/>
        <v>1840007.36</v>
      </c>
      <c r="AP42" s="181">
        <f t="shared" si="77"/>
        <v>1840007.36</v>
      </c>
      <c r="AQ42" s="181">
        <f>+AQ41</f>
        <v>1840007.36</v>
      </c>
      <c r="AR42" s="181">
        <f t="shared" si="77"/>
        <v>1840007.36</v>
      </c>
      <c r="AS42" s="181">
        <f t="shared" si="77"/>
        <v>1840007.36</v>
      </c>
      <c r="AT42" s="181">
        <f t="shared" si="77"/>
        <v>1840007.36</v>
      </c>
      <c r="AU42" s="181">
        <f t="shared" si="77"/>
        <v>1840007.36</v>
      </c>
      <c r="AV42" s="202">
        <f t="shared" si="68"/>
        <v>22080088.319999997</v>
      </c>
    </row>
    <row r="43" spans="1:49">
      <c r="A43" s="178"/>
      <c r="B43" s="213" t="s">
        <v>300</v>
      </c>
      <c r="C43" s="186"/>
      <c r="D43" s="180"/>
      <c r="J43" s="180"/>
      <c r="K43" s="181"/>
      <c r="L43" s="181"/>
      <c r="M43" s="181"/>
      <c r="N43" s="181"/>
      <c r="O43" s="181"/>
      <c r="P43" s="202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202"/>
      <c r="AJ43" s="181"/>
      <c r="AK43" s="181"/>
      <c r="AL43" s="181"/>
      <c r="AM43" s="181"/>
      <c r="AN43" s="181"/>
      <c r="AO43" s="181">
        <f>+AO42</f>
        <v>1840007.36</v>
      </c>
      <c r="AP43" s="181">
        <f t="shared" si="77"/>
        <v>1840007.36</v>
      </c>
      <c r="AQ43" s="181">
        <f t="shared" ref="AQ43" si="79">+AP43</f>
        <v>1840007.36</v>
      </c>
      <c r="AR43" s="181">
        <f t="shared" ref="AR43" si="80">+AQ43</f>
        <v>1840007.36</v>
      </c>
      <c r="AS43" s="181">
        <f t="shared" ref="AS43" si="81">+AR43</f>
        <v>1840007.36</v>
      </c>
      <c r="AT43" s="181">
        <f t="shared" ref="AT43" si="82">+AS43</f>
        <v>1840007.36</v>
      </c>
      <c r="AU43" s="181">
        <f t="shared" ref="AU43" si="83">+AT43</f>
        <v>1840007.36</v>
      </c>
      <c r="AV43" s="202">
        <f t="shared" si="68"/>
        <v>12880051.52</v>
      </c>
    </row>
    <row r="44" spans="1:49">
      <c r="A44" s="178"/>
      <c r="B44" s="213" t="s">
        <v>261</v>
      </c>
      <c r="C44" s="186"/>
      <c r="D44" s="180"/>
      <c r="J44" s="180"/>
      <c r="K44" s="181"/>
      <c r="L44" s="181"/>
      <c r="M44" s="181"/>
      <c r="N44" s="181"/>
      <c r="O44" s="181"/>
      <c r="P44" s="202">
        <f t="shared" si="66"/>
        <v>0</v>
      </c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202">
        <f t="shared" si="67"/>
        <v>0</v>
      </c>
      <c r="AI44" s="178">
        <v>2</v>
      </c>
      <c r="AJ44" s="181"/>
      <c r="AK44" s="181"/>
      <c r="AL44" s="181">
        <f>+$AH$36*(1+AI44)</f>
        <v>4800019.2</v>
      </c>
      <c r="AM44" s="181">
        <f>+AL44</f>
        <v>4800019.2</v>
      </c>
      <c r="AN44" s="181">
        <f>+AM44</f>
        <v>4800019.2</v>
      </c>
      <c r="AO44" s="181">
        <f t="shared" ref="AO44:AU44" si="84">+AN44</f>
        <v>4800019.2</v>
      </c>
      <c r="AP44" s="181">
        <f t="shared" si="84"/>
        <v>4800019.2</v>
      </c>
      <c r="AQ44" s="181">
        <f t="shared" si="84"/>
        <v>4800019.2</v>
      </c>
      <c r="AR44" s="181">
        <f t="shared" si="84"/>
        <v>4800019.2</v>
      </c>
      <c r="AS44" s="181">
        <f t="shared" si="84"/>
        <v>4800019.2</v>
      </c>
      <c r="AT44" s="181">
        <f t="shared" si="84"/>
        <v>4800019.2</v>
      </c>
      <c r="AU44" s="181">
        <f t="shared" si="84"/>
        <v>4800019.2</v>
      </c>
      <c r="AV44" s="202">
        <f t="shared" si="68"/>
        <v>48000192.000000007</v>
      </c>
    </row>
    <row r="45" spans="1:49">
      <c r="A45" s="178">
        <v>0.2</v>
      </c>
      <c r="B45" s="213" t="s">
        <v>233</v>
      </c>
      <c r="C45" s="186"/>
      <c r="D45" s="180">
        <f t="shared" ref="D45:D60" si="85">+$A$36*(1+A45)</f>
        <v>1708800</v>
      </c>
      <c r="E45" s="181">
        <f>+D45</f>
        <v>1708800</v>
      </c>
      <c r="F45" s="181">
        <f t="shared" ref="F45:O46" si="86">+E45</f>
        <v>1708800</v>
      </c>
      <c r="G45" s="181">
        <f t="shared" si="86"/>
        <v>1708800</v>
      </c>
      <c r="H45" s="181">
        <f t="shared" si="86"/>
        <v>1708800</v>
      </c>
      <c r="I45" s="181">
        <f t="shared" si="86"/>
        <v>1708800</v>
      </c>
      <c r="J45" s="181">
        <f t="shared" si="86"/>
        <v>1708800</v>
      </c>
      <c r="K45" s="181">
        <f t="shared" si="86"/>
        <v>1708800</v>
      </c>
      <c r="L45" s="181">
        <f t="shared" si="86"/>
        <v>1708800</v>
      </c>
      <c r="M45" s="181">
        <f t="shared" si="86"/>
        <v>1708800</v>
      </c>
      <c r="N45" s="181">
        <f t="shared" si="86"/>
        <v>1708800</v>
      </c>
      <c r="O45" s="181">
        <f t="shared" si="86"/>
        <v>1708800</v>
      </c>
      <c r="P45" s="202">
        <f t="shared" si="66"/>
        <v>20505600</v>
      </c>
      <c r="T45" s="181">
        <f>+O45*(1+$S$36)</f>
        <v>1811328</v>
      </c>
      <c r="U45" s="181">
        <f>+T45</f>
        <v>1811328</v>
      </c>
      <c r="V45" s="181">
        <f t="shared" ref="V45:AE47" si="87">+U45</f>
        <v>1811328</v>
      </c>
      <c r="W45" s="181">
        <f t="shared" si="87"/>
        <v>1811328</v>
      </c>
      <c r="X45" s="181">
        <f t="shared" si="87"/>
        <v>1811328</v>
      </c>
      <c r="Y45" s="181">
        <f t="shared" si="87"/>
        <v>1811328</v>
      </c>
      <c r="Z45" s="181">
        <f t="shared" si="87"/>
        <v>1811328</v>
      </c>
      <c r="AA45" s="181">
        <f t="shared" si="87"/>
        <v>1811328</v>
      </c>
      <c r="AB45" s="181">
        <f t="shared" si="87"/>
        <v>1811328</v>
      </c>
      <c r="AC45" s="181">
        <f t="shared" si="87"/>
        <v>1811328</v>
      </c>
      <c r="AD45" s="181">
        <f t="shared" si="87"/>
        <v>1811328</v>
      </c>
      <c r="AE45" s="181">
        <f t="shared" si="87"/>
        <v>1811328</v>
      </c>
      <c r="AF45" s="202">
        <f t="shared" si="67"/>
        <v>21735936</v>
      </c>
      <c r="AI45" s="178">
        <v>0.4</v>
      </c>
      <c r="AJ45" s="181">
        <f>+$AH$36*(1+AI45)</f>
        <v>2240008.96</v>
      </c>
      <c r="AK45" s="181">
        <f>+AJ45</f>
        <v>2240008.96</v>
      </c>
      <c r="AL45" s="181">
        <f t="shared" ref="AL45:AU50" si="88">+AK45</f>
        <v>2240008.96</v>
      </c>
      <c r="AM45" s="181">
        <f t="shared" si="88"/>
        <v>2240008.96</v>
      </c>
      <c r="AN45" s="181">
        <f t="shared" si="88"/>
        <v>2240008.96</v>
      </c>
      <c r="AO45" s="181">
        <f t="shared" si="88"/>
        <v>2240008.96</v>
      </c>
      <c r="AP45" s="181">
        <f t="shared" si="88"/>
        <v>2240008.96</v>
      </c>
      <c r="AQ45" s="181">
        <f t="shared" si="88"/>
        <v>2240008.96</v>
      </c>
      <c r="AR45" s="181">
        <f t="shared" si="88"/>
        <v>2240008.96</v>
      </c>
      <c r="AS45" s="181">
        <f t="shared" si="88"/>
        <v>2240008.96</v>
      </c>
      <c r="AT45" s="181">
        <f t="shared" si="88"/>
        <v>2240008.96</v>
      </c>
      <c r="AU45" s="181">
        <f t="shared" si="88"/>
        <v>2240008.96</v>
      </c>
      <c r="AV45" s="202">
        <f t="shared" si="68"/>
        <v>26880107.520000007</v>
      </c>
    </row>
    <row r="46" spans="1:49">
      <c r="A46" s="178"/>
      <c r="B46" s="213" t="s">
        <v>234</v>
      </c>
      <c r="C46" s="186"/>
      <c r="D46" s="180"/>
      <c r="L46" s="180">
        <f>+$A$36*(1+A45)</f>
        <v>1708800</v>
      </c>
      <c r="M46" s="181">
        <f>+L46</f>
        <v>1708800</v>
      </c>
      <c r="N46" s="181">
        <f t="shared" si="86"/>
        <v>1708800</v>
      </c>
      <c r="O46" s="181">
        <f t="shared" si="86"/>
        <v>1708800</v>
      </c>
      <c r="P46" s="202">
        <f t="shared" si="66"/>
        <v>6835200</v>
      </c>
      <c r="T46" s="181">
        <f>+O46*(1+$S$36)</f>
        <v>1811328</v>
      </c>
      <c r="U46" s="181">
        <f>+T46</f>
        <v>1811328</v>
      </c>
      <c r="V46" s="181">
        <f t="shared" si="87"/>
        <v>1811328</v>
      </c>
      <c r="W46" s="181">
        <f t="shared" si="87"/>
        <v>1811328</v>
      </c>
      <c r="X46" s="181">
        <f t="shared" si="87"/>
        <v>1811328</v>
      </c>
      <c r="Y46" s="181">
        <f t="shared" si="87"/>
        <v>1811328</v>
      </c>
      <c r="Z46" s="181">
        <f t="shared" si="87"/>
        <v>1811328</v>
      </c>
      <c r="AA46" s="181">
        <f t="shared" si="87"/>
        <v>1811328</v>
      </c>
      <c r="AB46" s="181">
        <f t="shared" si="87"/>
        <v>1811328</v>
      </c>
      <c r="AC46" s="181">
        <f t="shared" si="87"/>
        <v>1811328</v>
      </c>
      <c r="AD46" s="181">
        <f t="shared" si="87"/>
        <v>1811328</v>
      </c>
      <c r="AE46" s="181">
        <f t="shared" si="87"/>
        <v>1811328</v>
      </c>
      <c r="AF46" s="202">
        <f t="shared" si="67"/>
        <v>21735936</v>
      </c>
      <c r="AJ46" s="181">
        <f>+$AH$36*(1+AI45)</f>
        <v>2240008.96</v>
      </c>
      <c r="AK46" s="181">
        <f>+AJ46</f>
        <v>2240008.96</v>
      </c>
      <c r="AL46" s="181">
        <f t="shared" si="88"/>
        <v>2240008.96</v>
      </c>
      <c r="AM46" s="181">
        <f t="shared" si="88"/>
        <v>2240008.96</v>
      </c>
      <c r="AN46" s="181">
        <f t="shared" si="88"/>
        <v>2240008.96</v>
      </c>
      <c r="AO46" s="181">
        <f t="shared" si="88"/>
        <v>2240008.96</v>
      </c>
      <c r="AP46" s="181">
        <f t="shared" si="88"/>
        <v>2240008.96</v>
      </c>
      <c r="AQ46" s="181">
        <f t="shared" si="88"/>
        <v>2240008.96</v>
      </c>
      <c r="AR46" s="181">
        <f t="shared" si="88"/>
        <v>2240008.96</v>
      </c>
      <c r="AS46" s="181">
        <f t="shared" si="88"/>
        <v>2240008.96</v>
      </c>
      <c r="AT46" s="181">
        <f t="shared" si="88"/>
        <v>2240008.96</v>
      </c>
      <c r="AU46" s="181">
        <f t="shared" si="88"/>
        <v>2240008.96</v>
      </c>
      <c r="AV46" s="202">
        <f t="shared" si="68"/>
        <v>26880107.520000007</v>
      </c>
    </row>
    <row r="47" spans="1:49">
      <c r="A47" s="178"/>
      <c r="B47" s="213" t="s">
        <v>235</v>
      </c>
      <c r="C47" s="186"/>
      <c r="D47" s="180"/>
      <c r="L47" s="180"/>
      <c r="M47" s="181"/>
      <c r="N47" s="181"/>
      <c r="O47" s="181"/>
      <c r="P47" s="202">
        <f t="shared" si="66"/>
        <v>0</v>
      </c>
      <c r="T47" s="181"/>
      <c r="U47" s="181"/>
      <c r="V47" s="181">
        <f>+V46</f>
        <v>1811328</v>
      </c>
      <c r="W47" s="181">
        <f t="shared" si="87"/>
        <v>1811328</v>
      </c>
      <c r="X47" s="181">
        <f t="shared" si="87"/>
        <v>1811328</v>
      </c>
      <c r="Y47" s="181">
        <f t="shared" si="87"/>
        <v>1811328</v>
      </c>
      <c r="Z47" s="181">
        <f t="shared" si="87"/>
        <v>1811328</v>
      </c>
      <c r="AA47" s="181">
        <f t="shared" si="87"/>
        <v>1811328</v>
      </c>
      <c r="AB47" s="181">
        <f t="shared" si="87"/>
        <v>1811328</v>
      </c>
      <c r="AC47" s="181">
        <f t="shared" si="87"/>
        <v>1811328</v>
      </c>
      <c r="AD47" s="181">
        <f t="shared" si="87"/>
        <v>1811328</v>
      </c>
      <c r="AE47" s="181">
        <f t="shared" si="87"/>
        <v>1811328</v>
      </c>
      <c r="AF47" s="202">
        <f t="shared" si="67"/>
        <v>18113280</v>
      </c>
      <c r="AJ47" s="181">
        <f>+AJ46</f>
        <v>2240008.96</v>
      </c>
      <c r="AK47" s="181">
        <f>+AJ47</f>
        <v>2240008.96</v>
      </c>
      <c r="AL47" s="181">
        <f>+AL46</f>
        <v>2240008.96</v>
      </c>
      <c r="AM47" s="181">
        <f t="shared" si="88"/>
        <v>2240008.96</v>
      </c>
      <c r="AN47" s="181">
        <f t="shared" si="88"/>
        <v>2240008.96</v>
      </c>
      <c r="AO47" s="181">
        <f t="shared" si="88"/>
        <v>2240008.96</v>
      </c>
      <c r="AP47" s="181">
        <f t="shared" si="88"/>
        <v>2240008.96</v>
      </c>
      <c r="AQ47" s="181">
        <f t="shared" si="88"/>
        <v>2240008.96</v>
      </c>
      <c r="AR47" s="181">
        <f t="shared" si="88"/>
        <v>2240008.96</v>
      </c>
      <c r="AS47" s="181">
        <f t="shared" si="88"/>
        <v>2240008.96</v>
      </c>
      <c r="AT47" s="181">
        <f t="shared" si="88"/>
        <v>2240008.96</v>
      </c>
      <c r="AU47" s="181">
        <f t="shared" si="88"/>
        <v>2240008.96</v>
      </c>
      <c r="AV47" s="202">
        <f t="shared" si="68"/>
        <v>26880107.520000007</v>
      </c>
    </row>
    <row r="48" spans="1:49">
      <c r="A48" s="178"/>
      <c r="B48" s="213" t="s">
        <v>246</v>
      </c>
      <c r="C48" s="186"/>
      <c r="D48" s="180"/>
      <c r="L48" s="180"/>
      <c r="M48" s="181"/>
      <c r="N48" s="181"/>
      <c r="O48" s="181"/>
      <c r="P48" s="202">
        <f t="shared" si="66"/>
        <v>0</v>
      </c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202">
        <f t="shared" si="67"/>
        <v>0</v>
      </c>
      <c r="AJ48" s="181"/>
      <c r="AK48" s="181">
        <f>+AK47</f>
        <v>2240008.96</v>
      </c>
      <c r="AL48" s="181">
        <f>+AK48</f>
        <v>2240008.96</v>
      </c>
      <c r="AM48" s="181">
        <f>+AL48</f>
        <v>2240008.96</v>
      </c>
      <c r="AN48" s="181">
        <f t="shared" si="88"/>
        <v>2240008.96</v>
      </c>
      <c r="AO48" s="181">
        <f t="shared" si="88"/>
        <v>2240008.96</v>
      </c>
      <c r="AP48" s="181">
        <f t="shared" si="88"/>
        <v>2240008.96</v>
      </c>
      <c r="AQ48" s="181">
        <f t="shared" si="88"/>
        <v>2240008.96</v>
      </c>
      <c r="AR48" s="181">
        <f t="shared" si="88"/>
        <v>2240008.96</v>
      </c>
      <c r="AS48" s="181">
        <f t="shared" si="88"/>
        <v>2240008.96</v>
      </c>
      <c r="AT48" s="181">
        <f t="shared" si="88"/>
        <v>2240008.96</v>
      </c>
      <c r="AU48" s="181">
        <f t="shared" si="88"/>
        <v>2240008.96</v>
      </c>
      <c r="AV48" s="202">
        <f t="shared" si="68"/>
        <v>24640098.560000006</v>
      </c>
    </row>
    <row r="49" spans="1:49">
      <c r="A49" s="178"/>
      <c r="B49" s="213" t="s">
        <v>259</v>
      </c>
      <c r="C49" s="186"/>
      <c r="D49" s="180"/>
      <c r="L49" s="180"/>
      <c r="M49" s="181"/>
      <c r="N49" s="181"/>
      <c r="O49" s="181"/>
      <c r="P49" s="202">
        <f t="shared" si="66"/>
        <v>0</v>
      </c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202">
        <f t="shared" si="67"/>
        <v>0</v>
      </c>
      <c r="AJ49" s="181"/>
      <c r="AK49" s="181"/>
      <c r="AL49" s="181"/>
      <c r="AM49" s="181"/>
      <c r="AN49" s="181"/>
      <c r="AO49" s="181">
        <f>+AO48</f>
        <v>2240008.96</v>
      </c>
      <c r="AP49" s="181">
        <f>+AO49</f>
        <v>2240008.96</v>
      </c>
      <c r="AQ49" s="181">
        <f t="shared" si="88"/>
        <v>2240008.96</v>
      </c>
      <c r="AR49" s="181">
        <f t="shared" si="88"/>
        <v>2240008.96</v>
      </c>
      <c r="AS49" s="181">
        <f t="shared" si="88"/>
        <v>2240008.96</v>
      </c>
      <c r="AT49" s="181">
        <f t="shared" si="88"/>
        <v>2240008.96</v>
      </c>
      <c r="AU49" s="181">
        <f t="shared" si="88"/>
        <v>2240008.96</v>
      </c>
      <c r="AV49" s="202">
        <f t="shared" si="68"/>
        <v>15680062.720000003</v>
      </c>
    </row>
    <row r="50" spans="1:49">
      <c r="A50" s="178"/>
      <c r="B50" s="213" t="s">
        <v>260</v>
      </c>
      <c r="C50" s="186"/>
      <c r="D50" s="180"/>
      <c r="L50" s="180"/>
      <c r="M50" s="181"/>
      <c r="N50" s="181"/>
      <c r="O50" s="181"/>
      <c r="P50" s="202">
        <f t="shared" si="66"/>
        <v>0</v>
      </c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202">
        <f t="shared" si="67"/>
        <v>0</v>
      </c>
      <c r="AJ50" s="181"/>
      <c r="AK50" s="181"/>
      <c r="AL50" s="181"/>
      <c r="AM50" s="181"/>
      <c r="AN50" s="181"/>
      <c r="AO50" s="181"/>
      <c r="AP50" s="181"/>
      <c r="AQ50" s="181"/>
      <c r="AR50" s="181"/>
      <c r="AS50" s="181">
        <f>+AS49</f>
        <v>2240008.96</v>
      </c>
      <c r="AT50" s="181">
        <f t="shared" si="88"/>
        <v>2240008.96</v>
      </c>
      <c r="AU50" s="181">
        <f>+AU49</f>
        <v>2240008.96</v>
      </c>
      <c r="AV50" s="202">
        <f t="shared" si="68"/>
        <v>6720026.8799999999</v>
      </c>
    </row>
    <row r="51" spans="1:49">
      <c r="A51" s="178">
        <v>0</v>
      </c>
      <c r="B51" s="212" t="s">
        <v>217</v>
      </c>
      <c r="C51" s="186"/>
      <c r="D51" s="180">
        <f>+($A$36*(1+$A51))+((D$23*2.5%)/D$34)</f>
        <v>1537700</v>
      </c>
      <c r="E51" s="180">
        <f t="shared" ref="E51:O51" si="89">+($A$36*(1+$A51))+((E23*2.5%)/E34)</f>
        <v>1744332.5</v>
      </c>
      <c r="F51" s="180">
        <f t="shared" si="89"/>
        <v>1991627.5</v>
      </c>
      <c r="G51" s="180">
        <f t="shared" si="89"/>
        <v>1829815</v>
      </c>
      <c r="H51" s="180">
        <f t="shared" si="89"/>
        <v>1956800</v>
      </c>
      <c r="I51" s="180">
        <f t="shared" si="89"/>
        <v>2099423.75</v>
      </c>
      <c r="J51" s="180">
        <f t="shared" si="89"/>
        <v>2265101.25</v>
      </c>
      <c r="K51" s="180">
        <f t="shared" si="89"/>
        <v>2461407.5</v>
      </c>
      <c r="L51" s="180">
        <f t="shared" si="89"/>
        <v>2695757.5</v>
      </c>
      <c r="M51" s="180">
        <f t="shared" si="89"/>
        <v>2459349.1666666665</v>
      </c>
      <c r="N51" s="180">
        <f t="shared" si="89"/>
        <v>2683105.833333333</v>
      </c>
      <c r="O51" s="180">
        <f t="shared" si="89"/>
        <v>2951480.833333333</v>
      </c>
      <c r="P51" s="202">
        <f t="shared" si="66"/>
        <v>26675900.833333332</v>
      </c>
      <c r="Q51" s="188"/>
      <c r="T51" s="180">
        <f t="shared" ref="T51:AE55" si="90">+($A$36*(1+$S$36))+((T$23*2.5%)/T$34)</f>
        <v>2883868.125</v>
      </c>
      <c r="U51" s="180">
        <f t="shared" si="90"/>
        <v>3071774.375</v>
      </c>
      <c r="V51" s="180">
        <f t="shared" si="90"/>
        <v>3243158.75</v>
      </c>
      <c r="W51" s="180">
        <f t="shared" si="90"/>
        <v>3396180.625</v>
      </c>
      <c r="X51" s="180">
        <f t="shared" si="90"/>
        <v>3125982.5</v>
      </c>
      <c r="Y51" s="180">
        <f t="shared" si="90"/>
        <v>3217865</v>
      </c>
      <c r="Z51" s="180">
        <f t="shared" si="90"/>
        <v>3295737.5</v>
      </c>
      <c r="AA51" s="180">
        <f t="shared" si="90"/>
        <v>3360807.5</v>
      </c>
      <c r="AB51" s="180">
        <f t="shared" si="90"/>
        <v>3414927.5</v>
      </c>
      <c r="AC51" s="180">
        <f t="shared" si="90"/>
        <v>3459305</v>
      </c>
      <c r="AD51" s="180">
        <f t="shared" si="90"/>
        <v>3496090</v>
      </c>
      <c r="AE51" s="180">
        <f t="shared" si="90"/>
        <v>3525862.5</v>
      </c>
      <c r="AF51" s="202">
        <f t="shared" si="67"/>
        <v>39491559.375</v>
      </c>
      <c r="AG51" s="188"/>
      <c r="AJ51" s="180">
        <f>+$AH$36+((AJ$23*2.5%)/AJ$34)</f>
        <v>3336300.1500000004</v>
      </c>
      <c r="AK51" s="180">
        <f>+$AH$36+((AK$23*2.5%)/AK$34)</f>
        <v>3359284.3166666669</v>
      </c>
      <c r="AL51" s="180">
        <f t="shared" ref="AL51:AU51" si="91">+$AH$36+((AL$23*2.5%)/AL$34)</f>
        <v>3377868.4833333334</v>
      </c>
      <c r="AM51" s="180">
        <f t="shared" si="91"/>
        <v>3392825.9833333334</v>
      </c>
      <c r="AN51" s="180">
        <f>+$AH$36+((AN$23*2.5%)/AN$34)</f>
        <v>3559297.2333333334</v>
      </c>
      <c r="AO51" s="180">
        <f t="shared" si="91"/>
        <v>3705328.0666666664</v>
      </c>
      <c r="AP51" s="180">
        <f t="shared" si="91"/>
        <v>3512446.0428571431</v>
      </c>
      <c r="AQ51" s="180">
        <f t="shared" si="91"/>
        <v>3604165.6857142858</v>
      </c>
      <c r="AR51" s="180">
        <f t="shared" si="91"/>
        <v>3681281.7571428572</v>
      </c>
      <c r="AS51" s="180">
        <f t="shared" si="91"/>
        <v>3745360.3285714285</v>
      </c>
      <c r="AT51" s="180">
        <f t="shared" si="91"/>
        <v>3798377.4714285713</v>
      </c>
      <c r="AU51" s="180">
        <f t="shared" si="91"/>
        <v>3841658.9000000004</v>
      </c>
      <c r="AV51" s="202">
        <f t="shared" si="68"/>
        <v>42914194.419047624</v>
      </c>
      <c r="AW51" s="188"/>
    </row>
    <row r="52" spans="1:49">
      <c r="A52" s="178">
        <v>0</v>
      </c>
      <c r="B52" s="212" t="s">
        <v>218</v>
      </c>
      <c r="C52" s="186"/>
      <c r="D52" s="180"/>
      <c r="G52" s="180"/>
      <c r="H52" s="180"/>
      <c r="I52" s="180">
        <f t="shared" ref="I52:O52" si="92">+($A$36*(1+$A52))+((I$23*2.5%)/I$34)</f>
        <v>2099423.75</v>
      </c>
      <c r="J52" s="180">
        <f t="shared" si="92"/>
        <v>2265101.25</v>
      </c>
      <c r="K52" s="180">
        <f t="shared" si="92"/>
        <v>2461407.5</v>
      </c>
      <c r="L52" s="180">
        <f t="shared" si="92"/>
        <v>2695757.5</v>
      </c>
      <c r="M52" s="180">
        <f t="shared" si="92"/>
        <v>2459349.1666666665</v>
      </c>
      <c r="N52" s="180">
        <f t="shared" si="92"/>
        <v>2683105.833333333</v>
      </c>
      <c r="O52" s="180">
        <f t="shared" si="92"/>
        <v>2951480.833333333</v>
      </c>
      <c r="P52" s="202">
        <f t="shared" si="66"/>
        <v>17615625.833333332</v>
      </c>
      <c r="R52" s="189"/>
      <c r="T52" s="180">
        <f t="shared" si="90"/>
        <v>2883868.125</v>
      </c>
      <c r="U52" s="180">
        <f t="shared" si="90"/>
        <v>3071774.375</v>
      </c>
      <c r="V52" s="180">
        <f t="shared" si="90"/>
        <v>3243158.75</v>
      </c>
      <c r="W52" s="180">
        <f t="shared" si="90"/>
        <v>3396180.625</v>
      </c>
      <c r="X52" s="180">
        <f t="shared" si="90"/>
        <v>3125982.5</v>
      </c>
      <c r="Y52" s="180">
        <f t="shared" si="90"/>
        <v>3217865</v>
      </c>
      <c r="Z52" s="180">
        <f t="shared" si="90"/>
        <v>3295737.5</v>
      </c>
      <c r="AA52" s="180">
        <f t="shared" si="90"/>
        <v>3360807.5</v>
      </c>
      <c r="AB52" s="180">
        <f t="shared" si="90"/>
        <v>3414927.5</v>
      </c>
      <c r="AC52" s="180">
        <f t="shared" si="90"/>
        <v>3459305</v>
      </c>
      <c r="AD52" s="180">
        <f t="shared" si="90"/>
        <v>3496090</v>
      </c>
      <c r="AE52" s="180">
        <f t="shared" si="90"/>
        <v>3525862.5</v>
      </c>
      <c r="AF52" s="202">
        <f t="shared" si="67"/>
        <v>39491559.375</v>
      </c>
      <c r="AH52" s="189"/>
      <c r="AJ52" s="180">
        <f t="shared" ref="AJ52:AU56" si="93">+$AH$36+((AJ$23*2.5%)/AJ$34)</f>
        <v>3336300.1500000004</v>
      </c>
      <c r="AK52" s="180">
        <f t="shared" si="93"/>
        <v>3359284.3166666669</v>
      </c>
      <c r="AL52" s="180">
        <f t="shared" si="93"/>
        <v>3377868.4833333334</v>
      </c>
      <c r="AM52" s="180">
        <f t="shared" si="93"/>
        <v>3392825.9833333334</v>
      </c>
      <c r="AN52" s="180">
        <f t="shared" si="93"/>
        <v>3559297.2333333334</v>
      </c>
      <c r="AO52" s="180">
        <f t="shared" si="93"/>
        <v>3705328.0666666664</v>
      </c>
      <c r="AP52" s="180">
        <f t="shared" si="93"/>
        <v>3512446.0428571431</v>
      </c>
      <c r="AQ52" s="180">
        <f t="shared" si="93"/>
        <v>3604165.6857142858</v>
      </c>
      <c r="AR52" s="180">
        <f t="shared" si="93"/>
        <v>3681281.7571428572</v>
      </c>
      <c r="AS52" s="180">
        <f t="shared" si="93"/>
        <v>3745360.3285714285</v>
      </c>
      <c r="AT52" s="180">
        <f t="shared" si="93"/>
        <v>3798377.4714285713</v>
      </c>
      <c r="AU52" s="180">
        <f t="shared" si="93"/>
        <v>3841658.9000000004</v>
      </c>
      <c r="AV52" s="202">
        <f t="shared" si="68"/>
        <v>42914194.419047624</v>
      </c>
    </row>
    <row r="53" spans="1:49">
      <c r="A53" s="178"/>
      <c r="B53" s="212" t="s">
        <v>220</v>
      </c>
      <c r="C53" s="186"/>
      <c r="D53" s="180"/>
      <c r="L53" s="180"/>
      <c r="M53" s="180">
        <f>+($A$36*(1+$A53))+((M$23*2.5%)/M$34)</f>
        <v>2459349.1666666665</v>
      </c>
      <c r="N53" s="180">
        <f>+($A$36*(1+$A53))+((N$23*2.5%)/N$34)</f>
        <v>2683105.833333333</v>
      </c>
      <c r="O53" s="180">
        <f>+($A$36*(1+$A53))+((O$23*2.5%)/O$34)</f>
        <v>2951480.833333333</v>
      </c>
      <c r="P53" s="202">
        <f t="shared" si="66"/>
        <v>8093935.833333333</v>
      </c>
      <c r="T53" s="180">
        <f t="shared" si="90"/>
        <v>2883868.125</v>
      </c>
      <c r="U53" s="180">
        <f t="shared" si="90"/>
        <v>3071774.375</v>
      </c>
      <c r="V53" s="180">
        <f t="shared" si="90"/>
        <v>3243158.75</v>
      </c>
      <c r="W53" s="180">
        <f t="shared" si="90"/>
        <v>3396180.625</v>
      </c>
      <c r="X53" s="180">
        <f t="shared" si="90"/>
        <v>3125982.5</v>
      </c>
      <c r="Y53" s="180">
        <f t="shared" si="90"/>
        <v>3217865</v>
      </c>
      <c r="Z53" s="180">
        <f t="shared" si="90"/>
        <v>3295737.5</v>
      </c>
      <c r="AA53" s="180">
        <f t="shared" si="90"/>
        <v>3360807.5</v>
      </c>
      <c r="AB53" s="180">
        <f t="shared" si="90"/>
        <v>3414927.5</v>
      </c>
      <c r="AC53" s="180">
        <f t="shared" si="90"/>
        <v>3459305</v>
      </c>
      <c r="AD53" s="180">
        <f t="shared" si="90"/>
        <v>3496090</v>
      </c>
      <c r="AE53" s="180">
        <f t="shared" si="90"/>
        <v>3525862.5</v>
      </c>
      <c r="AF53" s="202">
        <f t="shared" si="67"/>
        <v>39491559.375</v>
      </c>
      <c r="AJ53" s="180">
        <f t="shared" si="93"/>
        <v>3336300.1500000004</v>
      </c>
      <c r="AK53" s="180">
        <f t="shared" si="93"/>
        <v>3359284.3166666669</v>
      </c>
      <c r="AL53" s="180">
        <f t="shared" si="93"/>
        <v>3377868.4833333334</v>
      </c>
      <c r="AM53" s="180">
        <f t="shared" si="93"/>
        <v>3392825.9833333334</v>
      </c>
      <c r="AN53" s="180">
        <f t="shared" si="93"/>
        <v>3559297.2333333334</v>
      </c>
      <c r="AO53" s="180">
        <f t="shared" si="93"/>
        <v>3705328.0666666664</v>
      </c>
      <c r="AP53" s="180">
        <f t="shared" si="93"/>
        <v>3512446.0428571431</v>
      </c>
      <c r="AQ53" s="180">
        <f t="shared" si="93"/>
        <v>3604165.6857142858</v>
      </c>
      <c r="AR53" s="180">
        <f t="shared" si="93"/>
        <v>3681281.7571428572</v>
      </c>
      <c r="AS53" s="180">
        <f t="shared" si="93"/>
        <v>3745360.3285714285</v>
      </c>
      <c r="AT53" s="180">
        <f t="shared" si="93"/>
        <v>3798377.4714285713</v>
      </c>
      <c r="AU53" s="180">
        <f t="shared" si="93"/>
        <v>3841658.9000000004</v>
      </c>
      <c r="AV53" s="202">
        <f t="shared" si="68"/>
        <v>42914194.419047624</v>
      </c>
    </row>
    <row r="54" spans="1:49">
      <c r="A54" s="178"/>
      <c r="B54" s="212" t="s">
        <v>221</v>
      </c>
      <c r="C54" s="186"/>
      <c r="D54" s="180"/>
      <c r="P54" s="202">
        <f t="shared" ref="P54:P56" si="94">SUM(D54:O54)</f>
        <v>0</v>
      </c>
      <c r="T54" s="180">
        <f t="shared" si="90"/>
        <v>2883868.125</v>
      </c>
      <c r="U54" s="180">
        <f t="shared" si="90"/>
        <v>3071774.375</v>
      </c>
      <c r="V54" s="180">
        <f t="shared" si="90"/>
        <v>3243158.75</v>
      </c>
      <c r="W54" s="180">
        <f t="shared" si="90"/>
        <v>3396180.625</v>
      </c>
      <c r="X54" s="180">
        <f t="shared" si="90"/>
        <v>3125982.5</v>
      </c>
      <c r="Y54" s="180">
        <f t="shared" si="90"/>
        <v>3217865</v>
      </c>
      <c r="Z54" s="180">
        <f t="shared" si="90"/>
        <v>3295737.5</v>
      </c>
      <c r="AA54" s="180">
        <f t="shared" si="90"/>
        <v>3360807.5</v>
      </c>
      <c r="AB54" s="180">
        <f t="shared" si="90"/>
        <v>3414927.5</v>
      </c>
      <c r="AC54" s="180">
        <f t="shared" si="90"/>
        <v>3459305</v>
      </c>
      <c r="AD54" s="180">
        <f t="shared" si="90"/>
        <v>3496090</v>
      </c>
      <c r="AE54" s="180">
        <f t="shared" si="90"/>
        <v>3525862.5</v>
      </c>
      <c r="AF54" s="202">
        <f t="shared" si="67"/>
        <v>39491559.375</v>
      </c>
      <c r="AJ54" s="180">
        <f t="shared" si="93"/>
        <v>3336300.1500000004</v>
      </c>
      <c r="AK54" s="180">
        <f t="shared" si="93"/>
        <v>3359284.3166666669</v>
      </c>
      <c r="AL54" s="180">
        <f t="shared" si="93"/>
        <v>3377868.4833333334</v>
      </c>
      <c r="AM54" s="180">
        <f t="shared" si="93"/>
        <v>3392825.9833333334</v>
      </c>
      <c r="AN54" s="180">
        <f t="shared" si="93"/>
        <v>3559297.2333333334</v>
      </c>
      <c r="AO54" s="180">
        <f t="shared" si="93"/>
        <v>3705328.0666666664</v>
      </c>
      <c r="AP54" s="180">
        <f t="shared" si="93"/>
        <v>3512446.0428571431</v>
      </c>
      <c r="AQ54" s="180">
        <f t="shared" si="93"/>
        <v>3604165.6857142858</v>
      </c>
      <c r="AR54" s="180">
        <f t="shared" si="93"/>
        <v>3681281.7571428572</v>
      </c>
      <c r="AS54" s="180">
        <f t="shared" si="93"/>
        <v>3745360.3285714285</v>
      </c>
      <c r="AT54" s="180">
        <f t="shared" si="93"/>
        <v>3798377.4714285713</v>
      </c>
      <c r="AU54" s="180">
        <f t="shared" si="93"/>
        <v>3841658.9000000004</v>
      </c>
      <c r="AV54" s="202">
        <f t="shared" si="68"/>
        <v>42914194.419047624</v>
      </c>
    </row>
    <row r="55" spans="1:49">
      <c r="A55" s="178"/>
      <c r="B55" s="212" t="s">
        <v>232</v>
      </c>
      <c r="C55" s="186"/>
      <c r="D55" s="180"/>
      <c r="P55" s="202">
        <f t="shared" si="94"/>
        <v>0</v>
      </c>
      <c r="X55" s="180">
        <f t="shared" si="90"/>
        <v>3125982.5</v>
      </c>
      <c r="Y55" s="180">
        <f t="shared" si="90"/>
        <v>3217865</v>
      </c>
      <c r="Z55" s="180">
        <f t="shared" si="90"/>
        <v>3295737.5</v>
      </c>
      <c r="AA55" s="180">
        <f t="shared" si="90"/>
        <v>3360807.5</v>
      </c>
      <c r="AB55" s="180">
        <f t="shared" si="90"/>
        <v>3414927.5</v>
      </c>
      <c r="AC55" s="180">
        <f t="shared" si="90"/>
        <v>3459305</v>
      </c>
      <c r="AD55" s="180">
        <f t="shared" si="90"/>
        <v>3496090</v>
      </c>
      <c r="AE55" s="180">
        <f t="shared" si="90"/>
        <v>3525862.5</v>
      </c>
      <c r="AF55" s="202">
        <f t="shared" si="67"/>
        <v>26896577.5</v>
      </c>
      <c r="AJ55" s="180">
        <f>+$AH$36+((AJ$23*2.5%)/AJ$34)</f>
        <v>3336300.1500000004</v>
      </c>
      <c r="AK55" s="180">
        <f>+$AH$36+((AK$23*2.5%)/AK$34)</f>
        <v>3359284.3166666669</v>
      </c>
      <c r="AL55" s="180">
        <f t="shared" si="93"/>
        <v>3377868.4833333334</v>
      </c>
      <c r="AM55" s="180">
        <f t="shared" si="93"/>
        <v>3392825.9833333334</v>
      </c>
      <c r="AN55" s="180">
        <f t="shared" si="93"/>
        <v>3559297.2333333334</v>
      </c>
      <c r="AO55" s="180">
        <f t="shared" si="93"/>
        <v>3705328.0666666664</v>
      </c>
      <c r="AP55" s="180">
        <f t="shared" si="93"/>
        <v>3512446.0428571431</v>
      </c>
      <c r="AQ55" s="180">
        <f t="shared" si="93"/>
        <v>3604165.6857142858</v>
      </c>
      <c r="AR55" s="180">
        <f t="shared" si="93"/>
        <v>3681281.7571428572</v>
      </c>
      <c r="AS55" s="180">
        <f t="shared" si="93"/>
        <v>3745360.3285714285</v>
      </c>
      <c r="AT55" s="180">
        <f t="shared" si="93"/>
        <v>3798377.4714285713</v>
      </c>
      <c r="AU55" s="180">
        <f t="shared" si="93"/>
        <v>3841658.9000000004</v>
      </c>
      <c r="AV55" s="202">
        <f t="shared" si="68"/>
        <v>42914194.419047624</v>
      </c>
    </row>
    <row r="56" spans="1:49">
      <c r="A56" s="178"/>
      <c r="B56" s="212" t="s">
        <v>262</v>
      </c>
      <c r="C56" s="186"/>
      <c r="D56" s="180"/>
      <c r="P56" s="202">
        <f t="shared" si="94"/>
        <v>0</v>
      </c>
      <c r="X56" s="180"/>
      <c r="Y56" s="180"/>
      <c r="Z56" s="180"/>
      <c r="AA56" s="180"/>
      <c r="AB56" s="180"/>
      <c r="AC56" s="180"/>
      <c r="AD56" s="180"/>
      <c r="AE56" s="180">
        <f>+AE55</f>
        <v>3525862.5</v>
      </c>
      <c r="AF56" s="202">
        <f t="shared" si="67"/>
        <v>3525862.5</v>
      </c>
      <c r="AJ56" s="180">
        <f t="shared" ref="AJ56:AK56" si="95">+AJ55</f>
        <v>3336300.1500000004</v>
      </c>
      <c r="AK56" s="180">
        <f t="shared" si="95"/>
        <v>3359284.3166666669</v>
      </c>
      <c r="AL56" s="180">
        <f>+AL55</f>
        <v>3377868.4833333334</v>
      </c>
      <c r="AM56" s="180">
        <f>+$AH$36+((AM$23*2.5%)/AM$34)</f>
        <v>3392825.9833333334</v>
      </c>
      <c r="AN56" s="180">
        <f t="shared" si="93"/>
        <v>3559297.2333333334</v>
      </c>
      <c r="AO56" s="180">
        <f t="shared" si="93"/>
        <v>3705328.0666666664</v>
      </c>
      <c r="AP56" s="180">
        <f>+$AH$36+((AP$23*2.5%)/AP$34)</f>
        <v>3512446.0428571431</v>
      </c>
      <c r="AQ56" s="180">
        <f t="shared" si="93"/>
        <v>3604165.6857142858</v>
      </c>
      <c r="AR56" s="180">
        <f t="shared" si="93"/>
        <v>3681281.7571428572</v>
      </c>
      <c r="AS56" s="180">
        <f t="shared" si="93"/>
        <v>3745360.3285714285</v>
      </c>
      <c r="AT56" s="180">
        <f t="shared" si="93"/>
        <v>3798377.4714285713</v>
      </c>
      <c r="AU56" s="180">
        <f t="shared" si="93"/>
        <v>3841658.9000000004</v>
      </c>
      <c r="AV56" s="202">
        <f t="shared" si="68"/>
        <v>42914194.419047624</v>
      </c>
    </row>
    <row r="57" spans="1:49" s="180" customFormat="1">
      <c r="B57" s="212" t="s">
        <v>301</v>
      </c>
      <c r="AF57" s="202">
        <f t="shared" si="67"/>
        <v>0</v>
      </c>
      <c r="AP57" s="180">
        <f>+AP56</f>
        <v>3512446.0428571431</v>
      </c>
      <c r="AQ57" s="180">
        <f t="shared" ref="AQ57:AU57" si="96">+AQ56</f>
        <v>3604165.6857142858</v>
      </c>
      <c r="AR57" s="180">
        <f t="shared" si="96"/>
        <v>3681281.7571428572</v>
      </c>
      <c r="AS57" s="180">
        <f t="shared" si="96"/>
        <v>3745360.3285714285</v>
      </c>
      <c r="AT57" s="180">
        <f t="shared" si="96"/>
        <v>3798377.4714285713</v>
      </c>
      <c r="AU57" s="180">
        <f t="shared" si="96"/>
        <v>3841658.9000000004</v>
      </c>
      <c r="AV57" s="202">
        <f t="shared" si="68"/>
        <v>22183290.185714282</v>
      </c>
    </row>
    <row r="58" spans="1:49">
      <c r="A58" s="178">
        <v>0</v>
      </c>
      <c r="B58" s="212" t="s">
        <v>231</v>
      </c>
      <c r="C58" s="186"/>
      <c r="D58" s="180">
        <f>+(($A$36*(1+$A58)*0.6)+(D21*0.5%))</f>
        <v>864580.5</v>
      </c>
      <c r="E58" s="180">
        <f>+D58</f>
        <v>864580.5</v>
      </c>
      <c r="F58" s="180">
        <f>+E58</f>
        <v>864580.5</v>
      </c>
      <c r="G58" s="180">
        <f t="shared" ref="G58:O58" si="97">+F58</f>
        <v>864580.5</v>
      </c>
      <c r="H58" s="180">
        <f t="shared" si="97"/>
        <v>864580.5</v>
      </c>
      <c r="I58" s="180">
        <f t="shared" si="97"/>
        <v>864580.5</v>
      </c>
      <c r="J58" s="180">
        <f t="shared" si="97"/>
        <v>864580.5</v>
      </c>
      <c r="K58" s="180">
        <f t="shared" si="97"/>
        <v>864580.5</v>
      </c>
      <c r="L58" s="180">
        <f t="shared" si="97"/>
        <v>864580.5</v>
      </c>
      <c r="M58" s="180">
        <f t="shared" si="97"/>
        <v>864580.5</v>
      </c>
      <c r="N58" s="180">
        <f t="shared" si="97"/>
        <v>864580.5</v>
      </c>
      <c r="O58" s="180">
        <f t="shared" si="97"/>
        <v>864580.5</v>
      </c>
      <c r="P58" s="202">
        <f>+($A$36*(1+$A58))+(P21*0.5%)</f>
        <v>3043625</v>
      </c>
      <c r="S58" s="178">
        <v>0.3</v>
      </c>
      <c r="T58" s="180">
        <f t="shared" ref="T58:AE58" si="98">+($A$36*(1+$S$36)*(1+$S$58)+(T21*1.5%))</f>
        <v>3100052</v>
      </c>
      <c r="U58" s="180">
        <f t="shared" si="98"/>
        <v>3236132</v>
      </c>
      <c r="V58" s="180">
        <f t="shared" si="98"/>
        <v>3358037</v>
      </c>
      <c r="W58" s="180">
        <f t="shared" si="98"/>
        <v>3464822</v>
      </c>
      <c r="X58" s="180">
        <f t="shared" si="98"/>
        <v>3557432</v>
      </c>
      <c r="Y58" s="180">
        <f t="shared" si="98"/>
        <v>3635867</v>
      </c>
      <c r="Z58" s="180">
        <f t="shared" si="98"/>
        <v>3702017</v>
      </c>
      <c r="AA58" s="180">
        <f t="shared" si="98"/>
        <v>3756827</v>
      </c>
      <c r="AB58" s="180">
        <f t="shared" si="98"/>
        <v>3802187</v>
      </c>
      <c r="AC58" s="180">
        <f t="shared" si="98"/>
        <v>3839042</v>
      </c>
      <c r="AD58" s="180">
        <f t="shared" si="98"/>
        <v>3869282</v>
      </c>
      <c r="AE58" s="180">
        <f t="shared" si="98"/>
        <v>3893852</v>
      </c>
      <c r="AF58" s="202">
        <f t="shared" si="67"/>
        <v>43215549</v>
      </c>
      <c r="AI58" s="178">
        <v>0.35</v>
      </c>
      <c r="AJ58" s="180">
        <f t="shared" ref="AJ58:AU58" si="99">+$AH$36*(1+$AI$58)+(0.5%*AJ23)</f>
        <v>4243561.1400000006</v>
      </c>
      <c r="AK58" s="180">
        <f t="shared" si="99"/>
        <v>4271142.1400000006</v>
      </c>
      <c r="AL58" s="180">
        <f t="shared" si="99"/>
        <v>4293443.1400000006</v>
      </c>
      <c r="AM58" s="180">
        <f t="shared" si="99"/>
        <v>4311392.1400000006</v>
      </c>
      <c r="AN58" s="180">
        <f t="shared" si="99"/>
        <v>4511157.6400000006</v>
      </c>
      <c r="AO58" s="180">
        <f t="shared" si="99"/>
        <v>4686394.6400000006</v>
      </c>
      <c r="AP58" s="180">
        <f t="shared" si="99"/>
        <v>4837424.1400000006</v>
      </c>
      <c r="AQ58" s="180">
        <f t="shared" si="99"/>
        <v>4965831.6400000006</v>
      </c>
      <c r="AR58" s="180">
        <f t="shared" si="99"/>
        <v>5073794.1400000006</v>
      </c>
      <c r="AS58" s="180">
        <f t="shared" si="99"/>
        <v>5163504.1400000006</v>
      </c>
      <c r="AT58" s="180">
        <f t="shared" si="99"/>
        <v>5237728.1400000006</v>
      </c>
      <c r="AU58" s="180">
        <f t="shared" si="99"/>
        <v>5298322.1400000006</v>
      </c>
      <c r="AV58" s="202">
        <f t="shared" si="68"/>
        <v>56893695.180000007</v>
      </c>
    </row>
    <row r="59" spans="1:49">
      <c r="A59" s="178"/>
      <c r="B59" s="213" t="s">
        <v>256</v>
      </c>
      <c r="C59" s="186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202"/>
      <c r="S59" s="178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202">
        <f t="shared" si="67"/>
        <v>0</v>
      </c>
      <c r="AI59" s="178">
        <v>0.7</v>
      </c>
      <c r="AJ59" s="180">
        <f>+AH36*(1+AI59)</f>
        <v>2720010.8800000004</v>
      </c>
      <c r="AK59" s="180">
        <f>+AJ59</f>
        <v>2720010.8800000004</v>
      </c>
      <c r="AL59" s="180">
        <f t="shared" ref="AL59:AU60" si="100">+AK59</f>
        <v>2720010.8800000004</v>
      </c>
      <c r="AM59" s="180">
        <f t="shared" si="100"/>
        <v>2720010.8800000004</v>
      </c>
      <c r="AN59" s="180">
        <f t="shared" si="100"/>
        <v>2720010.8800000004</v>
      </c>
      <c r="AO59" s="180">
        <f t="shared" si="100"/>
        <v>2720010.8800000004</v>
      </c>
      <c r="AP59" s="180">
        <f t="shared" si="100"/>
        <v>2720010.8800000004</v>
      </c>
      <c r="AQ59" s="180">
        <f t="shared" si="100"/>
        <v>2720010.8800000004</v>
      </c>
      <c r="AR59" s="180">
        <f t="shared" si="100"/>
        <v>2720010.8800000004</v>
      </c>
      <c r="AS59" s="180">
        <f t="shared" si="100"/>
        <v>2720010.8800000004</v>
      </c>
      <c r="AT59" s="180">
        <f t="shared" si="100"/>
        <v>2720010.8800000004</v>
      </c>
      <c r="AU59" s="180">
        <f t="shared" si="100"/>
        <v>2720010.8800000004</v>
      </c>
      <c r="AV59" s="202">
        <f t="shared" si="68"/>
        <v>32640130.559999999</v>
      </c>
    </row>
    <row r="60" spans="1:49">
      <c r="A60" s="178">
        <v>0.35</v>
      </c>
      <c r="B60" s="213" t="s">
        <v>219</v>
      </c>
      <c r="C60" s="186"/>
      <c r="D60" s="180">
        <f t="shared" si="85"/>
        <v>1922400.0000000002</v>
      </c>
      <c r="E60" s="181">
        <f>+D60</f>
        <v>1922400.0000000002</v>
      </c>
      <c r="F60" s="181">
        <f t="shared" ref="F60:O60" si="101">+E60</f>
        <v>1922400.0000000002</v>
      </c>
      <c r="G60" s="181">
        <f t="shared" si="101"/>
        <v>1922400.0000000002</v>
      </c>
      <c r="H60" s="181">
        <f t="shared" si="101"/>
        <v>1922400.0000000002</v>
      </c>
      <c r="I60" s="181">
        <f t="shared" si="101"/>
        <v>1922400.0000000002</v>
      </c>
      <c r="J60" s="181">
        <f t="shared" si="101"/>
        <v>1922400.0000000002</v>
      </c>
      <c r="K60" s="181">
        <f t="shared" si="101"/>
        <v>1922400.0000000002</v>
      </c>
      <c r="L60" s="181">
        <f t="shared" si="101"/>
        <v>1922400.0000000002</v>
      </c>
      <c r="M60" s="181">
        <f t="shared" si="101"/>
        <v>1922400.0000000002</v>
      </c>
      <c r="N60" s="181">
        <f t="shared" si="101"/>
        <v>1922400.0000000002</v>
      </c>
      <c r="O60" s="181">
        <f t="shared" si="101"/>
        <v>1922400.0000000002</v>
      </c>
      <c r="P60" s="202">
        <f>SUM(D60:O60)</f>
        <v>23068800.000000004</v>
      </c>
      <c r="S60" s="178">
        <v>0.25</v>
      </c>
      <c r="T60" s="181">
        <f>+(R36*(1+S60))+(0.8%*T23)</f>
        <v>3646068</v>
      </c>
      <c r="U60" s="181">
        <f>+T60</f>
        <v>3646068</v>
      </c>
      <c r="V60" s="181">
        <f t="shared" ref="V60:AE60" si="102">+U60</f>
        <v>3646068</v>
      </c>
      <c r="W60" s="181">
        <f t="shared" si="102"/>
        <v>3646068</v>
      </c>
      <c r="X60" s="181">
        <f t="shared" si="102"/>
        <v>3646068</v>
      </c>
      <c r="Y60" s="181">
        <f t="shared" si="102"/>
        <v>3646068</v>
      </c>
      <c r="Z60" s="181">
        <f t="shared" si="102"/>
        <v>3646068</v>
      </c>
      <c r="AA60" s="181">
        <f t="shared" si="102"/>
        <v>3646068</v>
      </c>
      <c r="AB60" s="181">
        <f t="shared" si="102"/>
        <v>3646068</v>
      </c>
      <c r="AC60" s="181">
        <f t="shared" si="102"/>
        <v>3646068</v>
      </c>
      <c r="AD60" s="181">
        <f t="shared" si="102"/>
        <v>3646068</v>
      </c>
      <c r="AE60" s="181">
        <f t="shared" si="102"/>
        <v>3646068</v>
      </c>
      <c r="AF60" s="202">
        <f t="shared" si="67"/>
        <v>43752816</v>
      </c>
      <c r="AI60" s="178"/>
      <c r="AJ60" s="181">
        <v>7000000</v>
      </c>
      <c r="AK60" s="181">
        <f>+AJ60</f>
        <v>7000000</v>
      </c>
      <c r="AL60" s="181">
        <f t="shared" si="100"/>
        <v>7000000</v>
      </c>
      <c r="AM60" s="181">
        <f t="shared" si="100"/>
        <v>7000000</v>
      </c>
      <c r="AN60" s="181">
        <f t="shared" si="100"/>
        <v>7000000</v>
      </c>
      <c r="AO60" s="181">
        <f t="shared" si="100"/>
        <v>7000000</v>
      </c>
      <c r="AP60" s="181">
        <f t="shared" si="100"/>
        <v>7000000</v>
      </c>
      <c r="AQ60" s="181">
        <f t="shared" si="100"/>
        <v>7000000</v>
      </c>
      <c r="AR60" s="181">
        <f t="shared" si="100"/>
        <v>7000000</v>
      </c>
      <c r="AS60" s="181">
        <f t="shared" si="100"/>
        <v>7000000</v>
      </c>
      <c r="AT60" s="181">
        <f t="shared" si="100"/>
        <v>7000000</v>
      </c>
      <c r="AU60" s="181">
        <f t="shared" si="100"/>
        <v>7000000</v>
      </c>
      <c r="AV60" s="202">
        <f t="shared" si="68"/>
        <v>84000000</v>
      </c>
    </row>
    <row r="61" spans="1:49">
      <c r="A61" s="178">
        <v>0</v>
      </c>
      <c r="B61" s="212" t="s">
        <v>236</v>
      </c>
      <c r="C61" s="186"/>
      <c r="D61" s="180">
        <f t="shared" ref="D61:O61" si="103">+($A$36*(1+$A61))+(D23*0.6%)</f>
        <v>1451288</v>
      </c>
      <c r="E61" s="180">
        <f t="shared" si="103"/>
        <v>1500879.8</v>
      </c>
      <c r="F61" s="180">
        <f t="shared" si="103"/>
        <v>1560230.6</v>
      </c>
      <c r="G61" s="180">
        <f t="shared" si="103"/>
        <v>1618791.2</v>
      </c>
      <c r="H61" s="180">
        <f t="shared" si="103"/>
        <v>1679744</v>
      </c>
      <c r="I61" s="180">
        <f t="shared" si="103"/>
        <v>1748203.4</v>
      </c>
      <c r="J61" s="180">
        <f t="shared" si="103"/>
        <v>1827728.6</v>
      </c>
      <c r="K61" s="180">
        <f t="shared" si="103"/>
        <v>1921955.6</v>
      </c>
      <c r="L61" s="180">
        <f t="shared" si="103"/>
        <v>2034443.6</v>
      </c>
      <c r="M61" s="180">
        <f t="shared" si="103"/>
        <v>2169451.4</v>
      </c>
      <c r="N61" s="180">
        <f t="shared" si="103"/>
        <v>2330556.2000000002</v>
      </c>
      <c r="O61" s="180">
        <f t="shared" si="103"/>
        <v>2523786.2000000002</v>
      </c>
      <c r="P61" s="202">
        <f>SUM(D61:O61)</f>
        <v>22367058.599999998</v>
      </c>
      <c r="S61" s="178">
        <v>0.15</v>
      </c>
      <c r="T61" s="181">
        <f t="shared" ref="T61:AE61" si="104">+$R$36*(1+$S$61)+(0.4%*T$23)</f>
        <v>2615490</v>
      </c>
      <c r="U61" s="181">
        <f t="shared" si="104"/>
        <v>2735750</v>
      </c>
      <c r="V61" s="181">
        <f t="shared" si="104"/>
        <v>2845436</v>
      </c>
      <c r="W61" s="181">
        <f t="shared" si="104"/>
        <v>2943370</v>
      </c>
      <c r="X61" s="181">
        <f t="shared" si="104"/>
        <v>3029090</v>
      </c>
      <c r="Y61" s="181">
        <f t="shared" si="104"/>
        <v>3102596</v>
      </c>
      <c r="Z61" s="181">
        <f t="shared" si="104"/>
        <v>3164894</v>
      </c>
      <c r="AA61" s="181">
        <f t="shared" si="104"/>
        <v>3216950</v>
      </c>
      <c r="AB61" s="181">
        <f t="shared" si="104"/>
        <v>3260246</v>
      </c>
      <c r="AC61" s="181">
        <f t="shared" si="104"/>
        <v>3295748</v>
      </c>
      <c r="AD61" s="181">
        <f t="shared" si="104"/>
        <v>3325176</v>
      </c>
      <c r="AE61" s="181">
        <f t="shared" si="104"/>
        <v>3348994</v>
      </c>
      <c r="AF61" s="202">
        <f t="shared" si="67"/>
        <v>36883740</v>
      </c>
      <c r="AI61" s="178">
        <v>0.55000000000000004</v>
      </c>
      <c r="AJ61" s="181">
        <f t="shared" ref="AJ61:AU61" si="105">($AH$36*(1+$AI$61)+(0.3%*AJ$23))</f>
        <v>3730141.4200000004</v>
      </c>
      <c r="AK61" s="181">
        <f t="shared" si="105"/>
        <v>3746690.0200000005</v>
      </c>
      <c r="AL61" s="181">
        <f t="shared" si="105"/>
        <v>3760070.62</v>
      </c>
      <c r="AM61" s="181">
        <f t="shared" si="105"/>
        <v>3770840.0200000005</v>
      </c>
      <c r="AN61" s="181">
        <f t="shared" si="105"/>
        <v>3890699.3200000003</v>
      </c>
      <c r="AO61" s="181">
        <f t="shared" si="105"/>
        <v>3995841.5200000005</v>
      </c>
      <c r="AP61" s="181">
        <f t="shared" si="105"/>
        <v>4086459.2200000007</v>
      </c>
      <c r="AQ61" s="181">
        <f t="shared" si="105"/>
        <v>4163503.7200000007</v>
      </c>
      <c r="AR61" s="181">
        <f t="shared" si="105"/>
        <v>4228281.2200000007</v>
      </c>
      <c r="AS61" s="181">
        <f t="shared" si="105"/>
        <v>4282107.2200000007</v>
      </c>
      <c r="AT61" s="181">
        <f t="shared" si="105"/>
        <v>4326641.62</v>
      </c>
      <c r="AU61" s="181">
        <f t="shared" si="105"/>
        <v>4362998.0200000005</v>
      </c>
      <c r="AV61" s="202">
        <f t="shared" si="68"/>
        <v>48344273.939999998</v>
      </c>
    </row>
    <row r="62" spans="1:49">
      <c r="A62" s="178"/>
      <c r="B62" s="212" t="s">
        <v>237</v>
      </c>
      <c r="C62" s="186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202">
        <f t="shared" ref="P62:P63" si="106">SUM(D62:O62)</f>
        <v>0</v>
      </c>
      <c r="S62" s="178">
        <v>0.05</v>
      </c>
      <c r="T62" s="181">
        <f t="shared" ref="T62:AE63" si="107">+$R$36*(1+$S$62)+(0.4%*T$23)</f>
        <v>2464546</v>
      </c>
      <c r="U62" s="181">
        <f t="shared" si="107"/>
        <v>2584806</v>
      </c>
      <c r="V62" s="181">
        <f t="shared" si="107"/>
        <v>2694492</v>
      </c>
      <c r="W62" s="181">
        <f t="shared" si="107"/>
        <v>2792426</v>
      </c>
      <c r="X62" s="181">
        <f t="shared" si="107"/>
        <v>2878146</v>
      </c>
      <c r="Y62" s="181">
        <f t="shared" si="107"/>
        <v>2951652</v>
      </c>
      <c r="Z62" s="181">
        <f t="shared" si="107"/>
        <v>3013950</v>
      </c>
      <c r="AA62" s="181">
        <f t="shared" si="107"/>
        <v>3066006</v>
      </c>
      <c r="AB62" s="181">
        <f t="shared" si="107"/>
        <v>3109302</v>
      </c>
      <c r="AC62" s="181">
        <f t="shared" si="107"/>
        <v>3144804</v>
      </c>
      <c r="AD62" s="181">
        <f t="shared" si="107"/>
        <v>3174232</v>
      </c>
      <c r="AE62" s="181">
        <f t="shared" si="107"/>
        <v>3198050</v>
      </c>
      <c r="AF62" s="202">
        <f t="shared" si="67"/>
        <v>35072412</v>
      </c>
      <c r="AI62" s="178">
        <v>0.2</v>
      </c>
      <c r="AJ62" s="181">
        <f t="shared" ref="AJ62:AU62" si="108">($AH$36*(1+$AI$62)+(0.3%*AJ$23))</f>
        <v>3170139.18</v>
      </c>
      <c r="AK62" s="181">
        <f t="shared" si="108"/>
        <v>3186687.7800000003</v>
      </c>
      <c r="AL62" s="181">
        <f t="shared" si="108"/>
        <v>3200068.38</v>
      </c>
      <c r="AM62" s="181">
        <f t="shared" si="108"/>
        <v>3210837.7800000003</v>
      </c>
      <c r="AN62" s="181">
        <f t="shared" si="108"/>
        <v>3330697.08</v>
      </c>
      <c r="AO62" s="181">
        <f t="shared" si="108"/>
        <v>3435839.2800000003</v>
      </c>
      <c r="AP62" s="181">
        <f t="shared" si="108"/>
        <v>3526456.9800000004</v>
      </c>
      <c r="AQ62" s="181">
        <f t="shared" si="108"/>
        <v>3603501.4800000004</v>
      </c>
      <c r="AR62" s="181">
        <f t="shared" si="108"/>
        <v>3668278.9800000004</v>
      </c>
      <c r="AS62" s="181">
        <f t="shared" si="108"/>
        <v>3722104.9800000004</v>
      </c>
      <c r="AT62" s="181">
        <f t="shared" si="108"/>
        <v>3766639.38</v>
      </c>
      <c r="AU62" s="181">
        <f t="shared" si="108"/>
        <v>3802995.7800000003</v>
      </c>
      <c r="AV62" s="202">
        <f t="shared" si="68"/>
        <v>41624247.06000001</v>
      </c>
    </row>
    <row r="63" spans="1:49">
      <c r="B63" s="212" t="s">
        <v>245</v>
      </c>
      <c r="C63" s="186"/>
      <c r="P63" s="202">
        <f t="shared" si="106"/>
        <v>0</v>
      </c>
      <c r="S63" s="178">
        <v>0.05</v>
      </c>
      <c r="T63" s="181">
        <f t="shared" si="107"/>
        <v>2464546</v>
      </c>
      <c r="U63" s="181">
        <f t="shared" si="107"/>
        <v>2584806</v>
      </c>
      <c r="V63" s="181">
        <f t="shared" si="107"/>
        <v>2694492</v>
      </c>
      <c r="W63" s="181">
        <f t="shared" si="107"/>
        <v>2792426</v>
      </c>
      <c r="X63" s="181">
        <f t="shared" si="107"/>
        <v>2878146</v>
      </c>
      <c r="Y63" s="181">
        <f t="shared" si="107"/>
        <v>2951652</v>
      </c>
      <c r="Z63" s="181">
        <f t="shared" si="107"/>
        <v>3013950</v>
      </c>
      <c r="AA63" s="181">
        <f t="shared" si="107"/>
        <v>3066006</v>
      </c>
      <c r="AB63" s="181">
        <f t="shared" si="107"/>
        <v>3109302</v>
      </c>
      <c r="AC63" s="181">
        <f t="shared" si="107"/>
        <v>3144804</v>
      </c>
      <c r="AD63" s="181">
        <f t="shared" si="107"/>
        <v>3174232</v>
      </c>
      <c r="AE63" s="181">
        <f t="shared" si="107"/>
        <v>3198050</v>
      </c>
      <c r="AF63" s="202">
        <f t="shared" si="67"/>
        <v>35072412</v>
      </c>
      <c r="AI63" s="178">
        <v>0.2</v>
      </c>
      <c r="AJ63" s="181">
        <f t="shared" ref="AJ63:AU63" si="109">($AH$36*(1+$AI$63)+(0.3%*AJ$23))</f>
        <v>3170139.18</v>
      </c>
      <c r="AK63" s="181">
        <f t="shared" si="109"/>
        <v>3186687.7800000003</v>
      </c>
      <c r="AL63" s="181">
        <f t="shared" si="109"/>
        <v>3200068.38</v>
      </c>
      <c r="AM63" s="181">
        <f t="shared" si="109"/>
        <v>3210837.7800000003</v>
      </c>
      <c r="AN63" s="181">
        <f t="shared" si="109"/>
        <v>3330697.08</v>
      </c>
      <c r="AO63" s="181">
        <f t="shared" si="109"/>
        <v>3435839.2800000003</v>
      </c>
      <c r="AP63" s="181">
        <f t="shared" si="109"/>
        <v>3526456.9800000004</v>
      </c>
      <c r="AQ63" s="181">
        <f t="shared" si="109"/>
        <v>3603501.4800000004</v>
      </c>
      <c r="AR63" s="181">
        <f t="shared" si="109"/>
        <v>3668278.9800000004</v>
      </c>
      <c r="AS63" s="181">
        <f t="shared" si="109"/>
        <v>3722104.9800000004</v>
      </c>
      <c r="AT63" s="181">
        <f t="shared" si="109"/>
        <v>3766639.38</v>
      </c>
      <c r="AU63" s="181">
        <f t="shared" si="109"/>
        <v>3802995.7800000003</v>
      </c>
      <c r="AV63" s="202">
        <f t="shared" si="68"/>
        <v>41624247.06000001</v>
      </c>
    </row>
    <row r="64" spans="1:49">
      <c r="AF64" s="202">
        <f t="shared" si="67"/>
        <v>0</v>
      </c>
      <c r="AV64" s="202">
        <f t="shared" si="68"/>
        <v>0</v>
      </c>
    </row>
    <row r="65" spans="1:49">
      <c r="B65" s="211" t="s">
        <v>222</v>
      </c>
      <c r="D65" s="180">
        <v>2000000</v>
      </c>
      <c r="E65" s="180">
        <f>+D65</f>
        <v>2000000</v>
      </c>
      <c r="F65" s="180">
        <f t="shared" ref="F65:O67" si="110">+E65</f>
        <v>2000000</v>
      </c>
      <c r="G65" s="180">
        <f t="shared" si="110"/>
        <v>2000000</v>
      </c>
      <c r="H65" s="180">
        <f t="shared" si="110"/>
        <v>2000000</v>
      </c>
      <c r="I65" s="180">
        <f t="shared" si="110"/>
        <v>2000000</v>
      </c>
      <c r="J65" s="180">
        <f t="shared" si="110"/>
        <v>2000000</v>
      </c>
      <c r="K65" s="180">
        <f t="shared" si="110"/>
        <v>2000000</v>
      </c>
      <c r="L65" s="180">
        <f t="shared" si="110"/>
        <v>2000000</v>
      </c>
      <c r="M65" s="180">
        <f t="shared" si="110"/>
        <v>2000000</v>
      </c>
      <c r="N65" s="180">
        <f t="shared" si="110"/>
        <v>2000000</v>
      </c>
      <c r="O65" s="180">
        <f t="shared" si="110"/>
        <v>2000000</v>
      </c>
      <c r="P65" s="202">
        <f>SUM(D65:O65)</f>
        <v>24000000</v>
      </c>
      <c r="T65" s="180">
        <f>+O65*(1+S36)</f>
        <v>2120000</v>
      </c>
      <c r="U65" s="180">
        <f>+T65</f>
        <v>2120000</v>
      </c>
      <c r="V65" s="180">
        <f t="shared" ref="V65:AE66" si="111">+U65</f>
        <v>2120000</v>
      </c>
      <c r="W65" s="180">
        <f t="shared" si="111"/>
        <v>2120000</v>
      </c>
      <c r="X65" s="180">
        <f t="shared" si="111"/>
        <v>2120000</v>
      </c>
      <c r="Y65" s="180">
        <f t="shared" si="111"/>
        <v>2120000</v>
      </c>
      <c r="Z65" s="180">
        <f t="shared" si="111"/>
        <v>2120000</v>
      </c>
      <c r="AA65" s="180">
        <f t="shared" si="111"/>
        <v>2120000</v>
      </c>
      <c r="AB65" s="180">
        <f t="shared" si="111"/>
        <v>2120000</v>
      </c>
      <c r="AC65" s="180">
        <f t="shared" si="111"/>
        <v>2120000</v>
      </c>
      <c r="AD65" s="180">
        <f t="shared" si="111"/>
        <v>2120000</v>
      </c>
      <c r="AE65" s="180">
        <f t="shared" si="111"/>
        <v>2120000</v>
      </c>
      <c r="AF65" s="202">
        <f t="shared" si="67"/>
        <v>25440000</v>
      </c>
      <c r="AJ65" s="180">
        <f>+AE65*(1+AI36)</f>
        <v>2247200</v>
      </c>
      <c r="AK65" s="180">
        <f>+AJ65</f>
        <v>2247200</v>
      </c>
      <c r="AL65" s="180">
        <f t="shared" ref="AL65:AU66" si="112">+AK65</f>
        <v>2247200</v>
      </c>
      <c r="AM65" s="180">
        <f t="shared" si="112"/>
        <v>2247200</v>
      </c>
      <c r="AN65" s="180">
        <v>4200000</v>
      </c>
      <c r="AO65" s="180">
        <f t="shared" si="112"/>
        <v>4200000</v>
      </c>
      <c r="AP65" s="180">
        <f t="shared" si="112"/>
        <v>4200000</v>
      </c>
      <c r="AQ65" s="180">
        <f t="shared" si="112"/>
        <v>4200000</v>
      </c>
      <c r="AR65" s="180">
        <f t="shared" si="112"/>
        <v>4200000</v>
      </c>
      <c r="AS65" s="180">
        <f t="shared" si="112"/>
        <v>4200000</v>
      </c>
      <c r="AT65" s="180">
        <f t="shared" si="112"/>
        <v>4200000</v>
      </c>
      <c r="AU65" s="180">
        <f t="shared" si="112"/>
        <v>4200000</v>
      </c>
      <c r="AV65" s="202">
        <f t="shared" si="68"/>
        <v>42588800</v>
      </c>
    </row>
    <row r="66" spans="1:49">
      <c r="B66" s="211" t="s">
        <v>223</v>
      </c>
      <c r="D66" s="180">
        <v>450000</v>
      </c>
      <c r="E66" s="180">
        <f>+D66</f>
        <v>450000</v>
      </c>
      <c r="F66" s="180">
        <f t="shared" si="110"/>
        <v>450000</v>
      </c>
      <c r="G66" s="180">
        <f t="shared" si="110"/>
        <v>450000</v>
      </c>
      <c r="H66" s="180">
        <f t="shared" si="110"/>
        <v>450000</v>
      </c>
      <c r="I66" s="180">
        <f t="shared" si="110"/>
        <v>450000</v>
      </c>
      <c r="J66" s="180">
        <f t="shared" si="110"/>
        <v>450000</v>
      </c>
      <c r="K66" s="180">
        <f t="shared" si="110"/>
        <v>450000</v>
      </c>
      <c r="L66" s="180">
        <f t="shared" si="110"/>
        <v>450000</v>
      </c>
      <c r="M66" s="180">
        <f t="shared" si="110"/>
        <v>450000</v>
      </c>
      <c r="N66" s="180">
        <f t="shared" si="110"/>
        <v>450000</v>
      </c>
      <c r="O66" s="180">
        <f t="shared" si="110"/>
        <v>450000</v>
      </c>
      <c r="P66" s="202">
        <f t="shared" ref="P66:P77" si="113">SUM(D66:O66)</f>
        <v>5400000</v>
      </c>
      <c r="T66" s="180">
        <f>+O66*(1+S36)</f>
        <v>477000</v>
      </c>
      <c r="U66" s="180">
        <f>+T66</f>
        <v>477000</v>
      </c>
      <c r="V66" s="180">
        <f t="shared" si="111"/>
        <v>477000</v>
      </c>
      <c r="W66" s="180">
        <f t="shared" si="111"/>
        <v>477000</v>
      </c>
      <c r="X66" s="180">
        <f t="shared" si="111"/>
        <v>477000</v>
      </c>
      <c r="Y66" s="180">
        <f t="shared" si="111"/>
        <v>477000</v>
      </c>
      <c r="Z66" s="180">
        <f t="shared" si="111"/>
        <v>477000</v>
      </c>
      <c r="AA66" s="180">
        <f t="shared" si="111"/>
        <v>477000</v>
      </c>
      <c r="AB66" s="180">
        <f t="shared" si="111"/>
        <v>477000</v>
      </c>
      <c r="AC66" s="180">
        <f t="shared" si="111"/>
        <v>477000</v>
      </c>
      <c r="AD66" s="180">
        <f t="shared" si="111"/>
        <v>477000</v>
      </c>
      <c r="AE66" s="180">
        <f t="shared" si="111"/>
        <v>477000</v>
      </c>
      <c r="AF66" s="202">
        <f t="shared" ref="AF66:AF77" si="114">SUM(T66:AE66)</f>
        <v>5724000</v>
      </c>
      <c r="AJ66" s="180">
        <f>+AE66*(1+AI36)</f>
        <v>505620</v>
      </c>
      <c r="AK66" s="180">
        <f>+AJ66</f>
        <v>505620</v>
      </c>
      <c r="AL66" s="180">
        <f t="shared" si="112"/>
        <v>505620</v>
      </c>
      <c r="AM66" s="180">
        <f t="shared" si="112"/>
        <v>505620</v>
      </c>
      <c r="AN66" s="180">
        <f t="shared" si="112"/>
        <v>505620</v>
      </c>
      <c r="AO66" s="180">
        <f t="shared" si="112"/>
        <v>505620</v>
      </c>
      <c r="AP66" s="180">
        <f t="shared" si="112"/>
        <v>505620</v>
      </c>
      <c r="AQ66" s="180">
        <f t="shared" si="112"/>
        <v>505620</v>
      </c>
      <c r="AR66" s="180">
        <f t="shared" si="112"/>
        <v>505620</v>
      </c>
      <c r="AS66" s="180">
        <f t="shared" si="112"/>
        <v>505620</v>
      </c>
      <c r="AT66" s="180">
        <f t="shared" si="112"/>
        <v>505620</v>
      </c>
      <c r="AU66" s="180">
        <f t="shared" si="112"/>
        <v>505620</v>
      </c>
      <c r="AV66" s="202">
        <f t="shared" si="68"/>
        <v>6067440</v>
      </c>
    </row>
    <row r="67" spans="1:49">
      <c r="A67" s="178">
        <v>0.05</v>
      </c>
      <c r="B67" s="210" t="s">
        <v>224</v>
      </c>
      <c r="D67" s="180">
        <v>4000000</v>
      </c>
      <c r="E67" s="181">
        <f>+D67</f>
        <v>4000000</v>
      </c>
      <c r="F67" s="181">
        <f>+E67</f>
        <v>4000000</v>
      </c>
      <c r="G67" s="181">
        <v>4000000</v>
      </c>
      <c r="H67" s="181">
        <f t="shared" si="110"/>
        <v>4000000</v>
      </c>
      <c r="I67" s="181">
        <f t="shared" ref="I67:O67" si="115">+$A$67*I23</f>
        <v>2701695</v>
      </c>
      <c r="J67" s="181">
        <f t="shared" si="115"/>
        <v>3364405</v>
      </c>
      <c r="K67" s="181">
        <f t="shared" si="115"/>
        <v>4149630</v>
      </c>
      <c r="L67" s="181">
        <f t="shared" si="115"/>
        <v>5087030</v>
      </c>
      <c r="M67" s="181">
        <f t="shared" si="115"/>
        <v>6212095</v>
      </c>
      <c r="N67" s="181">
        <f t="shared" si="115"/>
        <v>7554635</v>
      </c>
      <c r="O67" s="181">
        <f t="shared" si="115"/>
        <v>9164885</v>
      </c>
      <c r="P67" s="202">
        <f t="shared" si="113"/>
        <v>58234375</v>
      </c>
      <c r="S67" s="178">
        <v>0.04</v>
      </c>
      <c r="T67" s="181">
        <f t="shared" ref="T67:AE67" si="116">+$S$67*T23</f>
        <v>8796340</v>
      </c>
      <c r="U67" s="181">
        <f t="shared" si="116"/>
        <v>9998940</v>
      </c>
      <c r="V67" s="181">
        <f t="shared" si="116"/>
        <v>11095800</v>
      </c>
      <c r="W67" s="181">
        <f t="shared" si="116"/>
        <v>12075140</v>
      </c>
      <c r="X67" s="181">
        <f t="shared" si="116"/>
        <v>12932340</v>
      </c>
      <c r="Y67" s="181">
        <f t="shared" si="116"/>
        <v>13667400</v>
      </c>
      <c r="Z67" s="181">
        <f t="shared" si="116"/>
        <v>14290380</v>
      </c>
      <c r="AA67" s="181">
        <f t="shared" si="116"/>
        <v>14810940</v>
      </c>
      <c r="AB67" s="181">
        <f t="shared" si="116"/>
        <v>15243900</v>
      </c>
      <c r="AC67" s="181">
        <f t="shared" si="116"/>
        <v>15598920</v>
      </c>
      <c r="AD67" s="181">
        <f t="shared" si="116"/>
        <v>15893200</v>
      </c>
      <c r="AE67" s="181">
        <f t="shared" si="116"/>
        <v>16131380</v>
      </c>
      <c r="AF67" s="202">
        <f t="shared" si="114"/>
        <v>160534680</v>
      </c>
      <c r="AI67" s="197">
        <v>0.03</v>
      </c>
      <c r="AJ67" s="181">
        <f t="shared" ref="AJ67:AU67" si="117">+$AI$67*AJ23</f>
        <v>12501315</v>
      </c>
      <c r="AK67" s="181">
        <f t="shared" si="117"/>
        <v>12666801</v>
      </c>
      <c r="AL67" s="181">
        <f t="shared" si="117"/>
        <v>12800607</v>
      </c>
      <c r="AM67" s="181">
        <f t="shared" si="117"/>
        <v>12908301</v>
      </c>
      <c r="AN67" s="181">
        <f t="shared" si="117"/>
        <v>14106894</v>
      </c>
      <c r="AO67" s="181">
        <f t="shared" si="117"/>
        <v>15158316</v>
      </c>
      <c r="AP67" s="181">
        <f t="shared" si="117"/>
        <v>16064493</v>
      </c>
      <c r="AQ67" s="181">
        <f t="shared" si="117"/>
        <v>16834938</v>
      </c>
      <c r="AR67" s="181">
        <f t="shared" si="117"/>
        <v>17482713</v>
      </c>
      <c r="AS67" s="181">
        <f t="shared" si="117"/>
        <v>18020973</v>
      </c>
      <c r="AT67" s="181">
        <f t="shared" si="117"/>
        <v>18466317</v>
      </c>
      <c r="AU67" s="181">
        <f t="shared" si="117"/>
        <v>18829881</v>
      </c>
      <c r="AV67" s="202">
        <f t="shared" si="68"/>
        <v>185841549</v>
      </c>
    </row>
    <row r="68" spans="1:49">
      <c r="A68" s="178"/>
      <c r="B68" s="210" t="s">
        <v>243</v>
      </c>
      <c r="D68" s="180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202">
        <f t="shared" si="113"/>
        <v>0</v>
      </c>
      <c r="T68" s="181">
        <v>2500000</v>
      </c>
      <c r="U68" s="181">
        <f>+T68</f>
        <v>2500000</v>
      </c>
      <c r="V68" s="181">
        <f t="shared" ref="V68:AE77" si="118">+U68</f>
        <v>2500000</v>
      </c>
      <c r="W68" s="181">
        <f t="shared" si="118"/>
        <v>2500000</v>
      </c>
      <c r="X68" s="181">
        <f t="shared" si="118"/>
        <v>2500000</v>
      </c>
      <c r="Y68" s="181">
        <f t="shared" si="118"/>
        <v>2500000</v>
      </c>
      <c r="Z68" s="181">
        <f t="shared" si="118"/>
        <v>2500000</v>
      </c>
      <c r="AA68" s="181">
        <f t="shared" si="118"/>
        <v>2500000</v>
      </c>
      <c r="AB68" s="181">
        <f t="shared" si="118"/>
        <v>2500000</v>
      </c>
      <c r="AC68" s="181">
        <f t="shared" si="118"/>
        <v>2500000</v>
      </c>
      <c r="AD68" s="181">
        <f t="shared" si="118"/>
        <v>2500000</v>
      </c>
      <c r="AE68" s="181">
        <f t="shared" si="118"/>
        <v>2500000</v>
      </c>
      <c r="AF68" s="202">
        <f t="shared" si="114"/>
        <v>30000000</v>
      </c>
      <c r="AJ68" s="181">
        <f>+AE68*(1+$AI$36)</f>
        <v>2650000</v>
      </c>
      <c r="AK68" s="181">
        <f>+AJ68</f>
        <v>2650000</v>
      </c>
      <c r="AL68" s="181">
        <f t="shared" ref="AL68:AU70" si="119">+AK68</f>
        <v>2650000</v>
      </c>
      <c r="AM68" s="181">
        <f t="shared" si="119"/>
        <v>2650000</v>
      </c>
      <c r="AN68" s="181">
        <f t="shared" si="119"/>
        <v>2650000</v>
      </c>
      <c r="AO68" s="181">
        <f t="shared" si="119"/>
        <v>2650000</v>
      </c>
      <c r="AP68" s="181">
        <f t="shared" si="119"/>
        <v>2650000</v>
      </c>
      <c r="AQ68" s="181">
        <f t="shared" si="119"/>
        <v>2650000</v>
      </c>
      <c r="AR68" s="181">
        <f t="shared" si="119"/>
        <v>2650000</v>
      </c>
      <c r="AS68" s="181">
        <f t="shared" si="119"/>
        <v>2650000</v>
      </c>
      <c r="AT68" s="181">
        <f t="shared" si="119"/>
        <v>2650000</v>
      </c>
      <c r="AU68" s="181">
        <f t="shared" si="119"/>
        <v>2650000</v>
      </c>
      <c r="AV68" s="202">
        <f t="shared" si="68"/>
        <v>31800000</v>
      </c>
    </row>
    <row r="69" spans="1:49">
      <c r="A69" s="178"/>
      <c r="B69" s="211" t="s">
        <v>244</v>
      </c>
      <c r="D69" s="180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202">
        <f t="shared" si="113"/>
        <v>0</v>
      </c>
      <c r="T69" s="181"/>
      <c r="U69" s="181"/>
      <c r="V69" s="181">
        <v>650000</v>
      </c>
      <c r="W69" s="181">
        <f t="shared" si="118"/>
        <v>650000</v>
      </c>
      <c r="X69" s="181">
        <f t="shared" si="118"/>
        <v>650000</v>
      </c>
      <c r="Y69" s="181">
        <f t="shared" si="118"/>
        <v>650000</v>
      </c>
      <c r="Z69" s="181">
        <f t="shared" si="118"/>
        <v>650000</v>
      </c>
      <c r="AA69" s="181">
        <f t="shared" si="118"/>
        <v>650000</v>
      </c>
      <c r="AB69" s="181">
        <f t="shared" si="118"/>
        <v>650000</v>
      </c>
      <c r="AC69" s="181">
        <f t="shared" si="118"/>
        <v>650000</v>
      </c>
      <c r="AD69" s="181">
        <f t="shared" si="118"/>
        <v>650000</v>
      </c>
      <c r="AE69" s="181">
        <f t="shared" si="118"/>
        <v>650000</v>
      </c>
      <c r="AF69" s="202">
        <f t="shared" si="114"/>
        <v>6500000</v>
      </c>
      <c r="AJ69" s="181">
        <f>+AE69*(1+$AI$36)</f>
        <v>689000</v>
      </c>
      <c r="AK69" s="181">
        <f>+AJ69</f>
        <v>689000</v>
      </c>
      <c r="AL69" s="181">
        <f>+AK69</f>
        <v>689000</v>
      </c>
      <c r="AM69" s="181">
        <f t="shared" si="119"/>
        <v>689000</v>
      </c>
      <c r="AN69" s="181">
        <f t="shared" si="119"/>
        <v>689000</v>
      </c>
      <c r="AO69" s="181">
        <f t="shared" si="119"/>
        <v>689000</v>
      </c>
      <c r="AP69" s="181">
        <f t="shared" si="119"/>
        <v>689000</v>
      </c>
      <c r="AQ69" s="181">
        <f t="shared" si="119"/>
        <v>689000</v>
      </c>
      <c r="AR69" s="181">
        <f t="shared" si="119"/>
        <v>689000</v>
      </c>
      <c r="AS69" s="181">
        <f t="shared" si="119"/>
        <v>689000</v>
      </c>
      <c r="AT69" s="181">
        <f t="shared" si="119"/>
        <v>689000</v>
      </c>
      <c r="AU69" s="181">
        <f t="shared" si="119"/>
        <v>689000</v>
      </c>
      <c r="AV69" s="202">
        <f t="shared" si="68"/>
        <v>8268000</v>
      </c>
    </row>
    <row r="70" spans="1:49">
      <c r="B70" s="211" t="s">
        <v>225</v>
      </c>
      <c r="D70" s="180">
        <v>450000</v>
      </c>
      <c r="E70" s="181">
        <f>+D70</f>
        <v>450000</v>
      </c>
      <c r="F70" s="181">
        <f t="shared" ref="F70:O70" si="120">+E70</f>
        <v>450000</v>
      </c>
      <c r="G70" s="181">
        <f t="shared" si="120"/>
        <v>450000</v>
      </c>
      <c r="H70" s="181">
        <f t="shared" si="120"/>
        <v>450000</v>
      </c>
      <c r="I70" s="181">
        <f t="shared" si="120"/>
        <v>450000</v>
      </c>
      <c r="J70" s="181">
        <f t="shared" si="120"/>
        <v>450000</v>
      </c>
      <c r="K70" s="181">
        <f t="shared" si="120"/>
        <v>450000</v>
      </c>
      <c r="L70" s="181">
        <f t="shared" si="120"/>
        <v>450000</v>
      </c>
      <c r="M70" s="181">
        <f t="shared" si="120"/>
        <v>450000</v>
      </c>
      <c r="N70" s="181">
        <f t="shared" si="120"/>
        <v>450000</v>
      </c>
      <c r="O70" s="181">
        <f t="shared" si="120"/>
        <v>450000</v>
      </c>
      <c r="P70" s="202">
        <f t="shared" si="113"/>
        <v>5400000</v>
      </c>
      <c r="T70" s="180"/>
      <c r="U70" s="180"/>
      <c r="V70" s="180">
        <v>700000</v>
      </c>
      <c r="W70" s="180">
        <f t="shared" si="118"/>
        <v>700000</v>
      </c>
      <c r="X70" s="180">
        <f t="shared" si="118"/>
        <v>700000</v>
      </c>
      <c r="Y70" s="180">
        <f t="shared" si="118"/>
        <v>700000</v>
      </c>
      <c r="Z70" s="180">
        <f t="shared" si="118"/>
        <v>700000</v>
      </c>
      <c r="AA70" s="180">
        <f t="shared" si="118"/>
        <v>700000</v>
      </c>
      <c r="AB70" s="180">
        <f t="shared" si="118"/>
        <v>700000</v>
      </c>
      <c r="AC70" s="180">
        <f t="shared" si="118"/>
        <v>700000</v>
      </c>
      <c r="AD70" s="180">
        <f t="shared" si="118"/>
        <v>700000</v>
      </c>
      <c r="AE70" s="180">
        <f t="shared" si="118"/>
        <v>700000</v>
      </c>
      <c r="AF70" s="202">
        <f t="shared" si="114"/>
        <v>7000000</v>
      </c>
      <c r="AJ70" s="181">
        <f>+AE70*(1+$AI$36)</f>
        <v>742000</v>
      </c>
      <c r="AK70" s="180">
        <f>+AJ70</f>
        <v>742000</v>
      </c>
      <c r="AL70" s="180">
        <f>+AK70</f>
        <v>742000</v>
      </c>
      <c r="AM70" s="180">
        <f t="shared" si="119"/>
        <v>742000</v>
      </c>
      <c r="AN70" s="180">
        <f t="shared" si="119"/>
        <v>742000</v>
      </c>
      <c r="AO70" s="180">
        <f t="shared" si="119"/>
        <v>742000</v>
      </c>
      <c r="AP70" s="180">
        <f t="shared" si="119"/>
        <v>742000</v>
      </c>
      <c r="AQ70" s="180">
        <f t="shared" si="119"/>
        <v>742000</v>
      </c>
      <c r="AR70" s="180">
        <f t="shared" si="119"/>
        <v>742000</v>
      </c>
      <c r="AS70" s="180">
        <f t="shared" si="119"/>
        <v>742000</v>
      </c>
      <c r="AT70" s="180">
        <f t="shared" si="119"/>
        <v>742000</v>
      </c>
      <c r="AU70" s="180">
        <f t="shared" si="119"/>
        <v>742000</v>
      </c>
      <c r="AV70" s="202">
        <f t="shared" si="68"/>
        <v>8904000</v>
      </c>
    </row>
    <row r="71" spans="1:49">
      <c r="B71" s="211" t="s">
        <v>248</v>
      </c>
      <c r="D71" s="180"/>
      <c r="E71" s="181"/>
      <c r="F71" s="181"/>
      <c r="G71" s="181"/>
      <c r="H71" s="181"/>
      <c r="I71" s="181"/>
      <c r="J71" s="181"/>
      <c r="K71" s="181"/>
      <c r="L71" s="181"/>
      <c r="M71" s="181"/>
      <c r="N71" s="181">
        <v>2000000</v>
      </c>
      <c r="O71" s="181">
        <f>+N71</f>
        <v>2000000</v>
      </c>
      <c r="P71" s="202">
        <f t="shared" si="113"/>
        <v>4000000</v>
      </c>
      <c r="T71" s="180">
        <f>+O71</f>
        <v>2000000</v>
      </c>
      <c r="U71" s="180">
        <f>+T71</f>
        <v>2000000</v>
      </c>
      <c r="V71" s="180">
        <f t="shared" si="118"/>
        <v>2000000</v>
      </c>
      <c r="W71" s="180">
        <f t="shared" si="118"/>
        <v>2000000</v>
      </c>
      <c r="X71" s="180">
        <f t="shared" si="118"/>
        <v>2000000</v>
      </c>
      <c r="Y71" s="180">
        <f t="shared" si="118"/>
        <v>2000000</v>
      </c>
      <c r="Z71" s="180">
        <f t="shared" si="118"/>
        <v>2000000</v>
      </c>
      <c r="AA71" s="180">
        <f t="shared" si="118"/>
        <v>2000000</v>
      </c>
      <c r="AB71" s="180">
        <f t="shared" si="118"/>
        <v>2000000</v>
      </c>
      <c r="AC71" s="180">
        <f t="shared" si="118"/>
        <v>2000000</v>
      </c>
      <c r="AD71" s="180">
        <f t="shared" si="118"/>
        <v>2000000</v>
      </c>
      <c r="AE71" s="180">
        <f t="shared" si="118"/>
        <v>2000000</v>
      </c>
      <c r="AF71" s="202">
        <f t="shared" si="114"/>
        <v>24000000</v>
      </c>
      <c r="AJ71" s="181">
        <v>4500000</v>
      </c>
      <c r="AK71" s="180">
        <f>+AJ71</f>
        <v>4500000</v>
      </c>
      <c r="AL71" s="180">
        <f t="shared" ref="AL71:AU71" si="121">+AK71</f>
        <v>4500000</v>
      </c>
      <c r="AM71" s="180">
        <f t="shared" si="121"/>
        <v>4500000</v>
      </c>
      <c r="AN71" s="180">
        <f t="shared" si="121"/>
        <v>4500000</v>
      </c>
      <c r="AO71" s="180">
        <f t="shared" si="121"/>
        <v>4500000</v>
      </c>
      <c r="AP71" s="180">
        <f t="shared" si="121"/>
        <v>4500000</v>
      </c>
      <c r="AQ71" s="180">
        <f t="shared" si="121"/>
        <v>4500000</v>
      </c>
      <c r="AR71" s="180">
        <f t="shared" si="121"/>
        <v>4500000</v>
      </c>
      <c r="AS71" s="180">
        <f t="shared" si="121"/>
        <v>4500000</v>
      </c>
      <c r="AT71" s="180">
        <f t="shared" si="121"/>
        <v>4500000</v>
      </c>
      <c r="AU71" s="180">
        <f t="shared" si="121"/>
        <v>4500000</v>
      </c>
      <c r="AV71" s="202">
        <f t="shared" si="68"/>
        <v>54000000</v>
      </c>
    </row>
    <row r="72" spans="1:49">
      <c r="A72" s="178">
        <v>0.08</v>
      </c>
      <c r="B72" s="210" t="s">
        <v>255</v>
      </c>
      <c r="D72" s="180">
        <f t="shared" ref="D72:O72" si="122">+$A$72*D1*D23</f>
        <v>0</v>
      </c>
      <c r="E72" s="180">
        <f t="shared" si="122"/>
        <v>10250.640000000001</v>
      </c>
      <c r="F72" s="180">
        <f t="shared" si="122"/>
        <v>72656.320000000007</v>
      </c>
      <c r="G72" s="180">
        <f t="shared" si="122"/>
        <v>155832.95999999999</v>
      </c>
      <c r="H72" s="180">
        <f t="shared" si="122"/>
        <v>272793.60000000003</v>
      </c>
      <c r="I72" s="180">
        <f t="shared" si="122"/>
        <v>389044.08</v>
      </c>
      <c r="J72" s="180">
        <f t="shared" si="122"/>
        <v>645965.75999999989</v>
      </c>
      <c r="K72" s="180">
        <f t="shared" si="122"/>
        <v>929517.12000000011</v>
      </c>
      <c r="L72" s="180">
        <f t="shared" si="122"/>
        <v>1220887.2</v>
      </c>
      <c r="M72" s="180">
        <f t="shared" si="122"/>
        <v>1490902.8</v>
      </c>
      <c r="N72" s="180">
        <f t="shared" si="122"/>
        <v>2175734.88</v>
      </c>
      <c r="O72" s="180">
        <f t="shared" si="122"/>
        <v>2639486.88</v>
      </c>
      <c r="P72" s="202">
        <f t="shared" si="113"/>
        <v>10003072.239999998</v>
      </c>
      <c r="T72" s="180">
        <f t="shared" ref="T72:AE72" si="123">+$A$72*T1*T23</f>
        <v>3166682.4</v>
      </c>
      <c r="U72" s="180">
        <f t="shared" si="123"/>
        <v>3599618.4</v>
      </c>
      <c r="V72" s="180">
        <f t="shared" si="123"/>
        <v>3994488</v>
      </c>
      <c r="W72" s="180">
        <f t="shared" si="123"/>
        <v>4588553.2</v>
      </c>
      <c r="X72" s="180">
        <f t="shared" si="123"/>
        <v>4914289.2</v>
      </c>
      <c r="Y72" s="180">
        <f t="shared" si="123"/>
        <v>5466960</v>
      </c>
      <c r="Z72" s="180">
        <f t="shared" si="123"/>
        <v>5716152</v>
      </c>
      <c r="AA72" s="180">
        <f t="shared" si="123"/>
        <v>5924376</v>
      </c>
      <c r="AB72" s="180">
        <f t="shared" si="123"/>
        <v>6097560</v>
      </c>
      <c r="AC72" s="180">
        <f t="shared" si="123"/>
        <v>6551546.3999999994</v>
      </c>
      <c r="AD72" s="180">
        <f t="shared" si="123"/>
        <v>7628735.9999999991</v>
      </c>
      <c r="AE72" s="180">
        <f t="shared" si="123"/>
        <v>8065690</v>
      </c>
      <c r="AF72" s="202">
        <f t="shared" si="114"/>
        <v>65714651.600000001</v>
      </c>
      <c r="AJ72" s="180">
        <f t="shared" ref="AJ72:AU72" si="124">+$A$72*AJ1*AJ23</f>
        <v>8334210</v>
      </c>
      <c r="AK72" s="180">
        <f t="shared" si="124"/>
        <v>8444534</v>
      </c>
      <c r="AL72" s="180">
        <f t="shared" si="124"/>
        <v>8533738</v>
      </c>
      <c r="AM72" s="180">
        <f t="shared" si="124"/>
        <v>8605534</v>
      </c>
      <c r="AN72" s="180">
        <f t="shared" si="124"/>
        <v>10909331.359999999</v>
      </c>
      <c r="AO72" s="180">
        <f t="shared" si="124"/>
        <v>12935096.32</v>
      </c>
      <c r="AP72" s="180">
        <f t="shared" si="124"/>
        <v>14565140.32</v>
      </c>
      <c r="AQ72" s="180">
        <f t="shared" si="124"/>
        <v>15712608.799999999</v>
      </c>
      <c r="AR72" s="180">
        <f t="shared" si="124"/>
        <v>16317198.799999999</v>
      </c>
      <c r="AS72" s="180">
        <f t="shared" si="124"/>
        <v>17300134.079999998</v>
      </c>
      <c r="AT72" s="180">
        <f t="shared" si="124"/>
        <v>18712534.559999999</v>
      </c>
      <c r="AU72" s="180">
        <f t="shared" si="124"/>
        <v>19583076.240000002</v>
      </c>
      <c r="AV72" s="202">
        <f t="shared" si="68"/>
        <v>159953136.47999999</v>
      </c>
    </row>
    <row r="73" spans="1:49">
      <c r="A73" s="178"/>
      <c r="B73" s="211" t="s">
        <v>263</v>
      </c>
      <c r="D73" s="180">
        <f>+D100</f>
        <v>466666.66666666669</v>
      </c>
      <c r="E73" s="180">
        <f t="shared" ref="E73:O73" si="125">+E100</f>
        <v>466666.66666666669</v>
      </c>
      <c r="F73" s="180">
        <f t="shared" si="125"/>
        <v>466666.66666666669</v>
      </c>
      <c r="G73" s="180">
        <f t="shared" si="125"/>
        <v>466666.66666666669</v>
      </c>
      <c r="H73" s="180">
        <f t="shared" si="125"/>
        <v>466666.66666666669</v>
      </c>
      <c r="I73" s="180">
        <f t="shared" si="125"/>
        <v>466666.66666666669</v>
      </c>
      <c r="J73" s="180">
        <f t="shared" si="125"/>
        <v>466666.66666666669</v>
      </c>
      <c r="K73" s="180">
        <f t="shared" si="125"/>
        <v>466666.66666666669</v>
      </c>
      <c r="L73" s="180">
        <f t="shared" si="125"/>
        <v>466666.66666666669</v>
      </c>
      <c r="M73" s="180">
        <f t="shared" si="125"/>
        <v>466666.66666666669</v>
      </c>
      <c r="N73" s="180">
        <f t="shared" si="125"/>
        <v>466666.66666666669</v>
      </c>
      <c r="O73" s="180">
        <f t="shared" si="125"/>
        <v>466666.66666666669</v>
      </c>
      <c r="P73" s="202">
        <f t="shared" si="113"/>
        <v>5600000.0000000009</v>
      </c>
      <c r="T73" s="180">
        <f>+T100</f>
        <v>466666.66666666669</v>
      </c>
      <c r="U73" s="180">
        <f t="shared" ref="U73:AE73" si="126">+U100</f>
        <v>466666.66666666669</v>
      </c>
      <c r="V73" s="180">
        <f t="shared" si="126"/>
        <v>466666.66666666669</v>
      </c>
      <c r="W73" s="180">
        <f t="shared" si="126"/>
        <v>466666.66666666669</v>
      </c>
      <c r="X73" s="180">
        <f t="shared" si="126"/>
        <v>800000</v>
      </c>
      <c r="Y73" s="180">
        <f t="shared" si="126"/>
        <v>800000</v>
      </c>
      <c r="Z73" s="180">
        <f t="shared" si="126"/>
        <v>800000</v>
      </c>
      <c r="AA73" s="180">
        <f t="shared" si="126"/>
        <v>800000</v>
      </c>
      <c r="AB73" s="180">
        <f t="shared" si="126"/>
        <v>800000</v>
      </c>
      <c r="AC73" s="180">
        <f t="shared" si="126"/>
        <v>800000</v>
      </c>
      <c r="AD73" s="180">
        <f t="shared" si="126"/>
        <v>800000</v>
      </c>
      <c r="AE73" s="180">
        <f t="shared" si="126"/>
        <v>800000</v>
      </c>
      <c r="AF73" s="202">
        <f t="shared" si="114"/>
        <v>8266666.666666667</v>
      </c>
      <c r="AJ73" s="180">
        <f>+AE73</f>
        <v>800000</v>
      </c>
      <c r="AK73" s="180">
        <f>+AJ73</f>
        <v>800000</v>
      </c>
      <c r="AL73" s="180">
        <f t="shared" ref="AL73:AU73" si="127">+AK73</f>
        <v>800000</v>
      </c>
      <c r="AM73" s="180">
        <f t="shared" si="127"/>
        <v>800000</v>
      </c>
      <c r="AN73" s="180">
        <f t="shared" si="127"/>
        <v>800000</v>
      </c>
      <c r="AO73" s="180">
        <f t="shared" si="127"/>
        <v>800000</v>
      </c>
      <c r="AP73" s="180">
        <f t="shared" si="127"/>
        <v>800000</v>
      </c>
      <c r="AQ73" s="180">
        <f t="shared" si="127"/>
        <v>800000</v>
      </c>
      <c r="AR73" s="180">
        <f t="shared" si="127"/>
        <v>800000</v>
      </c>
      <c r="AS73" s="180">
        <f t="shared" si="127"/>
        <v>800000</v>
      </c>
      <c r="AT73" s="180">
        <f t="shared" si="127"/>
        <v>800000</v>
      </c>
      <c r="AU73" s="180">
        <f t="shared" si="127"/>
        <v>800000</v>
      </c>
      <c r="AV73" s="202">
        <f t="shared" si="68"/>
        <v>9600000</v>
      </c>
    </row>
    <row r="74" spans="1:49">
      <c r="A74" s="178"/>
      <c r="B74" s="211" t="s">
        <v>307</v>
      </c>
      <c r="D74" s="180">
        <v>12000000</v>
      </c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202">
        <f t="shared" ref="P74:P75" si="128">SUM(D74:O74)</f>
        <v>12000000</v>
      </c>
      <c r="T74" s="180">
        <v>6000000</v>
      </c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180"/>
      <c r="AF74" s="202">
        <f t="shared" si="114"/>
        <v>6000000</v>
      </c>
      <c r="AJ74" s="180">
        <v>8000000</v>
      </c>
      <c r="AK74" s="180"/>
      <c r="AL74" s="180"/>
      <c r="AM74" s="180"/>
      <c r="AN74" s="180"/>
      <c r="AO74" s="180"/>
      <c r="AP74" s="180"/>
      <c r="AQ74" s="180"/>
      <c r="AR74" s="180"/>
      <c r="AS74" s="180"/>
      <c r="AT74" s="180"/>
      <c r="AU74" s="180"/>
      <c r="AV74" s="202">
        <f t="shared" si="68"/>
        <v>8000000</v>
      </c>
    </row>
    <row r="75" spans="1:49">
      <c r="A75" s="178"/>
      <c r="B75" s="211" t="s">
        <v>308</v>
      </c>
      <c r="D75" s="180">
        <v>3000000</v>
      </c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202">
        <f t="shared" si="128"/>
        <v>3000000</v>
      </c>
      <c r="T75" s="180">
        <v>600000</v>
      </c>
      <c r="U75" s="180">
        <f>+T75</f>
        <v>600000</v>
      </c>
      <c r="V75" s="180">
        <f t="shared" ref="V75:AE75" si="129">+U75</f>
        <v>600000</v>
      </c>
      <c r="W75" s="180">
        <f t="shared" si="129"/>
        <v>600000</v>
      </c>
      <c r="X75" s="180">
        <f t="shared" si="129"/>
        <v>600000</v>
      </c>
      <c r="Y75" s="180">
        <f t="shared" si="129"/>
        <v>600000</v>
      </c>
      <c r="Z75" s="180">
        <f t="shared" si="129"/>
        <v>600000</v>
      </c>
      <c r="AA75" s="180">
        <f t="shared" si="129"/>
        <v>600000</v>
      </c>
      <c r="AB75" s="180">
        <f t="shared" si="129"/>
        <v>600000</v>
      </c>
      <c r="AC75" s="180">
        <f t="shared" si="129"/>
        <v>600000</v>
      </c>
      <c r="AD75" s="180">
        <f t="shared" si="129"/>
        <v>600000</v>
      </c>
      <c r="AE75" s="180">
        <f t="shared" si="129"/>
        <v>600000</v>
      </c>
      <c r="AF75" s="202">
        <f t="shared" si="114"/>
        <v>7200000</v>
      </c>
      <c r="AJ75" s="180">
        <v>850000</v>
      </c>
      <c r="AK75" s="180">
        <f>+AJ75</f>
        <v>850000</v>
      </c>
      <c r="AL75" s="180">
        <f t="shared" ref="AL75:AU75" si="130">+AK75</f>
        <v>850000</v>
      </c>
      <c r="AM75" s="180">
        <f t="shared" si="130"/>
        <v>850000</v>
      </c>
      <c r="AN75" s="180">
        <f t="shared" si="130"/>
        <v>850000</v>
      </c>
      <c r="AO75" s="180">
        <f t="shared" si="130"/>
        <v>850000</v>
      </c>
      <c r="AP75" s="180">
        <f t="shared" si="130"/>
        <v>850000</v>
      </c>
      <c r="AQ75" s="180">
        <f t="shared" si="130"/>
        <v>850000</v>
      </c>
      <c r="AR75" s="180">
        <f t="shared" si="130"/>
        <v>850000</v>
      </c>
      <c r="AS75" s="180">
        <f t="shared" si="130"/>
        <v>850000</v>
      </c>
      <c r="AT75" s="180">
        <f t="shared" si="130"/>
        <v>850000</v>
      </c>
      <c r="AU75" s="180">
        <f t="shared" si="130"/>
        <v>850000</v>
      </c>
      <c r="AV75" s="202">
        <f t="shared" si="68"/>
        <v>10200000</v>
      </c>
    </row>
    <row r="76" spans="1:49">
      <c r="A76" s="178">
        <v>0.03</v>
      </c>
      <c r="B76" s="210" t="s">
        <v>291</v>
      </c>
      <c r="D76" s="180">
        <f t="shared" ref="D76:O76" si="131">+D23*$A$76</f>
        <v>136440</v>
      </c>
      <c r="E76" s="180">
        <f t="shared" si="131"/>
        <v>384399</v>
      </c>
      <c r="F76" s="180">
        <f t="shared" si="131"/>
        <v>681153</v>
      </c>
      <c r="G76" s="180">
        <f t="shared" si="131"/>
        <v>973956</v>
      </c>
      <c r="H76" s="180">
        <f t="shared" si="131"/>
        <v>1278720</v>
      </c>
      <c r="I76" s="180">
        <f t="shared" si="131"/>
        <v>1621017</v>
      </c>
      <c r="J76" s="180">
        <f t="shared" si="131"/>
        <v>2018643</v>
      </c>
      <c r="K76" s="180">
        <f t="shared" si="131"/>
        <v>2489778</v>
      </c>
      <c r="L76" s="180">
        <f t="shared" si="131"/>
        <v>3052218</v>
      </c>
      <c r="M76" s="180">
        <f t="shared" si="131"/>
        <v>3727257</v>
      </c>
      <c r="N76" s="180">
        <f t="shared" si="131"/>
        <v>4532781</v>
      </c>
      <c r="O76" s="180">
        <f t="shared" si="131"/>
        <v>5498931</v>
      </c>
      <c r="P76" s="202">
        <f t="shared" si="113"/>
        <v>26395293</v>
      </c>
      <c r="T76" s="180">
        <f t="shared" ref="T76:AE76" si="132">+T23*$A$76</f>
        <v>6597255</v>
      </c>
      <c r="U76" s="180">
        <f t="shared" si="132"/>
        <v>7499205</v>
      </c>
      <c r="V76" s="180">
        <f t="shared" si="132"/>
        <v>8321850</v>
      </c>
      <c r="W76" s="180">
        <f t="shared" si="132"/>
        <v>9056355</v>
      </c>
      <c r="X76" s="180">
        <f t="shared" si="132"/>
        <v>9699255</v>
      </c>
      <c r="Y76" s="180">
        <f t="shared" si="132"/>
        <v>10250550</v>
      </c>
      <c r="Z76" s="180">
        <f t="shared" si="132"/>
        <v>10717785</v>
      </c>
      <c r="AA76" s="180">
        <f t="shared" si="132"/>
        <v>11108205</v>
      </c>
      <c r="AB76" s="180">
        <f t="shared" si="132"/>
        <v>11432925</v>
      </c>
      <c r="AC76" s="180">
        <f t="shared" si="132"/>
        <v>11699190</v>
      </c>
      <c r="AD76" s="180">
        <f t="shared" si="132"/>
        <v>11919900</v>
      </c>
      <c r="AE76" s="180">
        <f t="shared" si="132"/>
        <v>12098535</v>
      </c>
      <c r="AF76" s="202">
        <f t="shared" si="114"/>
        <v>120401010</v>
      </c>
      <c r="AJ76" s="180">
        <f t="shared" ref="AJ76:AU76" si="133">+AJ23*$A$76</f>
        <v>12501315</v>
      </c>
      <c r="AK76" s="180">
        <f t="shared" si="133"/>
        <v>12666801</v>
      </c>
      <c r="AL76" s="180">
        <f t="shared" si="133"/>
        <v>12800607</v>
      </c>
      <c r="AM76" s="180">
        <f t="shared" si="133"/>
        <v>12908301</v>
      </c>
      <c r="AN76" s="180">
        <f t="shared" si="133"/>
        <v>14106894</v>
      </c>
      <c r="AO76" s="180">
        <f t="shared" si="133"/>
        <v>15158316</v>
      </c>
      <c r="AP76" s="180">
        <f t="shared" si="133"/>
        <v>16064493</v>
      </c>
      <c r="AQ76" s="180">
        <f t="shared" si="133"/>
        <v>16834938</v>
      </c>
      <c r="AR76" s="180">
        <f t="shared" si="133"/>
        <v>17482713</v>
      </c>
      <c r="AS76" s="180">
        <f t="shared" si="133"/>
        <v>18020973</v>
      </c>
      <c r="AT76" s="180">
        <f t="shared" si="133"/>
        <v>18466317</v>
      </c>
      <c r="AU76" s="180">
        <f t="shared" si="133"/>
        <v>18829881</v>
      </c>
      <c r="AV76" s="202">
        <f t="shared" si="68"/>
        <v>185841549</v>
      </c>
    </row>
    <row r="77" spans="1:49">
      <c r="B77" s="210" t="s">
        <v>247</v>
      </c>
      <c r="D77" s="180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202">
        <f t="shared" si="113"/>
        <v>0</v>
      </c>
      <c r="T77" s="180"/>
      <c r="U77" s="180"/>
      <c r="V77" s="180"/>
      <c r="W77" s="180"/>
      <c r="X77" s="180">
        <v>1000000</v>
      </c>
      <c r="Y77" s="180">
        <f t="shared" si="118"/>
        <v>1000000</v>
      </c>
      <c r="Z77" s="180">
        <f t="shared" si="118"/>
        <v>1000000</v>
      </c>
      <c r="AA77" s="180">
        <f t="shared" si="118"/>
        <v>1000000</v>
      </c>
      <c r="AB77" s="180">
        <f t="shared" si="118"/>
        <v>1000000</v>
      </c>
      <c r="AC77" s="180">
        <f t="shared" si="118"/>
        <v>1000000</v>
      </c>
      <c r="AD77" s="180">
        <f t="shared" si="118"/>
        <v>1000000</v>
      </c>
      <c r="AE77" s="180">
        <f t="shared" si="118"/>
        <v>1000000</v>
      </c>
      <c r="AF77" s="202">
        <f t="shared" si="114"/>
        <v>8000000</v>
      </c>
      <c r="AJ77" s="181">
        <v>1600000</v>
      </c>
      <c r="AK77" s="180">
        <f>+AJ77</f>
        <v>1600000</v>
      </c>
      <c r="AL77" s="180">
        <f>+AK77</f>
        <v>1600000</v>
      </c>
      <c r="AM77" s="180">
        <f t="shared" ref="AM77:AU77" si="134">+AL77</f>
        <v>1600000</v>
      </c>
      <c r="AN77" s="180">
        <f t="shared" si="134"/>
        <v>1600000</v>
      </c>
      <c r="AO77" s="180">
        <f t="shared" si="134"/>
        <v>1600000</v>
      </c>
      <c r="AP77" s="180">
        <f t="shared" si="134"/>
        <v>1600000</v>
      </c>
      <c r="AQ77" s="180">
        <f t="shared" si="134"/>
        <v>1600000</v>
      </c>
      <c r="AR77" s="180">
        <f t="shared" si="134"/>
        <v>1600000</v>
      </c>
      <c r="AS77" s="180">
        <f t="shared" si="134"/>
        <v>1600000</v>
      </c>
      <c r="AT77" s="180">
        <f t="shared" si="134"/>
        <v>1600000</v>
      </c>
      <c r="AU77" s="180">
        <f t="shared" si="134"/>
        <v>1600000</v>
      </c>
      <c r="AV77" s="202">
        <f t="shared" si="68"/>
        <v>19200000</v>
      </c>
    </row>
    <row r="79" spans="1:49" s="192" customFormat="1">
      <c r="B79" s="192" t="s">
        <v>229</v>
      </c>
      <c r="D79" s="193">
        <f>+D36+D65+D66+D67+D70+D68+D69+D77+D71+D72+D73+D76+D74+D75</f>
        <v>35247415.416666672</v>
      </c>
      <c r="E79" s="193">
        <f t="shared" ref="E79:P79" si="135">+E36+E65+E66+E67+E70+E68+E69+E77+E71+E72+E73+E76+E74+E75</f>
        <v>20865165.606666669</v>
      </c>
      <c r="F79" s="193">
        <f t="shared" si="135"/>
        <v>21654618.58666667</v>
      </c>
      <c r="G79" s="193">
        <f t="shared" si="135"/>
        <v>21846440.076666668</v>
      </c>
      <c r="H79" s="193">
        <f t="shared" si="135"/>
        <v>22519595.016666669</v>
      </c>
      <c r="I79" s="193">
        <f t="shared" si="135"/>
        <v>25111368.146666665</v>
      </c>
      <c r="J79" s="193">
        <f t="shared" si="135"/>
        <v>27005183.526666671</v>
      </c>
      <c r="K79" s="193">
        <f t="shared" si="135"/>
        <v>31471040.63666667</v>
      </c>
      <c r="L79" s="193">
        <f t="shared" si="135"/>
        <v>36640988.716666669</v>
      </c>
      <c r="M79" s="193">
        <f t="shared" si="135"/>
        <v>41825914.866666652</v>
      </c>
      <c r="N79" s="193">
        <f t="shared" si="135"/>
        <v>47826820.746666655</v>
      </c>
      <c r="O79" s="193">
        <f t="shared" si="135"/>
        <v>54510690.246666655</v>
      </c>
      <c r="P79" s="205">
        <f t="shared" si="135"/>
        <v>386525241.58999997</v>
      </c>
      <c r="T79" s="193">
        <f t="shared" ref="T79:AF79" si="136">+T36+T65+T66+T67+T70+T68+T69+T77+T71+T72+T73+T76+T74+T75</f>
        <v>84029293.816666678</v>
      </c>
      <c r="U79" s="193">
        <f t="shared" si="136"/>
        <v>84816875.316666678</v>
      </c>
      <c r="V79" s="193">
        <f t="shared" si="136"/>
        <v>92902992.666666672</v>
      </c>
      <c r="W79" s="193">
        <f t="shared" si="136"/>
        <v>96729914.616666675</v>
      </c>
      <c r="X79" s="193">
        <f t="shared" si="136"/>
        <v>105858891.95</v>
      </c>
      <c r="Y79" s="193">
        <f t="shared" si="136"/>
        <v>108835466</v>
      </c>
      <c r="Z79" s="193">
        <f t="shared" si="136"/>
        <v>111138482.75</v>
      </c>
      <c r="AA79" s="193">
        <f t="shared" si="136"/>
        <v>113062178.75</v>
      </c>
      <c r="AB79" s="193">
        <f t="shared" si="136"/>
        <v>114661814.75</v>
      </c>
      <c r="AC79" s="193">
        <f t="shared" si="136"/>
        <v>116284958.90000001</v>
      </c>
      <c r="AD79" s="193">
        <f t="shared" si="136"/>
        <v>120708180</v>
      </c>
      <c r="AE79" s="193">
        <f t="shared" si="136"/>
        <v>127218072.5</v>
      </c>
      <c r="AF79" s="205">
        <f t="shared" si="136"/>
        <v>1276247122.0166667</v>
      </c>
      <c r="AG79" s="208">
        <f>+(AF79/P79)-1</f>
        <v>2.3018467740081614</v>
      </c>
      <c r="AJ79" s="193">
        <f t="shared" ref="AJ79:AV79" si="137">+AJ36+AJ65+AJ66+AJ67+AJ70+AJ68+AJ69+AJ77+AJ71+AJ72+AJ73+AJ76+AJ74+AJ75</f>
        <v>148638455.61000001</v>
      </c>
      <c r="AK79" s="193">
        <f t="shared" si="137"/>
        <v>144762462.75000003</v>
      </c>
      <c r="AL79" s="193">
        <f t="shared" si="137"/>
        <v>152580229.25000003</v>
      </c>
      <c r="AM79" s="193">
        <f t="shared" si="137"/>
        <v>153077416.55000001</v>
      </c>
      <c r="AN79" s="193">
        <f t="shared" si="137"/>
        <v>162068456.25999999</v>
      </c>
      <c r="AO79" s="193">
        <f t="shared" si="137"/>
        <v>174367362.59999999</v>
      </c>
      <c r="AP79" s="193">
        <f t="shared" si="137"/>
        <v>181976815.35000002</v>
      </c>
      <c r="AQ79" s="193">
        <f t="shared" si="137"/>
        <v>186167541.58000007</v>
      </c>
      <c r="AR79" s="193">
        <f t="shared" si="137"/>
        <v>189330842.83000004</v>
      </c>
      <c r="AS79" s="193">
        <f t="shared" si="137"/>
        <v>195799918.55000007</v>
      </c>
      <c r="AT79" s="193">
        <f t="shared" si="137"/>
        <v>198971427.83000001</v>
      </c>
      <c r="AU79" s="193">
        <f t="shared" si="137"/>
        <v>201278047.31</v>
      </c>
      <c r="AV79" s="205">
        <f t="shared" si="137"/>
        <v>2089018976.47</v>
      </c>
      <c r="AW79" s="208">
        <f>+(AV79/AF79)-1</f>
        <v>0.636845200613678</v>
      </c>
    </row>
    <row r="80" spans="1:49" s="192" customFormat="1"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205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205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205"/>
    </row>
    <row r="81" spans="1:48" s="192" customFormat="1">
      <c r="B81" s="192" t="s">
        <v>290</v>
      </c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205">
        <f>+P32-P79</f>
        <v>-16484421.589999974</v>
      </c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205">
        <f>+AF32-AF79</f>
        <v>417222989.94333363</v>
      </c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205">
        <f>+AV32-AV79</f>
        <v>522489822.29816031</v>
      </c>
    </row>
    <row r="83" spans="1:48">
      <c r="B83" s="177" t="s">
        <v>226</v>
      </c>
      <c r="D83" s="180">
        <f>+'prestamo base'!C7</f>
        <v>952000</v>
      </c>
      <c r="E83" s="180">
        <f>+'prestamo base'!D7</f>
        <v>917205.58453549375</v>
      </c>
      <c r="F83" s="180">
        <f>+'prestamo base'!E7</f>
        <v>882021.47161778517</v>
      </c>
      <c r="G83" s="180">
        <f>+'prestamo base'!F7</f>
        <v>846443.29663539841</v>
      </c>
      <c r="H83" s="180">
        <f>+'prestamo base'!G7</f>
        <v>810466.64609320881</v>
      </c>
      <c r="I83" s="180">
        <f>+'prestamo base'!H7</f>
        <v>774087.05706494662</v>
      </c>
      <c r="J83" s="180">
        <f>+'prestamo base'!I7</f>
        <v>737300.01663956791</v>
      </c>
      <c r="K83" s="180">
        <f>+'prestamo base'!J7</f>
        <v>700100.961361425</v>
      </c>
      <c r="L83" s="180">
        <f>+'prestamo base'!K7</f>
        <v>662485.27666416683</v>
      </c>
      <c r="M83" s="180">
        <f>+'prestamo base'!L7</f>
        <v>624448.29629829945</v>
      </c>
      <c r="N83" s="180">
        <f>+'prestamo base'!M7</f>
        <v>585985.30175233434</v>
      </c>
      <c r="O83" s="180">
        <f>+'prestamo base'!N7</f>
        <v>547091.52166745439</v>
      </c>
      <c r="P83" s="202">
        <f>SUM(D83:O83)</f>
        <v>9039635.4303300809</v>
      </c>
      <c r="T83" s="180">
        <f>+'prestamo base'!O7</f>
        <v>507762.13124562381</v>
      </c>
      <c r="U83" s="180">
        <f>+'prestamo base'!P7</f>
        <v>467992.2516510688</v>
      </c>
      <c r="V83" s="180">
        <f>+'prestamo base'!Q7</f>
        <v>427776.94940505468</v>
      </c>
      <c r="W83" s="180">
        <f>+'prestamo base'!R7</f>
        <v>387111.23577388527</v>
      </c>
      <c r="X83" s="180">
        <f>+'prestamo base'!S7</f>
        <v>345990.06615004665</v>
      </c>
      <c r="Y83" s="180">
        <f>+'prestamo base'!T7</f>
        <v>304408.33942642109</v>
      </c>
      <c r="Z83" s="180">
        <f>+'prestamo base'!U7</f>
        <v>262360.89736349089</v>
      </c>
      <c r="AA83" s="180">
        <f>+'prestamo base'!V7</f>
        <v>219842.52394945596</v>
      </c>
      <c r="AB83" s="180">
        <f>+'prestamo base'!W7</f>
        <v>176847.94475318378</v>
      </c>
      <c r="AC83" s="180">
        <f>+'prestamo base'!X7</f>
        <v>133371.82626991338</v>
      </c>
      <c r="AD83" s="180">
        <f>+'prestamo base'!Y7</f>
        <v>89408.775259630318</v>
      </c>
      <c r="AE83" s="180">
        <f>+'prestamo base'!Z7</f>
        <v>44953.338078032109</v>
      </c>
      <c r="AF83" s="202">
        <f>SUM(T83:AE83)</f>
        <v>3367826.2793258075</v>
      </c>
      <c r="AM83" s="180">
        <f>+'prestamo base'!AD7</f>
        <v>672000</v>
      </c>
      <c r="AN83" s="180">
        <f>+'prestamo base'!AE7</f>
        <v>619366.37995830982</v>
      </c>
      <c r="AO83" s="180">
        <f>+'prestamo base'!AF7</f>
        <v>566143.26337215258</v>
      </c>
      <c r="AP83" s="180">
        <f>+'prestamo base'!AG7</f>
        <v>512324.04788023053</v>
      </c>
      <c r="AQ83" s="180">
        <f>+'prestamo base'!AH7</f>
        <v>457902.0571747988</v>
      </c>
      <c r="AR83" s="180">
        <f>+'prestamo base'!AI7</f>
        <v>402870.54017346632</v>
      </c>
      <c r="AS83" s="180">
        <f>+'prestamo base'!AJ7</f>
        <v>347222.67018171889</v>
      </c>
      <c r="AT83" s="180">
        <f>+'prestamo base'!AK7</f>
        <v>290951.54404606391</v>
      </c>
      <c r="AU83" s="180">
        <f>+'prestamo base'!AL7</f>
        <v>234050.18129768959</v>
      </c>
      <c r="AV83" s="202">
        <f>SUM(AJ83:AU83)</f>
        <v>4102830.6840844303</v>
      </c>
    </row>
    <row r="84" spans="1:48">
      <c r="B84" s="177" t="s">
        <v>227</v>
      </c>
      <c r="D84" s="180">
        <f t="shared" ref="D84:O84" si="138">+D23*2%</f>
        <v>90960</v>
      </c>
      <c r="E84" s="180">
        <f t="shared" si="138"/>
        <v>256266</v>
      </c>
      <c r="F84" s="180">
        <f t="shared" si="138"/>
        <v>454102</v>
      </c>
      <c r="G84" s="180">
        <f t="shared" si="138"/>
        <v>649304</v>
      </c>
      <c r="H84" s="180">
        <f t="shared" si="138"/>
        <v>852480</v>
      </c>
      <c r="I84" s="180">
        <f t="shared" si="138"/>
        <v>1080678</v>
      </c>
      <c r="J84" s="180">
        <f t="shared" si="138"/>
        <v>1345762</v>
      </c>
      <c r="K84" s="180">
        <f t="shared" si="138"/>
        <v>1659852</v>
      </c>
      <c r="L84" s="180">
        <f t="shared" si="138"/>
        <v>2034812</v>
      </c>
      <c r="M84" s="180">
        <f t="shared" si="138"/>
        <v>2484838</v>
      </c>
      <c r="N84" s="180">
        <f t="shared" si="138"/>
        <v>3021854</v>
      </c>
      <c r="O84" s="180">
        <f t="shared" si="138"/>
        <v>3665954</v>
      </c>
      <c r="P84" s="202">
        <f>SUM(D84:O84)</f>
        <v>17596862</v>
      </c>
      <c r="T84" s="180">
        <f t="shared" ref="T84:AE84" si="139">+T23*2%</f>
        <v>4398170</v>
      </c>
      <c r="U84" s="180">
        <f t="shared" si="139"/>
        <v>4999470</v>
      </c>
      <c r="V84" s="180">
        <f t="shared" si="139"/>
        <v>5547900</v>
      </c>
      <c r="W84" s="180">
        <f t="shared" si="139"/>
        <v>6037570</v>
      </c>
      <c r="X84" s="180">
        <f t="shared" si="139"/>
        <v>6466170</v>
      </c>
      <c r="Y84" s="180">
        <f t="shared" si="139"/>
        <v>6833700</v>
      </c>
      <c r="Z84" s="180">
        <f t="shared" si="139"/>
        <v>7145190</v>
      </c>
      <c r="AA84" s="180">
        <f t="shared" si="139"/>
        <v>7405470</v>
      </c>
      <c r="AB84" s="180">
        <f t="shared" si="139"/>
        <v>7621950</v>
      </c>
      <c r="AC84" s="180">
        <f t="shared" si="139"/>
        <v>7799460</v>
      </c>
      <c r="AD84" s="180">
        <f t="shared" si="139"/>
        <v>7946600</v>
      </c>
      <c r="AE84" s="180">
        <f t="shared" si="139"/>
        <v>8065690</v>
      </c>
      <c r="AF84" s="202">
        <f>SUM(T84:AE84)</f>
        <v>80267340</v>
      </c>
      <c r="AJ84" s="180">
        <f t="shared" ref="AJ84:AU84" si="140">+AJ23*2%</f>
        <v>8334210</v>
      </c>
      <c r="AK84" s="180">
        <f t="shared" si="140"/>
        <v>8444534</v>
      </c>
      <c r="AL84" s="180">
        <f t="shared" si="140"/>
        <v>8533738</v>
      </c>
      <c r="AM84" s="180">
        <f t="shared" si="140"/>
        <v>8605534</v>
      </c>
      <c r="AN84" s="180">
        <f t="shared" si="140"/>
        <v>9404596</v>
      </c>
      <c r="AO84" s="180">
        <f t="shared" si="140"/>
        <v>10105544</v>
      </c>
      <c r="AP84" s="180">
        <f t="shared" si="140"/>
        <v>10709662</v>
      </c>
      <c r="AQ84" s="180">
        <f t="shared" si="140"/>
        <v>11223292</v>
      </c>
      <c r="AR84" s="180">
        <f t="shared" si="140"/>
        <v>11655142</v>
      </c>
      <c r="AS84" s="180">
        <f t="shared" si="140"/>
        <v>12013982</v>
      </c>
      <c r="AT84" s="180">
        <f t="shared" si="140"/>
        <v>12310878</v>
      </c>
      <c r="AU84" s="180">
        <f t="shared" si="140"/>
        <v>12553254</v>
      </c>
      <c r="AV84" s="202">
        <f>SUM(AJ84:AU84)</f>
        <v>123894366</v>
      </c>
    </row>
    <row r="86" spans="1:48" s="192" customFormat="1">
      <c r="B86" s="192" t="s">
        <v>228</v>
      </c>
      <c r="D86" s="191">
        <f t="shared" ref="D86:P86" si="141">+D32-D79-D83-D84</f>
        <v>-34374645.416666672</v>
      </c>
      <c r="E86" s="191">
        <f t="shared" si="141"/>
        <v>-16642607.191202164</v>
      </c>
      <c r="F86" s="191">
        <f t="shared" si="141"/>
        <v>-13430592.058284454</v>
      </c>
      <c r="G86" s="191">
        <f t="shared" si="141"/>
        <v>-9676427.3733020667</v>
      </c>
      <c r="H86" s="191">
        <f t="shared" si="141"/>
        <v>-6244541.6627598777</v>
      </c>
      <c r="I86" s="191">
        <f t="shared" si="141"/>
        <v>-4230533.2037316114</v>
      </c>
      <c r="J86" s="191">
        <f t="shared" si="141"/>
        <v>-780705.54330623895</v>
      </c>
      <c r="K86" s="191">
        <f t="shared" si="141"/>
        <v>1077746.4019719046</v>
      </c>
      <c r="L86" s="191">
        <f t="shared" si="141"/>
        <v>3449894.0066691646</v>
      </c>
      <c r="M86" s="191">
        <f t="shared" si="141"/>
        <v>7308498.8370350488</v>
      </c>
      <c r="N86" s="191">
        <f t="shared" si="141"/>
        <v>12091029.951581011</v>
      </c>
      <c r="O86" s="191">
        <f t="shared" si="141"/>
        <v>18331964.231665891</v>
      </c>
      <c r="P86" s="205">
        <f t="shared" si="141"/>
        <v>-43120919.020330057</v>
      </c>
      <c r="T86" s="191">
        <f t="shared" ref="T86:AF86" si="142">+T32-T79-T83-T84</f>
        <v>3882839.4520877041</v>
      </c>
      <c r="U86" s="191">
        <f t="shared" si="142"/>
        <v>15214614.871682283</v>
      </c>
      <c r="V86" s="191">
        <f t="shared" si="142"/>
        <v>18185323.623928282</v>
      </c>
      <c r="W86" s="191">
        <f t="shared" si="142"/>
        <v>24234796.747559436</v>
      </c>
      <c r="X86" s="191">
        <f t="shared" si="142"/>
        <v>23755652.343849935</v>
      </c>
      <c r="Y86" s="191">
        <f t="shared" si="142"/>
        <v>28202354.18057356</v>
      </c>
      <c r="Z86" s="191">
        <f t="shared" si="142"/>
        <v>32197417.952636532</v>
      </c>
      <c r="AA86" s="191">
        <f t="shared" si="142"/>
        <v>35543544.246050522</v>
      </c>
      <c r="AB86" s="191">
        <f t="shared" si="142"/>
        <v>38334523.465246812</v>
      </c>
      <c r="AC86" s="191">
        <f t="shared" si="142"/>
        <v>40319724.713730112</v>
      </c>
      <c r="AD86" s="191">
        <f t="shared" si="142"/>
        <v>38895475.144740388</v>
      </c>
      <c r="AE86" s="191">
        <f t="shared" si="142"/>
        <v>34821556.921921961</v>
      </c>
      <c r="AF86" s="205">
        <f t="shared" si="142"/>
        <v>333587823.66400784</v>
      </c>
      <c r="AJ86" s="191">
        <f t="shared" ref="AJ86:AU86" si="143">+AJ32-AJ79-AJ83-AJ84</f>
        <v>18721965.411599994</v>
      </c>
      <c r="AK86" s="191">
        <f t="shared" si="143"/>
        <v>24812097.566479951</v>
      </c>
      <c r="AL86" s="191">
        <f t="shared" si="143"/>
        <v>18784520.144719958</v>
      </c>
      <c r="AM86" s="191">
        <f t="shared" si="143"/>
        <v>19056053.100080013</v>
      </c>
      <c r="AN86" s="191">
        <f t="shared" si="143"/>
        <v>26153483.556521706</v>
      </c>
      <c r="AO86" s="191">
        <f t="shared" si="143"/>
        <v>27974232.347827911</v>
      </c>
      <c r="AP86" s="191">
        <f t="shared" si="143"/>
        <v>32541463.870279729</v>
      </c>
      <c r="AQ86" s="191">
        <f t="shared" si="143"/>
        <v>38711998.035785168</v>
      </c>
      <c r="AR86" s="191">
        <f t="shared" si="143"/>
        <v>44269340.416866459</v>
      </c>
      <c r="AS86" s="191">
        <f t="shared" si="143"/>
        <v>45056482.51565823</v>
      </c>
      <c r="AT86" s="191">
        <f t="shared" si="143"/>
        <v>47898700.662593879</v>
      </c>
      <c r="AU86" s="191">
        <f t="shared" si="143"/>
        <v>50512287.985662311</v>
      </c>
      <c r="AV86" s="205">
        <f>SUM(AJ86:AU86)</f>
        <v>394492625.6140753</v>
      </c>
    </row>
    <row r="87" spans="1:48">
      <c r="B87" s="177" t="s">
        <v>78</v>
      </c>
      <c r="P87" s="202">
        <f>+IF(P86&lt;0,0,P86*'Estados finan base'!$E$4)</f>
        <v>0</v>
      </c>
      <c r="AF87" s="202">
        <f>+IF(AF86&lt;0,0,AF86*'Estados finan base'!$E$4)</f>
        <v>116755738.28240274</v>
      </c>
      <c r="AV87" s="202">
        <f>+IF(AV86&lt;0,0,AV86*'Estados finan base'!$E$4)</f>
        <v>138072418.96492636</v>
      </c>
    </row>
    <row r="89" spans="1:48" s="192" customFormat="1">
      <c r="B89" s="192" t="s">
        <v>80</v>
      </c>
      <c r="D89" s="193">
        <f>+D86-D87</f>
        <v>-34374645.416666672</v>
      </c>
      <c r="E89" s="193">
        <f t="shared" ref="E89:P89" si="144">+E86-E87</f>
        <v>-16642607.191202164</v>
      </c>
      <c r="F89" s="193">
        <f t="shared" si="144"/>
        <v>-13430592.058284454</v>
      </c>
      <c r="G89" s="193">
        <f t="shared" si="144"/>
        <v>-9676427.3733020667</v>
      </c>
      <c r="H89" s="193">
        <f t="shared" si="144"/>
        <v>-6244541.6627598777</v>
      </c>
      <c r="I89" s="193">
        <f t="shared" si="144"/>
        <v>-4230533.2037316114</v>
      </c>
      <c r="J89" s="193">
        <f t="shared" si="144"/>
        <v>-780705.54330623895</v>
      </c>
      <c r="K89" s="193">
        <f t="shared" si="144"/>
        <v>1077746.4019719046</v>
      </c>
      <c r="L89" s="193">
        <f t="shared" si="144"/>
        <v>3449894.0066691646</v>
      </c>
      <c r="M89" s="193">
        <f t="shared" si="144"/>
        <v>7308498.8370350488</v>
      </c>
      <c r="N89" s="193">
        <f t="shared" si="144"/>
        <v>12091029.951581011</v>
      </c>
      <c r="O89" s="193">
        <f>+O86-O87</f>
        <v>18331964.231665891</v>
      </c>
      <c r="P89" s="204">
        <f t="shared" si="144"/>
        <v>-43120919.020330057</v>
      </c>
      <c r="T89" s="193">
        <f t="shared" ref="T89:AF89" si="145">+T86-T87</f>
        <v>3882839.4520877041</v>
      </c>
      <c r="U89" s="193">
        <f t="shared" si="145"/>
        <v>15214614.871682283</v>
      </c>
      <c r="V89" s="193">
        <f t="shared" si="145"/>
        <v>18185323.623928282</v>
      </c>
      <c r="W89" s="193">
        <f t="shared" si="145"/>
        <v>24234796.747559436</v>
      </c>
      <c r="X89" s="193">
        <f t="shared" si="145"/>
        <v>23755652.343849935</v>
      </c>
      <c r="Y89" s="193">
        <f t="shared" si="145"/>
        <v>28202354.18057356</v>
      </c>
      <c r="Z89" s="193">
        <f t="shared" si="145"/>
        <v>32197417.952636532</v>
      </c>
      <c r="AA89" s="193">
        <f t="shared" si="145"/>
        <v>35543544.246050522</v>
      </c>
      <c r="AB89" s="193">
        <f t="shared" si="145"/>
        <v>38334523.465246812</v>
      </c>
      <c r="AC89" s="193">
        <f t="shared" si="145"/>
        <v>40319724.713730112</v>
      </c>
      <c r="AD89" s="193">
        <f t="shared" si="145"/>
        <v>38895475.144740388</v>
      </c>
      <c r="AE89" s="193">
        <f t="shared" si="145"/>
        <v>34821556.921921961</v>
      </c>
      <c r="AF89" s="204">
        <f t="shared" si="145"/>
        <v>216832085.38160509</v>
      </c>
      <c r="AJ89" s="193">
        <f t="shared" ref="AJ89:AV89" si="146">+AJ86-AJ87</f>
        <v>18721965.411599994</v>
      </c>
      <c r="AK89" s="193">
        <f t="shared" si="146"/>
        <v>24812097.566479951</v>
      </c>
      <c r="AL89" s="193">
        <f t="shared" si="146"/>
        <v>18784520.144719958</v>
      </c>
      <c r="AM89" s="193">
        <f t="shared" si="146"/>
        <v>19056053.100080013</v>
      </c>
      <c r="AN89" s="193">
        <f t="shared" si="146"/>
        <v>26153483.556521706</v>
      </c>
      <c r="AO89" s="193">
        <f t="shared" si="146"/>
        <v>27974232.347827911</v>
      </c>
      <c r="AP89" s="193">
        <f t="shared" si="146"/>
        <v>32541463.870279729</v>
      </c>
      <c r="AQ89" s="193">
        <f t="shared" si="146"/>
        <v>38711998.035785168</v>
      </c>
      <c r="AR89" s="193">
        <f t="shared" si="146"/>
        <v>44269340.416866459</v>
      </c>
      <c r="AS89" s="193">
        <f t="shared" si="146"/>
        <v>45056482.51565823</v>
      </c>
      <c r="AT89" s="193">
        <f t="shared" si="146"/>
        <v>47898700.662593879</v>
      </c>
      <c r="AU89" s="193">
        <f t="shared" si="146"/>
        <v>50512287.985662311</v>
      </c>
      <c r="AV89" s="204">
        <f t="shared" si="146"/>
        <v>256420206.64914894</v>
      </c>
    </row>
    <row r="92" spans="1:48" s="192" customFormat="1">
      <c r="B92" s="192" t="s">
        <v>264</v>
      </c>
      <c r="C92" s="193">
        <f>+C98+C97+C96+C95+C94+C93+C99-C100</f>
        <v>28000000</v>
      </c>
      <c r="D92" s="193">
        <f>+D98+D97+D96+D95+D94+D93+D99-D100</f>
        <v>27533333.333333332</v>
      </c>
      <c r="E92" s="191">
        <f t="shared" ref="E92:F92" si="147">+E98+E97+E96+E95+E94+E93</f>
        <v>12000000</v>
      </c>
      <c r="F92" s="191">
        <f t="shared" si="147"/>
        <v>12000000</v>
      </c>
      <c r="P92" s="205">
        <f>+P98+P97+P96+P95+P94+P93+P99-P100</f>
        <v>163335904.57550213</v>
      </c>
      <c r="AF92" s="205">
        <f>+AF98+AF97+AF96+AF95+AF94+AF93+AF99-AF100</f>
        <v>171441580.22333333</v>
      </c>
      <c r="AV92" s="205">
        <f>+AV98+AV97+AV96+AV95+AV94+AV93+AV99-AV100</f>
        <v>149300395.88466001</v>
      </c>
    </row>
    <row r="93" spans="1:48">
      <c r="B93" s="186" t="s">
        <v>265</v>
      </c>
      <c r="P93" s="207">
        <f>+P132</f>
        <v>107956468.46439102</v>
      </c>
      <c r="AF93" s="207">
        <f>+AF132</f>
        <v>131708246.89</v>
      </c>
      <c r="AV93" s="207">
        <f>+AV132</f>
        <v>149300395.88466001</v>
      </c>
    </row>
    <row r="94" spans="1:48">
      <c r="A94" s="177">
        <v>0</v>
      </c>
      <c r="B94" s="186" t="s">
        <v>266</v>
      </c>
      <c r="P94" s="207">
        <f>+(A94/360)*P23</f>
        <v>0</v>
      </c>
      <c r="AF94" s="207">
        <f>+(Q94/360)*AF23</f>
        <v>0</v>
      </c>
      <c r="AI94" s="177">
        <v>0</v>
      </c>
      <c r="AV94" s="207">
        <f>+(AG94/360)*AV23</f>
        <v>0</v>
      </c>
    </row>
    <row r="95" spans="1:48">
      <c r="A95" s="177">
        <v>25</v>
      </c>
      <c r="B95" s="186" t="s">
        <v>59</v>
      </c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202">
        <f>+(A95/360)*P28</f>
        <v>32979436.111111112</v>
      </c>
      <c r="AF95" s="202">
        <f>+(Q95/360)*AF28</f>
        <v>0</v>
      </c>
      <c r="AI95" s="177">
        <v>30</v>
      </c>
      <c r="AV95" s="202">
        <f>+(AG95/360)*AV28</f>
        <v>0</v>
      </c>
    </row>
    <row r="96" spans="1:48">
      <c r="B96" s="186" t="s">
        <v>267</v>
      </c>
    </row>
    <row r="97" spans="1:48">
      <c r="B97" s="186" t="s">
        <v>268</v>
      </c>
      <c r="C97" s="180">
        <v>6000000</v>
      </c>
      <c r="D97" s="181">
        <f>+C97</f>
        <v>6000000</v>
      </c>
      <c r="E97" s="181">
        <f t="shared" ref="E97:P99" si="148">+D97</f>
        <v>6000000</v>
      </c>
      <c r="F97" s="181">
        <f t="shared" si="148"/>
        <v>6000000</v>
      </c>
      <c r="G97" s="181">
        <f t="shared" si="148"/>
        <v>6000000</v>
      </c>
      <c r="H97" s="181">
        <f t="shared" si="148"/>
        <v>6000000</v>
      </c>
      <c r="I97" s="181">
        <f t="shared" si="148"/>
        <v>6000000</v>
      </c>
      <c r="J97" s="181">
        <f t="shared" si="148"/>
        <v>6000000</v>
      </c>
      <c r="K97" s="181">
        <f t="shared" si="148"/>
        <v>6000000</v>
      </c>
      <c r="L97" s="181">
        <f t="shared" si="148"/>
        <v>6000000</v>
      </c>
      <c r="M97" s="181">
        <f t="shared" si="148"/>
        <v>6000000</v>
      </c>
      <c r="N97" s="181">
        <f t="shared" si="148"/>
        <v>6000000</v>
      </c>
      <c r="O97" s="181">
        <f t="shared" si="148"/>
        <v>6000000</v>
      </c>
      <c r="P97" s="207">
        <f t="shared" si="148"/>
        <v>6000000</v>
      </c>
      <c r="T97" s="181">
        <f>+O97</f>
        <v>6000000</v>
      </c>
      <c r="U97" s="181">
        <f>+T97</f>
        <v>6000000</v>
      </c>
      <c r="V97" s="181">
        <f t="shared" ref="V97:AF99" si="149">+U97</f>
        <v>6000000</v>
      </c>
      <c r="W97" s="181">
        <f t="shared" si="149"/>
        <v>6000000</v>
      </c>
      <c r="X97" s="181">
        <f t="shared" si="149"/>
        <v>6000000</v>
      </c>
      <c r="Y97" s="181">
        <f t="shared" si="149"/>
        <v>6000000</v>
      </c>
      <c r="Z97" s="181">
        <f t="shared" si="149"/>
        <v>6000000</v>
      </c>
      <c r="AA97" s="181">
        <f t="shared" si="149"/>
        <v>6000000</v>
      </c>
      <c r="AB97" s="181">
        <f t="shared" si="149"/>
        <v>6000000</v>
      </c>
      <c r="AC97" s="181">
        <f t="shared" si="149"/>
        <v>6000000</v>
      </c>
      <c r="AD97" s="181">
        <f t="shared" si="149"/>
        <v>6000000</v>
      </c>
      <c r="AE97" s="181">
        <f t="shared" si="149"/>
        <v>6000000</v>
      </c>
      <c r="AF97" s="207">
        <f t="shared" si="149"/>
        <v>6000000</v>
      </c>
      <c r="AV97" s="207">
        <f t="shared" ref="AV97:AV99" si="150">+AU97</f>
        <v>0</v>
      </c>
    </row>
    <row r="98" spans="1:48">
      <c r="B98" s="186" t="s">
        <v>269</v>
      </c>
      <c r="C98" s="180">
        <v>6000000</v>
      </c>
      <c r="D98" s="181">
        <f>+C98</f>
        <v>6000000</v>
      </c>
      <c r="E98" s="181">
        <f t="shared" si="148"/>
        <v>6000000</v>
      </c>
      <c r="F98" s="181">
        <f t="shared" si="148"/>
        <v>6000000</v>
      </c>
      <c r="G98" s="181">
        <f t="shared" si="148"/>
        <v>6000000</v>
      </c>
      <c r="H98" s="181">
        <f t="shared" si="148"/>
        <v>6000000</v>
      </c>
      <c r="I98" s="181">
        <f t="shared" si="148"/>
        <v>6000000</v>
      </c>
      <c r="J98" s="181">
        <f t="shared" si="148"/>
        <v>6000000</v>
      </c>
      <c r="K98" s="181">
        <f t="shared" si="148"/>
        <v>6000000</v>
      </c>
      <c r="L98" s="181">
        <f t="shared" si="148"/>
        <v>6000000</v>
      </c>
      <c r="M98" s="181">
        <f t="shared" si="148"/>
        <v>6000000</v>
      </c>
      <c r="N98" s="181">
        <f t="shared" si="148"/>
        <v>6000000</v>
      </c>
      <c r="O98" s="181">
        <f t="shared" si="148"/>
        <v>6000000</v>
      </c>
      <c r="P98" s="207">
        <f t="shared" si="148"/>
        <v>6000000</v>
      </c>
      <c r="T98" s="181">
        <f>+O98</f>
        <v>6000000</v>
      </c>
      <c r="U98" s="181">
        <f t="shared" ref="U98:AE100" si="151">+T98</f>
        <v>6000000</v>
      </c>
      <c r="V98" s="181">
        <f t="shared" si="151"/>
        <v>6000000</v>
      </c>
      <c r="W98" s="181">
        <f t="shared" si="151"/>
        <v>6000000</v>
      </c>
      <c r="X98" s="181">
        <f t="shared" si="151"/>
        <v>6000000</v>
      </c>
      <c r="Y98" s="181">
        <f t="shared" si="151"/>
        <v>6000000</v>
      </c>
      <c r="Z98" s="181">
        <f t="shared" si="151"/>
        <v>6000000</v>
      </c>
      <c r="AA98" s="181">
        <f t="shared" si="151"/>
        <v>6000000</v>
      </c>
      <c r="AB98" s="181">
        <f t="shared" si="151"/>
        <v>6000000</v>
      </c>
      <c r="AC98" s="181">
        <f t="shared" si="151"/>
        <v>6000000</v>
      </c>
      <c r="AD98" s="181">
        <f t="shared" si="151"/>
        <v>6000000</v>
      </c>
      <c r="AE98" s="181">
        <f t="shared" si="151"/>
        <v>6000000</v>
      </c>
      <c r="AF98" s="207">
        <f t="shared" si="149"/>
        <v>6000000</v>
      </c>
      <c r="AV98" s="207">
        <f t="shared" si="150"/>
        <v>0</v>
      </c>
    </row>
    <row r="99" spans="1:48">
      <c r="B99" s="186" t="s">
        <v>270</v>
      </c>
      <c r="C99" s="180">
        <v>16000000</v>
      </c>
      <c r="D99" s="181">
        <f>+C99</f>
        <v>16000000</v>
      </c>
      <c r="E99" s="181">
        <f t="shared" si="148"/>
        <v>16000000</v>
      </c>
      <c r="F99" s="181">
        <f t="shared" si="148"/>
        <v>16000000</v>
      </c>
      <c r="G99" s="181">
        <f t="shared" si="148"/>
        <v>16000000</v>
      </c>
      <c r="H99" s="181">
        <f t="shared" si="148"/>
        <v>16000000</v>
      </c>
      <c r="I99" s="181">
        <f t="shared" si="148"/>
        <v>16000000</v>
      </c>
      <c r="J99" s="181">
        <f t="shared" si="148"/>
        <v>16000000</v>
      </c>
      <c r="K99" s="181">
        <f t="shared" si="148"/>
        <v>16000000</v>
      </c>
      <c r="L99" s="181">
        <f t="shared" si="148"/>
        <v>16000000</v>
      </c>
      <c r="M99" s="181">
        <f t="shared" si="148"/>
        <v>16000000</v>
      </c>
      <c r="N99" s="181">
        <f t="shared" si="148"/>
        <v>16000000</v>
      </c>
      <c r="O99" s="181">
        <f t="shared" si="148"/>
        <v>16000000</v>
      </c>
      <c r="P99" s="207">
        <f t="shared" si="148"/>
        <v>16000000</v>
      </c>
      <c r="T99" s="181">
        <f t="shared" ref="T99:T100" si="152">+O99</f>
        <v>16000000</v>
      </c>
      <c r="U99" s="181">
        <f t="shared" si="151"/>
        <v>16000000</v>
      </c>
      <c r="V99" s="181">
        <f t="shared" si="151"/>
        <v>16000000</v>
      </c>
      <c r="W99" s="214">
        <f>+V99+20000000</f>
        <v>36000000</v>
      </c>
      <c r="X99" s="181">
        <f t="shared" si="151"/>
        <v>36000000</v>
      </c>
      <c r="Y99" s="181">
        <f t="shared" si="151"/>
        <v>36000000</v>
      </c>
      <c r="Z99" s="181">
        <f t="shared" si="151"/>
        <v>36000000</v>
      </c>
      <c r="AA99" s="181">
        <f t="shared" si="151"/>
        <v>36000000</v>
      </c>
      <c r="AB99" s="181">
        <f t="shared" si="151"/>
        <v>36000000</v>
      </c>
      <c r="AC99" s="181">
        <f t="shared" si="151"/>
        <v>36000000</v>
      </c>
      <c r="AD99" s="181">
        <f t="shared" si="151"/>
        <v>36000000</v>
      </c>
      <c r="AE99" s="181">
        <f t="shared" si="151"/>
        <v>36000000</v>
      </c>
      <c r="AF99" s="207">
        <f t="shared" si="149"/>
        <v>36000000</v>
      </c>
      <c r="AV99" s="207">
        <f t="shared" si="150"/>
        <v>0</v>
      </c>
    </row>
    <row r="100" spans="1:48">
      <c r="B100" s="186" t="s">
        <v>277</v>
      </c>
      <c r="D100" s="181">
        <f>SUM($C$97:$C$99)/5/12</f>
        <v>466666.66666666669</v>
      </c>
      <c r="E100" s="181">
        <f t="shared" ref="E100:O100" si="153">SUM($C$97:$C$99)/5/12</f>
        <v>466666.66666666669</v>
      </c>
      <c r="F100" s="181">
        <f t="shared" si="153"/>
        <v>466666.66666666669</v>
      </c>
      <c r="G100" s="181">
        <f t="shared" si="153"/>
        <v>466666.66666666669</v>
      </c>
      <c r="H100" s="181">
        <f t="shared" si="153"/>
        <v>466666.66666666669</v>
      </c>
      <c r="I100" s="181">
        <f t="shared" si="153"/>
        <v>466666.66666666669</v>
      </c>
      <c r="J100" s="181">
        <f t="shared" si="153"/>
        <v>466666.66666666669</v>
      </c>
      <c r="K100" s="181">
        <f t="shared" si="153"/>
        <v>466666.66666666669</v>
      </c>
      <c r="L100" s="181">
        <f t="shared" si="153"/>
        <v>466666.66666666669</v>
      </c>
      <c r="M100" s="181">
        <f t="shared" si="153"/>
        <v>466666.66666666669</v>
      </c>
      <c r="N100" s="181">
        <f t="shared" si="153"/>
        <v>466666.66666666669</v>
      </c>
      <c r="O100" s="181">
        <f t="shared" si="153"/>
        <v>466666.66666666669</v>
      </c>
      <c r="P100" s="202">
        <f>SUM(D100:O100)</f>
        <v>5600000.0000000009</v>
      </c>
      <c r="T100" s="181">
        <f t="shared" si="152"/>
        <v>466666.66666666669</v>
      </c>
      <c r="U100" s="181">
        <f t="shared" si="151"/>
        <v>466666.66666666669</v>
      </c>
      <c r="V100" s="181">
        <f t="shared" si="151"/>
        <v>466666.66666666669</v>
      </c>
      <c r="W100" s="181">
        <f t="shared" si="151"/>
        <v>466666.66666666669</v>
      </c>
      <c r="X100" s="181">
        <f>+W100+((W99-V99)/5/12)</f>
        <v>800000</v>
      </c>
      <c r="Y100" s="181">
        <f t="shared" si="151"/>
        <v>800000</v>
      </c>
      <c r="Z100" s="181">
        <f t="shared" si="151"/>
        <v>800000</v>
      </c>
      <c r="AA100" s="181">
        <f t="shared" si="151"/>
        <v>800000</v>
      </c>
      <c r="AB100" s="181">
        <f t="shared" si="151"/>
        <v>800000</v>
      </c>
      <c r="AC100" s="181">
        <f t="shared" si="151"/>
        <v>800000</v>
      </c>
      <c r="AD100" s="181">
        <f t="shared" si="151"/>
        <v>800000</v>
      </c>
      <c r="AE100" s="181">
        <f t="shared" si="151"/>
        <v>800000</v>
      </c>
      <c r="AF100" s="202">
        <f>SUM(T100:AE100)</f>
        <v>8266666.666666667</v>
      </c>
      <c r="AV100" s="202">
        <f>SUM(AJ100:AU100)</f>
        <v>0</v>
      </c>
    </row>
    <row r="102" spans="1:48" s="192" customFormat="1">
      <c r="B102" s="192" t="s">
        <v>271</v>
      </c>
      <c r="C102" s="191">
        <f>+C104+C103</f>
        <v>85000000</v>
      </c>
      <c r="D102" s="191">
        <f>+D104+D103</f>
        <v>81893355.762097672</v>
      </c>
      <c r="E102" s="191">
        <f t="shared" ref="E102:O102" si="154">+E104+E103</f>
        <v>78751917.108730838</v>
      </c>
      <c r="F102" s="191">
        <f t="shared" si="154"/>
        <v>75575294.342446297</v>
      </c>
      <c r="G102" s="191">
        <f t="shared" si="154"/>
        <v>72363093.401179373</v>
      </c>
      <c r="H102" s="191">
        <f t="shared" si="154"/>
        <v>69114915.80937025</v>
      </c>
      <c r="I102" s="191">
        <f t="shared" si="154"/>
        <v>65830358.628532864</v>
      </c>
      <c r="J102" s="191">
        <f t="shared" si="154"/>
        <v>62509014.407270104</v>
      </c>
      <c r="K102" s="191">
        <f t="shared" si="154"/>
        <v>59150471.130729198</v>
      </c>
      <c r="L102" s="191">
        <f t="shared" si="154"/>
        <v>55754312.169491038</v>
      </c>
      <c r="M102" s="191">
        <f t="shared" si="154"/>
        <v>52320116.227887005</v>
      </c>
      <c r="N102" s="191">
        <f t="shared" si="154"/>
        <v>48847457.291737013</v>
      </c>
      <c r="O102" s="191">
        <f t="shared" si="154"/>
        <v>45335904.575502142</v>
      </c>
      <c r="P102" s="205">
        <f>+O102</f>
        <v>45335904.575502142</v>
      </c>
      <c r="AF102" s="205">
        <f t="shared" ref="AF102" si="155">+AF104+AF103</f>
        <v>64441580.223333329</v>
      </c>
      <c r="AV102" s="205">
        <f t="shared" ref="AV102" si="156">+AV104+AV103</f>
        <v>165060353.32095763</v>
      </c>
    </row>
    <row r="103" spans="1:48">
      <c r="B103" s="186" t="s">
        <v>265</v>
      </c>
      <c r="C103" s="180">
        <f>+'prestamo base'!B2</f>
        <v>85000000</v>
      </c>
      <c r="D103" s="180">
        <f>+C103-'prestamo base'!C8</f>
        <v>81893355.762097672</v>
      </c>
      <c r="E103" s="180">
        <f>+D103-'prestamo base'!D8</f>
        <v>78751917.108730838</v>
      </c>
      <c r="F103" s="180">
        <f>+E103-'prestamo base'!E8</f>
        <v>75575294.342446297</v>
      </c>
      <c r="G103" s="180">
        <f>+F103-'prestamo base'!F8</f>
        <v>72363093.401179373</v>
      </c>
      <c r="H103" s="180">
        <f>+G103-'prestamo base'!G8</f>
        <v>69114915.80937025</v>
      </c>
      <c r="I103" s="180">
        <f>+H103-'prestamo base'!H8</f>
        <v>65830358.628532864</v>
      </c>
      <c r="J103" s="180">
        <f>+I103-'prestamo base'!I8</f>
        <v>62509014.407270104</v>
      </c>
      <c r="K103" s="180">
        <f>+J103-'prestamo base'!J8</f>
        <v>59150471.130729198</v>
      </c>
      <c r="L103" s="180">
        <f>+K103-'prestamo base'!K8</f>
        <v>55754312.169491038</v>
      </c>
      <c r="M103" s="180">
        <f>+L103-'prestamo base'!L8</f>
        <v>52320116.227887005</v>
      </c>
      <c r="N103" s="180">
        <f>+M103-'prestamo base'!M8</f>
        <v>48847457.291737013</v>
      </c>
      <c r="O103" s="180">
        <f>+N103-'prestamo base'!N8</f>
        <v>45335904.575502142</v>
      </c>
      <c r="P103" s="205">
        <f t="shared" ref="P103:P104" si="157">+O103</f>
        <v>45335904.575502142</v>
      </c>
      <c r="T103" s="180">
        <f>+O103-'prestamo base'!O8</f>
        <v>41785022.468845434</v>
      </c>
      <c r="U103" s="180">
        <f>+T103-'prestamo base'!P8</f>
        <v>38194370.482594177</v>
      </c>
      <c r="V103" s="180">
        <f>+U103-'prestamo base'!Q8</f>
        <v>34563503.194096901</v>
      </c>
      <c r="W103" s="180">
        <f>+V103-'prestamo base'!R8</f>
        <v>30891970.191968456</v>
      </c>
      <c r="X103" s="180">
        <f>+W103-'prestamo base'!S8</f>
        <v>27179316.020216174</v>
      </c>
      <c r="Y103" s="180">
        <f>+X103-'prestamo base'!T8</f>
        <v>23425080.121740267</v>
      </c>
      <c r="Z103" s="180">
        <f>+Y103-'prestamo base'!U8</f>
        <v>19628796.78120143</v>
      </c>
      <c r="AA103" s="180">
        <f>+Z103-'prestamo base'!V8</f>
        <v>15789995.067248557</v>
      </c>
      <c r="AB103" s="180">
        <f>+AA103-'prestamo base'!W8</f>
        <v>11908198.774099413</v>
      </c>
      <c r="AC103" s="180">
        <f>+AB103-'prestamo base'!X8</f>
        <v>7982926.3624669984</v>
      </c>
      <c r="AD103" s="180">
        <f>+AC103-'prestamo base'!Y8</f>
        <v>4013690.8998243003</v>
      </c>
      <c r="AE103" s="180">
        <f>+AD103-'prestamo base'!Z8</f>
        <v>3.7252902984619141E-9</v>
      </c>
      <c r="AF103" s="202">
        <f>+AE103</f>
        <v>3.7252902984619141E-9</v>
      </c>
      <c r="AL103" s="180">
        <f>+'prestamo base'!AE2</f>
        <v>60000000</v>
      </c>
      <c r="AM103" s="180">
        <f>+AL103-'prestamo base'!AD8</f>
        <v>55300569.639134802</v>
      </c>
      <c r="AN103" s="180">
        <f>+AM103-'prestamo base'!AE8</f>
        <v>50548505.658227913</v>
      </c>
      <c r="AO103" s="180">
        <f>+AN103-'prestamo base'!AF8</f>
        <v>45743218.560734868</v>
      </c>
      <c r="AP103" s="180">
        <f>+AO103-'prestamo base'!AG8</f>
        <v>40884112.247749895</v>
      </c>
      <c r="AQ103" s="180">
        <f>+AP103-'prestamo base'!AH8</f>
        <v>35970583.944059491</v>
      </c>
      <c r="AR103" s="180">
        <f>+AQ103-'prestamo base'!AI8</f>
        <v>31002024.123367757</v>
      </c>
      <c r="AS103" s="180">
        <f>+AR103-'prestamo base'!AJ8</f>
        <v>25977816.432684273</v>
      </c>
      <c r="AT103" s="180">
        <f>+AS103-'prestamo base'!AK8</f>
        <v>20897337.615865134</v>
      </c>
      <c r="AU103" s="180">
        <f>+AT103-'prestamo base'!AL8</f>
        <v>15759957.436297622</v>
      </c>
      <c r="AV103" s="202">
        <f>+AU103</f>
        <v>15759957.436297622</v>
      </c>
    </row>
    <row r="104" spans="1:48">
      <c r="A104" s="177">
        <v>0</v>
      </c>
      <c r="B104" s="186" t="s">
        <v>272</v>
      </c>
      <c r="C104" s="180"/>
      <c r="P104" s="205">
        <f t="shared" si="157"/>
        <v>0</v>
      </c>
      <c r="S104" s="177">
        <v>10</v>
      </c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202">
        <f>+($S$104/360)*(AF28+AF30)</f>
        <v>64441580.223333329</v>
      </c>
      <c r="AI104" s="177">
        <v>15</v>
      </c>
      <c r="AV104" s="202">
        <f>+($AI$104/360)*(AV28+AV30)</f>
        <v>149300395.88466001</v>
      </c>
    </row>
    <row r="105" spans="1:48">
      <c r="C105" s="180"/>
    </row>
    <row r="106" spans="1:48" s="192" customFormat="1">
      <c r="B106" s="192" t="s">
        <v>273</v>
      </c>
      <c r="C106" s="191">
        <f>+C109+C108+C107</f>
        <v>59000000</v>
      </c>
      <c r="D106" s="191">
        <f>+D109+D108+D107</f>
        <v>24625354.583333328</v>
      </c>
      <c r="E106" s="191">
        <f t="shared" ref="E106:O106" si="158">+E109+E108+E107</f>
        <v>7982747.3921311647</v>
      </c>
      <c r="F106" s="191">
        <f t="shared" si="158"/>
        <v>-5447844.6661532894</v>
      </c>
      <c r="G106" s="191">
        <f t="shared" si="158"/>
        <v>-15124272.039455354</v>
      </c>
      <c r="H106" s="191">
        <f t="shared" si="158"/>
        <v>-21368813.702215225</v>
      </c>
      <c r="I106" s="191">
        <f t="shared" si="158"/>
        <v>-25599346.905946836</v>
      </c>
      <c r="J106" s="191">
        <f t="shared" si="158"/>
        <v>-26380052.449253082</v>
      </c>
      <c r="K106" s="191">
        <f t="shared" si="158"/>
        <v>-25302306.047281176</v>
      </c>
      <c r="L106" s="191">
        <f t="shared" si="158"/>
        <v>-21852412.040612012</v>
      </c>
      <c r="M106" s="191">
        <f t="shared" si="158"/>
        <v>-14543913.203576967</v>
      </c>
      <c r="N106" s="191">
        <f t="shared" si="158"/>
        <v>-2452883.2519959584</v>
      </c>
      <c r="O106" s="191">
        <f t="shared" si="158"/>
        <v>15879080.979669929</v>
      </c>
      <c r="P106" s="205">
        <f>+P107+P108+P109</f>
        <v>15879080.979669943</v>
      </c>
      <c r="T106" s="191">
        <f t="shared" ref="T106:AE106" si="159">+T109+T108+T107</f>
        <v>19761920.431757629</v>
      </c>
      <c r="U106" s="191">
        <f t="shared" si="159"/>
        <v>34976535.303439915</v>
      </c>
      <c r="V106" s="191">
        <f t="shared" si="159"/>
        <v>53161858.927368194</v>
      </c>
      <c r="W106" s="191">
        <f t="shared" si="159"/>
        <v>77396655.674927622</v>
      </c>
      <c r="X106" s="191">
        <f t="shared" si="159"/>
        <v>101152308.01877756</v>
      </c>
      <c r="Y106" s="191">
        <f t="shared" si="159"/>
        <v>129354662.19935113</v>
      </c>
      <c r="Z106" s="191">
        <f t="shared" si="159"/>
        <v>161552080.15198767</v>
      </c>
      <c r="AA106" s="191">
        <f t="shared" si="159"/>
        <v>197095624.39803821</v>
      </c>
      <c r="AB106" s="191">
        <f t="shared" si="159"/>
        <v>235430147.86328501</v>
      </c>
      <c r="AC106" s="191">
        <f t="shared" si="159"/>
        <v>275749872.5770151</v>
      </c>
      <c r="AD106" s="191">
        <f t="shared" si="159"/>
        <v>314645347.7217555</v>
      </c>
      <c r="AE106" s="191">
        <f t="shared" si="159"/>
        <v>349466904.64367747</v>
      </c>
      <c r="AF106" s="205">
        <f>+AF107+AF108+AF109</f>
        <v>232711166.36127502</v>
      </c>
      <c r="AV106" s="205">
        <f>+AV107+AV108+AV109</f>
        <v>256420206.64914894</v>
      </c>
    </row>
    <row r="107" spans="1:48">
      <c r="B107" s="186" t="s">
        <v>274</v>
      </c>
      <c r="C107" s="180">
        <f>+'Estados finan base'!E93</f>
        <v>59000000</v>
      </c>
      <c r="D107" s="180">
        <f>+C107</f>
        <v>59000000</v>
      </c>
      <c r="E107" s="180">
        <f t="shared" ref="E107:O107" si="160">+D107</f>
        <v>59000000</v>
      </c>
      <c r="F107" s="180">
        <f t="shared" si="160"/>
        <v>59000000</v>
      </c>
      <c r="G107" s="180">
        <f t="shared" si="160"/>
        <v>59000000</v>
      </c>
      <c r="H107" s="180">
        <f t="shared" si="160"/>
        <v>59000000</v>
      </c>
      <c r="I107" s="180">
        <f t="shared" si="160"/>
        <v>59000000</v>
      </c>
      <c r="J107" s="180">
        <f t="shared" si="160"/>
        <v>59000000</v>
      </c>
      <c r="K107" s="180">
        <f t="shared" si="160"/>
        <v>59000000</v>
      </c>
      <c r="L107" s="180">
        <f t="shared" si="160"/>
        <v>59000000</v>
      </c>
      <c r="M107" s="180">
        <f t="shared" si="160"/>
        <v>59000000</v>
      </c>
      <c r="N107" s="180">
        <f t="shared" si="160"/>
        <v>59000000</v>
      </c>
      <c r="O107" s="180">
        <f t="shared" si="160"/>
        <v>59000000</v>
      </c>
      <c r="P107" s="202">
        <f>+O107</f>
        <v>59000000</v>
      </c>
      <c r="T107" s="180">
        <f>+O107</f>
        <v>59000000</v>
      </c>
      <c r="U107" s="180">
        <f t="shared" ref="U107:AE107" si="161">+T107</f>
        <v>59000000</v>
      </c>
      <c r="V107" s="180">
        <f t="shared" si="161"/>
        <v>59000000</v>
      </c>
      <c r="W107" s="180">
        <f t="shared" si="161"/>
        <v>59000000</v>
      </c>
      <c r="X107" s="180">
        <f t="shared" si="161"/>
        <v>59000000</v>
      </c>
      <c r="Y107" s="180">
        <f t="shared" si="161"/>
        <v>59000000</v>
      </c>
      <c r="Z107" s="180">
        <f t="shared" si="161"/>
        <v>59000000</v>
      </c>
      <c r="AA107" s="180">
        <f t="shared" si="161"/>
        <v>59000000</v>
      </c>
      <c r="AB107" s="180">
        <f t="shared" si="161"/>
        <v>59000000</v>
      </c>
      <c r="AC107" s="180">
        <f t="shared" si="161"/>
        <v>59000000</v>
      </c>
      <c r="AD107" s="180">
        <f t="shared" si="161"/>
        <v>59000000</v>
      </c>
      <c r="AE107" s="180">
        <f t="shared" si="161"/>
        <v>59000000</v>
      </c>
      <c r="AF107" s="202">
        <f>+AE107</f>
        <v>59000000</v>
      </c>
      <c r="AV107" s="202">
        <f>+AI107</f>
        <v>0</v>
      </c>
    </row>
    <row r="108" spans="1:48">
      <c r="B108" s="186" t="s">
        <v>275</v>
      </c>
      <c r="C108" s="180"/>
      <c r="D108" s="180">
        <f>+C108+C109</f>
        <v>0</v>
      </c>
      <c r="E108" s="180">
        <f t="shared" ref="E108:O108" si="162">+D108+D109</f>
        <v>-34374645.416666672</v>
      </c>
      <c r="F108" s="180">
        <f t="shared" si="162"/>
        <v>-51017252.607868835</v>
      </c>
      <c r="G108" s="180">
        <f t="shared" si="162"/>
        <v>-64447844.666153289</v>
      </c>
      <c r="H108" s="180">
        <f t="shared" si="162"/>
        <v>-74124272.039455354</v>
      </c>
      <c r="I108" s="180">
        <f t="shared" si="162"/>
        <v>-80368813.702215225</v>
      </c>
      <c r="J108" s="180">
        <f t="shared" si="162"/>
        <v>-84599346.905946836</v>
      </c>
      <c r="K108" s="180">
        <f t="shared" si="162"/>
        <v>-85380052.449253082</v>
      </c>
      <c r="L108" s="180">
        <f t="shared" si="162"/>
        <v>-84302306.047281176</v>
      </c>
      <c r="M108" s="180">
        <f t="shared" si="162"/>
        <v>-80852412.040612012</v>
      </c>
      <c r="N108" s="180">
        <f t="shared" si="162"/>
        <v>-73543913.203576967</v>
      </c>
      <c r="O108" s="180">
        <f t="shared" si="162"/>
        <v>-61452883.251995958</v>
      </c>
      <c r="P108" s="198">
        <v>0</v>
      </c>
      <c r="T108" s="180">
        <f>+O108+O109</f>
        <v>-43120919.020330071</v>
      </c>
      <c r="U108" s="180">
        <f t="shared" ref="U108:AE108" si="163">+T108+T109</f>
        <v>-39238079.568242371</v>
      </c>
      <c r="V108" s="180">
        <f t="shared" si="163"/>
        <v>-24023464.696560089</v>
      </c>
      <c r="W108" s="180">
        <f t="shared" si="163"/>
        <v>-5838141.0726318061</v>
      </c>
      <c r="X108" s="180">
        <f t="shared" si="163"/>
        <v>18396655.67492763</v>
      </c>
      <c r="Y108" s="180">
        <f t="shared" si="163"/>
        <v>42152308.018777564</v>
      </c>
      <c r="Z108" s="180">
        <f t="shared" si="163"/>
        <v>70354662.199351132</v>
      </c>
      <c r="AA108" s="180">
        <f t="shared" si="163"/>
        <v>102552080.15198767</v>
      </c>
      <c r="AB108" s="180">
        <f t="shared" si="163"/>
        <v>138095624.39803821</v>
      </c>
      <c r="AC108" s="180">
        <f t="shared" si="163"/>
        <v>176430147.86328501</v>
      </c>
      <c r="AD108" s="180">
        <f t="shared" si="163"/>
        <v>216749872.5770151</v>
      </c>
      <c r="AE108" s="180">
        <f t="shared" si="163"/>
        <v>255645347.7217555</v>
      </c>
      <c r="AF108" s="202">
        <f>+P108+P109</f>
        <v>-43120919.020330057</v>
      </c>
      <c r="AV108" s="198">
        <v>0</v>
      </c>
    </row>
    <row r="109" spans="1:48">
      <c r="B109" s="186" t="s">
        <v>276</v>
      </c>
      <c r="C109" s="180"/>
      <c r="D109" s="180">
        <f>+D89</f>
        <v>-34374645.416666672</v>
      </c>
      <c r="E109" s="180">
        <f t="shared" ref="E109:O109" si="164">+E89</f>
        <v>-16642607.191202164</v>
      </c>
      <c r="F109" s="180">
        <f t="shared" si="164"/>
        <v>-13430592.058284454</v>
      </c>
      <c r="G109" s="180">
        <f t="shared" si="164"/>
        <v>-9676427.3733020667</v>
      </c>
      <c r="H109" s="180">
        <f t="shared" si="164"/>
        <v>-6244541.6627598777</v>
      </c>
      <c r="I109" s="180">
        <f t="shared" si="164"/>
        <v>-4230533.2037316114</v>
      </c>
      <c r="J109" s="180">
        <f t="shared" si="164"/>
        <v>-780705.54330623895</v>
      </c>
      <c r="K109" s="180">
        <f t="shared" si="164"/>
        <v>1077746.4019719046</v>
      </c>
      <c r="L109" s="180">
        <f t="shared" si="164"/>
        <v>3449894.0066691646</v>
      </c>
      <c r="M109" s="180">
        <f t="shared" si="164"/>
        <v>7308498.8370350488</v>
      </c>
      <c r="N109" s="180">
        <f t="shared" si="164"/>
        <v>12091029.951581011</v>
      </c>
      <c r="O109" s="180">
        <f t="shared" si="164"/>
        <v>18331964.231665891</v>
      </c>
      <c r="P109" s="207">
        <f>+P89</f>
        <v>-43120919.020330057</v>
      </c>
      <c r="T109" s="180">
        <f t="shared" ref="T109:AE109" si="165">+T89</f>
        <v>3882839.4520877041</v>
      </c>
      <c r="U109" s="180">
        <f t="shared" si="165"/>
        <v>15214614.871682283</v>
      </c>
      <c r="V109" s="180">
        <f t="shared" si="165"/>
        <v>18185323.623928282</v>
      </c>
      <c r="W109" s="180">
        <f t="shared" si="165"/>
        <v>24234796.747559436</v>
      </c>
      <c r="X109" s="180">
        <f t="shared" si="165"/>
        <v>23755652.343849935</v>
      </c>
      <c r="Y109" s="180">
        <f t="shared" si="165"/>
        <v>28202354.18057356</v>
      </c>
      <c r="Z109" s="180">
        <f t="shared" si="165"/>
        <v>32197417.952636532</v>
      </c>
      <c r="AA109" s="180">
        <f t="shared" si="165"/>
        <v>35543544.246050522</v>
      </c>
      <c r="AB109" s="180">
        <f t="shared" si="165"/>
        <v>38334523.465246812</v>
      </c>
      <c r="AC109" s="180">
        <f t="shared" si="165"/>
        <v>40319724.713730112</v>
      </c>
      <c r="AD109" s="180">
        <f t="shared" si="165"/>
        <v>38895475.144740388</v>
      </c>
      <c r="AE109" s="180">
        <f t="shared" si="165"/>
        <v>34821556.921921961</v>
      </c>
      <c r="AF109" s="202">
        <f>+AF89</f>
        <v>216832085.38160509</v>
      </c>
      <c r="AV109" s="207">
        <f>+AV89</f>
        <v>256420206.64914894</v>
      </c>
    </row>
    <row r="110" spans="1:48">
      <c r="C110" s="180"/>
    </row>
    <row r="112" spans="1:48" s="192" customFormat="1">
      <c r="B112" s="192" t="s">
        <v>278</v>
      </c>
      <c r="P112" s="204">
        <f>+P119</f>
        <v>31620563.888888888</v>
      </c>
      <c r="AF112" s="204">
        <f>+AF119</f>
        <v>131708246.89</v>
      </c>
      <c r="AV112" s="204">
        <f>+AV119</f>
        <v>149300395.88466001</v>
      </c>
    </row>
    <row r="113" spans="2:48">
      <c r="B113" s="177" t="s">
        <v>279</v>
      </c>
      <c r="P113" s="207">
        <f>+P107</f>
        <v>59000000</v>
      </c>
      <c r="AF113" s="207">
        <f>+AF107</f>
        <v>59000000</v>
      </c>
      <c r="AV113" s="207">
        <f>+AV107</f>
        <v>0</v>
      </c>
    </row>
    <row r="114" spans="2:48">
      <c r="B114" s="177" t="s">
        <v>263</v>
      </c>
      <c r="P114" s="207">
        <f>+P100</f>
        <v>5600000.0000000009</v>
      </c>
      <c r="AF114" s="207">
        <f>+AF100</f>
        <v>8266666.666666667</v>
      </c>
      <c r="AV114" s="207">
        <f>+AV100</f>
        <v>0</v>
      </c>
    </row>
    <row r="115" spans="2:48" s="192" customFormat="1">
      <c r="B115" s="192" t="s">
        <v>280</v>
      </c>
      <c r="P115" s="205">
        <f>+P113+P114</f>
        <v>64600000</v>
      </c>
      <c r="AF115" s="205">
        <f>+AF113+AF114</f>
        <v>67266666.666666672</v>
      </c>
      <c r="AV115" s="205">
        <f>+AV113+AV114</f>
        <v>0</v>
      </c>
    </row>
    <row r="116" spans="2:48">
      <c r="B116" s="177" t="s">
        <v>281</v>
      </c>
      <c r="P116" s="207">
        <f>+P94</f>
        <v>0</v>
      </c>
      <c r="AF116" s="207">
        <f>+AF94</f>
        <v>0</v>
      </c>
      <c r="AV116" s="207">
        <f>+AV94</f>
        <v>0</v>
      </c>
    </row>
    <row r="117" spans="2:48">
      <c r="B117" s="177" t="s">
        <v>282</v>
      </c>
      <c r="P117" s="207">
        <f>+P95</f>
        <v>32979436.111111112</v>
      </c>
      <c r="AF117" s="207">
        <f>+AF95</f>
        <v>0</v>
      </c>
      <c r="AV117" s="207">
        <f>+AV95</f>
        <v>0</v>
      </c>
    </row>
    <row r="118" spans="2:48">
      <c r="B118" s="177" t="s">
        <v>283</v>
      </c>
      <c r="P118" s="207">
        <f>+P104</f>
        <v>0</v>
      </c>
      <c r="AF118" s="207">
        <f>+AF104</f>
        <v>64441580.223333329</v>
      </c>
      <c r="AV118" s="207">
        <f>+AV104</f>
        <v>149300395.88466001</v>
      </c>
    </row>
    <row r="119" spans="2:48" s="192" customFormat="1">
      <c r="B119" s="192" t="s">
        <v>284</v>
      </c>
      <c r="P119" s="204">
        <f>+P115-(P116+P117-P118)</f>
        <v>31620563.888888888</v>
      </c>
      <c r="AF119" s="204">
        <f>+AF115-(AF116+AF117-AF118)</f>
        <v>131708246.89</v>
      </c>
      <c r="AV119" s="204">
        <f>+AV115-(AV116+AV117-AV118)</f>
        <v>149300395.88466001</v>
      </c>
    </row>
    <row r="121" spans="2:48" s="192" customFormat="1">
      <c r="B121" s="192" t="s">
        <v>286</v>
      </c>
      <c r="P121" s="204">
        <f>-P122</f>
        <v>-28000000</v>
      </c>
      <c r="AF121" s="204">
        <f>-AF122</f>
        <v>0</v>
      </c>
      <c r="AV121" s="204">
        <f>-AV122</f>
        <v>0</v>
      </c>
    </row>
    <row r="122" spans="2:48">
      <c r="B122" s="177" t="s">
        <v>287</v>
      </c>
      <c r="C122" s="181">
        <f>+C97+C98+C99</f>
        <v>28000000</v>
      </c>
      <c r="P122" s="207">
        <f>+C122</f>
        <v>28000000</v>
      </c>
      <c r="W122" s="180">
        <v>10000000</v>
      </c>
      <c r="AF122" s="207">
        <f>+S122</f>
        <v>0</v>
      </c>
      <c r="AV122" s="207">
        <f>+AI122</f>
        <v>0</v>
      </c>
    </row>
    <row r="124" spans="2:48" s="192" customFormat="1">
      <c r="B124" s="192" t="s">
        <v>285</v>
      </c>
      <c r="C124" s="193"/>
      <c r="P124" s="204">
        <f>+P125-P126+P127</f>
        <v>104335904.57550214</v>
      </c>
      <c r="AF124" s="204">
        <f>+AF125-AF126+AF127</f>
        <v>0</v>
      </c>
      <c r="AV124" s="204">
        <f>+AV125-AV126+AV127</f>
        <v>0</v>
      </c>
    </row>
    <row r="125" spans="2:48">
      <c r="B125" s="177" t="s">
        <v>89</v>
      </c>
      <c r="C125" s="181">
        <f>+C103</f>
        <v>85000000</v>
      </c>
      <c r="D125" s="181">
        <v>0</v>
      </c>
      <c r="E125" s="181">
        <v>0</v>
      </c>
      <c r="F125" s="181">
        <v>0</v>
      </c>
      <c r="G125" s="181">
        <v>0</v>
      </c>
      <c r="H125" s="181">
        <v>0</v>
      </c>
      <c r="I125" s="181">
        <v>0</v>
      </c>
      <c r="J125" s="181">
        <v>0</v>
      </c>
      <c r="K125" s="181">
        <v>0</v>
      </c>
      <c r="L125" s="181">
        <v>0</v>
      </c>
      <c r="M125" s="181">
        <v>0</v>
      </c>
      <c r="N125" s="181">
        <v>0</v>
      </c>
      <c r="O125" s="181">
        <v>0</v>
      </c>
      <c r="P125" s="207">
        <f>+C125</f>
        <v>85000000</v>
      </c>
      <c r="AF125" s="207">
        <f>+S125</f>
        <v>0</v>
      </c>
      <c r="AV125" s="207">
        <f>+AI125</f>
        <v>0</v>
      </c>
    </row>
    <row r="126" spans="2:48">
      <c r="B126" s="177" t="s">
        <v>90</v>
      </c>
      <c r="D126" s="181">
        <f>+C103-D103</f>
        <v>3106644.2379023284</v>
      </c>
      <c r="E126" s="181">
        <f t="shared" ref="E126:O126" si="166">+D103-E103</f>
        <v>3141438.6533668339</v>
      </c>
      <c r="F126" s="181">
        <f t="shared" si="166"/>
        <v>3176622.7662845403</v>
      </c>
      <c r="G126" s="181">
        <f t="shared" si="166"/>
        <v>3212200.9412669241</v>
      </c>
      <c r="H126" s="181">
        <f t="shared" si="166"/>
        <v>3248177.5918091238</v>
      </c>
      <c r="I126" s="181">
        <f t="shared" si="166"/>
        <v>3284557.1808373854</v>
      </c>
      <c r="J126" s="181">
        <f t="shared" si="166"/>
        <v>3321344.2212627605</v>
      </c>
      <c r="K126" s="181">
        <f t="shared" si="166"/>
        <v>3358543.2765409052</v>
      </c>
      <c r="L126" s="181">
        <f t="shared" si="166"/>
        <v>3396158.9612381607</v>
      </c>
      <c r="M126" s="181">
        <f t="shared" si="166"/>
        <v>3434195.9416040331</v>
      </c>
      <c r="N126" s="181">
        <f t="shared" si="166"/>
        <v>3472658.936149992</v>
      </c>
      <c r="O126" s="181">
        <f t="shared" si="166"/>
        <v>3511552.7162348703</v>
      </c>
      <c r="P126" s="207">
        <f>SUM(D126:O126)</f>
        <v>39664095.424497858</v>
      </c>
      <c r="T126" s="181"/>
      <c r="U126" s="181"/>
      <c r="AF126" s="207">
        <f>SUM(T126:AE126)</f>
        <v>0</v>
      </c>
      <c r="AV126" s="207">
        <f>SUM(AJ126:AU126)</f>
        <v>0</v>
      </c>
    </row>
    <row r="127" spans="2:48">
      <c r="B127" s="177" t="s">
        <v>91</v>
      </c>
      <c r="C127" s="181">
        <f>+C107</f>
        <v>59000000</v>
      </c>
      <c r="D127" s="180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80">
        <v>0</v>
      </c>
      <c r="K127" s="180">
        <v>0</v>
      </c>
      <c r="L127" s="180">
        <v>0</v>
      </c>
      <c r="M127" s="180">
        <v>0</v>
      </c>
      <c r="N127" s="180">
        <v>0</v>
      </c>
      <c r="O127" s="180">
        <v>0</v>
      </c>
      <c r="P127" s="207">
        <f>+C127</f>
        <v>59000000</v>
      </c>
      <c r="AF127" s="207">
        <f>+S127</f>
        <v>0</v>
      </c>
      <c r="AV127" s="207">
        <f>+AI127</f>
        <v>0</v>
      </c>
    </row>
    <row r="128" spans="2:48">
      <c r="B128" s="177" t="s">
        <v>92</v>
      </c>
    </row>
    <row r="130" spans="2:48" s="192" customFormat="1">
      <c r="B130" s="192" t="s">
        <v>288</v>
      </c>
      <c r="P130" s="204">
        <f>+P112+P121+P124</f>
        <v>107956468.46439102</v>
      </c>
      <c r="AF130" s="204">
        <f>+AF112+AF121+AF124</f>
        <v>131708246.89</v>
      </c>
      <c r="AV130" s="204">
        <f>+AV112+AV121+AV124</f>
        <v>149300395.88466001</v>
      </c>
    </row>
    <row r="131" spans="2:48" s="192" customFormat="1">
      <c r="B131" s="192" t="s">
        <v>95</v>
      </c>
      <c r="P131" s="206">
        <f>+O132</f>
        <v>0</v>
      </c>
      <c r="AF131" s="206">
        <f>+AE132</f>
        <v>0</v>
      </c>
      <c r="AV131" s="206">
        <f>+AU132</f>
        <v>0</v>
      </c>
    </row>
    <row r="132" spans="2:48" s="192" customFormat="1">
      <c r="B132" s="192" t="s">
        <v>96</v>
      </c>
      <c r="P132" s="204">
        <f>+P130+P131</f>
        <v>107956468.46439102</v>
      </c>
      <c r="AF132" s="204">
        <f>+AF130+AF131</f>
        <v>131708246.89</v>
      </c>
      <c r="AV132" s="204">
        <f>+AV130+AV131</f>
        <v>149300395.88466001</v>
      </c>
    </row>
  </sheetData>
  <phoneticPr fontId="32" type="noConversion"/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46B0A-3FA4-4E33-B429-55188FBFC7A0}">
  <sheetPr codeName="Hoja13"/>
  <dimension ref="A1:BE10"/>
  <sheetViews>
    <sheetView workbookViewId="0">
      <selection activeCell="B3" sqref="B3"/>
    </sheetView>
  </sheetViews>
  <sheetFormatPr baseColWidth="10" defaultRowHeight="15"/>
  <cols>
    <col min="1" max="1" width="12.7109375" bestFit="1" customWidth="1"/>
    <col min="2" max="4" width="13.140625" bestFit="1" customWidth="1"/>
    <col min="30" max="30" width="13.140625" bestFit="1" customWidth="1"/>
  </cols>
  <sheetData>
    <row r="1" spans="1:57">
      <c r="AD1">
        <v>1</v>
      </c>
      <c r="AE1">
        <v>2</v>
      </c>
      <c r="AF1">
        <v>3</v>
      </c>
      <c r="AG1">
        <v>4</v>
      </c>
      <c r="AH1">
        <v>5</v>
      </c>
      <c r="AI1">
        <v>6</v>
      </c>
      <c r="AJ1">
        <v>7</v>
      </c>
      <c r="AK1">
        <v>8</v>
      </c>
      <c r="AL1">
        <v>9</v>
      </c>
      <c r="AM1">
        <v>10</v>
      </c>
      <c r="AN1">
        <v>11</v>
      </c>
      <c r="AO1">
        <v>12</v>
      </c>
      <c r="AP1">
        <v>13</v>
      </c>
      <c r="AQ1">
        <v>14</v>
      </c>
      <c r="AR1">
        <v>15</v>
      </c>
      <c r="AS1">
        <v>16</v>
      </c>
      <c r="AT1">
        <v>17</v>
      </c>
      <c r="AU1">
        <v>18</v>
      </c>
    </row>
    <row r="2" spans="1:57">
      <c r="A2" t="s">
        <v>249</v>
      </c>
      <c r="B2" s="175">
        <v>73000000</v>
      </c>
      <c r="AD2" t="s">
        <v>249</v>
      </c>
      <c r="AE2" s="175">
        <v>60000000</v>
      </c>
    </row>
    <row r="3" spans="1:57">
      <c r="A3" t="s">
        <v>250</v>
      </c>
      <c r="B3">
        <v>24</v>
      </c>
      <c r="AD3" t="s">
        <v>250</v>
      </c>
      <c r="AE3">
        <v>12</v>
      </c>
    </row>
    <row r="4" spans="1:57">
      <c r="A4" t="s">
        <v>251</v>
      </c>
      <c r="B4" s="196">
        <v>1.12E-2</v>
      </c>
      <c r="AD4" t="s">
        <v>251</v>
      </c>
      <c r="AE4" s="196">
        <v>1.12E-2</v>
      </c>
    </row>
    <row r="5" spans="1:57">
      <c r="A5" t="s">
        <v>252</v>
      </c>
      <c r="B5" s="175">
        <f>+PMT(B4,B3,-B2)</f>
        <v>3485659.1690219995</v>
      </c>
      <c r="AD5" t="s">
        <v>252</v>
      </c>
      <c r="AE5" s="175">
        <f>+PMT(AE4,AE3,-AE2)</f>
        <v>5371430.3608652009</v>
      </c>
    </row>
    <row r="6" spans="1:57">
      <c r="C6">
        <v>1</v>
      </c>
      <c r="D6">
        <v>2</v>
      </c>
      <c r="E6">
        <v>3</v>
      </c>
      <c r="F6">
        <v>4</v>
      </c>
      <c r="G6">
        <v>5</v>
      </c>
      <c r="H6">
        <v>6</v>
      </c>
      <c r="I6">
        <v>7</v>
      </c>
      <c r="J6">
        <v>8</v>
      </c>
      <c r="K6">
        <v>9</v>
      </c>
      <c r="L6">
        <v>10</v>
      </c>
      <c r="M6">
        <v>11</v>
      </c>
      <c r="N6">
        <v>12</v>
      </c>
      <c r="O6">
        <v>13</v>
      </c>
      <c r="P6">
        <v>14</v>
      </c>
      <c r="Q6">
        <v>15</v>
      </c>
      <c r="R6">
        <v>16</v>
      </c>
      <c r="S6">
        <v>17</v>
      </c>
      <c r="T6">
        <v>18</v>
      </c>
      <c r="U6">
        <v>19</v>
      </c>
      <c r="V6">
        <v>20</v>
      </c>
      <c r="W6">
        <v>21</v>
      </c>
      <c r="X6">
        <v>22</v>
      </c>
      <c r="Y6">
        <v>23</v>
      </c>
      <c r="Z6">
        <v>24</v>
      </c>
      <c r="AD6">
        <v>28</v>
      </c>
      <c r="AE6">
        <v>29</v>
      </c>
      <c r="AF6">
        <v>30</v>
      </c>
      <c r="AG6">
        <v>31</v>
      </c>
      <c r="AH6">
        <v>32</v>
      </c>
      <c r="AI6">
        <v>33</v>
      </c>
      <c r="AJ6">
        <v>34</v>
      </c>
      <c r="AK6">
        <v>35</v>
      </c>
      <c r="AL6">
        <v>36</v>
      </c>
      <c r="AM6">
        <v>37</v>
      </c>
      <c r="AN6">
        <v>38</v>
      </c>
      <c r="AO6">
        <v>39</v>
      </c>
      <c r="AP6">
        <v>33</v>
      </c>
      <c r="AQ6">
        <v>34</v>
      </c>
      <c r="AR6">
        <v>35</v>
      </c>
      <c r="AS6">
        <v>36</v>
      </c>
      <c r="AT6">
        <v>37</v>
      </c>
      <c r="AU6">
        <v>38</v>
      </c>
      <c r="AV6">
        <v>39</v>
      </c>
      <c r="AW6">
        <v>40</v>
      </c>
      <c r="AX6">
        <v>41</v>
      </c>
      <c r="AY6">
        <v>42</v>
      </c>
      <c r="AZ6">
        <v>43</v>
      </c>
      <c r="BA6">
        <v>44</v>
      </c>
      <c r="BB6">
        <v>45</v>
      </c>
      <c r="BC6">
        <v>46</v>
      </c>
      <c r="BD6">
        <v>47</v>
      </c>
      <c r="BE6">
        <v>48</v>
      </c>
    </row>
    <row r="7" spans="1:57">
      <c r="B7" t="s">
        <v>253</v>
      </c>
      <c r="C7" s="175">
        <f>+IPMT($B$4,C6,$B$3,-$B$2)</f>
        <v>817600</v>
      </c>
      <c r="D7" s="175">
        <f>+IPMT($B$4,D6,$B$3,-$B$2)</f>
        <v>787717.73730695329</v>
      </c>
      <c r="E7" s="175">
        <f t="shared" ref="E7:Z7" si="0">+IPMT($B$4,E6,$B$3,-$B$2)</f>
        <v>757500.79327174497</v>
      </c>
      <c r="F7" s="175">
        <f t="shared" si="0"/>
        <v>726945.41946334206</v>
      </c>
      <c r="G7" s="175">
        <f t="shared" si="0"/>
        <v>696047.82546828513</v>
      </c>
      <c r="H7" s="175">
        <f t="shared" si="0"/>
        <v>664804.17842048348</v>
      </c>
      <c r="I7" s="175">
        <f t="shared" si="0"/>
        <v>633210.60252574645</v>
      </c>
      <c r="J7" s="175">
        <f t="shared" si="0"/>
        <v>601263.17858098855</v>
      </c>
      <c r="K7" s="175">
        <f t="shared" si="0"/>
        <v>568957.9434880492</v>
      </c>
      <c r="L7" s="175">
        <f t="shared" si="0"/>
        <v>536290.88976206898</v>
      </c>
      <c r="M7" s="175">
        <f t="shared" si="0"/>
        <v>503257.96503435768</v>
      </c>
      <c r="N7" s="175">
        <f t="shared" si="0"/>
        <v>469855.07154969609</v>
      </c>
      <c r="O7" s="175">
        <f t="shared" si="0"/>
        <v>436078.06565800635</v>
      </c>
      <c r="P7" s="175">
        <f t="shared" si="0"/>
        <v>401922.75730032969</v>
      </c>
      <c r="Q7" s="175">
        <f t="shared" si="0"/>
        <v>367384.90948904696</v>
      </c>
      <c r="R7" s="175">
        <f t="shared" si="0"/>
        <v>332460.23778227787</v>
      </c>
      <c r="S7" s="175">
        <f t="shared" si="0"/>
        <v>297144.40975239302</v>
      </c>
      <c r="T7" s="175">
        <f t="shared" si="0"/>
        <v>261433.04444857338</v>
      </c>
      <c r="U7" s="175">
        <f t="shared" si="0"/>
        <v>225321.71185335104</v>
      </c>
      <c r="V7" s="175">
        <f t="shared" si="0"/>
        <v>188805.93233306214</v>
      </c>
      <c r="W7" s="175">
        <f t="shared" si="0"/>
        <v>151881.17608214606</v>
      </c>
      <c r="X7" s="175">
        <f t="shared" si="0"/>
        <v>114542.86256121972</v>
      </c>
      <c r="Y7" s="175">
        <f t="shared" si="0"/>
        <v>76786.359928858976</v>
      </c>
      <c r="Z7" s="175">
        <f t="shared" si="0"/>
        <v>38606.984467015813</v>
      </c>
      <c r="AA7" s="175"/>
      <c r="AB7" s="175"/>
      <c r="AC7" t="s">
        <v>253</v>
      </c>
      <c r="AD7" s="175">
        <f>+IPMT($AE$4,AD1,$AE$3,-$AE$2)</f>
        <v>672000</v>
      </c>
      <c r="AE7" s="175">
        <f>+IPMT($AE$4,AE1,$AE$3,-$AE$2)</f>
        <v>619366.37995830982</v>
      </c>
      <c r="AF7" s="175">
        <f t="shared" ref="AF7:AO7" si="1">+IPMT($AE$4,AF1,$AE$3,-$AE$2)</f>
        <v>566143.26337215258</v>
      </c>
      <c r="AG7" s="175">
        <f t="shared" si="1"/>
        <v>512324.04788023053</v>
      </c>
      <c r="AH7" s="175">
        <f t="shared" si="1"/>
        <v>457902.0571747988</v>
      </c>
      <c r="AI7" s="175">
        <f t="shared" si="1"/>
        <v>402870.54017346632</v>
      </c>
      <c r="AJ7" s="175">
        <f t="shared" si="1"/>
        <v>347222.67018171889</v>
      </c>
      <c r="AK7" s="175">
        <f t="shared" si="1"/>
        <v>290951.54404606391</v>
      </c>
      <c r="AL7" s="175">
        <f t="shared" si="1"/>
        <v>234050.18129768959</v>
      </c>
      <c r="AM7" s="175">
        <f t="shared" si="1"/>
        <v>176511.52328653345</v>
      </c>
      <c r="AN7" s="175">
        <f t="shared" si="1"/>
        <v>118328.43230565237</v>
      </c>
      <c r="AO7" s="175">
        <f t="shared" si="1"/>
        <v>59493.690705785441</v>
      </c>
      <c r="AP7" s="175"/>
      <c r="AQ7" s="175"/>
      <c r="AR7" s="175"/>
      <c r="AS7" s="175"/>
      <c r="AT7" s="175"/>
      <c r="AU7" s="175"/>
      <c r="AV7" s="175"/>
    </row>
    <row r="8" spans="1:57">
      <c r="B8" t="s">
        <v>254</v>
      </c>
      <c r="C8" s="175">
        <f>+PPMT($B$4,C6,$B$3,-$B$2)</f>
        <v>2668059.1690219999</v>
      </c>
      <c r="D8" s="175">
        <f>+PPMT($B$4,D6,$B$3,-$B$2)</f>
        <v>2697941.4317150461</v>
      </c>
      <c r="E8" s="175">
        <f t="shared" ref="E8:Z8" si="2">+PPMT($B$4,E6,$B$3,-$B$2)</f>
        <v>2728158.3757502548</v>
      </c>
      <c r="F8" s="175">
        <f t="shared" si="2"/>
        <v>2758713.7495586579</v>
      </c>
      <c r="G8" s="175">
        <f t="shared" si="2"/>
        <v>2789611.3435537145</v>
      </c>
      <c r="H8" s="175">
        <f t="shared" si="2"/>
        <v>2820854.9906015163</v>
      </c>
      <c r="I8" s="175">
        <f t="shared" si="2"/>
        <v>2852448.566496253</v>
      </c>
      <c r="J8" s="175">
        <f t="shared" si="2"/>
        <v>2884395.9904410113</v>
      </c>
      <c r="K8" s="175">
        <f t="shared" si="2"/>
        <v>2916701.2255339506</v>
      </c>
      <c r="L8" s="175">
        <f t="shared" si="2"/>
        <v>2949368.2792599304</v>
      </c>
      <c r="M8" s="175">
        <f t="shared" si="2"/>
        <v>2982401.2039876422</v>
      </c>
      <c r="N8" s="175">
        <f t="shared" si="2"/>
        <v>3015804.0974723035</v>
      </c>
      <c r="O8" s="175">
        <f t="shared" si="2"/>
        <v>3049581.1033639931</v>
      </c>
      <c r="P8" s="175">
        <f t="shared" si="2"/>
        <v>3083736.4117216701</v>
      </c>
      <c r="Q8" s="175">
        <f t="shared" si="2"/>
        <v>3118274.2595329527</v>
      </c>
      <c r="R8" s="175">
        <f t="shared" si="2"/>
        <v>3153198.9312397218</v>
      </c>
      <c r="S8" s="175">
        <f t="shared" si="2"/>
        <v>3188514.7592696068</v>
      </c>
      <c r="T8" s="175">
        <f t="shared" si="2"/>
        <v>3224226.1245734263</v>
      </c>
      <c r="U8" s="175">
        <f t="shared" si="2"/>
        <v>3260337.4571686485</v>
      </c>
      <c r="V8" s="175">
        <f t="shared" si="2"/>
        <v>3296853.2366889371</v>
      </c>
      <c r="W8" s="175">
        <f t="shared" si="2"/>
        <v>3333777.9929398536</v>
      </c>
      <c r="X8" s="175">
        <f t="shared" si="2"/>
        <v>3371116.3064607796</v>
      </c>
      <c r="Y8" s="175">
        <f t="shared" si="2"/>
        <v>3408872.8090931405</v>
      </c>
      <c r="Z8" s="175">
        <f t="shared" si="2"/>
        <v>3447052.1845549839</v>
      </c>
      <c r="AA8" s="175"/>
      <c r="AB8" s="175"/>
      <c r="AC8" t="s">
        <v>254</v>
      </c>
      <c r="AD8" s="175">
        <f>+PPMT($AE$4,AD1,$AE$3,-$AE$2)</f>
        <v>4699430.3608652009</v>
      </c>
      <c r="AE8" s="175">
        <f>+PPMT($AE$4,AE1,$AE$3,-$AE$2)</f>
        <v>4752063.9809068916</v>
      </c>
      <c r="AF8" s="175">
        <f t="shared" ref="AF8:AO8" si="3">+PPMT($AE$4,AF1,$AE$3,-$AE$2)</f>
        <v>4805287.0974930488</v>
      </c>
      <c r="AG8" s="175">
        <f t="shared" si="3"/>
        <v>4859106.3129849704</v>
      </c>
      <c r="AH8" s="175">
        <f t="shared" si="3"/>
        <v>4913528.3036904028</v>
      </c>
      <c r="AI8" s="175">
        <f t="shared" si="3"/>
        <v>4968559.8206917346</v>
      </c>
      <c r="AJ8" s="175">
        <f t="shared" si="3"/>
        <v>5024207.6906834822</v>
      </c>
      <c r="AK8" s="175">
        <f t="shared" si="3"/>
        <v>5080478.8168191379</v>
      </c>
      <c r="AL8" s="175">
        <f t="shared" si="3"/>
        <v>5137380.1795675112</v>
      </c>
      <c r="AM8" s="175">
        <f t="shared" si="3"/>
        <v>5194918.8375786683</v>
      </c>
      <c r="AN8" s="175">
        <f t="shared" si="3"/>
        <v>5253101.9285595492</v>
      </c>
      <c r="AO8" s="175">
        <f t="shared" si="3"/>
        <v>5311936.6701594153</v>
      </c>
      <c r="AP8" s="175"/>
      <c r="AQ8" s="175"/>
      <c r="AR8" s="175"/>
      <c r="AS8" s="175"/>
      <c r="AT8" s="175"/>
      <c r="AU8" s="175"/>
      <c r="AV8" s="175"/>
    </row>
    <row r="9" spans="1:57">
      <c r="C9" s="175">
        <f>SUM(C7:C8)</f>
        <v>3485659.1690219999</v>
      </c>
      <c r="D9" s="175">
        <f>SUM(D7:D8)</f>
        <v>3485659.1690219995</v>
      </c>
      <c r="E9" s="175">
        <f t="shared" ref="E9:Z9" si="4">SUM(E7:E8)</f>
        <v>3485659.1690219999</v>
      </c>
      <c r="F9" s="175">
        <f t="shared" si="4"/>
        <v>3485659.1690219999</v>
      </c>
      <c r="G9" s="175">
        <f t="shared" si="4"/>
        <v>3485659.1690219995</v>
      </c>
      <c r="H9" s="175">
        <f t="shared" si="4"/>
        <v>3485659.1690219999</v>
      </c>
      <c r="I9" s="175">
        <f t="shared" si="4"/>
        <v>3485659.1690219995</v>
      </c>
      <c r="J9" s="175">
        <f t="shared" si="4"/>
        <v>3485659.1690219999</v>
      </c>
      <c r="K9" s="175">
        <f t="shared" si="4"/>
        <v>3485659.1690219999</v>
      </c>
      <c r="L9" s="175">
        <f t="shared" si="4"/>
        <v>3485659.1690219995</v>
      </c>
      <c r="M9" s="175">
        <f t="shared" si="4"/>
        <v>3485659.1690219999</v>
      </c>
      <c r="N9" s="175">
        <f t="shared" si="4"/>
        <v>3485659.1690219995</v>
      </c>
      <c r="O9" s="175">
        <f t="shared" si="4"/>
        <v>3485659.1690219995</v>
      </c>
      <c r="P9" s="175">
        <f t="shared" si="4"/>
        <v>3485659.1690219999</v>
      </c>
      <c r="Q9" s="175">
        <f t="shared" si="4"/>
        <v>3485659.1690219995</v>
      </c>
      <c r="R9" s="175">
        <f t="shared" si="4"/>
        <v>3485659.1690219995</v>
      </c>
      <c r="S9" s="175">
        <f t="shared" si="4"/>
        <v>3485659.1690219999</v>
      </c>
      <c r="T9" s="175">
        <f t="shared" si="4"/>
        <v>3485659.1690219995</v>
      </c>
      <c r="U9" s="175">
        <f t="shared" si="4"/>
        <v>3485659.1690219995</v>
      </c>
      <c r="V9" s="175">
        <f t="shared" si="4"/>
        <v>3485659.169021999</v>
      </c>
      <c r="W9" s="175">
        <f t="shared" si="4"/>
        <v>3485659.1690219995</v>
      </c>
      <c r="X9" s="175">
        <f t="shared" si="4"/>
        <v>3485659.1690219995</v>
      </c>
      <c r="Y9" s="175">
        <f t="shared" si="4"/>
        <v>3485659.1690219995</v>
      </c>
      <c r="Z9" s="175">
        <f t="shared" si="4"/>
        <v>3485659.1690219995</v>
      </c>
      <c r="AA9" s="175"/>
      <c r="AB9" s="175"/>
      <c r="AD9" s="176">
        <f>SUM(AD7:AD8)</f>
        <v>5371430.3608652009</v>
      </c>
      <c r="AE9" s="176">
        <f>SUM(AE7:AE8)</f>
        <v>5371430.3608652018</v>
      </c>
      <c r="AF9" s="176">
        <f t="shared" ref="AF9:AO9" si="5">SUM(AF7:AF8)</f>
        <v>5371430.3608652018</v>
      </c>
      <c r="AG9" s="176">
        <f t="shared" si="5"/>
        <v>5371430.3608652009</v>
      </c>
      <c r="AH9" s="176">
        <f t="shared" si="5"/>
        <v>5371430.3608652018</v>
      </c>
      <c r="AI9" s="176">
        <f t="shared" si="5"/>
        <v>5371430.3608652009</v>
      </c>
      <c r="AJ9" s="176">
        <f t="shared" si="5"/>
        <v>5371430.3608652009</v>
      </c>
      <c r="AK9" s="176">
        <f t="shared" si="5"/>
        <v>5371430.3608652018</v>
      </c>
      <c r="AL9" s="176">
        <f t="shared" si="5"/>
        <v>5371430.3608652009</v>
      </c>
      <c r="AM9" s="176">
        <f t="shared" si="5"/>
        <v>5371430.3608652018</v>
      </c>
      <c r="AN9" s="176">
        <f t="shared" si="5"/>
        <v>5371430.3608652018</v>
      </c>
      <c r="AO9" s="176">
        <f t="shared" si="5"/>
        <v>5371430.3608652009</v>
      </c>
      <c r="AP9" s="176"/>
      <c r="AQ9" s="176"/>
      <c r="AR9" s="176"/>
      <c r="AS9" s="176"/>
      <c r="AT9" s="176"/>
      <c r="AU9" s="176"/>
      <c r="AV9" s="176"/>
    </row>
    <row r="10" spans="1:57">
      <c r="C10" s="175">
        <f>+C9-$B$5</f>
        <v>0</v>
      </c>
      <c r="D10" s="175">
        <f>+D9-$B$5</f>
        <v>0</v>
      </c>
      <c r="E10" s="175">
        <f t="shared" ref="E10:Z10" si="6">+E9-$B$5</f>
        <v>0</v>
      </c>
      <c r="F10" s="175">
        <f t="shared" si="6"/>
        <v>0</v>
      </c>
      <c r="G10" s="175">
        <f t="shared" si="6"/>
        <v>0</v>
      </c>
      <c r="H10" s="175">
        <f t="shared" si="6"/>
        <v>0</v>
      </c>
      <c r="I10" s="175">
        <f t="shared" si="6"/>
        <v>0</v>
      </c>
      <c r="J10" s="175">
        <f t="shared" si="6"/>
        <v>0</v>
      </c>
      <c r="K10" s="175">
        <f t="shared" si="6"/>
        <v>0</v>
      </c>
      <c r="L10" s="175">
        <f t="shared" si="6"/>
        <v>0</v>
      </c>
      <c r="M10" s="175">
        <f t="shared" si="6"/>
        <v>0</v>
      </c>
      <c r="N10" s="175">
        <f t="shared" si="6"/>
        <v>0</v>
      </c>
      <c r="O10" s="175">
        <f t="shared" si="6"/>
        <v>0</v>
      </c>
      <c r="P10" s="175">
        <f t="shared" si="6"/>
        <v>0</v>
      </c>
      <c r="Q10" s="175">
        <f t="shared" si="6"/>
        <v>0</v>
      </c>
      <c r="R10" s="175">
        <f t="shared" si="6"/>
        <v>0</v>
      </c>
      <c r="S10" s="175">
        <f t="shared" si="6"/>
        <v>0</v>
      </c>
      <c r="T10" s="175">
        <f t="shared" si="6"/>
        <v>0</v>
      </c>
      <c r="U10" s="175">
        <f t="shared" si="6"/>
        <v>0</v>
      </c>
      <c r="V10" s="175">
        <f t="shared" si="6"/>
        <v>0</v>
      </c>
      <c r="W10" s="175">
        <f t="shared" si="6"/>
        <v>0</v>
      </c>
      <c r="X10" s="175">
        <f t="shared" si="6"/>
        <v>0</v>
      </c>
      <c r="Y10" s="175">
        <f t="shared" si="6"/>
        <v>0</v>
      </c>
      <c r="Z10" s="175">
        <f t="shared" si="6"/>
        <v>0</v>
      </c>
      <c r="AA10" s="175"/>
      <c r="AB10" s="175"/>
      <c r="AD10" s="176">
        <f>+AD9-$AE$5</f>
        <v>0</v>
      </c>
      <c r="AE10" s="176">
        <f>+AE9-$AE$5</f>
        <v>0</v>
      </c>
      <c r="AF10" s="176">
        <f t="shared" ref="AF10:AO10" si="7">+AF9-$AE$5</f>
        <v>0</v>
      </c>
      <c r="AG10" s="176">
        <f t="shared" si="7"/>
        <v>0</v>
      </c>
      <c r="AH10" s="176">
        <f t="shared" si="7"/>
        <v>0</v>
      </c>
      <c r="AI10" s="176">
        <f t="shared" si="7"/>
        <v>0</v>
      </c>
      <c r="AJ10" s="176">
        <f t="shared" si="7"/>
        <v>0</v>
      </c>
      <c r="AK10" s="176">
        <f t="shared" si="7"/>
        <v>0</v>
      </c>
      <c r="AL10" s="176">
        <f t="shared" si="7"/>
        <v>0</v>
      </c>
      <c r="AM10" s="176">
        <f t="shared" si="7"/>
        <v>0</v>
      </c>
      <c r="AN10" s="176">
        <f t="shared" si="7"/>
        <v>0</v>
      </c>
      <c r="AO10" s="176">
        <f t="shared" si="7"/>
        <v>0</v>
      </c>
      <c r="AP10" s="176"/>
      <c r="AQ10" s="176"/>
      <c r="AR10" s="176"/>
      <c r="AS10" s="176"/>
      <c r="AT10" s="176"/>
      <c r="AU10" s="176"/>
      <c r="AV10" s="17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51AD-064D-44DA-A9F6-B253F3F141BC}">
  <dimension ref="B2:P56"/>
  <sheetViews>
    <sheetView showGridLines="0" topLeftCell="A15" zoomScale="70" zoomScaleNormal="70" workbookViewId="0">
      <selection activeCell="Q31" sqref="Q31"/>
    </sheetView>
  </sheetViews>
  <sheetFormatPr baseColWidth="10" defaultRowHeight="15.75"/>
  <cols>
    <col min="1" max="1" width="11.42578125" style="177"/>
    <col min="2" max="2" width="34.140625" style="224" customWidth="1"/>
    <col min="3" max="3" width="10.7109375" style="177" customWidth="1"/>
    <col min="4" max="4" width="8.85546875" style="177" bestFit="1" customWidth="1"/>
    <col min="5" max="9" width="10.7109375" style="177" bestFit="1" customWidth="1"/>
    <col min="10" max="13" width="12" style="177" bestFit="1" customWidth="1"/>
    <col min="14" max="14" width="11.5703125" style="177" bestFit="1" customWidth="1"/>
    <col min="15" max="15" width="11.42578125" style="177"/>
    <col min="16" max="16" width="10.7109375" style="177" bestFit="1" customWidth="1"/>
    <col min="17" max="16384" width="11.42578125" style="177"/>
  </cols>
  <sheetData>
    <row r="2" spans="2:14">
      <c r="B2" s="226" t="s">
        <v>323</v>
      </c>
      <c r="C2" s="227" t="s">
        <v>2</v>
      </c>
      <c r="D2" s="227" t="s">
        <v>3</v>
      </c>
      <c r="E2" s="227" t="s">
        <v>4</v>
      </c>
      <c r="F2" s="227" t="s">
        <v>5</v>
      </c>
      <c r="G2" s="227" t="s">
        <v>6</v>
      </c>
      <c r="H2" s="227" t="s">
        <v>7</v>
      </c>
      <c r="I2" s="227" t="s">
        <v>8</v>
      </c>
      <c r="J2" s="227" t="s">
        <v>9</v>
      </c>
      <c r="K2" s="227" t="s">
        <v>10</v>
      </c>
      <c r="L2" s="227" t="s">
        <v>11</v>
      </c>
      <c r="M2" s="227" t="s">
        <v>12</v>
      </c>
      <c r="N2" s="177" t="s">
        <v>322</v>
      </c>
    </row>
    <row r="3" spans="2:14">
      <c r="B3" s="227" t="s">
        <v>317</v>
      </c>
      <c r="C3" s="233">
        <f>+'Estados finan FEL acido'!E91</f>
        <v>93000000</v>
      </c>
      <c r="D3" s="228"/>
      <c r="E3" s="228"/>
      <c r="F3" s="228"/>
      <c r="G3" s="228"/>
      <c r="H3" s="228"/>
      <c r="I3" s="228"/>
      <c r="J3" s="228"/>
      <c r="K3" s="228"/>
      <c r="L3" s="228"/>
      <c r="M3" s="228"/>
    </row>
    <row r="4" spans="2:14">
      <c r="B4" s="227" t="s">
        <v>316</v>
      </c>
      <c r="C4" s="233">
        <f>+'Estados finan FEL acido'!E93</f>
        <v>60000000</v>
      </c>
      <c r="D4" s="228"/>
      <c r="E4" s="228"/>
      <c r="F4" s="228"/>
      <c r="G4" s="228"/>
      <c r="H4" s="228"/>
      <c r="I4" s="228"/>
      <c r="J4" s="228"/>
      <c r="K4" s="228"/>
      <c r="L4" s="228"/>
      <c r="M4" s="228"/>
    </row>
    <row r="5" spans="2:14">
      <c r="B5" s="229" t="s">
        <v>314</v>
      </c>
      <c r="C5" s="233">
        <f>+'Estados finan FEL acido'!E32</f>
        <v>0</v>
      </c>
      <c r="D5" s="230">
        <f>+'Estados finan FEL acido'!F32</f>
        <v>11090</v>
      </c>
      <c r="E5" s="230">
        <f>+'Estados finan FEL acido'!G32</f>
        <v>46463</v>
      </c>
      <c r="F5" s="230">
        <f>+'Estados finan FEL acido'!H32</f>
        <v>70193</v>
      </c>
      <c r="G5" s="230">
        <f>+'Estados finan FEL acido'!I32</f>
        <v>79669.055000000008</v>
      </c>
      <c r="H5" s="230">
        <f>+'Estados finan FEL acido'!J32</f>
        <v>87237.615225000001</v>
      </c>
      <c r="I5" s="230">
        <f>+'Estados finan FEL acido'!K32</f>
        <v>93780.436366875001</v>
      </c>
      <c r="J5" s="230">
        <f>+'Estados finan FEL acido'!L32</f>
        <v>98938.360367053116</v>
      </c>
      <c r="K5" s="230">
        <f>+'Estados finan FEL acido'!M32</f>
        <v>104379.97018724104</v>
      </c>
      <c r="L5" s="230">
        <f>+'Estados finan FEL acido'!N32</f>
        <v>110120.86854753928</v>
      </c>
      <c r="M5" s="230">
        <f>+'Estados finan FEL acido'!O32</f>
        <v>116177.51631765394</v>
      </c>
      <c r="N5" s="225">
        <f>+(M5/D5)^(1/9)-1</f>
        <v>0.29823856094041057</v>
      </c>
    </row>
    <row r="6" spans="2:14">
      <c r="B6" s="229" t="s">
        <v>310</v>
      </c>
      <c r="C6" s="233">
        <f>+'Estados finan FEL acido'!E66</f>
        <v>0</v>
      </c>
      <c r="D6" s="233">
        <f>+'Estados finan FEL acido'!F66</f>
        <v>724820200</v>
      </c>
      <c r="E6" s="233">
        <f>+'Estados finan FEL acido'!G66</f>
        <v>3073346699.9999995</v>
      </c>
      <c r="F6" s="233">
        <f>+'Estados finan FEL acido'!H66</f>
        <v>4720869600</v>
      </c>
      <c r="G6" s="233">
        <f>+'Estados finan FEL acido'!I66</f>
        <v>5572514475.8400011</v>
      </c>
      <c r="H6" s="233">
        <f>+'Estados finan FEL acido'!J66</f>
        <v>6345979485.0865936</v>
      </c>
      <c r="I6" s="233">
        <f>+'Estados finan FEL acido'!K66</f>
        <v>7094805064.3268127</v>
      </c>
      <c r="J6" s="233">
        <f>+'Estados finan FEL acido'!L66</f>
        <v>7784420116.5793781</v>
      </c>
      <c r="K6" s="233">
        <f>+'Estados finan FEL acido'!M66</f>
        <v>8541065751.9108934</v>
      </c>
      <c r="L6" s="233">
        <f>+'Estados finan FEL acido'!N66</f>
        <v>9371257342.9966316</v>
      </c>
      <c r="M6" s="233">
        <f>+'Estados finan FEL acido'!O66</f>
        <v>10282143556.735903</v>
      </c>
      <c r="N6" s="225">
        <f t="shared" ref="N6" si="0">+(M6/D6)^(1/9)-1</f>
        <v>0.34271459097615042</v>
      </c>
    </row>
    <row r="7" spans="2:14">
      <c r="B7" s="229" t="s">
        <v>70</v>
      </c>
      <c r="C7" s="233">
        <f>+'Estados finan FEL acido'!E69</f>
        <v>0</v>
      </c>
      <c r="D7" s="233">
        <f>+'Estados finan FEL acido'!F69</f>
        <v>-42994033.099999964</v>
      </c>
      <c r="E7" s="233">
        <f>+'Estados finan FEL acido'!G69</f>
        <v>257267706.07749951</v>
      </c>
      <c r="F7" s="233">
        <f>+'Estados finan FEL acido'!H69</f>
        <v>265862371.18355989</v>
      </c>
      <c r="G7" s="233">
        <f>+'Estados finan FEL acido'!I69</f>
        <v>423353616.50985336</v>
      </c>
      <c r="H7" s="233">
        <f>+'Estados finan FEL acido'!J69</f>
        <v>521825493.4549408</v>
      </c>
      <c r="I7" s="233">
        <f>+'Estados finan FEL acido'!K69</f>
        <v>626181688.02007532</v>
      </c>
      <c r="J7" s="233">
        <f>+'Estados finan FEL acido'!L69</f>
        <v>732277097.35597944</v>
      </c>
      <c r="K7" s="233">
        <f>+'Estados finan FEL acido'!M69</f>
        <v>851398813.43495464</v>
      </c>
      <c r="L7" s="233">
        <f>+'Estados finan FEL acido'!N69</f>
        <v>984975823.2497654</v>
      </c>
      <c r="M7" s="233">
        <f>+'Estados finan FEL acido'!O69</f>
        <v>1134585781.1275115</v>
      </c>
      <c r="N7" s="225">
        <f>+(M7/E7)^(1/8)-1</f>
        <v>0.20380601165210788</v>
      </c>
    </row>
    <row r="8" spans="2:14">
      <c r="B8" s="229" t="s">
        <v>80</v>
      </c>
      <c r="C8" s="233">
        <f>+'Estados finan FEL acido'!E76</f>
        <v>0</v>
      </c>
      <c r="D8" s="233">
        <f>+'Estados finan FEL acido'!F76</f>
        <v>-72980861.747302294</v>
      </c>
      <c r="E8" s="233">
        <f>+'Estados finan FEL acido'!G76</f>
        <v>120195383.04348946</v>
      </c>
      <c r="F8" s="233">
        <f>+'Estados finan FEL acido'!H76</f>
        <v>87114403.197419375</v>
      </c>
      <c r="G8" s="233">
        <f>+'Estados finan FEL acido'!I76</f>
        <v>177336149.00523335</v>
      </c>
      <c r="H8" s="233">
        <f>+'Estados finan FEL acido'!J76</f>
        <v>204182052.70722342</v>
      </c>
      <c r="I8" s="233">
        <f>+'Estados finan FEL acido'!K76</f>
        <v>264550314.4888621</v>
      </c>
      <c r="J8" s="233">
        <f>+'Estados finan FEL acido'!L76</f>
        <v>328225852.49233699</v>
      </c>
      <c r="K8" s="233">
        <f>+'Estados finan FEL acido'!M76</f>
        <v>395228236.13661271</v>
      </c>
      <c r="L8" s="233">
        <f>+'Estados finan FEL acido'!N76</f>
        <v>470042538.37753546</v>
      </c>
      <c r="M8" s="233">
        <f>+'Estados finan FEL acido'!O76</f>
        <v>554110811.55708432</v>
      </c>
      <c r="N8" s="225">
        <f>+(M8/E8)^(1/8)-1</f>
        <v>0.21049668591210513</v>
      </c>
    </row>
    <row r="9" spans="2:14">
      <c r="B9" s="229" t="s">
        <v>320</v>
      </c>
      <c r="C9" s="233">
        <v>0</v>
      </c>
      <c r="D9" s="232">
        <f>+D8/D6</f>
        <v>-0.10068822826309518</v>
      </c>
      <c r="E9" s="232">
        <f t="shared" ref="E9:M9" si="1">+E8/E6</f>
        <v>3.9108956709469019E-2</v>
      </c>
      <c r="F9" s="232">
        <f t="shared" si="1"/>
        <v>1.8453041617040086E-2</v>
      </c>
      <c r="G9" s="232">
        <f t="shared" si="1"/>
        <v>3.1823362644293834E-2</v>
      </c>
      <c r="H9" s="232">
        <f t="shared" si="1"/>
        <v>3.21750256500297E-2</v>
      </c>
      <c r="I9" s="232">
        <f t="shared" si="1"/>
        <v>3.7287890518520377E-2</v>
      </c>
      <c r="J9" s="232">
        <f t="shared" si="1"/>
        <v>4.2164457670170769E-2</v>
      </c>
      <c r="K9" s="232">
        <f t="shared" si="1"/>
        <v>4.6273878180622632E-2</v>
      </c>
      <c r="L9" s="232">
        <f t="shared" si="1"/>
        <v>5.0157894631803028E-2</v>
      </c>
      <c r="M9" s="232">
        <f t="shared" si="1"/>
        <v>5.3890592802906603E-2</v>
      </c>
    </row>
    <row r="10" spans="2:14">
      <c r="B10" s="229" t="s">
        <v>311</v>
      </c>
      <c r="C10" s="233">
        <f>+'Estados finan FEL acido'!E62</f>
        <v>0</v>
      </c>
      <c r="D10" s="233">
        <f>+'Estados finan FEL acido'!F62</f>
        <v>17409458.333333332</v>
      </c>
      <c r="E10" s="233">
        <f>+'Estados finan FEL acido'!G62</f>
        <v>73650935.790000007</v>
      </c>
      <c r="F10" s="233">
        <f>+'Estados finan FEL acido'!H62</f>
        <v>113197753.26755998</v>
      </c>
      <c r="G10" s="233">
        <f>+'Estados finan FEL acido'!I62</f>
        <v>167006228.34989604</v>
      </c>
      <c r="H10" s="233">
        <f>+'Estados finan FEL acido'!J62</f>
        <v>237733366.05607691</v>
      </c>
      <c r="I10" s="233">
        <f>+'Estados finan FEL acido'!K62</f>
        <v>318943083.90083289</v>
      </c>
      <c r="J10" s="233">
        <f>+'Estados finan FEL acido'!L62</f>
        <v>349944351.65599382</v>
      </c>
      <c r="K10" s="233">
        <f>+'Estados finan FEL acido'!M62</f>
        <v>383958942.63695645</v>
      </c>
      <c r="L10" s="233">
        <f>+'Estados finan FEL acido'!N62</f>
        <v>421279751.86126864</v>
      </c>
      <c r="M10" s="233">
        <f>+'Estados finan FEL acido'!O62</f>
        <v>462228143.74218386</v>
      </c>
      <c r="N10" s="225">
        <f>+(M10/E10)^(1/8)-1</f>
        <v>0.25808436302820836</v>
      </c>
    </row>
    <row r="11" spans="2:14">
      <c r="B11" s="229" t="s">
        <v>278</v>
      </c>
      <c r="C11" s="233">
        <f>+'Estados finan FEL acido'!E86</f>
        <v>0</v>
      </c>
      <c r="D11" s="233">
        <f>+'Estados finan FEL acido'!F86</f>
        <v>-84790320.080635622</v>
      </c>
      <c r="E11" s="233">
        <f>+'Estados finan FEL acido'!G86</f>
        <v>71153905.586822778</v>
      </c>
      <c r="F11" s="233">
        <f>+'Estados finan FEL acido'!H86</f>
        <v>66400919.05319275</v>
      </c>
      <c r="G11" s="233">
        <f>+'Estados finan FEL acido'!I86</f>
        <v>147777673.92289728</v>
      </c>
      <c r="H11" s="233">
        <f>+'Estados finan FEL acido'!J86</f>
        <v>203704915.00104254</v>
      </c>
      <c r="I11" s="233">
        <f>+'Estados finan FEL acido'!K86</f>
        <v>255009557.65697148</v>
      </c>
      <c r="J11" s="233">
        <f>+'Estados finan FEL acido'!L86</f>
        <v>368850429.77335727</v>
      </c>
      <c r="K11" s="233">
        <f>+'Estados finan FEL acido'!M86</f>
        <v>433747703.34221351</v>
      </c>
      <c r="L11" s="233">
        <f>+'Estados finan FEL acido'!N86</f>
        <v>507130038.80838597</v>
      </c>
      <c r="M11" s="233">
        <f>+'Estados finan FEL acido'!O86</f>
        <v>589627158.04267907</v>
      </c>
    </row>
    <row r="12" spans="2:14">
      <c r="B12" s="229" t="s">
        <v>286</v>
      </c>
      <c r="C12" s="233">
        <f>+'Estados finan FEL acido'!E89</f>
        <v>-28000000</v>
      </c>
      <c r="D12" s="233">
        <f>+'Estados finan FEL acido'!F89</f>
        <v>0</v>
      </c>
      <c r="E12" s="233">
        <f>+'Estados finan FEL acido'!G89</f>
        <v>-12000000</v>
      </c>
      <c r="F12" s="233">
        <f>+'Estados finan FEL acido'!H89</f>
        <v>-130000000</v>
      </c>
      <c r="G12" s="233">
        <f>+'Estados finan FEL acido'!I89</f>
        <v>0</v>
      </c>
      <c r="H12" s="233">
        <f>+'Estados finan FEL acido'!J89</f>
        <v>-230000000</v>
      </c>
      <c r="I12" s="233">
        <f>+'Estados finan FEL acido'!K89</f>
        <v>-7094805.0643268125</v>
      </c>
      <c r="J12" s="233">
        <f>+'Estados finan FEL acido'!L89</f>
        <v>-7784420.116579378</v>
      </c>
      <c r="K12" s="233">
        <f>+'Estados finan FEL acido'!M89</f>
        <v>-8541065.7519108932</v>
      </c>
      <c r="L12" s="233">
        <f>+'Estados finan FEL acido'!N89</f>
        <v>-9371257.3429966327</v>
      </c>
      <c r="M12" s="233">
        <f>+'Estados finan FEL acido'!O89</f>
        <v>-10282143.556735903</v>
      </c>
    </row>
    <row r="13" spans="2:14">
      <c r="B13" s="229" t="s">
        <v>312</v>
      </c>
      <c r="C13" s="233">
        <f>+'Estados finan FEL acido'!E95</f>
        <v>153000000</v>
      </c>
      <c r="D13" s="233">
        <f>+'Estados finan FEL acido'!F95</f>
        <v>-39664095.424497858</v>
      </c>
      <c r="E13" s="233">
        <f>+'Estados finan FEL acido'!G95</f>
        <v>-55081304.87889833</v>
      </c>
      <c r="F13" s="233">
        <f>+'Estados finan FEL acido'!H95</f>
        <v>130668703.71459828</v>
      </c>
      <c r="G13" s="233">
        <f>+'Estados finan FEL acido'!I95</f>
        <v>-65377026.047057077</v>
      </c>
      <c r="H13" s="233">
        <f>+'Estados finan FEL acido'!J95</f>
        <v>-16164367.855919495</v>
      </c>
      <c r="I13" s="233">
        <f>+'Estados finan FEL acido'!K95</f>
        <v>-101866787.98255485</v>
      </c>
      <c r="J13" s="233">
        <f>+'Estados finan FEL acido'!L95</f>
        <v>-108319802.89703338</v>
      </c>
      <c r="K13" s="233">
        <f>+'Estados finan FEL acido'!M95</f>
        <v>-127561991.27709079</v>
      </c>
      <c r="L13" s="233">
        <f>+'Estados finan FEL acido'!N95</f>
        <v>-149327634.4396168</v>
      </c>
      <c r="M13" s="233">
        <f>+'Estados finan FEL acido'!O95</f>
        <v>-173803504.34578297</v>
      </c>
    </row>
    <row r="14" spans="2:14">
      <c r="B14" s="229" t="s">
        <v>319</v>
      </c>
      <c r="C14" s="233">
        <f>+'Estados finan FEL acido'!E94</f>
        <v>0</v>
      </c>
      <c r="D14" s="233">
        <f>+'Estados finan FEL acido'!F94</f>
        <v>0</v>
      </c>
      <c r="E14" s="233">
        <f>+'Estados finan FEL acido'!G94</f>
        <v>1745400.3033961907</v>
      </c>
      <c r="F14" s="233">
        <f>+'Estados finan FEL acido'!H94</f>
        <v>-26970161.670946706</v>
      </c>
      <c r="G14" s="233">
        <f>+'Estados finan FEL acido'!I94</f>
        <v>35314563.375360079</v>
      </c>
      <c r="H14" s="233">
        <f>+'Estados finan FEL acido'!J94</f>
        <v>-18196908.366375834</v>
      </c>
      <c r="I14" s="233">
        <f>+'Estados finan FEL acido'!K94</f>
        <v>62591984.832895622</v>
      </c>
      <c r="J14" s="233">
        <f>+'Estados finan FEL acido'!L94</f>
        <v>108319802.89703338</v>
      </c>
      <c r="K14" s="233">
        <f>+'Estados finan FEL acido'!M94</f>
        <v>127561991.27709079</v>
      </c>
      <c r="L14" s="233">
        <f>+'Estados finan FEL acido'!N94</f>
        <v>149327634.4396168</v>
      </c>
      <c r="M14" s="233">
        <f>+'Estados finan FEL acido'!O94</f>
        <v>173803504.34578297</v>
      </c>
    </row>
    <row r="15" spans="2:14">
      <c r="B15" s="229" t="s">
        <v>96</v>
      </c>
      <c r="C15" s="233">
        <f>+'Estados finan FEL acido'!E99</f>
        <v>125000000</v>
      </c>
      <c r="D15" s="233">
        <f>+'Estados finan FEL acido'!F99</f>
        <v>545584.49486652017</v>
      </c>
      <c r="E15" s="233">
        <f>+'Estados finan FEL acido'!G99</f>
        <v>4618185.2027909681</v>
      </c>
      <c r="F15" s="233">
        <f>+'Estados finan FEL acido'!H99</f>
        <v>71687807.970582008</v>
      </c>
      <c r="G15" s="233">
        <f>+'Estados finan FEL acido'!I99</f>
        <v>154088455.8464222</v>
      </c>
      <c r="H15" s="233">
        <f>+'Estados finan FEL acido'!J99</f>
        <v>111629002.99154525</v>
      </c>
      <c r="I15" s="233">
        <f>+'Estados finan FEL acido'!K99</f>
        <v>257676967.60163504</v>
      </c>
      <c r="J15" s="233">
        <f>+'Estados finan FEL acido'!L99</f>
        <v>510423174.36137956</v>
      </c>
      <c r="K15" s="233">
        <f>+'Estados finan FEL acido'!M99</f>
        <v>808067820.67459142</v>
      </c>
      <c r="L15" s="233">
        <f>+'Estados finan FEL acido'!N99</f>
        <v>1156498967.7003639</v>
      </c>
      <c r="M15" s="233">
        <f>+'Estados finan FEL acido'!O99</f>
        <v>1562040477.8405242</v>
      </c>
      <c r="N15" s="225">
        <f>+(M15/E15)^(1/8)-1</f>
        <v>1.0708689539050065</v>
      </c>
    </row>
    <row r="16" spans="2:14">
      <c r="B16" s="229" t="s">
        <v>318</v>
      </c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>
        <f>+'Estados finan FEL acido'!O124</f>
        <v>7415333959.5245028</v>
      </c>
    </row>
    <row r="17" spans="2:14">
      <c r="B17" s="229" t="s">
        <v>313</v>
      </c>
      <c r="C17" s="233">
        <f>+'Estados finan FEL acido'!E131</f>
        <v>3085058897.1170654</v>
      </c>
      <c r="D17" s="233"/>
      <c r="E17" s="233"/>
      <c r="F17" s="233"/>
      <c r="G17" s="233"/>
      <c r="H17" s="233"/>
      <c r="I17" s="233"/>
      <c r="J17" s="233"/>
      <c r="K17" s="233"/>
      <c r="L17" s="233"/>
      <c r="M17" s="233"/>
    </row>
    <row r="21" spans="2:14">
      <c r="B21" s="226" t="s">
        <v>324</v>
      </c>
      <c r="C21" s="227" t="s">
        <v>2</v>
      </c>
      <c r="D21" s="227" t="s">
        <v>3</v>
      </c>
      <c r="E21" s="227" t="s">
        <v>4</v>
      </c>
      <c r="F21" s="227" t="s">
        <v>5</v>
      </c>
      <c r="G21" s="227" t="s">
        <v>6</v>
      </c>
      <c r="H21" s="227" t="s">
        <v>7</v>
      </c>
      <c r="I21" s="227" t="s">
        <v>8</v>
      </c>
      <c r="J21" s="227" t="s">
        <v>9</v>
      </c>
      <c r="K21" s="227" t="s">
        <v>10</v>
      </c>
      <c r="L21" s="227" t="s">
        <v>11</v>
      </c>
      <c r="M21" s="227" t="s">
        <v>12</v>
      </c>
      <c r="N21" s="177" t="s">
        <v>322</v>
      </c>
    </row>
    <row r="22" spans="2:14">
      <c r="B22" s="227" t="s">
        <v>317</v>
      </c>
      <c r="C22" s="233">
        <f>+'Estados finan base'!E108</f>
        <v>85000000</v>
      </c>
      <c r="D22" s="228"/>
      <c r="E22" s="228"/>
      <c r="F22" s="228"/>
      <c r="G22" s="228"/>
      <c r="H22" s="228"/>
      <c r="I22" s="228"/>
      <c r="J22" s="228"/>
      <c r="K22" s="228"/>
      <c r="L22" s="228"/>
      <c r="M22" s="228"/>
    </row>
    <row r="23" spans="2:14">
      <c r="B23" s="227" t="s">
        <v>316</v>
      </c>
      <c r="C23" s="233">
        <f>+'Estados finan base'!E112</f>
        <v>59000000</v>
      </c>
      <c r="D23" s="228"/>
      <c r="E23" s="228"/>
      <c r="F23" s="228"/>
      <c r="G23" s="228"/>
      <c r="H23" s="228"/>
      <c r="I23" s="228"/>
      <c r="J23" s="228"/>
      <c r="K23" s="228"/>
      <c r="L23" s="228"/>
      <c r="M23" s="228"/>
    </row>
    <row r="24" spans="2:14">
      <c r="B24" s="229" t="s">
        <v>314</v>
      </c>
      <c r="C24" s="233">
        <f>+'Estados finan base'!E32</f>
        <v>0</v>
      </c>
      <c r="D24" s="230">
        <f>+'Estados finan base'!F32</f>
        <v>13058</v>
      </c>
      <c r="E24" s="230">
        <f>+'Estados finan base'!G32</f>
        <v>57099</v>
      </c>
      <c r="F24" s="230">
        <f>+'Estados finan base'!H32</f>
        <v>86405</v>
      </c>
      <c r="G24" s="230">
        <f>+'Estados finan base'!I32</f>
        <v>98069.675000000003</v>
      </c>
      <c r="H24" s="230">
        <f>+'Estados finan base'!J32</f>
        <v>107386.294125</v>
      </c>
      <c r="I24" s="230">
        <f>+'Estados finan base'!K32</f>
        <v>115440.266184375</v>
      </c>
      <c r="J24" s="230">
        <f>+'Estados finan base'!L32</f>
        <v>121789.48082451562</v>
      </c>
      <c r="K24" s="230">
        <f>+'Estados finan base'!M32</f>
        <v>128487.90226986397</v>
      </c>
      <c r="L24" s="230">
        <f>+'Estados finan base'!N32</f>
        <v>135554.7368947065</v>
      </c>
      <c r="M24" s="230">
        <f>+'Estados finan base'!O32</f>
        <v>143010.24742391534</v>
      </c>
      <c r="N24" s="225">
        <f>+(M24/D24)^(1/9)-1</f>
        <v>0.30466479555611636</v>
      </c>
    </row>
    <row r="25" spans="2:14">
      <c r="B25" s="229" t="s">
        <v>310</v>
      </c>
      <c r="C25" s="233">
        <f>+'Estados finan base'!E66</f>
        <v>0</v>
      </c>
      <c r="D25" s="233">
        <f>+'Estados finan base'!F66</f>
        <v>790919000</v>
      </c>
      <c r="E25" s="233">
        <f>+'Estados finan base'!G66</f>
        <v>3500694000</v>
      </c>
      <c r="F25" s="233">
        <f>+'Estados finan base'!H66</f>
        <v>5386864000</v>
      </c>
      <c r="G25" s="233">
        <f>+'Estados finan base'!I66</f>
        <v>6358654265.6000004</v>
      </c>
      <c r="H25" s="233">
        <f>+'Estados finan base'!J66</f>
        <v>7241235477.6652803</v>
      </c>
      <c r="I25" s="233">
        <f>+'Estados finan base'!K66</f>
        <v>8095701264.0297832</v>
      </c>
      <c r="J25" s="233">
        <f>+'Estados finan base'!L66</f>
        <v>8882603426.8934784</v>
      </c>
      <c r="K25" s="233">
        <f>+'Estados finan base'!M66</f>
        <v>9745992479.987524</v>
      </c>
      <c r="L25" s="233">
        <f>+'Estados finan base'!N66</f>
        <v>10693302949.042313</v>
      </c>
      <c r="M25" s="233">
        <f>+'Estados finan base'!O66</f>
        <v>11732691995.689224</v>
      </c>
      <c r="N25" s="225">
        <f t="shared" ref="N25" si="2">+(M25/D25)^(1/9)-1</f>
        <v>0.34939976139067896</v>
      </c>
    </row>
    <row r="26" spans="2:14">
      <c r="B26" s="229" t="s">
        <v>70</v>
      </c>
      <c r="C26" s="233">
        <f>+'Estados finan base'!E69</f>
        <v>0</v>
      </c>
      <c r="D26" s="233">
        <f>+'Estados finan base'!F69</f>
        <v>-32109785.735000014</v>
      </c>
      <c r="E26" s="233">
        <f>+'Estados finan base'!G69</f>
        <v>330999441.42000008</v>
      </c>
      <c r="F26" s="233">
        <f>+'Estados finan base'!H69</f>
        <v>386314542.0935998</v>
      </c>
      <c r="G26" s="233">
        <f>+'Estados finan base'!I69</f>
        <v>580921299.28324509</v>
      </c>
      <c r="H26" s="233">
        <f>+'Estados finan base'!J69</f>
        <v>703930722.87380123</v>
      </c>
      <c r="I26" s="233">
        <f>+'Estados finan base'!K69</f>
        <v>832648709.90104675</v>
      </c>
      <c r="J26" s="233">
        <f>+'Estados finan base'!L69</f>
        <v>961850627.70315647</v>
      </c>
      <c r="K26" s="233">
        <f>+'Estados finan base'!M69</f>
        <v>1106507079.7076144</v>
      </c>
      <c r="L26" s="233">
        <f>+'Estados finan base'!N69</f>
        <v>1268294013.1064091</v>
      </c>
      <c r="M26" s="233">
        <f>+'Estados finan base'!O69</f>
        <v>1449060703.1466379</v>
      </c>
      <c r="N26" s="225">
        <f>+(M26/E26)^(1/8)-1</f>
        <v>0.20270028745673363</v>
      </c>
    </row>
    <row r="27" spans="2:14">
      <c r="B27" s="229" t="s">
        <v>80</v>
      </c>
      <c r="C27" s="233">
        <f>+'Estados finan base'!E76</f>
        <v>0</v>
      </c>
      <c r="D27" s="233">
        <f>+'Estados finan base'!F76</f>
        <v>-62567801.165330097</v>
      </c>
      <c r="E27" s="233">
        <f>+'Estados finan base'!G76</f>
        <v>162424861.17477164</v>
      </c>
      <c r="F27" s="233">
        <f>+'Estados finan base'!H76</f>
        <v>148874681.98437053</v>
      </c>
      <c r="G27" s="233">
        <f>+'Estados finan base'!I76</f>
        <v>261245704.94865367</v>
      </c>
      <c r="H27" s="233">
        <f>+'Estados finan base'!J76</f>
        <v>303697206.721205</v>
      </c>
      <c r="I27" s="233">
        <f>+'Estados finan base'!K76</f>
        <v>379625576.13647974</v>
      </c>
      <c r="J27" s="233">
        <f>+'Estados finan base'!L76</f>
        <v>458663550.51428312</v>
      </c>
      <c r="K27" s="233">
        <f>+'Estados finan base'!M76</f>
        <v>540892540.93789315</v>
      </c>
      <c r="L27" s="233">
        <f>+'Estados finan base'!N76</f>
        <v>632348882.16602194</v>
      </c>
      <c r="M27" s="233">
        <f>+'Estados finan base'!O76</f>
        <v>734809923.12632132</v>
      </c>
      <c r="N27" s="225">
        <f>+(M27/E27)^(1/8)-1</f>
        <v>0.20764785283919651</v>
      </c>
    </row>
    <row r="28" spans="2:14">
      <c r="B28" s="229" t="s">
        <v>320</v>
      </c>
      <c r="C28" s="231">
        <v>0</v>
      </c>
      <c r="D28" s="232">
        <f>+D27/D25</f>
        <v>-7.9107722997336136E-2</v>
      </c>
      <c r="E28" s="232">
        <f t="shared" ref="E28" si="3">+E27/E25</f>
        <v>4.6397903151424155E-2</v>
      </c>
      <c r="F28" s="232">
        <f t="shared" ref="F28" si="4">+F27/F25</f>
        <v>2.7636614175589085E-2</v>
      </c>
      <c r="G28" s="232">
        <f t="shared" ref="G28" si="5">+G27/G25</f>
        <v>4.1085062033012203E-2</v>
      </c>
      <c r="H28" s="232">
        <f t="shared" ref="H28" si="6">+H27/H25</f>
        <v>4.1939971108234567E-2</v>
      </c>
      <c r="I28" s="232">
        <f t="shared" ref="I28" si="7">+I27/I25</f>
        <v>4.6892241172880704E-2</v>
      </c>
      <c r="J28" s="232">
        <f t="shared" ref="J28" si="8">+J27/J25</f>
        <v>5.1636162110491969E-2</v>
      </c>
      <c r="K28" s="232">
        <f t="shared" ref="K28" si="9">+K27/K25</f>
        <v>5.5498969658407282E-2</v>
      </c>
      <c r="L28" s="232">
        <f t="shared" ref="L28" si="10">+L27/L25</f>
        <v>5.9135038554449147E-2</v>
      </c>
      <c r="M28" s="232">
        <f t="shared" ref="M28" si="11">+M27/M25</f>
        <v>6.262926900291102E-2</v>
      </c>
    </row>
    <row r="29" spans="2:14">
      <c r="B29" s="229" t="s">
        <v>311</v>
      </c>
      <c r="C29" s="233">
        <f>+'Estados finan base'!E62</f>
        <v>0</v>
      </c>
      <c r="D29" s="233">
        <f>+'Estados finan base'!F62</f>
        <v>19093396.25</v>
      </c>
      <c r="E29" s="233">
        <f>+'Estados finan base'!G62</f>
        <v>84308795.295000002</v>
      </c>
      <c r="F29" s="233">
        <f>+'Estados finan base'!H62</f>
        <v>129822698.8461</v>
      </c>
      <c r="G29" s="233">
        <f>+'Estados finan base'!I62</f>
        <v>190595987.74437523</v>
      </c>
      <c r="H29" s="233">
        <f>+'Estados finan base'!J62</f>
        <v>271313388.55411816</v>
      </c>
      <c r="I29" s="233">
        <f>+'Estados finan base'!K62</f>
        <v>363994042.08420491</v>
      </c>
      <c r="J29" s="233">
        <f>+'Estados finan base'!L62</f>
        <v>399374262.97478962</v>
      </c>
      <c r="K29" s="233">
        <f>+'Estados finan base'!M62</f>
        <v>438193441.33593917</v>
      </c>
      <c r="L29" s="233">
        <f>+'Estados finan base'!N62</f>
        <v>480785843.83379257</v>
      </c>
      <c r="M29" s="233">
        <f>+'Estados finan base'!O62</f>
        <v>527518227.85443711</v>
      </c>
      <c r="N29" s="225">
        <f>+(M29/E29)^(1/8)-1</f>
        <v>0.25760881667866742</v>
      </c>
    </row>
    <row r="30" spans="2:14">
      <c r="B30" s="229" t="s">
        <v>278</v>
      </c>
      <c r="C30" s="233">
        <f>+'Estados finan base'!E86</f>
        <v>0</v>
      </c>
      <c r="D30" s="233">
        <f>+'Estados finan base'!F86</f>
        <v>-76061197.415330097</v>
      </c>
      <c r="E30" s="233">
        <f>+'Estados finan base'!G86</f>
        <v>104942795.46310498</v>
      </c>
      <c r="F30" s="233">
        <f>+'Estados finan base'!H86</f>
        <v>127160778.43327053</v>
      </c>
      <c r="G30" s="233">
        <f>+'Estados finan base'!I86</f>
        <v>231772416.05037847</v>
      </c>
      <c r="H30" s="233">
        <f>+'Estados finan base'!J86</f>
        <v>300279805.91146207</v>
      </c>
      <c r="I30" s="233">
        <f>+'Estados finan base'!K86</f>
        <v>365864062.85919893</v>
      </c>
      <c r="J30" s="233">
        <f>+'Estados finan base'!L86</f>
        <v>501845657.22854972</v>
      </c>
      <c r="K30" s="233">
        <f>+'Estados finan base'!M86</f>
        <v>581518222.01092577</v>
      </c>
      <c r="L30" s="233">
        <f>+'Estados finan base'!N86</f>
        <v>671339999.69215918</v>
      </c>
      <c r="M30" s="233">
        <f>+'Estados finan base'!O86</f>
        <v>772007597.52880526</v>
      </c>
    </row>
    <row r="31" spans="2:14">
      <c r="B31" s="229" t="s">
        <v>286</v>
      </c>
      <c r="C31" s="233">
        <f>+'Estados finan base'!E89</f>
        <v>-28000000</v>
      </c>
      <c r="D31" s="233">
        <f>+'Estados finan base'!F89</f>
        <v>0</v>
      </c>
      <c r="E31" s="233">
        <f>+'Estados finan base'!G89</f>
        <v>-16000000</v>
      </c>
      <c r="F31" s="233">
        <f>+'Estados finan base'!H89</f>
        <v>-180000000</v>
      </c>
      <c r="G31" s="233">
        <f>+'Estados finan base'!I89</f>
        <v>0</v>
      </c>
      <c r="H31" s="233">
        <f>+'Estados finan base'!J89</f>
        <v>-230000000</v>
      </c>
      <c r="I31" s="233">
        <f>+'Estados finan base'!K89</f>
        <v>-8095701.2640297832</v>
      </c>
      <c r="J31" s="233">
        <f>+'Estados finan base'!L89</f>
        <v>-8882603.4268934783</v>
      </c>
      <c r="K31" s="233">
        <f>+'Estados finan base'!M89</f>
        <v>-9745992.4799875244</v>
      </c>
      <c r="L31" s="233">
        <f>+'Estados finan base'!N89</f>
        <v>-10693302.949042313</v>
      </c>
      <c r="M31" s="233">
        <f>+'Estados finan base'!O89</f>
        <v>-11732691.995689224</v>
      </c>
    </row>
    <row r="32" spans="2:14">
      <c r="B32" s="229" t="s">
        <v>312</v>
      </c>
      <c r="C32" s="233">
        <f>+'Estados finan base'!E95</f>
        <v>144000000</v>
      </c>
      <c r="D32" s="233">
        <f>+'Estados finan base'!F95</f>
        <v>-39664095.424497858</v>
      </c>
      <c r="E32" s="233">
        <f>+'Estados finan base'!G95</f>
        <v>-58417971.841782995</v>
      </c>
      <c r="F32" s="233">
        <f>+'Estados finan base'!H95</f>
        <v>170359584.14309654</v>
      </c>
      <c r="G32" s="233">
        <f>+'Estados finan base'!I95</f>
        <v>-98669188.635373712</v>
      </c>
      <c r="H32" s="233">
        <f>+'Estados finan base'!J95</f>
        <v>-54387947.958124861</v>
      </c>
      <c r="I32" s="233">
        <f>+'Estados finan base'!K95</f>
        <v>-145396856.14668199</v>
      </c>
      <c r="J32" s="233">
        <f>+'Estados finan base'!L95</f>
        <v>-147888916.14049688</v>
      </c>
      <c r="K32" s="233">
        <f>+'Estados finan base'!M95</f>
        <v>-171531668.85928148</v>
      </c>
      <c r="L32" s="233">
        <f>+'Estados finan base'!N95</f>
        <v>-198194009.02293506</v>
      </c>
      <c r="M32" s="233">
        <f>+'Estados finan base'!O95</f>
        <v>-228082471.65993479</v>
      </c>
    </row>
    <row r="33" spans="2:16">
      <c r="B33" s="229" t="s">
        <v>319</v>
      </c>
      <c r="C33" s="233">
        <f>+'Estados finan base'!E94</f>
        <v>0</v>
      </c>
      <c r="D33" s="233">
        <f>+'Estados finan base'!F94</f>
        <v>0</v>
      </c>
      <c r="E33" s="233">
        <f>+'Estados finan base'!G94</f>
        <v>13082067.26628085</v>
      </c>
      <c r="F33" s="233">
        <f>+'Estados finan base'!H94</f>
        <v>-26776987.467271265</v>
      </c>
      <c r="G33" s="233">
        <f>+'Estados finan base'!I94</f>
        <v>57044240.320716321</v>
      </c>
      <c r="H33" s="233">
        <f>+'Estados finan base'!J94</f>
        <v>6810796.2657159446</v>
      </c>
      <c r="I33" s="233">
        <f>+'Estados finan base'!K94</f>
        <v>91016359.477923051</v>
      </c>
      <c r="J33" s="233">
        <f>+'Estados finan base'!L94</f>
        <v>147888916.14049688</v>
      </c>
      <c r="K33" s="233">
        <f>+'Estados finan base'!M94</f>
        <v>171531668.85928148</v>
      </c>
      <c r="L33" s="233">
        <f>+'Estados finan base'!N94</f>
        <v>198194009.02293506</v>
      </c>
      <c r="M33" s="233">
        <f>+'Estados finan base'!O94</f>
        <v>228082471.65993479</v>
      </c>
    </row>
    <row r="34" spans="2:16">
      <c r="B34" s="229" t="s">
        <v>96</v>
      </c>
      <c r="C34" s="233">
        <f>+'Estados finan base'!E99</f>
        <v>116000000</v>
      </c>
      <c r="D34" s="233">
        <f>+'Estados finan base'!F99</f>
        <v>274707.16017204523</v>
      </c>
      <c r="E34" s="233">
        <f>+'Estados finan base'!G99</f>
        <v>30799530.781494029</v>
      </c>
      <c r="F34" s="233">
        <f>+'Estados finan base'!H99</f>
        <v>148319893.3578611</v>
      </c>
      <c r="G34" s="233">
        <f>+'Estados finan base'!I99</f>
        <v>281423120.77286589</v>
      </c>
      <c r="H34" s="233">
        <f>+'Estados finan base'!J99</f>
        <v>297314978.72620308</v>
      </c>
      <c r="I34" s="233">
        <f>+'Estados finan base'!K99</f>
        <v>509686484.17469025</v>
      </c>
      <c r="J34" s="233">
        <f>+'Estados finan base'!L99</f>
        <v>854760621.83584964</v>
      </c>
      <c r="K34" s="233">
        <f>+'Estados finan base'!M99</f>
        <v>1255001182.5075064</v>
      </c>
      <c r="L34" s="233">
        <f>+'Estados finan base'!N99</f>
        <v>1717453870.2276883</v>
      </c>
      <c r="M34" s="233">
        <f>+'Estados finan base'!O99</f>
        <v>2249646304.1008697</v>
      </c>
      <c r="N34" s="225">
        <f>+(M34/E34)^(1/8)-1</f>
        <v>0.70980375991583755</v>
      </c>
    </row>
    <row r="35" spans="2:16">
      <c r="B35" s="229" t="s">
        <v>318</v>
      </c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>
        <f>+'Estados finan base'!O124</f>
        <v>9493118975.3615894</v>
      </c>
    </row>
    <row r="36" spans="2:16">
      <c r="B36" s="229" t="s">
        <v>313</v>
      </c>
      <c r="C36" s="233">
        <f>+'Estados finan base'!E131</f>
        <v>4093595867.2771082</v>
      </c>
      <c r="D36" s="233"/>
      <c r="E36" s="233"/>
      <c r="F36" s="233"/>
      <c r="G36" s="233"/>
      <c r="H36" s="233"/>
      <c r="I36" s="233"/>
      <c r="J36" s="233"/>
      <c r="K36" s="233"/>
      <c r="L36" s="233"/>
      <c r="M36" s="233"/>
    </row>
    <row r="40" spans="2:16">
      <c r="B40" s="226" t="s">
        <v>315</v>
      </c>
      <c r="C40" s="227" t="s">
        <v>2</v>
      </c>
      <c r="D40" s="227" t="s">
        <v>3</v>
      </c>
      <c r="E40" s="227" t="s">
        <v>4</v>
      </c>
      <c r="F40" s="227" t="s">
        <v>5</v>
      </c>
      <c r="G40" s="227" t="s">
        <v>6</v>
      </c>
      <c r="H40" s="227" t="s">
        <v>7</v>
      </c>
      <c r="I40" s="227" t="s">
        <v>8</v>
      </c>
      <c r="J40" s="227" t="s">
        <v>9</v>
      </c>
      <c r="K40" s="227" t="s">
        <v>10</v>
      </c>
      <c r="L40" s="227" t="s">
        <v>11</v>
      </c>
      <c r="M40" s="227" t="s">
        <v>12</v>
      </c>
      <c r="N40" s="177" t="s">
        <v>322</v>
      </c>
    </row>
    <row r="41" spans="2:16">
      <c r="B41" s="227" t="s">
        <v>317</v>
      </c>
      <c r="C41" s="233">
        <f>+'Estados finan FEL optimista'!E91</f>
        <v>73000000</v>
      </c>
      <c r="D41" s="228"/>
      <c r="E41" s="228"/>
      <c r="F41" s="228"/>
      <c r="G41" s="228"/>
      <c r="H41" s="228"/>
      <c r="I41" s="228"/>
      <c r="J41" s="228"/>
      <c r="K41" s="228"/>
      <c r="L41" s="228"/>
      <c r="M41" s="228"/>
    </row>
    <row r="42" spans="2:16">
      <c r="B42" s="227" t="s">
        <v>316</v>
      </c>
      <c r="C42" s="233">
        <f>+'Estados finan FEL optimista'!E93</f>
        <v>50000000</v>
      </c>
      <c r="D42" s="228"/>
      <c r="E42" s="228"/>
      <c r="F42" s="228"/>
      <c r="G42" s="228"/>
      <c r="H42" s="228"/>
      <c r="I42" s="228"/>
      <c r="J42" s="228"/>
      <c r="K42" s="228"/>
      <c r="L42" s="228"/>
      <c r="M42" s="228"/>
    </row>
    <row r="43" spans="2:16">
      <c r="B43" s="229" t="s">
        <v>314</v>
      </c>
      <c r="C43" s="233">
        <f>+'Estados finan FEL optimista'!E32</f>
        <v>0</v>
      </c>
      <c r="D43" s="230">
        <f>+'Estados finan FEL optimista'!F32</f>
        <v>14541</v>
      </c>
      <c r="E43" s="230">
        <f>+'Estados finan FEL optimista'!G32</f>
        <v>65527</v>
      </c>
      <c r="F43" s="230">
        <f>+'Estados finan FEL optimista'!H32</f>
        <v>99448</v>
      </c>
      <c r="G43" s="230">
        <f>+'Estados finan FEL optimista'!I32</f>
        <v>112873.48</v>
      </c>
      <c r="H43" s="230">
        <f>+'Estados finan FEL optimista'!J32</f>
        <v>123596.46059999999</v>
      </c>
      <c r="I43" s="230">
        <f>+'Estados finan FEL optimista'!K32</f>
        <v>132866.19514499998</v>
      </c>
      <c r="J43" s="230">
        <f>+'Estados finan FEL optimista'!L32</f>
        <v>140173.83587797495</v>
      </c>
      <c r="K43" s="230">
        <f>+'Estados finan FEL optimista'!M32</f>
        <v>147883.39685126356</v>
      </c>
      <c r="L43" s="230">
        <f>+'Estados finan FEL optimista'!N32</f>
        <v>156016.98367808305</v>
      </c>
      <c r="M43" s="230">
        <f>+'Estados finan FEL optimista'!O32</f>
        <v>164597.91778037761</v>
      </c>
      <c r="N43" s="225">
        <f>+(M43/D43)^(1/9)-1</f>
        <v>0.30945997760083888</v>
      </c>
      <c r="P43" s="233">
        <v>1258796545</v>
      </c>
    </row>
    <row r="44" spans="2:16">
      <c r="B44" s="229" t="s">
        <v>310</v>
      </c>
      <c r="C44" s="233">
        <f>+'Estados finan FEL optimista'!E66</f>
        <v>0</v>
      </c>
      <c r="D44" s="233">
        <f>+'Estados finan FEL optimista'!F66</f>
        <v>879843100</v>
      </c>
      <c r="E44" s="233">
        <f>+'Estados finan FEL optimista'!G66</f>
        <v>4013367000</v>
      </c>
      <c r="F44" s="233">
        <f>+'Estados finan FEL optimista'!H66</f>
        <v>6194718300</v>
      </c>
      <c r="G44" s="233">
        <f>+'Estados finan FEL optimista'!I66</f>
        <v>7312245481.3199997</v>
      </c>
      <c r="H44" s="233">
        <f>+'Estados finan FEL optimista'!J66</f>
        <v>8327185154.1272154</v>
      </c>
      <c r="I44" s="233">
        <f>+'Estados finan FEL optimista'!K66</f>
        <v>9309793002.3142262</v>
      </c>
      <c r="J44" s="233">
        <f>+'Estados finan FEL optimista'!L66</f>
        <v>10214704882.139168</v>
      </c>
      <c r="K44" s="233">
        <f>+'Estados finan FEL optimista'!M66</f>
        <v>11207574196.683094</v>
      </c>
      <c r="L44" s="233">
        <f>+'Estados finan FEL optimista'!N66</f>
        <v>12296950408.600691</v>
      </c>
      <c r="M44" s="233">
        <f>+'Estados finan FEL optimista'!O66</f>
        <v>13492213988.316675</v>
      </c>
      <c r="N44" s="225">
        <f t="shared" ref="N44" si="12">+(M44/D44)^(1/9)-1</f>
        <v>0.35438457404199797</v>
      </c>
    </row>
    <row r="45" spans="2:16">
      <c r="B45" s="229" t="s">
        <v>70</v>
      </c>
      <c r="C45" s="233">
        <f>+'Estados finan FEL optimista'!E69</f>
        <v>0</v>
      </c>
      <c r="D45" s="233">
        <f>+'Estados finan FEL optimista'!F69</f>
        <v>-10884421.589999974</v>
      </c>
      <c r="E45" s="233">
        <f>+'Estados finan FEL optimista'!G69</f>
        <v>425489656.61000013</v>
      </c>
      <c r="F45" s="233">
        <f>+'Estados finan FEL optimista'!H69</f>
        <v>532089822.29815936</v>
      </c>
      <c r="G45" s="233">
        <f>+'Estados finan FEL optimista'!I69</f>
        <v>969729583.49481821</v>
      </c>
      <c r="H45" s="233">
        <f>+'Estados finan FEL optimista'!J69</f>
        <v>1152149123.3563571</v>
      </c>
      <c r="I45" s="233">
        <f>+'Estados finan FEL optimista'!K69</f>
        <v>1339621299.2811899</v>
      </c>
      <c r="J45" s="233">
        <f>+'Estados finan FEL optimista'!L69</f>
        <v>1524301185.4850111</v>
      </c>
      <c r="K45" s="233">
        <f>+'Estados finan FEL optimista'!M69</f>
        <v>1730200078.3826656</v>
      </c>
      <c r="L45" s="233">
        <f>+'Estados finan FEL optimista'!N69</f>
        <v>1959576552.730083</v>
      </c>
      <c r="M45" s="233">
        <f>+'Estados finan FEL optimista'!O69</f>
        <v>2214920481.9877844</v>
      </c>
      <c r="N45" s="225">
        <f>+(M45/E45)^(1/8)-1</f>
        <v>0.22901912622405818</v>
      </c>
    </row>
    <row r="46" spans="2:16">
      <c r="B46" s="229" t="s">
        <v>80</v>
      </c>
      <c r="C46" s="233">
        <f>+'Estados finan FEL optimista'!E76</f>
        <v>0</v>
      </c>
      <c r="D46" s="233">
        <f>+'Estados finan FEL optimista'!F76</f>
        <v>-44519995.568480864</v>
      </c>
      <c r="E46" s="233">
        <f>+'Estados finan FEL optimista'!G76</f>
        <v>216095547.06007758</v>
      </c>
      <c r="F46" s="233">
        <f>+'Estados finan FEL optimista'!H76</f>
        <v>229968655.66504684</v>
      </c>
      <c r="G46" s="233">
        <f>+'Estados finan FEL optimista'!I76</f>
        <v>498209593.58561409</v>
      </c>
      <c r="H46" s="233">
        <f>+'Estados finan FEL optimista'!J76</f>
        <v>578094362.63848376</v>
      </c>
      <c r="I46" s="233">
        <f>+'Estados finan FEL optimista'!K76</f>
        <v>691003466.97344112</v>
      </c>
      <c r="J46" s="233">
        <f>+'Estados finan FEL optimista'!L76</f>
        <v>804750172.37246907</v>
      </c>
      <c r="K46" s="233">
        <f>+'Estados finan FEL optimista'!M76</f>
        <v>924740167.02130461</v>
      </c>
      <c r="L46" s="233">
        <f>+'Estados finan FEL optimista'!N76</f>
        <v>1058074381.0390792</v>
      </c>
      <c r="M46" s="233">
        <f>+'Estados finan FEL optimista'!O76</f>
        <v>1206755520.7017961</v>
      </c>
      <c r="N46" s="225">
        <f>+(M46/E46)^(1/8)-1</f>
        <v>0.239857246253385</v>
      </c>
    </row>
    <row r="47" spans="2:16">
      <c r="B47" s="229" t="s">
        <v>320</v>
      </c>
      <c r="C47" s="233">
        <v>0</v>
      </c>
      <c r="D47" s="232">
        <f>+D46/D44</f>
        <v>-5.0599925791860914E-2</v>
      </c>
      <c r="E47" s="232">
        <f t="shared" ref="E47" si="13">+E46/E44</f>
        <v>5.3843953732633364E-2</v>
      </c>
      <c r="F47" s="232">
        <f t="shared" ref="F47" si="14">+F46/F44</f>
        <v>3.7123343553014644E-2</v>
      </c>
      <c r="G47" s="232">
        <f t="shared" ref="G47" si="15">+G46/G44</f>
        <v>6.8133597929439016E-2</v>
      </c>
      <c r="H47" s="232">
        <f t="shared" ref="H47" si="16">+H46/H44</f>
        <v>6.9422542184253214E-2</v>
      </c>
      <c r="I47" s="232">
        <f t="shared" ref="I47" si="17">+I46/I44</f>
        <v>7.4223290120593616E-2</v>
      </c>
      <c r="J47" s="232">
        <f t="shared" ref="J47" si="18">+J46/J44</f>
        <v>7.8783497091492863E-2</v>
      </c>
      <c r="K47" s="232">
        <f t="shared" ref="K47" si="19">+K46/K44</f>
        <v>8.2510287310431862E-2</v>
      </c>
      <c r="L47" s="232">
        <f t="shared" ref="L47" si="20">+L46/L44</f>
        <v>8.6043640567912222E-2</v>
      </c>
      <c r="M47" s="232">
        <f t="shared" ref="M47" si="21">+M46/M44</f>
        <v>8.9440882107766961E-2</v>
      </c>
    </row>
    <row r="48" spans="2:16">
      <c r="B48" s="229" t="s">
        <v>311</v>
      </c>
      <c r="C48" s="233">
        <f>+'Estados finan FEL optimista'!E62</f>
        <v>0</v>
      </c>
      <c r="D48" s="233">
        <f>+'Estados finan FEL optimista'!F62</f>
        <v>21241761.666666664</v>
      </c>
      <c r="E48" s="233">
        <f>+'Estados finan FEL optimista'!G62</f>
        <v>96662370.335000008</v>
      </c>
      <c r="F48" s="233">
        <f>+'Estados finan FEL optimista'!H62</f>
        <v>149300395.88466001</v>
      </c>
      <c r="G48" s="233">
        <f>+'Estados finan FEL optimista'!I62</f>
        <v>219179073.77168399</v>
      </c>
      <c r="H48" s="233">
        <f>+'Estados finan FEL optimista'!J62</f>
        <v>312001411.51399219</v>
      </c>
      <c r="I48" s="233">
        <f>+'Estados finan FEL optimista'!K62</f>
        <v>418581093.68717194</v>
      </c>
      <c r="J48" s="233">
        <f>+'Estados finan FEL optimista'!L62</f>
        <v>459267175.99356502</v>
      </c>
      <c r="K48" s="233">
        <f>+'Estados finan FEL optimista'!M62</f>
        <v>503907945.50013947</v>
      </c>
      <c r="L48" s="233">
        <f>+'Estados finan FEL optimista'!N62</f>
        <v>552887797.80275309</v>
      </c>
      <c r="M48" s="233">
        <f>+'Estados finan FEL optimista'!O62</f>
        <v>606628491.74918067</v>
      </c>
      <c r="N48" s="225">
        <f>+(M48/E48)^(1/8)-1</f>
        <v>0.25807974541680423</v>
      </c>
    </row>
    <row r="49" spans="2:14">
      <c r="B49" s="229" t="s">
        <v>278</v>
      </c>
      <c r="C49" s="233">
        <f>+'Estados finan FEL optimista'!E86</f>
        <v>0</v>
      </c>
      <c r="D49" s="233">
        <f>+'Estados finan FEL optimista'!F86</f>
        <v>-60161757.235147528</v>
      </c>
      <c r="E49" s="233">
        <f>+'Estados finan FEL optimista'!G86</f>
        <v>147874938.39174423</v>
      </c>
      <c r="F49" s="233">
        <f>+'Estados finan FEL optimista'!H86</f>
        <v>202413963.44872019</v>
      </c>
      <c r="G49" s="233">
        <f>+'Estados finan FEL optimista'!I86</f>
        <v>461955915.6985901</v>
      </c>
      <c r="H49" s="233">
        <f>+'Estados finan FEL optimista'!J86</f>
        <v>564897024.89617562</v>
      </c>
      <c r="I49" s="233">
        <f>+'Estados finan FEL optimista'!K86</f>
        <v>665910743.40072429</v>
      </c>
      <c r="J49" s="233">
        <f>+'Estados finan FEL optimista'!L86</f>
        <v>845993989.64296675</v>
      </c>
      <c r="K49" s="233">
        <f>+'Estados finan FEL optimista'!M86</f>
        <v>963470811.93095756</v>
      </c>
      <c r="L49" s="233">
        <f>+'Estados finan FEL optimista'!N86</f>
        <v>1094925333.2344131</v>
      </c>
      <c r="M49" s="233">
        <f>+'Estados finan FEL optimista'!O86</f>
        <v>1241544074.0509791</v>
      </c>
    </row>
    <row r="50" spans="2:14">
      <c r="B50" s="229" t="s">
        <v>286</v>
      </c>
      <c r="C50" s="233">
        <f>+'Estados finan FEL optimista'!E89</f>
        <v>-28000000</v>
      </c>
      <c r="D50" s="233">
        <f>+'Estados finan FEL optimista'!F89</f>
        <v>0</v>
      </c>
      <c r="E50" s="233">
        <f>+'Estados finan FEL optimista'!G89</f>
        <v>-12000000</v>
      </c>
      <c r="F50" s="233">
        <f>+'Estados finan FEL optimista'!H89</f>
        <v>-205000000</v>
      </c>
      <c r="G50" s="233">
        <f>+'Estados finan FEL optimista'!I89</f>
        <v>0</v>
      </c>
      <c r="H50" s="233">
        <f>+'Estados finan FEL optimista'!J89</f>
        <v>-230000000</v>
      </c>
      <c r="I50" s="233">
        <f>+'Estados finan FEL optimista'!K89</f>
        <v>-9309793.0023142267</v>
      </c>
      <c r="J50" s="233">
        <f>+'Estados finan FEL optimista'!L89</f>
        <v>-10214704.882139169</v>
      </c>
      <c r="K50" s="233">
        <f>+'Estados finan FEL optimista'!M89</f>
        <v>-11207574.196683094</v>
      </c>
      <c r="L50" s="233">
        <f>+'Estados finan FEL optimista'!N89</f>
        <v>-12296950.408600692</v>
      </c>
      <c r="M50" s="233">
        <f>+'Estados finan FEL optimista'!O89</f>
        <v>-13492213.988316676</v>
      </c>
    </row>
    <row r="51" spans="2:14">
      <c r="B51" s="229" t="s">
        <v>312</v>
      </c>
      <c r="C51" s="233">
        <f>+'Estados finan FEL optimista'!E95</f>
        <v>123000000</v>
      </c>
      <c r="D51" s="233">
        <f>+'Estados finan FEL optimista'!F95</f>
        <v>-34064458.423392273</v>
      </c>
      <c r="E51" s="233">
        <f>+'Estados finan FEL optimista'!G95</f>
        <v>-68017360.621148676</v>
      </c>
      <c r="F51" s="233">
        <f>+'Estados finan FEL optimista'!H95</f>
        <v>176743047.75972241</v>
      </c>
      <c r="G51" s="233">
        <f>+'Estados finan FEL optimista'!I95</f>
        <v>-171771108.50487334</v>
      </c>
      <c r="H51" s="233">
        <f>+'Estados finan FEL optimista'!J95</f>
        <v>-138398670.06807867</v>
      </c>
      <c r="I51" s="233">
        <f>+'Estados finan FEL optimista'!K95</f>
        <v>-240333625.51933914</v>
      </c>
      <c r="J51" s="233">
        <f>+'Estados finan FEL optimista'!L95</f>
        <v>-250733785.42824826</v>
      </c>
      <c r="K51" s="233">
        <f>+'Estados finan FEL optimista'!M95</f>
        <v>-285678971.32028234</v>
      </c>
      <c r="L51" s="233">
        <f>+'Estados finan FEL optimista'!N95</f>
        <v>-324788514.84774369</v>
      </c>
      <c r="M51" s="233">
        <f>+'Estados finan FEL optimista'!O95</f>
        <v>-368415558.01879871</v>
      </c>
    </row>
    <row r="52" spans="2:14">
      <c r="B52" s="229" t="s">
        <v>319</v>
      </c>
      <c r="C52" s="233">
        <f>+'Estados finan FEL optimista'!E94</f>
        <v>0</v>
      </c>
      <c r="D52" s="233">
        <f>+'Estados finan FEL optimista'!F94</f>
        <v>0</v>
      </c>
      <c r="E52" s="233">
        <f>+'Estados finan FEL optimista'!G94</f>
        <v>29081819.044540945</v>
      </c>
      <c r="F52" s="233">
        <f>+'Estados finan FEL optimista'!H94</f>
        <v>-13218423.767810315</v>
      </c>
      <c r="G52" s="233">
        <f>+'Estados finan FEL optimista'!I94</f>
        <v>124364917.36873575</v>
      </c>
      <c r="H52" s="233">
        <f>+'Estados finan FEL optimista'!J94</f>
        <v>84213580.64061296</v>
      </c>
      <c r="I52" s="233">
        <f>+'Estados finan FEL optimista'!K94</f>
        <v>178400282.09103036</v>
      </c>
      <c r="J52" s="233">
        <f>+'Estados finan FEL optimista'!L94</f>
        <v>250733785.42824826</v>
      </c>
      <c r="K52" s="233">
        <f>+'Estados finan FEL optimista'!M94</f>
        <v>285678971.32028234</v>
      </c>
      <c r="L52" s="233">
        <f>+'Estados finan FEL optimista'!N94</f>
        <v>324788514.84774369</v>
      </c>
      <c r="M52" s="233">
        <f>+'Estados finan FEL optimista'!O94</f>
        <v>368415558.01879871</v>
      </c>
    </row>
    <row r="53" spans="2:14">
      <c r="B53" s="229" t="s">
        <v>96</v>
      </c>
      <c r="C53" s="233">
        <f>+'Estados finan FEL optimista'!E99</f>
        <v>95000000</v>
      </c>
      <c r="D53" s="233">
        <f>+'Estados finan FEL optimista'!F99</f>
        <v>773784.34146019816</v>
      </c>
      <c r="E53" s="233">
        <f>+'Estados finan FEL optimista'!G99</f>
        <v>68631362.112055749</v>
      </c>
      <c r="F53" s="233">
        <f>+'Estados finan FEL optimista'!H99</f>
        <v>242788373.32049835</v>
      </c>
      <c r="G53" s="233">
        <f>+'Estados finan FEL optimista'!I99</f>
        <v>532973180.51421511</v>
      </c>
      <c r="H53" s="233">
        <f>+'Estados finan FEL optimista'!J99</f>
        <v>729471535.3423121</v>
      </c>
      <c r="I53" s="233">
        <f>+'Estados finan FEL optimista'!K99</f>
        <v>1145738860.2213831</v>
      </c>
      <c r="J53" s="233">
        <f>+'Estados finan FEL optimista'!L99</f>
        <v>1730784359.5539622</v>
      </c>
      <c r="K53" s="233">
        <f>+'Estados finan FEL optimista'!M99</f>
        <v>2397368625.9679546</v>
      </c>
      <c r="L53" s="233">
        <f>+'Estados finan FEL optimista'!N99</f>
        <v>3155208493.946023</v>
      </c>
      <c r="M53" s="233">
        <f>+'Estados finan FEL optimista'!O99</f>
        <v>4014844795.9898868</v>
      </c>
      <c r="N53" s="225">
        <f>+(M53/E53)^(1/8)-1</f>
        <v>0.66300390057108838</v>
      </c>
    </row>
    <row r="54" spans="2:14">
      <c r="B54" s="229" t="s">
        <v>318</v>
      </c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>
        <f>+'Estados finan FEL optimista'!O124</f>
        <v>14595886675.872103</v>
      </c>
    </row>
    <row r="55" spans="2:14">
      <c r="B55" s="229" t="s">
        <v>313</v>
      </c>
      <c r="C55" s="233">
        <f>+'Estados finan FEL optimista'!E131</f>
        <v>6558008100.7299376</v>
      </c>
      <c r="D55" s="233"/>
      <c r="E55" s="233"/>
      <c r="F55" s="233"/>
      <c r="G55" s="233"/>
      <c r="H55" s="233"/>
      <c r="I55" s="233"/>
      <c r="J55" s="233"/>
      <c r="K55" s="233"/>
      <c r="L55" s="233"/>
      <c r="M55" s="233"/>
    </row>
    <row r="56" spans="2:14">
      <c r="B56" s="234" t="s">
        <v>321</v>
      </c>
      <c r="C56" s="234"/>
    </row>
  </sheetData>
  <phoneticPr fontId="3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F073-8ED6-413C-8CB6-0397E5DC5B7C}">
  <sheetPr codeName="Hoja11"/>
  <dimension ref="B2:N35"/>
  <sheetViews>
    <sheetView showGridLines="0" workbookViewId="0">
      <selection activeCell="E29" sqref="E29"/>
    </sheetView>
  </sheetViews>
  <sheetFormatPr baseColWidth="10" defaultRowHeight="15"/>
  <cols>
    <col min="2" max="2" width="21.5703125" customWidth="1"/>
    <col min="3" max="3" width="18.85546875" customWidth="1"/>
  </cols>
  <sheetData>
    <row r="2" spans="2:3">
      <c r="B2" t="s">
        <v>293</v>
      </c>
    </row>
    <row r="3" spans="2:3">
      <c r="B3">
        <v>1260</v>
      </c>
      <c r="C3" t="s">
        <v>294</v>
      </c>
    </row>
    <row r="5" spans="2:3">
      <c r="B5" t="s">
        <v>295</v>
      </c>
    </row>
    <row r="6" spans="2:3">
      <c r="B6">
        <v>42</v>
      </c>
      <c r="C6" t="s">
        <v>296</v>
      </c>
    </row>
    <row r="8" spans="2:3">
      <c r="B8" t="s">
        <v>297</v>
      </c>
    </row>
    <row r="9" spans="2:3">
      <c r="B9">
        <v>170</v>
      </c>
      <c r="C9" t="s">
        <v>296</v>
      </c>
    </row>
    <row r="11" spans="2:3">
      <c r="B11" t="s">
        <v>298</v>
      </c>
    </row>
    <row r="12" spans="2:3">
      <c r="B12">
        <v>300</v>
      </c>
      <c r="C12" t="s">
        <v>296</v>
      </c>
    </row>
    <row r="14" spans="2:3">
      <c r="B14" t="s">
        <v>299</v>
      </c>
    </row>
    <row r="15" spans="2:3">
      <c r="B15">
        <v>57</v>
      </c>
      <c r="C15" t="s">
        <v>296</v>
      </c>
    </row>
    <row r="23" spans="2:14" s="237" customFormat="1" ht="20.25" customHeight="1">
      <c r="B23" s="235" t="s">
        <v>324</v>
      </c>
      <c r="C23" s="235" t="s">
        <v>324</v>
      </c>
      <c r="D23" s="236" t="s">
        <v>2</v>
      </c>
      <c r="E23" s="236" t="s">
        <v>3</v>
      </c>
      <c r="F23" s="236" t="s">
        <v>4</v>
      </c>
      <c r="G23" s="236" t="s">
        <v>5</v>
      </c>
      <c r="H23" s="236" t="s">
        <v>6</v>
      </c>
      <c r="I23" s="236" t="s">
        <v>7</v>
      </c>
      <c r="J23" s="236" t="s">
        <v>8</v>
      </c>
      <c r="K23" s="236" t="s">
        <v>9</v>
      </c>
      <c r="L23" s="236" t="s">
        <v>10</v>
      </c>
      <c r="M23" s="236" t="s">
        <v>11</v>
      </c>
      <c r="N23" s="236" t="s">
        <v>12</v>
      </c>
    </row>
    <row r="24" spans="2:14" s="237" customFormat="1" ht="20.25" customHeight="1">
      <c r="B24" s="238" t="s">
        <v>325</v>
      </c>
      <c r="D24" s="232">
        <v>0</v>
      </c>
      <c r="E24" s="232">
        <f>+('Estados finan base'!F66-'Estados finan base'!F67)/'Estados finan base'!F66</f>
        <v>0.42062144163940934</v>
      </c>
      <c r="F24" s="232">
        <f>+('Estados finan base'!G66-'Estados finan base'!G67)/'Estados finan base'!G66</f>
        <v>0.4219971562553026</v>
      </c>
      <c r="G24" s="232">
        <f>+('Estados finan base'!H66-'Estados finan base'!H67)/'Estados finan base'!H66</f>
        <v>0.42160322363690633</v>
      </c>
      <c r="H24" s="232">
        <f>+('Estados finan base'!I66-'Estados finan base'!I67)/'Estados finan base'!I66</f>
        <v>0.46046323072496348</v>
      </c>
      <c r="I24" s="232">
        <f>+('Estados finan base'!J66-'Estados finan base'!J67)/'Estados finan base'!J66</f>
        <v>0.46046323072496348</v>
      </c>
      <c r="J24" s="232">
        <f>+('Estados finan base'!K66-'Estados finan base'!K67)/'Estados finan base'!K66</f>
        <v>0.46046323072496342</v>
      </c>
      <c r="K24" s="232">
        <f>+('Estados finan base'!L66-'Estados finan base'!L67)/'Estados finan base'!L66</f>
        <v>0.46046323072496348</v>
      </c>
      <c r="L24" s="232">
        <f>+('Estados finan base'!M66-'Estados finan base'!M67)/'Estados finan base'!M66</f>
        <v>0.46046323072496342</v>
      </c>
      <c r="M24" s="232">
        <f>+('Estados finan base'!N66-'Estados finan base'!N67)/'Estados finan base'!N66</f>
        <v>0.46046323072496342</v>
      </c>
      <c r="N24" s="232">
        <f>+('Estados finan base'!O66-'Estados finan base'!O67)/'Estados finan base'!O66</f>
        <v>0.46046323072496342</v>
      </c>
    </row>
    <row r="25" spans="2:14" s="237" customFormat="1" ht="20.25" customHeight="1">
      <c r="B25" s="238" t="s">
        <v>326</v>
      </c>
      <c r="D25" s="232">
        <v>0</v>
      </c>
      <c r="E25" s="232">
        <f>+'Estados finan base'!F71/'Estados finan base'!F66</f>
        <v>-4.7678442084461259E-2</v>
      </c>
      <c r="F25" s="232">
        <f>+'Estados finan base'!G71/'Estados finan base'!G66</f>
        <v>9.234343478369339E-2</v>
      </c>
      <c r="G25" s="232">
        <f>+'Estados finan base'!H71/'Estados finan base'!H66</f>
        <v>6.7296026425319039E-2</v>
      </c>
      <c r="H25" s="232">
        <f>+'Estados finan base'!I71/'Estados finan base'!I66</f>
        <v>8.6436732730802601E-2</v>
      </c>
      <c r="I25" s="232">
        <f>+'Estados finan base'!J71/'Estados finan base'!J66</f>
        <v>8.6536437712399814E-2</v>
      </c>
      <c r="J25" s="232">
        <f>+'Estados finan base'!K71/'Estados finan base'!K66</f>
        <v>9.3102443514949826E-2</v>
      </c>
      <c r="K25" s="232">
        <f>+'Estados finan base'!L71/'Estados finan base'!L66</f>
        <v>9.9440249400756867E-2</v>
      </c>
      <c r="L25" s="232">
        <f>+'Estados finan base'!M71/'Estados finan base'!M66</f>
        <v>0.10538303024370352</v>
      </c>
      <c r="M25" s="232">
        <f>+'Estados finan base'!N71/'Estados finan base'!N66</f>
        <v>0.11097698239146023</v>
      </c>
      <c r="N25" s="232">
        <f>+'Estados finan base'!O71/'Estados finan base'!O66</f>
        <v>0.11635272154294002</v>
      </c>
    </row>
    <row r="26" spans="2:14" s="237" customFormat="1" ht="20.25" customHeight="1">
      <c r="B26" s="238" t="s">
        <v>320</v>
      </c>
      <c r="D26" s="232">
        <v>0</v>
      </c>
      <c r="E26" s="232">
        <f>+'Estados finan base'!F76/'Estados finan base'!F66</f>
        <v>-7.9107722997336136E-2</v>
      </c>
      <c r="F26" s="232">
        <f>+'Estados finan base'!G76/'Estados finan base'!G66</f>
        <v>4.6397903151424155E-2</v>
      </c>
      <c r="G26" s="232">
        <f>+'Estados finan base'!H76/'Estados finan base'!H66</f>
        <v>2.7636614175589085E-2</v>
      </c>
      <c r="H26" s="232">
        <f>+'Estados finan base'!I76/'Estados finan base'!I66</f>
        <v>4.1085062033012203E-2</v>
      </c>
      <c r="I26" s="232">
        <f>+'Estados finan base'!J76/'Estados finan base'!J66</f>
        <v>4.1939971108234567E-2</v>
      </c>
      <c r="J26" s="232">
        <f>+'Estados finan base'!K76/'Estados finan base'!K66</f>
        <v>4.6892241172880704E-2</v>
      </c>
      <c r="K26" s="232">
        <f>+'Estados finan base'!L76/'Estados finan base'!L66</f>
        <v>5.1636162110491969E-2</v>
      </c>
      <c r="L26" s="232">
        <f>+'Estados finan base'!M76/'Estados finan base'!M66</f>
        <v>5.5498969658407282E-2</v>
      </c>
      <c r="M26" s="232">
        <f>+'Estados finan base'!N76/'Estados finan base'!N66</f>
        <v>5.9135038554449147E-2</v>
      </c>
      <c r="N26" s="232">
        <f>+'Estados finan base'!O76/'Estados finan base'!O66</f>
        <v>6.262926900291102E-2</v>
      </c>
    </row>
    <row r="35" spans="2:4">
      <c r="B35" s="78" t="s">
        <v>120</v>
      </c>
      <c r="C35" s="79" t="s">
        <v>191</v>
      </c>
      <c r="D35" s="98">
        <v>4093595867.2771082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0655-FD28-42F2-AC4B-FD3256B0BCE8}">
  <sheetPr codeName="Hoja2">
    <pageSetUpPr autoPageBreaks="0"/>
  </sheetPr>
  <dimension ref="A1:O145"/>
  <sheetViews>
    <sheetView showGridLines="0" zoomScale="85" zoomScaleNormal="85" workbookViewId="0">
      <pane xSplit="4" ySplit="1" topLeftCell="E28" activePane="bottomRight" state="frozen"/>
      <selection pane="topRight" activeCell="E1" sqref="E1"/>
      <selection pane="bottomLeft" activeCell="A2" sqref="A2"/>
      <selection pane="bottomRight" activeCell="F48" sqref="F48"/>
    </sheetView>
  </sheetViews>
  <sheetFormatPr baseColWidth="10" defaultColWidth="11.42578125" defaultRowHeight="15" outlineLevelRow="1"/>
  <cols>
    <col min="1" max="1" width="4.28515625" style="6" bestFit="1" customWidth="1"/>
    <col min="2" max="2" width="47.5703125" style="4" customWidth="1"/>
    <col min="3" max="3" width="12.28515625" style="5" bestFit="1" customWidth="1"/>
    <col min="4" max="4" width="13.5703125" style="5" bestFit="1" customWidth="1"/>
    <col min="5" max="15" width="14.42578125" style="6" customWidth="1"/>
    <col min="16" max="16" width="14.85546875" style="4" customWidth="1"/>
    <col min="17" max="17" width="17.5703125" style="4" customWidth="1"/>
    <col min="18" max="16384" width="11.42578125" style="4"/>
  </cols>
  <sheetData>
    <row r="1" spans="1:15">
      <c r="B1" s="1"/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>
      <c r="F2" s="7"/>
      <c r="G2" s="8"/>
    </row>
    <row r="3" spans="1:15">
      <c r="B3" s="4" t="s">
        <v>13</v>
      </c>
      <c r="E3" s="54">
        <v>0.04</v>
      </c>
      <c r="F3" s="9">
        <f>+E3</f>
        <v>0.04</v>
      </c>
      <c r="G3" s="9">
        <f t="shared" ref="G3:O3" si="0">+F3</f>
        <v>0.04</v>
      </c>
      <c r="H3" s="9">
        <f t="shared" si="0"/>
        <v>0.04</v>
      </c>
      <c r="I3" s="9">
        <f t="shared" si="0"/>
        <v>0.04</v>
      </c>
      <c r="J3" s="9">
        <f t="shared" si="0"/>
        <v>0.04</v>
      </c>
      <c r="K3" s="9">
        <f t="shared" si="0"/>
        <v>0.04</v>
      </c>
      <c r="L3" s="9">
        <f t="shared" si="0"/>
        <v>0.04</v>
      </c>
      <c r="M3" s="9">
        <f t="shared" si="0"/>
        <v>0.04</v>
      </c>
      <c r="N3" s="9">
        <f t="shared" si="0"/>
        <v>0.04</v>
      </c>
      <c r="O3" s="9">
        <f t="shared" si="0"/>
        <v>0.04</v>
      </c>
    </row>
    <row r="4" spans="1:15">
      <c r="B4" s="4" t="s">
        <v>14</v>
      </c>
      <c r="E4" s="54">
        <v>0.33</v>
      </c>
      <c r="F4" s="9">
        <f t="shared" ref="F4:O4" si="1">+E4</f>
        <v>0.33</v>
      </c>
      <c r="G4" s="9">
        <f t="shared" si="1"/>
        <v>0.33</v>
      </c>
      <c r="H4" s="9">
        <f t="shared" si="1"/>
        <v>0.33</v>
      </c>
      <c r="I4" s="9">
        <f t="shared" si="1"/>
        <v>0.33</v>
      </c>
      <c r="J4" s="9">
        <f t="shared" si="1"/>
        <v>0.33</v>
      </c>
      <c r="K4" s="9">
        <f t="shared" si="1"/>
        <v>0.33</v>
      </c>
      <c r="L4" s="9">
        <f t="shared" si="1"/>
        <v>0.33</v>
      </c>
      <c r="M4" s="9">
        <f t="shared" si="1"/>
        <v>0.33</v>
      </c>
      <c r="N4" s="9">
        <f t="shared" si="1"/>
        <v>0.33</v>
      </c>
      <c r="O4" s="9">
        <f t="shared" si="1"/>
        <v>0.33</v>
      </c>
    </row>
    <row r="5" spans="1:15">
      <c r="F5" s="7"/>
      <c r="G5" s="8"/>
    </row>
    <row r="6" spans="1:15" s="15" customFormat="1">
      <c r="A6" s="52"/>
      <c r="B6" s="10" t="s">
        <v>15</v>
      </c>
      <c r="C6" s="11"/>
      <c r="D6" s="11" t="s">
        <v>16</v>
      </c>
      <c r="E6" s="55">
        <v>40000000</v>
      </c>
      <c r="F6" s="12"/>
      <c r="G6" s="13"/>
      <c r="H6" s="14"/>
      <c r="I6" s="14"/>
      <c r="J6" s="14"/>
      <c r="K6" s="14"/>
      <c r="L6" s="14"/>
      <c r="M6" s="14"/>
      <c r="N6" s="14"/>
      <c r="O6" s="14"/>
    </row>
    <row r="7" spans="1:15">
      <c r="E7" s="16"/>
      <c r="F7" s="17"/>
      <c r="G7" s="18"/>
      <c r="H7" s="16"/>
      <c r="I7" s="16"/>
      <c r="J7" s="16"/>
      <c r="K7" s="16"/>
      <c r="L7" s="16"/>
      <c r="M7" s="16"/>
      <c r="N7" s="16"/>
      <c r="O7" s="16"/>
    </row>
    <row r="8" spans="1:15" s="15" customFormat="1">
      <c r="A8" s="52"/>
      <c r="B8" s="15" t="s">
        <v>17</v>
      </c>
      <c r="C8" s="19"/>
      <c r="D8" s="20" t="s">
        <v>16</v>
      </c>
      <c r="E8" s="21">
        <f>+$E$6</f>
        <v>40000000</v>
      </c>
      <c r="F8" s="21">
        <f t="shared" ref="F8:O8" si="2">+$E$6</f>
        <v>40000000</v>
      </c>
      <c r="G8" s="21">
        <f t="shared" si="2"/>
        <v>40000000</v>
      </c>
      <c r="H8" s="21">
        <f t="shared" si="2"/>
        <v>40000000</v>
      </c>
      <c r="I8" s="21">
        <f t="shared" si="2"/>
        <v>40000000</v>
      </c>
      <c r="J8" s="21">
        <f t="shared" si="2"/>
        <v>40000000</v>
      </c>
      <c r="K8" s="21">
        <f t="shared" si="2"/>
        <v>40000000</v>
      </c>
      <c r="L8" s="21">
        <f t="shared" si="2"/>
        <v>40000000</v>
      </c>
      <c r="M8" s="21">
        <f t="shared" si="2"/>
        <v>40000000</v>
      </c>
      <c r="N8" s="21">
        <f t="shared" si="2"/>
        <v>40000000</v>
      </c>
      <c r="O8" s="21">
        <f t="shared" si="2"/>
        <v>40000000</v>
      </c>
    </row>
    <row r="9" spans="1:15">
      <c r="B9" s="4" t="s">
        <v>18</v>
      </c>
      <c r="C9" s="56">
        <v>20</v>
      </c>
      <c r="D9" s="5" t="s">
        <v>16</v>
      </c>
      <c r="E9" s="22"/>
      <c r="F9" s="22">
        <f>+F8/$C$9</f>
        <v>2000000</v>
      </c>
      <c r="G9" s="22">
        <f t="shared" ref="G9:O9" si="3">+G8/$C$9</f>
        <v>2000000</v>
      </c>
      <c r="H9" s="22">
        <f t="shared" si="3"/>
        <v>2000000</v>
      </c>
      <c r="I9" s="22">
        <f t="shared" si="3"/>
        <v>2000000</v>
      </c>
      <c r="J9" s="22">
        <f t="shared" si="3"/>
        <v>2000000</v>
      </c>
      <c r="K9" s="22">
        <f t="shared" si="3"/>
        <v>2000000</v>
      </c>
      <c r="L9" s="22">
        <f t="shared" si="3"/>
        <v>2000000</v>
      </c>
      <c r="M9" s="22">
        <f t="shared" si="3"/>
        <v>2000000</v>
      </c>
      <c r="N9" s="22">
        <f t="shared" si="3"/>
        <v>2000000</v>
      </c>
      <c r="O9" s="22">
        <f t="shared" si="3"/>
        <v>2000000</v>
      </c>
    </row>
    <row r="10" spans="1:15">
      <c r="B10" s="4" t="s">
        <v>19</v>
      </c>
      <c r="C10" s="19"/>
      <c r="D10" s="5" t="s">
        <v>16</v>
      </c>
      <c r="E10" s="23">
        <v>0</v>
      </c>
      <c r="F10" s="22">
        <f>+E10+F9</f>
        <v>2000000</v>
      </c>
      <c r="G10" s="22">
        <f>+F10+G9</f>
        <v>4000000</v>
      </c>
      <c r="H10" s="22">
        <f t="shared" ref="H10:O10" si="4">+G10+H9</f>
        <v>6000000</v>
      </c>
      <c r="I10" s="22">
        <f t="shared" si="4"/>
        <v>8000000</v>
      </c>
      <c r="J10" s="22">
        <f t="shared" si="4"/>
        <v>10000000</v>
      </c>
      <c r="K10" s="22">
        <f t="shared" si="4"/>
        <v>12000000</v>
      </c>
      <c r="L10" s="22">
        <f t="shared" si="4"/>
        <v>14000000</v>
      </c>
      <c r="M10" s="22">
        <f t="shared" si="4"/>
        <v>16000000</v>
      </c>
      <c r="N10" s="22">
        <f t="shared" si="4"/>
        <v>18000000</v>
      </c>
      <c r="O10" s="22">
        <f t="shared" si="4"/>
        <v>20000000</v>
      </c>
    </row>
    <row r="11" spans="1:15" s="15" customFormat="1">
      <c r="A11" s="52"/>
      <c r="B11" s="15" t="s">
        <v>20</v>
      </c>
      <c r="C11" s="19"/>
      <c r="D11" s="5" t="s">
        <v>16</v>
      </c>
      <c r="E11" s="21">
        <f>+E8-E10</f>
        <v>40000000</v>
      </c>
      <c r="F11" s="21">
        <f t="shared" ref="F11:O11" si="5">+F8-F10</f>
        <v>38000000</v>
      </c>
      <c r="G11" s="21">
        <f t="shared" si="5"/>
        <v>36000000</v>
      </c>
      <c r="H11" s="21">
        <f t="shared" si="5"/>
        <v>34000000</v>
      </c>
      <c r="I11" s="21">
        <f t="shared" si="5"/>
        <v>32000000</v>
      </c>
      <c r="J11" s="21">
        <f t="shared" si="5"/>
        <v>30000000</v>
      </c>
      <c r="K11" s="21">
        <f t="shared" si="5"/>
        <v>28000000</v>
      </c>
      <c r="L11" s="21">
        <f t="shared" si="5"/>
        <v>26000000</v>
      </c>
      <c r="M11" s="21">
        <f t="shared" si="5"/>
        <v>24000000</v>
      </c>
      <c r="N11" s="21">
        <f t="shared" si="5"/>
        <v>22000000</v>
      </c>
      <c r="O11" s="21">
        <f t="shared" si="5"/>
        <v>20000000</v>
      </c>
    </row>
    <row r="12" spans="1:15"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15">
      <c r="B13" s="24" t="s">
        <v>21</v>
      </c>
      <c r="C13" s="25"/>
      <c r="D13" s="25" t="s">
        <v>16</v>
      </c>
      <c r="E13" s="26"/>
      <c r="F13" s="57">
        <v>2000000</v>
      </c>
      <c r="G13" s="26">
        <f>+F13*(1+G3)</f>
        <v>2080000</v>
      </c>
      <c r="H13" s="26">
        <f t="shared" ref="H13:N13" si="6">+G13*(1+H3)</f>
        <v>2163200</v>
      </c>
      <c r="I13" s="26">
        <f t="shared" si="6"/>
        <v>2249728</v>
      </c>
      <c r="J13" s="26">
        <f t="shared" si="6"/>
        <v>2339717.1200000001</v>
      </c>
      <c r="K13" s="26">
        <f t="shared" si="6"/>
        <v>2433305.8048</v>
      </c>
      <c r="L13" s="26">
        <f t="shared" si="6"/>
        <v>2530638.036992</v>
      </c>
      <c r="M13" s="26">
        <f t="shared" si="6"/>
        <v>2631863.5584716802</v>
      </c>
      <c r="N13" s="26">
        <f t="shared" si="6"/>
        <v>2737138.1008105474</v>
      </c>
      <c r="O13" s="101">
        <f>+O32*2.5%</f>
        <v>3558279.5310537131</v>
      </c>
    </row>
    <row r="14" spans="1:15" outlineLevel="1">
      <c r="B14" s="4" t="s">
        <v>22</v>
      </c>
      <c r="D14" s="5" t="s">
        <v>16</v>
      </c>
      <c r="E14" s="22"/>
      <c r="F14" s="22">
        <f>+$F$13/$C$9</f>
        <v>100000</v>
      </c>
      <c r="G14" s="22">
        <f t="shared" ref="G14:O14" si="7">+$F$13/$C$9</f>
        <v>100000</v>
      </c>
      <c r="H14" s="22">
        <f t="shared" si="7"/>
        <v>100000</v>
      </c>
      <c r="I14" s="22">
        <f t="shared" si="7"/>
        <v>100000</v>
      </c>
      <c r="J14" s="22">
        <f t="shared" si="7"/>
        <v>100000</v>
      </c>
      <c r="K14" s="22">
        <f t="shared" si="7"/>
        <v>100000</v>
      </c>
      <c r="L14" s="22">
        <f t="shared" si="7"/>
        <v>100000</v>
      </c>
      <c r="M14" s="22">
        <f t="shared" si="7"/>
        <v>100000</v>
      </c>
      <c r="N14" s="22">
        <f t="shared" si="7"/>
        <v>100000</v>
      </c>
      <c r="O14" s="22">
        <f t="shared" si="7"/>
        <v>100000</v>
      </c>
    </row>
    <row r="15" spans="1:15" outlineLevel="1">
      <c r="B15" s="4" t="s">
        <v>22</v>
      </c>
      <c r="D15" s="5" t="s">
        <v>16</v>
      </c>
      <c r="E15" s="27"/>
      <c r="F15" s="22"/>
      <c r="G15" s="22">
        <f>+$G$13/$C$9</f>
        <v>104000</v>
      </c>
      <c r="H15" s="22">
        <f t="shared" ref="H15:O15" si="8">+$G$13/$C$9</f>
        <v>104000</v>
      </c>
      <c r="I15" s="22">
        <f t="shared" si="8"/>
        <v>104000</v>
      </c>
      <c r="J15" s="22">
        <f t="shared" si="8"/>
        <v>104000</v>
      </c>
      <c r="K15" s="22">
        <f t="shared" si="8"/>
        <v>104000</v>
      </c>
      <c r="L15" s="22">
        <f t="shared" si="8"/>
        <v>104000</v>
      </c>
      <c r="M15" s="22">
        <f t="shared" si="8"/>
        <v>104000</v>
      </c>
      <c r="N15" s="22">
        <f t="shared" si="8"/>
        <v>104000</v>
      </c>
      <c r="O15" s="22">
        <f t="shared" si="8"/>
        <v>104000</v>
      </c>
    </row>
    <row r="16" spans="1:15" outlineLevel="1">
      <c r="B16" s="4" t="s">
        <v>22</v>
      </c>
      <c r="D16" s="5" t="s">
        <v>16</v>
      </c>
      <c r="E16" s="27"/>
      <c r="F16" s="22"/>
      <c r="G16" s="22"/>
      <c r="H16" s="22">
        <f>+$H$13/$C$9</f>
        <v>108160</v>
      </c>
      <c r="I16" s="22">
        <f t="shared" ref="I16:O16" si="9">+$H$13/$C$9</f>
        <v>108160</v>
      </c>
      <c r="J16" s="22">
        <f t="shared" si="9"/>
        <v>108160</v>
      </c>
      <c r="K16" s="22">
        <f t="shared" si="9"/>
        <v>108160</v>
      </c>
      <c r="L16" s="22">
        <f t="shared" si="9"/>
        <v>108160</v>
      </c>
      <c r="M16" s="22">
        <f t="shared" si="9"/>
        <v>108160</v>
      </c>
      <c r="N16" s="22">
        <f t="shared" si="9"/>
        <v>108160</v>
      </c>
      <c r="O16" s="22">
        <f t="shared" si="9"/>
        <v>108160</v>
      </c>
    </row>
    <row r="17" spans="1:15" outlineLevel="1">
      <c r="B17" s="4" t="s">
        <v>22</v>
      </c>
      <c r="D17" s="5" t="s">
        <v>16</v>
      </c>
      <c r="E17" s="27"/>
      <c r="F17" s="22"/>
      <c r="G17" s="22"/>
      <c r="H17" s="22"/>
      <c r="I17" s="22">
        <f>+$I$13/$C$9</f>
        <v>112486.39999999999</v>
      </c>
      <c r="J17" s="22">
        <f t="shared" ref="J17:O17" si="10">+$I$13/$C$9</f>
        <v>112486.39999999999</v>
      </c>
      <c r="K17" s="22">
        <f t="shared" si="10"/>
        <v>112486.39999999999</v>
      </c>
      <c r="L17" s="22">
        <f t="shared" si="10"/>
        <v>112486.39999999999</v>
      </c>
      <c r="M17" s="22">
        <f t="shared" si="10"/>
        <v>112486.39999999999</v>
      </c>
      <c r="N17" s="22">
        <f t="shared" si="10"/>
        <v>112486.39999999999</v>
      </c>
      <c r="O17" s="22">
        <f t="shared" si="10"/>
        <v>112486.39999999999</v>
      </c>
    </row>
    <row r="18" spans="1:15" outlineLevel="1">
      <c r="B18" s="4" t="s">
        <v>22</v>
      </c>
      <c r="D18" s="5" t="s">
        <v>16</v>
      </c>
      <c r="E18" s="27"/>
      <c r="F18" s="22"/>
      <c r="G18" s="22"/>
      <c r="H18" s="22"/>
      <c r="I18" s="22"/>
      <c r="J18" s="22">
        <f>+$J$13/$C$9</f>
        <v>116985.856</v>
      </c>
      <c r="K18" s="22">
        <f t="shared" ref="K18:O18" si="11">+$J$13/$C$9</f>
        <v>116985.856</v>
      </c>
      <c r="L18" s="22">
        <f t="shared" si="11"/>
        <v>116985.856</v>
      </c>
      <c r="M18" s="22">
        <f t="shared" si="11"/>
        <v>116985.856</v>
      </c>
      <c r="N18" s="22">
        <f t="shared" si="11"/>
        <v>116985.856</v>
      </c>
      <c r="O18" s="22">
        <f t="shared" si="11"/>
        <v>116985.856</v>
      </c>
    </row>
    <row r="19" spans="1:15" outlineLevel="1">
      <c r="B19" s="4" t="s">
        <v>22</v>
      </c>
      <c r="D19" s="5" t="s">
        <v>16</v>
      </c>
      <c r="E19" s="27"/>
      <c r="F19" s="22"/>
      <c r="G19" s="22"/>
      <c r="H19" s="22"/>
      <c r="I19" s="22"/>
      <c r="J19" s="22"/>
      <c r="K19" s="22">
        <f>+$K$13/$C$9</f>
        <v>121665.29024</v>
      </c>
      <c r="L19" s="22">
        <f t="shared" ref="L19:O19" si="12">+$K$13/$C$9</f>
        <v>121665.29024</v>
      </c>
      <c r="M19" s="22">
        <f t="shared" si="12"/>
        <v>121665.29024</v>
      </c>
      <c r="N19" s="22">
        <f t="shared" si="12"/>
        <v>121665.29024</v>
      </c>
      <c r="O19" s="22">
        <f t="shared" si="12"/>
        <v>121665.29024</v>
      </c>
    </row>
    <row r="20" spans="1:15" outlineLevel="1">
      <c r="B20" s="4" t="s">
        <v>22</v>
      </c>
      <c r="D20" s="5" t="s">
        <v>16</v>
      </c>
      <c r="E20" s="27"/>
      <c r="F20" s="22"/>
      <c r="G20" s="22"/>
      <c r="H20" s="22"/>
      <c r="I20" s="22"/>
      <c r="J20" s="22"/>
      <c r="K20" s="22"/>
      <c r="L20" s="22">
        <f>+$L$13/$C$9</f>
        <v>126531.90184959999</v>
      </c>
      <c r="M20" s="22">
        <f t="shared" ref="M20:O20" si="13">+$L$13/$C$9</f>
        <v>126531.90184959999</v>
      </c>
      <c r="N20" s="22">
        <f t="shared" si="13"/>
        <v>126531.90184959999</v>
      </c>
      <c r="O20" s="22">
        <f t="shared" si="13"/>
        <v>126531.90184959999</v>
      </c>
    </row>
    <row r="21" spans="1:15" outlineLevel="1">
      <c r="B21" s="4" t="s">
        <v>22</v>
      </c>
      <c r="D21" s="5" t="s">
        <v>16</v>
      </c>
      <c r="E21" s="27"/>
      <c r="F21" s="22"/>
      <c r="G21" s="22"/>
      <c r="H21" s="22"/>
      <c r="I21" s="22"/>
      <c r="J21" s="22"/>
      <c r="K21" s="22"/>
      <c r="L21" s="22"/>
      <c r="M21" s="22">
        <f>+$M$13/$C$9</f>
        <v>131593.17792358401</v>
      </c>
      <c r="N21" s="22">
        <f t="shared" ref="N21:O21" si="14">+$M$13/$C$9</f>
        <v>131593.17792358401</v>
      </c>
      <c r="O21" s="22">
        <f t="shared" si="14"/>
        <v>131593.17792358401</v>
      </c>
    </row>
    <row r="22" spans="1:15" outlineLevel="1">
      <c r="B22" s="4" t="s">
        <v>22</v>
      </c>
      <c r="D22" s="5" t="s">
        <v>16</v>
      </c>
      <c r="E22" s="27"/>
      <c r="F22" s="22"/>
      <c r="G22" s="22"/>
      <c r="H22" s="22"/>
      <c r="I22" s="22"/>
      <c r="J22" s="22"/>
      <c r="K22" s="22"/>
      <c r="L22" s="22"/>
      <c r="M22" s="22"/>
      <c r="N22" s="22">
        <f>+$N$13/$C$9</f>
        <v>136856.90504052737</v>
      </c>
      <c r="O22" s="22">
        <f>+$N$13/$C$9</f>
        <v>136856.90504052737</v>
      </c>
    </row>
    <row r="23" spans="1:15" outlineLevel="1">
      <c r="B23" s="4" t="s">
        <v>22</v>
      </c>
      <c r="D23" s="5" t="s">
        <v>16</v>
      </c>
      <c r="E23" s="27"/>
      <c r="F23" s="22"/>
      <c r="G23" s="22"/>
      <c r="H23" s="22"/>
      <c r="I23" s="22"/>
      <c r="J23" s="22"/>
      <c r="K23" s="22"/>
      <c r="L23" s="22"/>
      <c r="M23" s="22"/>
      <c r="N23" s="22"/>
      <c r="O23" s="22">
        <f>+$O$13/$C$9</f>
        <v>177913.97655268566</v>
      </c>
    </row>
    <row r="24" spans="1:15">
      <c r="B24" s="24" t="s">
        <v>23</v>
      </c>
      <c r="C24" s="25"/>
      <c r="D24" s="25" t="s">
        <v>16</v>
      </c>
      <c r="E24" s="26"/>
      <c r="F24" s="26">
        <f t="shared" ref="F24:N24" si="15">+F23+F22+F21+F20+F19+F18+F17+F16+F15+F14</f>
        <v>100000</v>
      </c>
      <c r="G24" s="26">
        <f t="shared" si="15"/>
        <v>204000</v>
      </c>
      <c r="H24" s="26">
        <f t="shared" si="15"/>
        <v>312160</v>
      </c>
      <c r="I24" s="26">
        <f t="shared" si="15"/>
        <v>424646.40000000002</v>
      </c>
      <c r="J24" s="26">
        <f t="shared" si="15"/>
        <v>541632.25600000005</v>
      </c>
      <c r="K24" s="26">
        <f t="shared" si="15"/>
        <v>663297.54624000005</v>
      </c>
      <c r="L24" s="26">
        <f t="shared" si="15"/>
        <v>789829.44808959996</v>
      </c>
      <c r="M24" s="26">
        <f t="shared" si="15"/>
        <v>921422.62601318408</v>
      </c>
      <c r="N24" s="26">
        <f t="shared" si="15"/>
        <v>1058279.5310537114</v>
      </c>
      <c r="O24" s="26">
        <f>+O23+O22+O21+O20+O19+O18+O17+O16+O15+O14</f>
        <v>1236193.5076063972</v>
      </c>
    </row>
    <row r="25" spans="1:15">
      <c r="F25" s="17"/>
      <c r="G25" s="18"/>
      <c r="H25" s="16"/>
      <c r="I25" s="16"/>
      <c r="J25" s="16"/>
      <c r="K25" s="16"/>
      <c r="L25" s="16"/>
      <c r="M25" s="16"/>
      <c r="N25" s="16"/>
      <c r="O25" s="16"/>
    </row>
    <row r="26" spans="1:15" ht="15.75" thickBot="1">
      <c r="A26" s="4"/>
      <c r="B26" s="28" t="s">
        <v>24</v>
      </c>
      <c r="C26" s="29"/>
      <c r="D26" s="29" t="s">
        <v>16</v>
      </c>
      <c r="E26" s="31">
        <f>+E13+E6</f>
        <v>40000000</v>
      </c>
      <c r="F26" s="31">
        <f>+F13+F6</f>
        <v>2000000</v>
      </c>
      <c r="G26" s="31">
        <f t="shared" ref="G26:O26" si="16">+G13+G6</f>
        <v>2080000</v>
      </c>
      <c r="H26" s="31">
        <f t="shared" si="16"/>
        <v>2163200</v>
      </c>
      <c r="I26" s="31">
        <f t="shared" si="16"/>
        <v>2249728</v>
      </c>
      <c r="J26" s="31">
        <f t="shared" si="16"/>
        <v>2339717.1200000001</v>
      </c>
      <c r="K26" s="31">
        <f t="shared" si="16"/>
        <v>2433305.8048</v>
      </c>
      <c r="L26" s="31">
        <f t="shared" si="16"/>
        <v>2530638.036992</v>
      </c>
      <c r="M26" s="31">
        <f t="shared" si="16"/>
        <v>2631863.5584716802</v>
      </c>
      <c r="N26" s="31">
        <f t="shared" si="16"/>
        <v>2737138.1008105474</v>
      </c>
      <c r="O26" s="31">
        <f t="shared" si="16"/>
        <v>3558279.5310537131</v>
      </c>
    </row>
    <row r="27" spans="1:15" ht="16.5" thickTop="1" thickBot="1">
      <c r="B27" s="28" t="s">
        <v>25</v>
      </c>
      <c r="C27" s="29"/>
      <c r="D27" s="29" t="s">
        <v>16</v>
      </c>
      <c r="E27" s="30"/>
      <c r="F27" s="58">
        <f>+F24+F9</f>
        <v>2100000</v>
      </c>
      <c r="G27" s="58">
        <f t="shared" ref="G27:O27" si="17">+G24+G9</f>
        <v>2204000</v>
      </c>
      <c r="H27" s="58">
        <f t="shared" si="17"/>
        <v>2312160</v>
      </c>
      <c r="I27" s="58">
        <f t="shared" si="17"/>
        <v>2424646.4</v>
      </c>
      <c r="J27" s="58">
        <f t="shared" si="17"/>
        <v>2541632.2560000001</v>
      </c>
      <c r="K27" s="58">
        <f t="shared" si="17"/>
        <v>2663297.5462400001</v>
      </c>
      <c r="L27" s="58">
        <f t="shared" si="17"/>
        <v>2789829.4480896001</v>
      </c>
      <c r="M27" s="58">
        <f t="shared" si="17"/>
        <v>2921422.626013184</v>
      </c>
      <c r="N27" s="58">
        <f t="shared" si="17"/>
        <v>3058279.5310537117</v>
      </c>
      <c r="O27" s="58">
        <f t="shared" si="17"/>
        <v>3236193.5076063974</v>
      </c>
    </row>
    <row r="28" spans="1:15" ht="15.75" thickTop="1">
      <c r="F28" s="7"/>
      <c r="G28" s="8"/>
    </row>
    <row r="29" spans="1:15">
      <c r="B29" s="32" t="s">
        <v>26</v>
      </c>
      <c r="F29" s="7"/>
      <c r="G29" s="8"/>
    </row>
    <row r="30" spans="1:15">
      <c r="A30" s="6">
        <v>1</v>
      </c>
      <c r="B30" s="4" t="s">
        <v>27</v>
      </c>
      <c r="C30" s="5" t="s">
        <v>28</v>
      </c>
      <c r="D30" s="5" t="s">
        <v>1</v>
      </c>
      <c r="F30" s="59">
        <v>5000</v>
      </c>
      <c r="G30" s="33">
        <f>+F30</f>
        <v>5000</v>
      </c>
      <c r="H30" s="33">
        <f t="shared" ref="H30:O30" si="18">+G30</f>
        <v>5000</v>
      </c>
      <c r="I30" s="33">
        <f t="shared" si="18"/>
        <v>5000</v>
      </c>
      <c r="J30" s="33">
        <f t="shared" si="18"/>
        <v>5000</v>
      </c>
      <c r="K30" s="33">
        <f t="shared" si="18"/>
        <v>5000</v>
      </c>
      <c r="L30" s="33">
        <f t="shared" si="18"/>
        <v>5000</v>
      </c>
      <c r="M30" s="33">
        <f t="shared" si="18"/>
        <v>5000</v>
      </c>
      <c r="N30" s="33">
        <f t="shared" si="18"/>
        <v>5000</v>
      </c>
      <c r="O30" s="33">
        <f t="shared" si="18"/>
        <v>5000</v>
      </c>
    </row>
    <row r="31" spans="1:15">
      <c r="A31" s="6">
        <v>2</v>
      </c>
      <c r="B31" s="4" t="s">
        <v>29</v>
      </c>
      <c r="C31" s="5" t="s">
        <v>30</v>
      </c>
      <c r="D31" s="5" t="s">
        <v>31</v>
      </c>
      <c r="F31" s="59">
        <v>20000</v>
      </c>
      <c r="G31" s="33">
        <f>+F31*(1+G$3)</f>
        <v>20800</v>
      </c>
      <c r="H31" s="33">
        <f t="shared" ref="H31:O31" si="19">+G31*(1+H$3)</f>
        <v>21632</v>
      </c>
      <c r="I31" s="33">
        <f t="shared" si="19"/>
        <v>22497.280000000002</v>
      </c>
      <c r="J31" s="33">
        <f t="shared" si="19"/>
        <v>23397.171200000004</v>
      </c>
      <c r="K31" s="33">
        <f t="shared" si="19"/>
        <v>24333.058048000006</v>
      </c>
      <c r="L31" s="33">
        <f t="shared" si="19"/>
        <v>25306.380369920007</v>
      </c>
      <c r="M31" s="33">
        <f t="shared" si="19"/>
        <v>26318.635584716809</v>
      </c>
      <c r="N31" s="33">
        <f t="shared" si="19"/>
        <v>27371.381008105483</v>
      </c>
      <c r="O31" s="33">
        <f t="shared" si="19"/>
        <v>28466.236248429705</v>
      </c>
    </row>
    <row r="32" spans="1:15" s="15" customFormat="1">
      <c r="A32" s="52"/>
      <c r="B32" s="10" t="s">
        <v>32</v>
      </c>
      <c r="C32" s="11"/>
      <c r="D32" s="11" t="s">
        <v>16</v>
      </c>
      <c r="E32" s="34"/>
      <c r="F32" s="34">
        <f t="shared" ref="F32:O32" si="20">+F30*F31</f>
        <v>100000000</v>
      </c>
      <c r="G32" s="34">
        <f t="shared" si="20"/>
        <v>104000000</v>
      </c>
      <c r="H32" s="34">
        <f t="shared" si="20"/>
        <v>108160000</v>
      </c>
      <c r="I32" s="34">
        <f t="shared" si="20"/>
        <v>112486400.00000001</v>
      </c>
      <c r="J32" s="34">
        <f t="shared" si="20"/>
        <v>116985856.00000001</v>
      </c>
      <c r="K32" s="34">
        <f t="shared" si="20"/>
        <v>121665290.24000002</v>
      </c>
      <c r="L32" s="34">
        <f t="shared" si="20"/>
        <v>126531901.84960003</v>
      </c>
      <c r="M32" s="34">
        <f t="shared" si="20"/>
        <v>131593177.92358404</v>
      </c>
      <c r="N32" s="34">
        <f t="shared" si="20"/>
        <v>136856905.0405274</v>
      </c>
      <c r="O32" s="34">
        <f t="shared" si="20"/>
        <v>142331181.24214852</v>
      </c>
    </row>
    <row r="33" spans="1:15" s="15" customFormat="1">
      <c r="A33" s="52"/>
      <c r="C33" s="20"/>
      <c r="D33" s="20"/>
      <c r="E33" s="6"/>
      <c r="F33" s="7"/>
      <c r="G33" s="8"/>
      <c r="H33" s="6"/>
      <c r="I33" s="6"/>
      <c r="J33" s="6"/>
      <c r="K33" s="6"/>
      <c r="L33" s="6"/>
      <c r="M33" s="6"/>
      <c r="N33" s="6"/>
      <c r="O33" s="6"/>
    </row>
    <row r="34" spans="1:15">
      <c r="B34" s="4" t="s">
        <v>33</v>
      </c>
      <c r="C34" s="5" t="s">
        <v>34</v>
      </c>
      <c r="D34" s="5" t="s">
        <v>31</v>
      </c>
      <c r="F34" s="59">
        <v>15000</v>
      </c>
      <c r="G34" s="33">
        <f>+F34*(1+G$3)</f>
        <v>15600</v>
      </c>
      <c r="H34" s="33">
        <f>+G34*(1+H$3)</f>
        <v>16224</v>
      </c>
      <c r="I34" s="33">
        <f t="shared" ref="I34:O36" si="21">+H34*(1+I$3)</f>
        <v>16872.96</v>
      </c>
      <c r="J34" s="33">
        <f t="shared" si="21"/>
        <v>17547.878400000001</v>
      </c>
      <c r="K34" s="33">
        <f t="shared" si="21"/>
        <v>18249.793536000001</v>
      </c>
      <c r="L34" s="33">
        <f t="shared" si="21"/>
        <v>18979.785277440002</v>
      </c>
      <c r="M34" s="33">
        <f t="shared" si="21"/>
        <v>19738.976688537601</v>
      </c>
      <c r="N34" s="33">
        <f t="shared" si="21"/>
        <v>20528.535756079105</v>
      </c>
      <c r="O34" s="33">
        <f t="shared" si="21"/>
        <v>21349.677186322271</v>
      </c>
    </row>
    <row r="35" spans="1:15">
      <c r="B35" s="4" t="s">
        <v>35</v>
      </c>
      <c r="D35" s="5" t="s">
        <v>16</v>
      </c>
      <c r="F35" s="33">
        <f>+F34*F30</f>
        <v>75000000</v>
      </c>
      <c r="G35" s="33">
        <f t="shared" ref="G35:O35" si="22">+G34*G30</f>
        <v>78000000</v>
      </c>
      <c r="H35" s="33">
        <f t="shared" si="22"/>
        <v>81120000</v>
      </c>
      <c r="I35" s="33">
        <f t="shared" si="22"/>
        <v>84364800</v>
      </c>
      <c r="J35" s="33">
        <f t="shared" si="22"/>
        <v>87739392</v>
      </c>
      <c r="K35" s="33">
        <f t="shared" si="22"/>
        <v>91248967.680000007</v>
      </c>
      <c r="L35" s="33">
        <f t="shared" si="22"/>
        <v>94898926.387200013</v>
      </c>
      <c r="M35" s="33">
        <f t="shared" si="22"/>
        <v>98694883.442688003</v>
      </c>
      <c r="N35" s="33">
        <f t="shared" si="22"/>
        <v>102642678.78039552</v>
      </c>
      <c r="O35" s="33">
        <f t="shared" si="22"/>
        <v>106748385.93161136</v>
      </c>
    </row>
    <row r="36" spans="1:15">
      <c r="B36" s="4" t="s">
        <v>36</v>
      </c>
      <c r="D36" s="5" t="s">
        <v>16</v>
      </c>
      <c r="F36" s="59">
        <v>10000000</v>
      </c>
      <c r="G36" s="33">
        <f>+F36*(1+G$3)</f>
        <v>10400000</v>
      </c>
      <c r="H36" s="33">
        <f>+G36*(1+H$3)</f>
        <v>10816000</v>
      </c>
      <c r="I36" s="33">
        <f t="shared" si="21"/>
        <v>11248640</v>
      </c>
      <c r="J36" s="33">
        <f t="shared" si="21"/>
        <v>11698585.6</v>
      </c>
      <c r="K36" s="33">
        <f t="shared" si="21"/>
        <v>12166529.024</v>
      </c>
      <c r="L36" s="33">
        <f t="shared" si="21"/>
        <v>12653190.18496</v>
      </c>
      <c r="M36" s="33">
        <f t="shared" si="21"/>
        <v>13159317.7923584</v>
      </c>
      <c r="N36" s="33">
        <f t="shared" si="21"/>
        <v>13685690.504052736</v>
      </c>
      <c r="O36" s="33">
        <f t="shared" si="21"/>
        <v>14233118.124214847</v>
      </c>
    </row>
    <row r="37" spans="1:15" s="15" customFormat="1">
      <c r="A37" s="52"/>
      <c r="B37" s="10" t="s">
        <v>37</v>
      </c>
      <c r="C37" s="11"/>
      <c r="D37" s="11" t="s">
        <v>16</v>
      </c>
      <c r="E37" s="34"/>
      <c r="F37" s="34">
        <f>+F35+F36</f>
        <v>85000000</v>
      </c>
      <c r="G37" s="34">
        <f t="shared" ref="G37:O37" si="23">+G35+G36</f>
        <v>88400000</v>
      </c>
      <c r="H37" s="34">
        <f t="shared" si="23"/>
        <v>91936000</v>
      </c>
      <c r="I37" s="34">
        <f t="shared" si="23"/>
        <v>95613440</v>
      </c>
      <c r="J37" s="34">
        <f t="shared" si="23"/>
        <v>99437977.599999994</v>
      </c>
      <c r="K37" s="34">
        <f t="shared" si="23"/>
        <v>103415496.70400001</v>
      </c>
      <c r="L37" s="34">
        <f t="shared" si="23"/>
        <v>107552116.57216001</v>
      </c>
      <c r="M37" s="34">
        <f t="shared" si="23"/>
        <v>111854201.2350464</v>
      </c>
      <c r="N37" s="34">
        <f t="shared" si="23"/>
        <v>116328369.28444827</v>
      </c>
      <c r="O37" s="34">
        <f t="shared" si="23"/>
        <v>120981504.0558262</v>
      </c>
    </row>
    <row r="38" spans="1:15">
      <c r="F38" s="7"/>
      <c r="G38" s="8"/>
    </row>
    <row r="39" spans="1:15">
      <c r="B39" s="4" t="s">
        <v>38</v>
      </c>
      <c r="C39" s="35">
        <v>0.01</v>
      </c>
      <c r="D39" s="5" t="s">
        <v>16</v>
      </c>
      <c r="F39" s="33">
        <f>+$C$39*F32</f>
        <v>1000000</v>
      </c>
      <c r="G39" s="33">
        <f t="shared" ref="G39:O39" si="24">+$C$39*G32</f>
        <v>1040000</v>
      </c>
      <c r="H39" s="33">
        <f t="shared" si="24"/>
        <v>1081600</v>
      </c>
      <c r="I39" s="33">
        <f t="shared" si="24"/>
        <v>1124864.0000000002</v>
      </c>
      <c r="J39" s="33">
        <f t="shared" si="24"/>
        <v>1169858.5600000003</v>
      </c>
      <c r="K39" s="33">
        <f t="shared" si="24"/>
        <v>1216652.9024000003</v>
      </c>
      <c r="L39" s="33">
        <f t="shared" si="24"/>
        <v>1265319.0184960004</v>
      </c>
      <c r="M39" s="33">
        <f t="shared" si="24"/>
        <v>1315931.7792358405</v>
      </c>
      <c r="N39" s="33">
        <f t="shared" si="24"/>
        <v>1368569.0504052741</v>
      </c>
      <c r="O39" s="33">
        <f t="shared" si="24"/>
        <v>1423311.8124214853</v>
      </c>
    </row>
    <row r="40" spans="1:15">
      <c r="B40" s="4" t="s">
        <v>39</v>
      </c>
      <c r="D40" s="5" t="s">
        <v>16</v>
      </c>
      <c r="F40" s="59">
        <v>600000</v>
      </c>
      <c r="G40" s="33">
        <f>+F40*(1+G$3)</f>
        <v>624000</v>
      </c>
      <c r="H40" s="33">
        <f>+G40*(1+H$3)</f>
        <v>648960</v>
      </c>
      <c r="I40" s="33">
        <f t="shared" ref="I40:O40" si="25">+H40*(1+I$3)</f>
        <v>674918.40000000002</v>
      </c>
      <c r="J40" s="33">
        <f t="shared" si="25"/>
        <v>701915.13600000006</v>
      </c>
      <c r="K40" s="33">
        <f t="shared" si="25"/>
        <v>729991.74144000013</v>
      </c>
      <c r="L40" s="33">
        <f t="shared" si="25"/>
        <v>759191.41109760012</v>
      </c>
      <c r="M40" s="33">
        <f t="shared" si="25"/>
        <v>789559.06754150416</v>
      </c>
      <c r="N40" s="33">
        <f t="shared" si="25"/>
        <v>821141.4302431643</v>
      </c>
      <c r="O40" s="33">
        <f t="shared" si="25"/>
        <v>853987.08745289093</v>
      </c>
    </row>
    <row r="41" spans="1:15" s="15" customFormat="1">
      <c r="A41" s="52"/>
      <c r="B41" s="10" t="s">
        <v>40</v>
      </c>
      <c r="C41" s="11"/>
      <c r="D41" s="11"/>
      <c r="E41" s="34"/>
      <c r="F41" s="34">
        <f>+F39+F40</f>
        <v>1600000</v>
      </c>
      <c r="G41" s="34">
        <f t="shared" ref="G41:O41" si="26">+G39+G40</f>
        <v>1664000</v>
      </c>
      <c r="H41" s="34">
        <f t="shared" si="26"/>
        <v>1730560</v>
      </c>
      <c r="I41" s="34">
        <f t="shared" si="26"/>
        <v>1799782.4000000004</v>
      </c>
      <c r="J41" s="34">
        <f t="shared" si="26"/>
        <v>1871773.6960000005</v>
      </c>
      <c r="K41" s="34">
        <f t="shared" si="26"/>
        <v>1946644.6438400005</v>
      </c>
      <c r="L41" s="34">
        <f t="shared" si="26"/>
        <v>2024510.4295936006</v>
      </c>
      <c r="M41" s="34">
        <f t="shared" si="26"/>
        <v>2105490.8467773446</v>
      </c>
      <c r="N41" s="34">
        <f t="shared" si="26"/>
        <v>2189710.4806484384</v>
      </c>
      <c r="O41" s="34">
        <f t="shared" si="26"/>
        <v>2277298.8998743761</v>
      </c>
    </row>
    <row r="42" spans="1:15">
      <c r="F42" s="7"/>
      <c r="G42" s="8"/>
    </row>
    <row r="43" spans="1:15">
      <c r="B43" s="4" t="s">
        <v>41</v>
      </c>
      <c r="D43" s="5" t="s">
        <v>42</v>
      </c>
      <c r="E43" s="60">
        <v>0.12</v>
      </c>
      <c r="F43" s="7"/>
      <c r="G43" s="8"/>
    </row>
    <row r="44" spans="1:15">
      <c r="B44" s="4" t="s">
        <v>43</v>
      </c>
      <c r="D44" s="5" t="s">
        <v>44</v>
      </c>
      <c r="E44" s="61">
        <v>10</v>
      </c>
      <c r="F44" s="7"/>
      <c r="G44" s="8"/>
      <c r="H44" s="33"/>
      <c r="I44" s="33"/>
      <c r="J44" s="33"/>
    </row>
    <row r="45" spans="1:15">
      <c r="B45" s="4" t="s">
        <v>45</v>
      </c>
      <c r="D45" s="5" t="s">
        <v>44</v>
      </c>
      <c r="F45" s="6">
        <v>1</v>
      </c>
      <c r="G45" s="6">
        <v>2</v>
      </c>
      <c r="H45" s="6">
        <v>3</v>
      </c>
      <c r="I45" s="6">
        <v>4</v>
      </c>
      <c r="J45" s="6">
        <v>5</v>
      </c>
      <c r="K45" s="6">
        <v>6</v>
      </c>
      <c r="L45" s="6">
        <v>7</v>
      </c>
      <c r="M45" s="6">
        <v>8</v>
      </c>
      <c r="N45" s="6">
        <v>9</v>
      </c>
      <c r="O45" s="6">
        <v>10</v>
      </c>
    </row>
    <row r="46" spans="1:15">
      <c r="A46" s="6" t="s">
        <v>46</v>
      </c>
      <c r="B46" s="4" t="s">
        <v>47</v>
      </c>
      <c r="D46" s="5" t="s">
        <v>16</v>
      </c>
      <c r="E46" s="99">
        <v>20000000</v>
      </c>
      <c r="F46" s="33">
        <f>+E49</f>
        <v>20000000</v>
      </c>
      <c r="G46" s="33">
        <f t="shared" ref="G46:O46" si="27">+F49</f>
        <v>18860316.716803119</v>
      </c>
      <c r="H46" s="33">
        <f t="shared" si="27"/>
        <v>17583871.439622611</v>
      </c>
      <c r="I46" s="33">
        <f t="shared" si="27"/>
        <v>16154252.729180442</v>
      </c>
      <c r="J46" s="33">
        <f t="shared" si="27"/>
        <v>14553079.773485214</v>
      </c>
      <c r="K46" s="33">
        <f t="shared" si="27"/>
        <v>12759766.063106557</v>
      </c>
      <c r="L46" s="33">
        <f t="shared" si="27"/>
        <v>10751254.707482461</v>
      </c>
      <c r="M46" s="33">
        <f t="shared" si="27"/>
        <v>8501721.9891834743</v>
      </c>
      <c r="N46" s="33">
        <f t="shared" si="27"/>
        <v>5982245.3446886092</v>
      </c>
      <c r="O46" s="33">
        <f t="shared" si="27"/>
        <v>3160431.5028543598</v>
      </c>
    </row>
    <row r="47" spans="1:15">
      <c r="B47" s="4" t="s">
        <v>48</v>
      </c>
      <c r="D47" s="5" t="s">
        <v>16</v>
      </c>
      <c r="E47" s="33"/>
      <c r="F47" s="33">
        <f>+IPMT($E$43,F45,$E$44,-$E$46)</f>
        <v>2400000</v>
      </c>
      <c r="G47" s="33">
        <f t="shared" ref="G47:O47" si="28">+IPMT($E$43,G45,$E$44,-$E$46)</f>
        <v>2263238.0060163741</v>
      </c>
      <c r="H47" s="33">
        <f t="shared" si="28"/>
        <v>2110064.5727547132</v>
      </c>
      <c r="I47" s="33">
        <f t="shared" si="28"/>
        <v>1938510.3275016525</v>
      </c>
      <c r="J47" s="33">
        <f t="shared" si="28"/>
        <v>1746369.5728182252</v>
      </c>
      <c r="K47" s="33">
        <f t="shared" si="28"/>
        <v>1531171.9275727863</v>
      </c>
      <c r="L47" s="33">
        <f t="shared" si="28"/>
        <v>1290150.5648978951</v>
      </c>
      <c r="M47" s="33">
        <f t="shared" si="28"/>
        <v>1020206.6387020167</v>
      </c>
      <c r="N47" s="33">
        <f t="shared" si="28"/>
        <v>717869.4413626329</v>
      </c>
      <c r="O47" s="33">
        <f t="shared" si="28"/>
        <v>379251.78034252307</v>
      </c>
    </row>
    <row r="48" spans="1:15">
      <c r="B48" s="4" t="s">
        <v>49</v>
      </c>
      <c r="D48" s="5" t="s">
        <v>16</v>
      </c>
      <c r="E48" s="33"/>
      <c r="F48" s="33">
        <f>+PPMT($E$43,F45,$E$44,-$E$46)</f>
        <v>1139683.2831968823</v>
      </c>
      <c r="G48" s="33">
        <f>+PPMT($E$43,G45,$E$44,-$E$46)</f>
        <v>1276445.277180508</v>
      </c>
      <c r="H48" s="33">
        <f>+PPMT($E$43,H45,$E$44,-$E$46)</f>
        <v>1429618.7104421691</v>
      </c>
      <c r="I48" s="33">
        <f t="shared" ref="I48:O48" si="29">+PPMT($E$43,I45,$E$44,-$E$46)</f>
        <v>1601172.9556952293</v>
      </c>
      <c r="J48" s="33">
        <f t="shared" si="29"/>
        <v>1793313.7103786566</v>
      </c>
      <c r="K48" s="33">
        <f t="shared" si="29"/>
        <v>2008511.3556240955</v>
      </c>
      <c r="L48" s="33">
        <f t="shared" si="29"/>
        <v>2249532.7182989866</v>
      </c>
      <c r="M48" s="33">
        <f t="shared" si="29"/>
        <v>2519476.6444948651</v>
      </c>
      <c r="N48" s="33">
        <f t="shared" si="29"/>
        <v>2821813.8418342494</v>
      </c>
      <c r="O48" s="33">
        <f t="shared" si="29"/>
        <v>3160431.5028543589</v>
      </c>
    </row>
    <row r="49" spans="1:15">
      <c r="B49" s="4" t="s">
        <v>50</v>
      </c>
      <c r="D49" s="5" t="s">
        <v>16</v>
      </c>
      <c r="E49" s="33">
        <f>+E46-E48</f>
        <v>20000000</v>
      </c>
      <c r="F49" s="33">
        <f>+F46-F48</f>
        <v>18860316.716803119</v>
      </c>
      <c r="G49" s="33">
        <f t="shared" ref="G49:O49" si="30">+G46-G48</f>
        <v>17583871.439622611</v>
      </c>
      <c r="H49" s="33">
        <f t="shared" si="30"/>
        <v>16154252.729180442</v>
      </c>
      <c r="I49" s="33">
        <f t="shared" si="30"/>
        <v>14553079.773485214</v>
      </c>
      <c r="J49" s="33">
        <f t="shared" si="30"/>
        <v>12759766.063106557</v>
      </c>
      <c r="K49" s="33">
        <f t="shared" si="30"/>
        <v>10751254.707482461</v>
      </c>
      <c r="L49" s="33">
        <f t="shared" si="30"/>
        <v>8501721.9891834743</v>
      </c>
      <c r="M49" s="33">
        <f t="shared" si="30"/>
        <v>5982245.3446886092</v>
      </c>
      <c r="N49" s="33">
        <f t="shared" si="30"/>
        <v>3160431.5028543598</v>
      </c>
      <c r="O49" s="33">
        <f t="shared" si="30"/>
        <v>0</v>
      </c>
    </row>
    <row r="50" spans="1:15">
      <c r="B50" s="4" t="s">
        <v>51</v>
      </c>
      <c r="D50" s="5" t="s">
        <v>16</v>
      </c>
      <c r="E50" s="33"/>
      <c r="F50" s="33">
        <f>+PMT($E$43,$E$44,-$E$46)</f>
        <v>3539683.2831968819</v>
      </c>
      <c r="G50" s="33">
        <f t="shared" ref="G50:O50" si="31">+PMT($E$43,$E$44,-$E$46)</f>
        <v>3539683.2831968819</v>
      </c>
      <c r="H50" s="33">
        <f t="shared" si="31"/>
        <v>3539683.2831968819</v>
      </c>
      <c r="I50" s="33">
        <f t="shared" si="31"/>
        <v>3539683.2831968819</v>
      </c>
      <c r="J50" s="33">
        <f t="shared" si="31"/>
        <v>3539683.2831968819</v>
      </c>
      <c r="K50" s="33">
        <f t="shared" si="31"/>
        <v>3539683.2831968819</v>
      </c>
      <c r="L50" s="33">
        <f t="shared" si="31"/>
        <v>3539683.2831968819</v>
      </c>
      <c r="M50" s="33">
        <f t="shared" si="31"/>
        <v>3539683.2831968819</v>
      </c>
      <c r="N50" s="33">
        <f t="shared" si="31"/>
        <v>3539683.2831968819</v>
      </c>
      <c r="O50" s="33">
        <f t="shared" si="31"/>
        <v>3539683.2831968819</v>
      </c>
    </row>
    <row r="51" spans="1:15"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1:15">
      <c r="B52" s="4" t="s">
        <v>52</v>
      </c>
      <c r="C52" s="63">
        <v>60</v>
      </c>
      <c r="D52" s="5" t="s">
        <v>53</v>
      </c>
      <c r="E52" s="33"/>
      <c r="F52" s="33">
        <f>+$C$52</f>
        <v>60</v>
      </c>
      <c r="G52" s="33">
        <f t="shared" ref="G52:O52" si="32">+$C$52</f>
        <v>60</v>
      </c>
      <c r="H52" s="33">
        <f t="shared" si="32"/>
        <v>60</v>
      </c>
      <c r="I52" s="33">
        <f t="shared" si="32"/>
        <v>60</v>
      </c>
      <c r="J52" s="33">
        <f t="shared" si="32"/>
        <v>60</v>
      </c>
      <c r="K52" s="33">
        <f t="shared" si="32"/>
        <v>60</v>
      </c>
      <c r="L52" s="33">
        <f t="shared" si="32"/>
        <v>60</v>
      </c>
      <c r="M52" s="33">
        <f t="shared" si="32"/>
        <v>60</v>
      </c>
      <c r="N52" s="33">
        <f t="shared" si="32"/>
        <v>60</v>
      </c>
      <c r="O52" s="33">
        <f t="shared" si="32"/>
        <v>60</v>
      </c>
    </row>
    <row r="53" spans="1:15">
      <c r="B53" s="4" t="s">
        <v>54</v>
      </c>
      <c r="C53" s="63">
        <v>60</v>
      </c>
      <c r="D53" s="5" t="s">
        <v>55</v>
      </c>
      <c r="E53" s="33"/>
      <c r="F53" s="33">
        <f t="shared" ref="F53:O53" si="33">+$C$53</f>
        <v>60</v>
      </c>
      <c r="G53" s="33">
        <f t="shared" si="33"/>
        <v>60</v>
      </c>
      <c r="H53" s="33">
        <f t="shared" si="33"/>
        <v>60</v>
      </c>
      <c r="I53" s="33">
        <f t="shared" si="33"/>
        <v>60</v>
      </c>
      <c r="J53" s="33">
        <f t="shared" si="33"/>
        <v>60</v>
      </c>
      <c r="K53" s="33">
        <f t="shared" si="33"/>
        <v>60</v>
      </c>
      <c r="L53" s="33">
        <f t="shared" si="33"/>
        <v>60</v>
      </c>
      <c r="M53" s="33">
        <f t="shared" si="33"/>
        <v>60</v>
      </c>
      <c r="N53" s="33">
        <f t="shared" si="33"/>
        <v>60</v>
      </c>
      <c r="O53" s="33">
        <f t="shared" si="33"/>
        <v>60</v>
      </c>
    </row>
    <row r="54" spans="1:15">
      <c r="B54" s="4" t="s">
        <v>56</v>
      </c>
      <c r="C54" s="63">
        <v>60</v>
      </c>
      <c r="D54" s="5" t="s">
        <v>55</v>
      </c>
      <c r="E54" s="33"/>
      <c r="F54" s="33">
        <f>+$C$54</f>
        <v>60</v>
      </c>
      <c r="G54" s="33">
        <f t="shared" ref="G54:O54" si="34">+$C$54</f>
        <v>60</v>
      </c>
      <c r="H54" s="33">
        <f t="shared" si="34"/>
        <v>60</v>
      </c>
      <c r="I54" s="33">
        <f t="shared" si="34"/>
        <v>60</v>
      </c>
      <c r="J54" s="33">
        <f t="shared" si="34"/>
        <v>60</v>
      </c>
      <c r="K54" s="33">
        <f t="shared" si="34"/>
        <v>60</v>
      </c>
      <c r="L54" s="33">
        <f t="shared" si="34"/>
        <v>60</v>
      </c>
      <c r="M54" s="33">
        <f t="shared" si="34"/>
        <v>60</v>
      </c>
      <c r="N54" s="33">
        <f t="shared" si="34"/>
        <v>60</v>
      </c>
      <c r="O54" s="33">
        <f t="shared" si="34"/>
        <v>60</v>
      </c>
    </row>
    <row r="55" spans="1:15"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5">
      <c r="A56" s="6" t="s">
        <v>57</v>
      </c>
      <c r="B56" s="4" t="s">
        <v>58</v>
      </c>
      <c r="D56" s="5" t="s">
        <v>16</v>
      </c>
      <c r="E56" s="62">
        <v>0</v>
      </c>
      <c r="F56" s="33">
        <f t="shared" ref="F56:O56" si="35">+F52/360*F32</f>
        <v>16666666.666666666</v>
      </c>
      <c r="G56" s="33">
        <f t="shared" si="35"/>
        <v>17333333.333333332</v>
      </c>
      <c r="H56" s="33">
        <f t="shared" si="35"/>
        <v>18026666.666666664</v>
      </c>
      <c r="I56" s="33">
        <f t="shared" si="35"/>
        <v>18747733.333333336</v>
      </c>
      <c r="J56" s="33">
        <f t="shared" si="35"/>
        <v>19497642.666666668</v>
      </c>
      <c r="K56" s="33">
        <f t="shared" si="35"/>
        <v>20277548.373333335</v>
      </c>
      <c r="L56" s="33">
        <f t="shared" si="35"/>
        <v>21088650.30826667</v>
      </c>
      <c r="M56" s="33">
        <f t="shared" si="35"/>
        <v>21932196.320597339</v>
      </c>
      <c r="N56" s="33">
        <f t="shared" si="35"/>
        <v>22809484.173421234</v>
      </c>
      <c r="O56" s="33">
        <f t="shared" si="35"/>
        <v>23721863.540358085</v>
      </c>
    </row>
    <row r="57" spans="1:15">
      <c r="A57" s="6" t="s">
        <v>57</v>
      </c>
      <c r="B57" s="4" t="s">
        <v>59</v>
      </c>
      <c r="D57" s="5" t="s">
        <v>16</v>
      </c>
      <c r="E57" s="62">
        <v>0</v>
      </c>
      <c r="F57" s="33">
        <f>+F53/360*F37</f>
        <v>14166666.666666666</v>
      </c>
      <c r="G57" s="33">
        <f t="shared" ref="G57:O57" si="36">+G53/360*G37</f>
        <v>14733333.333333332</v>
      </c>
      <c r="H57" s="33">
        <f t="shared" si="36"/>
        <v>15322666.666666666</v>
      </c>
      <c r="I57" s="33">
        <f t="shared" si="36"/>
        <v>15935573.333333332</v>
      </c>
      <c r="J57" s="33">
        <f t="shared" si="36"/>
        <v>16572996.266666666</v>
      </c>
      <c r="K57" s="33">
        <f t="shared" si="36"/>
        <v>17235916.117333334</v>
      </c>
      <c r="L57" s="33">
        <f t="shared" si="36"/>
        <v>17925352.762026668</v>
      </c>
      <c r="M57" s="33">
        <f t="shared" si="36"/>
        <v>18642366.872507732</v>
      </c>
      <c r="N57" s="33">
        <f t="shared" si="36"/>
        <v>19388061.547408044</v>
      </c>
      <c r="O57" s="33">
        <f t="shared" si="36"/>
        <v>20163584.009304367</v>
      </c>
    </row>
    <row r="58" spans="1:15">
      <c r="A58" s="6" t="s">
        <v>60</v>
      </c>
      <c r="B58" s="4" t="s">
        <v>61</v>
      </c>
      <c r="D58" s="5" t="s">
        <v>16</v>
      </c>
      <c r="E58" s="62">
        <v>0</v>
      </c>
      <c r="F58" s="33">
        <f>+F54/360*F37</f>
        <v>14166666.666666666</v>
      </c>
      <c r="G58" s="33">
        <f t="shared" ref="G58:O58" si="37">+G54/360*G37</f>
        <v>14733333.333333332</v>
      </c>
      <c r="H58" s="33">
        <f t="shared" si="37"/>
        <v>15322666.666666666</v>
      </c>
      <c r="I58" s="33">
        <f t="shared" si="37"/>
        <v>15935573.333333332</v>
      </c>
      <c r="J58" s="33">
        <f t="shared" si="37"/>
        <v>16572996.266666666</v>
      </c>
      <c r="K58" s="33">
        <f t="shared" si="37"/>
        <v>17235916.117333334</v>
      </c>
      <c r="L58" s="33">
        <f t="shared" si="37"/>
        <v>17925352.762026668</v>
      </c>
      <c r="M58" s="33">
        <f t="shared" si="37"/>
        <v>18642366.872507732</v>
      </c>
      <c r="N58" s="33">
        <f t="shared" si="37"/>
        <v>19388061.547408044</v>
      </c>
      <c r="O58" s="33">
        <f t="shared" si="37"/>
        <v>20163584.009304367</v>
      </c>
    </row>
    <row r="59" spans="1:15">
      <c r="A59" s="6" t="s">
        <v>62</v>
      </c>
      <c r="B59" s="15" t="s">
        <v>63</v>
      </c>
      <c r="C59" s="20"/>
      <c r="D59" s="20" t="s">
        <v>16</v>
      </c>
      <c r="E59" s="62"/>
      <c r="F59" s="62">
        <f>+F56+F57-F58</f>
        <v>16666666.666666666</v>
      </c>
      <c r="G59" s="62">
        <f t="shared" ref="G59:O59" si="38">+G56+G57-G58</f>
        <v>17333333.333333332</v>
      </c>
      <c r="H59" s="62">
        <f t="shared" si="38"/>
        <v>18026666.666666664</v>
      </c>
      <c r="I59" s="62">
        <f t="shared" si="38"/>
        <v>18747733.33333334</v>
      </c>
      <c r="J59" s="62">
        <f t="shared" si="38"/>
        <v>19497642.666666672</v>
      </c>
      <c r="K59" s="62">
        <f t="shared" si="38"/>
        <v>20277548.373333339</v>
      </c>
      <c r="L59" s="62">
        <f t="shared" si="38"/>
        <v>21088650.30826667</v>
      </c>
      <c r="M59" s="62">
        <f t="shared" si="38"/>
        <v>21932196.320597339</v>
      </c>
      <c r="N59" s="62">
        <f t="shared" si="38"/>
        <v>22809484.173421234</v>
      </c>
      <c r="O59" s="62">
        <f t="shared" si="38"/>
        <v>23721863.540358089</v>
      </c>
    </row>
    <row r="60" spans="1:15">
      <c r="A60" s="53" t="s">
        <v>62</v>
      </c>
      <c r="B60" s="10" t="s">
        <v>64</v>
      </c>
      <c r="C60" s="11"/>
      <c r="D60" s="11" t="s">
        <v>16</v>
      </c>
      <c r="E60" s="66"/>
      <c r="F60" s="66">
        <f>+F59-E59</f>
        <v>16666666.666666666</v>
      </c>
      <c r="G60" s="66">
        <f t="shared" ref="G60:O60" si="39">+G59-F59</f>
        <v>666666.66666666605</v>
      </c>
      <c r="H60" s="66">
        <f t="shared" si="39"/>
        <v>693333.33333333209</v>
      </c>
      <c r="I60" s="66">
        <f t="shared" si="39"/>
        <v>721066.66666667536</v>
      </c>
      <c r="J60" s="66">
        <f t="shared" si="39"/>
        <v>749909.33333333209</v>
      </c>
      <c r="K60" s="66">
        <f t="shared" si="39"/>
        <v>779905.70666666701</v>
      </c>
      <c r="L60" s="66">
        <f t="shared" si="39"/>
        <v>811101.93493333086</v>
      </c>
      <c r="M60" s="66">
        <f t="shared" si="39"/>
        <v>843546.01233066991</v>
      </c>
      <c r="N60" s="66">
        <f t="shared" si="39"/>
        <v>877287.85282389447</v>
      </c>
      <c r="O60" s="66">
        <f t="shared" si="39"/>
        <v>912379.36693685502</v>
      </c>
    </row>
    <row r="61" spans="1:15"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1:15">
      <c r="B62" s="37" t="s">
        <v>65</v>
      </c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 spans="1:15" s="15" customFormat="1">
      <c r="A63" s="52"/>
      <c r="B63" s="38" t="s">
        <v>66</v>
      </c>
      <c r="C63" s="39"/>
      <c r="D63" s="39" t="s">
        <v>16</v>
      </c>
      <c r="E63" s="64">
        <f>+E32</f>
        <v>0</v>
      </c>
      <c r="F63" s="64">
        <f t="shared" ref="F63:O63" si="40">+F32</f>
        <v>100000000</v>
      </c>
      <c r="G63" s="64">
        <f t="shared" si="40"/>
        <v>104000000</v>
      </c>
      <c r="H63" s="64">
        <f t="shared" si="40"/>
        <v>108160000</v>
      </c>
      <c r="I63" s="64">
        <f t="shared" si="40"/>
        <v>112486400.00000001</v>
      </c>
      <c r="J63" s="64">
        <f t="shared" si="40"/>
        <v>116985856.00000001</v>
      </c>
      <c r="K63" s="64">
        <f t="shared" si="40"/>
        <v>121665290.24000002</v>
      </c>
      <c r="L63" s="64">
        <f t="shared" si="40"/>
        <v>126531901.84960003</v>
      </c>
      <c r="M63" s="64">
        <f t="shared" si="40"/>
        <v>131593177.92358404</v>
      </c>
      <c r="N63" s="64">
        <f t="shared" si="40"/>
        <v>136856905.0405274</v>
      </c>
      <c r="O63" s="64">
        <f t="shared" si="40"/>
        <v>142331181.24214852</v>
      </c>
    </row>
    <row r="64" spans="1:15">
      <c r="B64" s="41" t="s">
        <v>67</v>
      </c>
      <c r="C64" s="42" t="s">
        <v>68</v>
      </c>
      <c r="D64" s="42" t="s">
        <v>16</v>
      </c>
      <c r="E64" s="65">
        <f>+E37</f>
        <v>0</v>
      </c>
      <c r="F64" s="65">
        <f t="shared" ref="F64:O64" si="41">+F37</f>
        <v>85000000</v>
      </c>
      <c r="G64" s="65">
        <f t="shared" si="41"/>
        <v>88400000</v>
      </c>
      <c r="H64" s="65">
        <f t="shared" si="41"/>
        <v>91936000</v>
      </c>
      <c r="I64" s="65">
        <f t="shared" si="41"/>
        <v>95613440</v>
      </c>
      <c r="J64" s="65">
        <f t="shared" si="41"/>
        <v>99437977.599999994</v>
      </c>
      <c r="K64" s="65">
        <f t="shared" si="41"/>
        <v>103415496.70400001</v>
      </c>
      <c r="L64" s="65">
        <f t="shared" si="41"/>
        <v>107552116.57216001</v>
      </c>
      <c r="M64" s="65">
        <f t="shared" si="41"/>
        <v>111854201.2350464</v>
      </c>
      <c r="N64" s="65">
        <f t="shared" si="41"/>
        <v>116328369.28444827</v>
      </c>
      <c r="O64" s="65">
        <f t="shared" si="41"/>
        <v>120981504.0558262</v>
      </c>
    </row>
    <row r="65" spans="1:15">
      <c r="B65" s="41" t="s">
        <v>69</v>
      </c>
      <c r="C65" s="42" t="s">
        <v>68</v>
      </c>
      <c r="D65" s="42" t="s">
        <v>16</v>
      </c>
      <c r="E65" s="65">
        <f>+E41</f>
        <v>0</v>
      </c>
      <c r="F65" s="65">
        <f t="shared" ref="F65:O65" si="42">+F41</f>
        <v>1600000</v>
      </c>
      <c r="G65" s="65">
        <f t="shared" si="42"/>
        <v>1664000</v>
      </c>
      <c r="H65" s="65">
        <f t="shared" si="42"/>
        <v>1730560</v>
      </c>
      <c r="I65" s="65">
        <f t="shared" si="42"/>
        <v>1799782.4000000004</v>
      </c>
      <c r="J65" s="65">
        <f t="shared" si="42"/>
        <v>1871773.6960000005</v>
      </c>
      <c r="K65" s="65">
        <f t="shared" si="42"/>
        <v>1946644.6438400005</v>
      </c>
      <c r="L65" s="65">
        <f t="shared" si="42"/>
        <v>2024510.4295936006</v>
      </c>
      <c r="M65" s="65">
        <f t="shared" si="42"/>
        <v>2105490.8467773446</v>
      </c>
      <c r="N65" s="65">
        <f t="shared" si="42"/>
        <v>2189710.4806484384</v>
      </c>
      <c r="O65" s="65">
        <f t="shared" si="42"/>
        <v>2277298.8998743761</v>
      </c>
    </row>
    <row r="66" spans="1:15" s="44" customFormat="1">
      <c r="A66" s="67"/>
      <c r="B66" s="38" t="s">
        <v>70</v>
      </c>
      <c r="C66" s="45" t="s">
        <v>70</v>
      </c>
      <c r="D66" s="45" t="s">
        <v>16</v>
      </c>
      <c r="E66" s="40">
        <f>+E63-E64-E65</f>
        <v>0</v>
      </c>
      <c r="F66" s="40">
        <f t="shared" ref="F66:O66" si="43">+F63-F64-F65</f>
        <v>13400000</v>
      </c>
      <c r="G66" s="40">
        <f t="shared" si="43"/>
        <v>13936000</v>
      </c>
      <c r="H66" s="40">
        <f t="shared" si="43"/>
        <v>14493440</v>
      </c>
      <c r="I66" s="40">
        <f t="shared" si="43"/>
        <v>15073177.600000015</v>
      </c>
      <c r="J66" s="40">
        <f t="shared" si="43"/>
        <v>15676104.70400002</v>
      </c>
      <c r="K66" s="40">
        <f t="shared" si="43"/>
        <v>16303148.892160013</v>
      </c>
      <c r="L66" s="40">
        <f t="shared" si="43"/>
        <v>16955274.847846426</v>
      </c>
      <c r="M66" s="40">
        <f t="shared" si="43"/>
        <v>17633485.841760296</v>
      </c>
      <c r="N66" s="40">
        <f t="shared" si="43"/>
        <v>18338825.275430698</v>
      </c>
      <c r="O66" s="40">
        <f t="shared" si="43"/>
        <v>19072378.286447942</v>
      </c>
    </row>
    <row r="67" spans="1:15">
      <c r="B67" s="41" t="s">
        <v>22</v>
      </c>
      <c r="C67" s="45" t="s">
        <v>71</v>
      </c>
      <c r="D67" s="42" t="s">
        <v>16</v>
      </c>
      <c r="E67" s="65">
        <f>+E27</f>
        <v>0</v>
      </c>
      <c r="F67" s="65">
        <f t="shared" ref="F67:O67" si="44">+F27</f>
        <v>2100000</v>
      </c>
      <c r="G67" s="65">
        <f t="shared" si="44"/>
        <v>2204000</v>
      </c>
      <c r="H67" s="65">
        <f t="shared" si="44"/>
        <v>2312160</v>
      </c>
      <c r="I67" s="65">
        <f t="shared" si="44"/>
        <v>2424646.4</v>
      </c>
      <c r="J67" s="65">
        <f t="shared" si="44"/>
        <v>2541632.2560000001</v>
      </c>
      <c r="K67" s="65">
        <f t="shared" si="44"/>
        <v>2663297.5462400001</v>
      </c>
      <c r="L67" s="65">
        <f t="shared" si="44"/>
        <v>2789829.4480896001</v>
      </c>
      <c r="M67" s="65">
        <f t="shared" si="44"/>
        <v>2921422.626013184</v>
      </c>
      <c r="N67" s="65">
        <f t="shared" si="44"/>
        <v>3058279.5310537117</v>
      </c>
      <c r="O67" s="65">
        <f t="shared" si="44"/>
        <v>3236193.5076063974</v>
      </c>
    </row>
    <row r="68" spans="1:15" s="15" customFormat="1">
      <c r="A68" s="52"/>
      <c r="B68" s="38" t="s">
        <v>72</v>
      </c>
      <c r="C68" s="45" t="s">
        <v>73</v>
      </c>
      <c r="D68" s="39" t="s">
        <v>16</v>
      </c>
      <c r="E68" s="40">
        <f t="shared" ref="E68:O68" si="45">+E66-E67</f>
        <v>0</v>
      </c>
      <c r="F68" s="40">
        <f t="shared" si="45"/>
        <v>11300000</v>
      </c>
      <c r="G68" s="40">
        <f t="shared" si="45"/>
        <v>11732000</v>
      </c>
      <c r="H68" s="40">
        <f t="shared" si="45"/>
        <v>12181280</v>
      </c>
      <c r="I68" s="40">
        <f t="shared" si="45"/>
        <v>12648531.200000014</v>
      </c>
      <c r="J68" s="40">
        <f t="shared" si="45"/>
        <v>13134472.448000021</v>
      </c>
      <c r="K68" s="40">
        <f t="shared" si="45"/>
        <v>13639851.345920013</v>
      </c>
      <c r="L68" s="40">
        <f t="shared" si="45"/>
        <v>14165445.399756826</v>
      </c>
      <c r="M68" s="40">
        <f t="shared" si="45"/>
        <v>14712063.215747112</v>
      </c>
      <c r="N68" s="40">
        <f t="shared" si="45"/>
        <v>15280545.744376987</v>
      </c>
      <c r="O68" s="40">
        <f t="shared" si="45"/>
        <v>15836184.778841544</v>
      </c>
    </row>
    <row r="69" spans="1:15" s="69" customFormat="1">
      <c r="A69" s="75"/>
      <c r="B69" s="69" t="s">
        <v>74</v>
      </c>
      <c r="C69" s="70" t="s">
        <v>75</v>
      </c>
      <c r="D69" s="71" t="s">
        <v>16</v>
      </c>
      <c r="E69" s="76">
        <f>+E47</f>
        <v>0</v>
      </c>
      <c r="F69" s="76">
        <f t="shared" ref="F69:O69" si="46">+F47</f>
        <v>2400000</v>
      </c>
      <c r="G69" s="76">
        <f t="shared" si="46"/>
        <v>2263238.0060163741</v>
      </c>
      <c r="H69" s="76">
        <f t="shared" si="46"/>
        <v>2110064.5727547132</v>
      </c>
      <c r="I69" s="76">
        <f t="shared" si="46"/>
        <v>1938510.3275016525</v>
      </c>
      <c r="J69" s="76">
        <f t="shared" si="46"/>
        <v>1746369.5728182252</v>
      </c>
      <c r="K69" s="76">
        <f t="shared" si="46"/>
        <v>1531171.9275727863</v>
      </c>
      <c r="L69" s="76">
        <f t="shared" si="46"/>
        <v>1290150.5648978951</v>
      </c>
      <c r="M69" s="76">
        <f t="shared" si="46"/>
        <v>1020206.6387020167</v>
      </c>
      <c r="N69" s="76">
        <f t="shared" si="46"/>
        <v>717869.4413626329</v>
      </c>
      <c r="O69" s="76">
        <f t="shared" si="46"/>
        <v>379251.78034252307</v>
      </c>
    </row>
    <row r="70" spans="1:15" s="72" customFormat="1">
      <c r="A70" s="77"/>
      <c r="B70" s="72" t="s">
        <v>76</v>
      </c>
      <c r="C70" s="70" t="s">
        <v>77</v>
      </c>
      <c r="D70" s="73" t="s">
        <v>16</v>
      </c>
      <c r="E70" s="74">
        <f>+E68-E69</f>
        <v>0</v>
      </c>
      <c r="F70" s="74">
        <f t="shared" ref="F70:O70" si="47">+F68-F69</f>
        <v>8900000</v>
      </c>
      <c r="G70" s="74">
        <f t="shared" si="47"/>
        <v>9468761.9939836264</v>
      </c>
      <c r="H70" s="74">
        <f t="shared" si="47"/>
        <v>10071215.427245287</v>
      </c>
      <c r="I70" s="74">
        <f t="shared" si="47"/>
        <v>10710020.872498361</v>
      </c>
      <c r="J70" s="74">
        <f t="shared" si="47"/>
        <v>11388102.875181796</v>
      </c>
      <c r="K70" s="74">
        <f t="shared" si="47"/>
        <v>12108679.418347226</v>
      </c>
      <c r="L70" s="74">
        <f t="shared" si="47"/>
        <v>12875294.834858932</v>
      </c>
      <c r="M70" s="74">
        <f t="shared" si="47"/>
        <v>13691856.577045096</v>
      </c>
      <c r="N70" s="74">
        <f t="shared" si="47"/>
        <v>14562676.303014355</v>
      </c>
      <c r="O70" s="74">
        <f t="shared" si="47"/>
        <v>15456932.998499021</v>
      </c>
    </row>
    <row r="71" spans="1:15" s="69" customFormat="1">
      <c r="A71" s="75"/>
      <c r="B71" s="69" t="s">
        <v>78</v>
      </c>
      <c r="C71" s="70" t="s">
        <v>79</v>
      </c>
      <c r="D71" s="71" t="s">
        <v>16</v>
      </c>
      <c r="E71" s="76">
        <f>+E70*E4</f>
        <v>0</v>
      </c>
      <c r="F71" s="76">
        <f>+F70*F4</f>
        <v>2937000</v>
      </c>
      <c r="G71" s="76">
        <f t="shared" ref="G71:O71" si="48">+G70*G4</f>
        <v>3124691.4580145967</v>
      </c>
      <c r="H71" s="76">
        <f t="shared" si="48"/>
        <v>3323501.0909909448</v>
      </c>
      <c r="I71" s="76">
        <f t="shared" si="48"/>
        <v>3534306.8879244593</v>
      </c>
      <c r="J71" s="76">
        <f t="shared" si="48"/>
        <v>3758073.948809993</v>
      </c>
      <c r="K71" s="76">
        <f t="shared" si="48"/>
        <v>3995864.2080545849</v>
      </c>
      <c r="L71" s="76">
        <f t="shared" si="48"/>
        <v>4248847.2955034478</v>
      </c>
      <c r="M71" s="76">
        <f t="shared" si="48"/>
        <v>4518312.6704248823</v>
      </c>
      <c r="N71" s="76">
        <f t="shared" si="48"/>
        <v>4805683.1799947377</v>
      </c>
      <c r="O71" s="76">
        <f t="shared" si="48"/>
        <v>5100787.8895046767</v>
      </c>
    </row>
    <row r="72" spans="1:15" s="72" customFormat="1">
      <c r="A72" s="77"/>
      <c r="B72" s="72" t="s">
        <v>80</v>
      </c>
      <c r="C72" s="70" t="s">
        <v>81</v>
      </c>
      <c r="D72" s="73" t="s">
        <v>16</v>
      </c>
      <c r="E72" s="74">
        <f t="shared" ref="E72:O72" si="49">+E70-E71</f>
        <v>0</v>
      </c>
      <c r="F72" s="74">
        <f t="shared" si="49"/>
        <v>5963000</v>
      </c>
      <c r="G72" s="74">
        <f t="shared" si="49"/>
        <v>6344070.5359690301</v>
      </c>
      <c r="H72" s="74">
        <f t="shared" si="49"/>
        <v>6747714.3362543425</v>
      </c>
      <c r="I72" s="74">
        <f t="shared" si="49"/>
        <v>7175713.9845739026</v>
      </c>
      <c r="J72" s="74">
        <f t="shared" si="49"/>
        <v>7630028.9263718035</v>
      </c>
      <c r="K72" s="74">
        <f t="shared" si="49"/>
        <v>8112815.2102926411</v>
      </c>
      <c r="L72" s="74">
        <f t="shared" si="49"/>
        <v>8626447.5393554829</v>
      </c>
      <c r="M72" s="74">
        <f t="shared" si="49"/>
        <v>9173543.9066202138</v>
      </c>
      <c r="N72" s="74">
        <f t="shared" si="49"/>
        <v>9756993.1230196171</v>
      </c>
      <c r="O72" s="74">
        <f t="shared" si="49"/>
        <v>10356145.108994344</v>
      </c>
    </row>
    <row r="73" spans="1:15" s="15" customFormat="1">
      <c r="A73" s="52"/>
      <c r="C73" s="20"/>
      <c r="D73" s="20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1:15">
      <c r="A74" s="4"/>
      <c r="B74" s="41" t="s">
        <v>82</v>
      </c>
      <c r="C74" s="84" t="s">
        <v>70</v>
      </c>
      <c r="D74" s="42" t="s">
        <v>16</v>
      </c>
      <c r="E74" s="43">
        <f>+E68+E67</f>
        <v>0</v>
      </c>
      <c r="F74" s="43">
        <f>+F68+F67</f>
        <v>13400000</v>
      </c>
      <c r="G74" s="43">
        <f t="shared" ref="G74:O74" si="50">+G68+G67</f>
        <v>13936000</v>
      </c>
      <c r="H74" s="43">
        <f t="shared" si="50"/>
        <v>14493440</v>
      </c>
      <c r="I74" s="43">
        <f t="shared" si="50"/>
        <v>15073177.600000015</v>
      </c>
      <c r="J74" s="43">
        <f t="shared" si="50"/>
        <v>15676104.704000022</v>
      </c>
      <c r="K74" s="43">
        <f t="shared" si="50"/>
        <v>16303148.892160013</v>
      </c>
      <c r="L74" s="43">
        <f t="shared" si="50"/>
        <v>16955274.847846426</v>
      </c>
      <c r="M74" s="43">
        <f t="shared" si="50"/>
        <v>17633485.841760296</v>
      </c>
      <c r="N74" s="43">
        <f t="shared" si="50"/>
        <v>18338825.275430698</v>
      </c>
      <c r="O74" s="43">
        <f t="shared" si="50"/>
        <v>19072378.286447942</v>
      </c>
    </row>
    <row r="75" spans="1:15">
      <c r="A75" s="4"/>
      <c r="B75" s="41" t="s">
        <v>121</v>
      </c>
      <c r="C75" s="45"/>
      <c r="D75" s="42" t="s">
        <v>83</v>
      </c>
      <c r="E75" s="43"/>
      <c r="F75" s="100">
        <f>+F68/F69</f>
        <v>4.708333333333333</v>
      </c>
      <c r="G75" s="100">
        <f t="shared" ref="G75:O75" si="51">+G68/G69</f>
        <v>5.1837234832628205</v>
      </c>
      <c r="H75" s="100">
        <f t="shared" si="51"/>
        <v>5.77294181291201</v>
      </c>
      <c r="I75" s="100">
        <f t="shared" si="51"/>
        <v>6.5248717123428541</v>
      </c>
      <c r="J75" s="100">
        <f t="shared" si="51"/>
        <v>7.521015398134832</v>
      </c>
      <c r="K75" s="100">
        <f t="shared" si="51"/>
        <v>8.9081122115018818</v>
      </c>
      <c r="L75" s="100">
        <f t="shared" si="51"/>
        <v>10.979683910674337</v>
      </c>
      <c r="M75" s="100">
        <f t="shared" si="51"/>
        <v>14.420669948261562</v>
      </c>
      <c r="N75" s="100">
        <f t="shared" si="51"/>
        <v>21.285967703781939</v>
      </c>
      <c r="O75" s="100">
        <f t="shared" si="51"/>
        <v>41.756388762470721</v>
      </c>
    </row>
    <row r="76" spans="1:15" s="15" customFormat="1">
      <c r="A76" s="52"/>
      <c r="C76" s="20"/>
      <c r="D76" s="20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</row>
    <row r="77" spans="1:15" s="15" customFormat="1">
      <c r="A77" s="52"/>
      <c r="B77" s="37" t="s">
        <v>84</v>
      </c>
      <c r="C77" s="20"/>
      <c r="D77" s="20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1:15" s="15" customFormat="1">
      <c r="A78" s="52" t="s">
        <v>62</v>
      </c>
      <c r="B78" s="15" t="s">
        <v>85</v>
      </c>
      <c r="C78" s="20"/>
      <c r="D78" s="20" t="s">
        <v>16</v>
      </c>
      <c r="E78" s="46">
        <f t="shared" ref="E78:O78" si="52">+E72</f>
        <v>0</v>
      </c>
      <c r="F78" s="46">
        <f t="shared" si="52"/>
        <v>5963000</v>
      </c>
      <c r="G78" s="46">
        <f t="shared" si="52"/>
        <v>6344070.5359690301</v>
      </c>
      <c r="H78" s="46">
        <f t="shared" si="52"/>
        <v>6747714.3362543425</v>
      </c>
      <c r="I78" s="46">
        <f t="shared" si="52"/>
        <v>7175713.9845739026</v>
      </c>
      <c r="J78" s="46">
        <f t="shared" si="52"/>
        <v>7630028.9263718035</v>
      </c>
      <c r="K78" s="46">
        <f t="shared" si="52"/>
        <v>8112815.2102926411</v>
      </c>
      <c r="L78" s="46">
        <f t="shared" si="52"/>
        <v>8626447.5393554829</v>
      </c>
      <c r="M78" s="46">
        <f t="shared" si="52"/>
        <v>9173543.9066202138</v>
      </c>
      <c r="N78" s="46">
        <f t="shared" si="52"/>
        <v>9756993.1230196171</v>
      </c>
      <c r="O78" s="46">
        <f t="shared" si="52"/>
        <v>10356145.108994344</v>
      </c>
    </row>
    <row r="79" spans="1:15">
      <c r="A79" s="6" t="s">
        <v>57</v>
      </c>
      <c r="B79" s="4" t="s">
        <v>22</v>
      </c>
      <c r="D79" s="5" t="s">
        <v>16</v>
      </c>
      <c r="E79" s="62"/>
      <c r="F79" s="62">
        <f>+F67</f>
        <v>2100000</v>
      </c>
      <c r="G79" s="62">
        <f t="shared" ref="G79:O79" si="53">+G67</f>
        <v>2204000</v>
      </c>
      <c r="H79" s="62">
        <f t="shared" si="53"/>
        <v>2312160</v>
      </c>
      <c r="I79" s="62">
        <f t="shared" si="53"/>
        <v>2424646.4</v>
      </c>
      <c r="J79" s="62">
        <f t="shared" si="53"/>
        <v>2541632.2560000001</v>
      </c>
      <c r="K79" s="62">
        <f t="shared" si="53"/>
        <v>2663297.5462400001</v>
      </c>
      <c r="L79" s="62">
        <f t="shared" si="53"/>
        <v>2789829.4480896001</v>
      </c>
      <c r="M79" s="62">
        <f t="shared" si="53"/>
        <v>2921422.626013184</v>
      </c>
      <c r="N79" s="62">
        <f t="shared" si="53"/>
        <v>3058279.5310537117</v>
      </c>
      <c r="O79" s="62">
        <f t="shared" si="53"/>
        <v>3236193.5076063974</v>
      </c>
    </row>
    <row r="80" spans="1:15">
      <c r="A80" s="52" t="s">
        <v>62</v>
      </c>
      <c r="B80" s="15" t="s">
        <v>122</v>
      </c>
      <c r="C80" s="20"/>
      <c r="D80" s="20" t="s">
        <v>16</v>
      </c>
      <c r="E80" s="107">
        <f>+E78+E79</f>
        <v>0</v>
      </c>
      <c r="F80" s="107">
        <f t="shared" ref="F80:O80" si="54">+F78+F79</f>
        <v>8063000</v>
      </c>
      <c r="G80" s="107">
        <f t="shared" si="54"/>
        <v>8548070.5359690301</v>
      </c>
      <c r="H80" s="107">
        <f t="shared" si="54"/>
        <v>9059874.3362543434</v>
      </c>
      <c r="I80" s="107">
        <f t="shared" si="54"/>
        <v>9600360.3845739029</v>
      </c>
      <c r="J80" s="107">
        <f t="shared" si="54"/>
        <v>10171661.182371803</v>
      </c>
      <c r="K80" s="107">
        <f t="shared" si="54"/>
        <v>10776112.756532641</v>
      </c>
      <c r="L80" s="107">
        <f t="shared" si="54"/>
        <v>11416276.987445083</v>
      </c>
      <c r="M80" s="107">
        <f t="shared" si="54"/>
        <v>12094966.532633398</v>
      </c>
      <c r="N80" s="107">
        <f t="shared" si="54"/>
        <v>12815272.654073328</v>
      </c>
      <c r="O80" s="107">
        <f t="shared" si="54"/>
        <v>13592338.616600741</v>
      </c>
    </row>
    <row r="81" spans="1:15">
      <c r="A81" s="6" t="s">
        <v>60</v>
      </c>
      <c r="B81" s="4" t="s">
        <v>64</v>
      </c>
      <c r="D81" s="5" t="s">
        <v>16</v>
      </c>
      <c r="E81" s="62"/>
      <c r="F81" s="62">
        <f>+F60</f>
        <v>16666666.666666666</v>
      </c>
      <c r="G81" s="62">
        <f t="shared" ref="G81:O81" si="55">+G60</f>
        <v>666666.66666666605</v>
      </c>
      <c r="H81" s="62">
        <f t="shared" si="55"/>
        <v>693333.33333333209</v>
      </c>
      <c r="I81" s="62">
        <f t="shared" si="55"/>
        <v>721066.66666667536</v>
      </c>
      <c r="J81" s="62">
        <f t="shared" si="55"/>
        <v>749909.33333333209</v>
      </c>
      <c r="K81" s="62">
        <f t="shared" si="55"/>
        <v>779905.70666666701</v>
      </c>
      <c r="L81" s="62">
        <f t="shared" si="55"/>
        <v>811101.93493333086</v>
      </c>
      <c r="M81" s="62">
        <f t="shared" si="55"/>
        <v>843546.01233066991</v>
      </c>
      <c r="N81" s="62">
        <f t="shared" si="55"/>
        <v>877287.85282389447</v>
      </c>
      <c r="O81" s="62">
        <f t="shared" si="55"/>
        <v>912379.36693685502</v>
      </c>
    </row>
    <row r="82" spans="1:15" s="15" customFormat="1">
      <c r="A82" s="103" t="s">
        <v>62</v>
      </c>
      <c r="B82" s="104" t="s">
        <v>86</v>
      </c>
      <c r="C82" s="105"/>
      <c r="D82" s="105" t="s">
        <v>16</v>
      </c>
      <c r="E82" s="106">
        <f>+E80-E81</f>
        <v>0</v>
      </c>
      <c r="F82" s="106">
        <f t="shared" ref="F82:O82" si="56">+F80-F81</f>
        <v>-8603666.666666666</v>
      </c>
      <c r="G82" s="106">
        <f t="shared" si="56"/>
        <v>7881403.8693023641</v>
      </c>
      <c r="H82" s="106">
        <f t="shared" si="56"/>
        <v>8366541.0029210113</v>
      </c>
      <c r="I82" s="106">
        <f t="shared" si="56"/>
        <v>8879293.7179072276</v>
      </c>
      <c r="J82" s="106">
        <f t="shared" si="56"/>
        <v>9421751.8490384705</v>
      </c>
      <c r="K82" s="106">
        <f t="shared" si="56"/>
        <v>9996207.0498659741</v>
      </c>
      <c r="L82" s="106">
        <f t="shared" si="56"/>
        <v>10605175.052511752</v>
      </c>
      <c r="M82" s="106">
        <f t="shared" si="56"/>
        <v>11251420.520302728</v>
      </c>
      <c r="N82" s="106">
        <f t="shared" si="56"/>
        <v>11937984.801249433</v>
      </c>
      <c r="O82" s="106">
        <f t="shared" si="56"/>
        <v>12679959.249663886</v>
      </c>
    </row>
    <row r="83" spans="1:15" s="15" customFormat="1">
      <c r="A83" s="52"/>
      <c r="C83" s="20"/>
      <c r="D83" s="20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1:15">
      <c r="A84" s="6" t="s">
        <v>60</v>
      </c>
      <c r="B84" s="4" t="s">
        <v>87</v>
      </c>
      <c r="D84" s="5" t="s">
        <v>16</v>
      </c>
      <c r="E84" s="33">
        <f>+E26</f>
        <v>40000000</v>
      </c>
      <c r="F84" s="33">
        <f t="shared" ref="F84:O84" si="57">+F26</f>
        <v>2000000</v>
      </c>
      <c r="G84" s="33">
        <f t="shared" si="57"/>
        <v>2080000</v>
      </c>
      <c r="H84" s="33">
        <f t="shared" si="57"/>
        <v>2163200</v>
      </c>
      <c r="I84" s="33">
        <f t="shared" si="57"/>
        <v>2249728</v>
      </c>
      <c r="J84" s="33">
        <f t="shared" si="57"/>
        <v>2339717.1200000001</v>
      </c>
      <c r="K84" s="33">
        <f t="shared" si="57"/>
        <v>2433305.8048</v>
      </c>
      <c r="L84" s="33">
        <f t="shared" si="57"/>
        <v>2530638.036992</v>
      </c>
      <c r="M84" s="33">
        <f t="shared" si="57"/>
        <v>2631863.5584716802</v>
      </c>
      <c r="N84" s="33">
        <f t="shared" si="57"/>
        <v>2737138.1008105474</v>
      </c>
      <c r="O84" s="33">
        <f t="shared" si="57"/>
        <v>3558279.5310537131</v>
      </c>
    </row>
    <row r="85" spans="1:15" s="15" customFormat="1">
      <c r="A85" s="103" t="s">
        <v>62</v>
      </c>
      <c r="B85" s="104" t="s">
        <v>88</v>
      </c>
      <c r="C85" s="105"/>
      <c r="D85" s="105" t="s">
        <v>16</v>
      </c>
      <c r="E85" s="106">
        <f>-E84</f>
        <v>-40000000</v>
      </c>
      <c r="F85" s="106">
        <f t="shared" ref="F85:O85" si="58">-F84</f>
        <v>-2000000</v>
      </c>
      <c r="G85" s="106">
        <f t="shared" si="58"/>
        <v>-2080000</v>
      </c>
      <c r="H85" s="106">
        <f t="shared" si="58"/>
        <v>-2163200</v>
      </c>
      <c r="I85" s="106">
        <f t="shared" si="58"/>
        <v>-2249728</v>
      </c>
      <c r="J85" s="106">
        <f t="shared" si="58"/>
        <v>-2339717.1200000001</v>
      </c>
      <c r="K85" s="106">
        <f t="shared" si="58"/>
        <v>-2433305.8048</v>
      </c>
      <c r="L85" s="106">
        <f t="shared" si="58"/>
        <v>-2530638.036992</v>
      </c>
      <c r="M85" s="106">
        <f t="shared" si="58"/>
        <v>-2631863.5584716802</v>
      </c>
      <c r="N85" s="106">
        <f t="shared" si="58"/>
        <v>-2737138.1008105474</v>
      </c>
      <c r="O85" s="106">
        <f t="shared" si="58"/>
        <v>-3558279.5310537131</v>
      </c>
    </row>
    <row r="86" spans="1:15" s="15" customFormat="1">
      <c r="A86" s="52"/>
      <c r="C86" s="20"/>
      <c r="D86" s="20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  <row r="87" spans="1:15" s="78" customFormat="1">
      <c r="A87" s="80" t="s">
        <v>57</v>
      </c>
      <c r="B87" s="78" t="s">
        <v>89</v>
      </c>
      <c r="C87" s="79"/>
      <c r="D87" s="79" t="s">
        <v>16</v>
      </c>
      <c r="E87" s="89">
        <f>+E46</f>
        <v>20000000</v>
      </c>
      <c r="F87" s="89"/>
      <c r="G87" s="89"/>
      <c r="H87" s="89"/>
      <c r="I87" s="89"/>
      <c r="J87" s="89"/>
      <c r="K87" s="89"/>
      <c r="L87" s="89"/>
      <c r="M87" s="89"/>
      <c r="N87" s="89"/>
      <c r="O87" s="89"/>
    </row>
    <row r="88" spans="1:15" s="78" customFormat="1">
      <c r="A88" s="80" t="s">
        <v>60</v>
      </c>
      <c r="B88" s="78" t="s">
        <v>90</v>
      </c>
      <c r="C88" s="79"/>
      <c r="D88" s="79" t="s">
        <v>16</v>
      </c>
      <c r="E88" s="89">
        <f>+E48</f>
        <v>0</v>
      </c>
      <c r="F88" s="89">
        <f t="shared" ref="F88:O88" si="59">+F48</f>
        <v>1139683.2831968823</v>
      </c>
      <c r="G88" s="89">
        <f t="shared" si="59"/>
        <v>1276445.277180508</v>
      </c>
      <c r="H88" s="89">
        <f t="shared" si="59"/>
        <v>1429618.7104421691</v>
      </c>
      <c r="I88" s="89">
        <f t="shared" si="59"/>
        <v>1601172.9556952293</v>
      </c>
      <c r="J88" s="89">
        <f t="shared" si="59"/>
        <v>1793313.7103786566</v>
      </c>
      <c r="K88" s="89">
        <f t="shared" si="59"/>
        <v>2008511.3556240955</v>
      </c>
      <c r="L88" s="89">
        <f t="shared" si="59"/>
        <v>2249532.7182989866</v>
      </c>
      <c r="M88" s="89">
        <f t="shared" si="59"/>
        <v>2519476.6444948651</v>
      </c>
      <c r="N88" s="89">
        <f t="shared" si="59"/>
        <v>2821813.8418342494</v>
      </c>
      <c r="O88" s="89">
        <f t="shared" si="59"/>
        <v>3160431.5028543589</v>
      </c>
    </row>
    <row r="89" spans="1:15" s="78" customFormat="1">
      <c r="A89" s="80" t="s">
        <v>57</v>
      </c>
      <c r="B89" s="78" t="s">
        <v>91</v>
      </c>
      <c r="C89" s="79"/>
      <c r="D89" s="79" t="s">
        <v>16</v>
      </c>
      <c r="E89" s="89">
        <v>32000000</v>
      </c>
      <c r="F89" s="89"/>
      <c r="G89" s="89"/>
      <c r="H89" s="89"/>
      <c r="I89" s="89"/>
      <c r="J89" s="89"/>
      <c r="K89" s="89"/>
      <c r="L89" s="89"/>
      <c r="M89" s="89"/>
      <c r="N89" s="89"/>
      <c r="O89" s="89"/>
    </row>
    <row r="90" spans="1:15" s="78" customFormat="1">
      <c r="A90" s="80" t="s">
        <v>60</v>
      </c>
      <c r="B90" s="78" t="s">
        <v>92</v>
      </c>
      <c r="C90" s="79"/>
      <c r="D90" s="79" t="s">
        <v>16</v>
      </c>
      <c r="E90" s="89"/>
      <c r="F90" s="120">
        <v>256650</v>
      </c>
      <c r="G90" s="89">
        <f t="shared" ref="G90:H90" si="60">+G82+G85-G88</f>
        <v>4524958.5921218563</v>
      </c>
      <c r="H90" s="89">
        <f t="shared" si="60"/>
        <v>4773722.2924788427</v>
      </c>
      <c r="I90" s="89">
        <f>+I82+I85-I88</f>
        <v>5028392.762211998</v>
      </c>
      <c r="J90" s="89">
        <f t="shared" ref="J90:O90" si="61">+J82+J85-J88</f>
        <v>5288721.0186598133</v>
      </c>
      <c r="K90" s="89">
        <f t="shared" si="61"/>
        <v>5554389.8894418785</v>
      </c>
      <c r="L90" s="89">
        <f t="shared" si="61"/>
        <v>5825004.2972207647</v>
      </c>
      <c r="M90" s="89">
        <f t="shared" si="61"/>
        <v>6100080.317336183</v>
      </c>
      <c r="N90" s="89">
        <f t="shared" si="61"/>
        <v>6379032.8586046379</v>
      </c>
      <c r="O90" s="89">
        <f t="shared" si="61"/>
        <v>5961248.2157558147</v>
      </c>
    </row>
    <row r="91" spans="1:15" s="81" customFormat="1">
      <c r="A91" s="115" t="s">
        <v>62</v>
      </c>
      <c r="B91" s="116" t="s">
        <v>93</v>
      </c>
      <c r="C91" s="117"/>
      <c r="D91" s="117" t="s">
        <v>16</v>
      </c>
      <c r="E91" s="118">
        <f>+E87-E88+E89-E90</f>
        <v>52000000</v>
      </c>
      <c r="F91" s="118">
        <f t="shared" ref="F91:O91" si="62">+F87-F88+F89-F90</f>
        <v>-1396333.2831968823</v>
      </c>
      <c r="G91" s="118">
        <f t="shared" si="62"/>
        <v>-5801403.8693023641</v>
      </c>
      <c r="H91" s="118">
        <f t="shared" si="62"/>
        <v>-6203341.0029210113</v>
      </c>
      <c r="I91" s="118">
        <f t="shared" si="62"/>
        <v>-6629565.7179072276</v>
      </c>
      <c r="J91" s="118">
        <f t="shared" si="62"/>
        <v>-7082034.7290384695</v>
      </c>
      <c r="K91" s="118">
        <f t="shared" si="62"/>
        <v>-7562901.2450659741</v>
      </c>
      <c r="L91" s="118">
        <f t="shared" si="62"/>
        <v>-8074537.0155197512</v>
      </c>
      <c r="M91" s="118">
        <f t="shared" si="62"/>
        <v>-8619556.9618310481</v>
      </c>
      <c r="N91" s="118">
        <f t="shared" si="62"/>
        <v>-9200846.7004388869</v>
      </c>
      <c r="O91" s="118">
        <f t="shared" si="62"/>
        <v>-9121679.7186101731</v>
      </c>
    </row>
    <row r="92" spans="1:15" s="81" customFormat="1">
      <c r="A92" s="83"/>
      <c r="C92" s="82"/>
      <c r="D92" s="82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</row>
    <row r="93" spans="1:15" s="81" customFormat="1">
      <c r="A93" s="83" t="s">
        <v>62</v>
      </c>
      <c r="B93" s="81" t="s">
        <v>94</v>
      </c>
      <c r="C93" s="82"/>
      <c r="D93" s="82" t="s">
        <v>16</v>
      </c>
      <c r="E93" s="90">
        <f t="shared" ref="E93:O93" si="63">+E82+E85+E91</f>
        <v>12000000</v>
      </c>
      <c r="F93" s="90">
        <f t="shared" si="63"/>
        <v>-11999999.949863549</v>
      </c>
      <c r="G93" s="90">
        <f t="shared" si="63"/>
        <v>0</v>
      </c>
      <c r="H93" s="90">
        <f t="shared" si="63"/>
        <v>0</v>
      </c>
      <c r="I93" s="90">
        <f t="shared" si="63"/>
        <v>0</v>
      </c>
      <c r="J93" s="90">
        <f t="shared" si="63"/>
        <v>0</v>
      </c>
      <c r="K93" s="90">
        <f t="shared" si="63"/>
        <v>0</v>
      </c>
      <c r="L93" s="90">
        <f t="shared" si="63"/>
        <v>0</v>
      </c>
      <c r="M93" s="90">
        <f t="shared" si="63"/>
        <v>0</v>
      </c>
      <c r="N93" s="90">
        <f t="shared" si="63"/>
        <v>0</v>
      </c>
      <c r="O93" s="90">
        <f t="shared" si="63"/>
        <v>0</v>
      </c>
    </row>
    <row r="94" spans="1:15" s="78" customFormat="1">
      <c r="A94" s="80" t="s">
        <v>57</v>
      </c>
      <c r="B94" s="78" t="s">
        <v>95</v>
      </c>
      <c r="C94" s="79"/>
      <c r="D94" s="79" t="s">
        <v>16</v>
      </c>
      <c r="E94" s="119">
        <v>0</v>
      </c>
      <c r="F94" s="90">
        <f>+E95</f>
        <v>12000000</v>
      </c>
      <c r="G94" s="90">
        <f t="shared" ref="G94:O94" si="64">+F95</f>
        <v>5.0136450678110123E-2</v>
      </c>
      <c r="H94" s="90">
        <f t="shared" si="64"/>
        <v>5.0136450678110123E-2</v>
      </c>
      <c r="I94" s="90">
        <f t="shared" si="64"/>
        <v>5.0136450678110123E-2</v>
      </c>
      <c r="J94" s="90">
        <f t="shared" si="64"/>
        <v>5.0136450678110123E-2</v>
      </c>
      <c r="K94" s="90">
        <f t="shared" si="64"/>
        <v>5.0136450678110123E-2</v>
      </c>
      <c r="L94" s="90">
        <f t="shared" si="64"/>
        <v>5.0136450678110123E-2</v>
      </c>
      <c r="M94" s="90">
        <f t="shared" si="64"/>
        <v>5.0136450678110123E-2</v>
      </c>
      <c r="N94" s="90">
        <f t="shared" si="64"/>
        <v>5.0136450678110123E-2</v>
      </c>
      <c r="O94" s="90">
        <f t="shared" si="64"/>
        <v>5.0136450678110123E-2</v>
      </c>
    </row>
    <row r="95" spans="1:15" s="81" customFormat="1">
      <c r="A95" s="83" t="s">
        <v>62</v>
      </c>
      <c r="B95" s="81" t="s">
        <v>96</v>
      </c>
      <c r="C95" s="82"/>
      <c r="D95" s="82" t="s">
        <v>16</v>
      </c>
      <c r="E95" s="90">
        <f>+E93+E94</f>
        <v>12000000</v>
      </c>
      <c r="F95" s="90">
        <f t="shared" ref="F95:O95" si="65">+F93+F94</f>
        <v>5.0136450678110123E-2</v>
      </c>
      <c r="G95" s="90">
        <f t="shared" si="65"/>
        <v>5.0136450678110123E-2</v>
      </c>
      <c r="H95" s="90">
        <f t="shared" si="65"/>
        <v>5.0136450678110123E-2</v>
      </c>
      <c r="I95" s="90">
        <f t="shared" si="65"/>
        <v>5.0136450678110123E-2</v>
      </c>
      <c r="J95" s="90">
        <f t="shared" si="65"/>
        <v>5.0136450678110123E-2</v>
      </c>
      <c r="K95" s="90">
        <f t="shared" si="65"/>
        <v>5.0136450678110123E-2</v>
      </c>
      <c r="L95" s="90">
        <f t="shared" si="65"/>
        <v>5.0136450678110123E-2</v>
      </c>
      <c r="M95" s="90">
        <f t="shared" si="65"/>
        <v>5.0136450678110123E-2</v>
      </c>
      <c r="N95" s="90">
        <f t="shared" si="65"/>
        <v>5.0136450678110123E-2</v>
      </c>
      <c r="O95" s="90">
        <f t="shared" si="65"/>
        <v>5.0136450678110123E-2</v>
      </c>
    </row>
    <row r="96" spans="1:15" s="47" customFormat="1">
      <c r="A96" s="68"/>
      <c r="C96" s="48"/>
      <c r="D96" s="48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</row>
    <row r="97" spans="1:15">
      <c r="B97" s="37" t="s">
        <v>97</v>
      </c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</row>
    <row r="98" spans="1:15">
      <c r="B98" s="4" t="s">
        <v>98</v>
      </c>
      <c r="D98" s="5" t="s">
        <v>16</v>
      </c>
      <c r="E98" s="62">
        <f>+E95</f>
        <v>12000000</v>
      </c>
      <c r="F98" s="62">
        <f t="shared" ref="F98:O98" si="66">+F95</f>
        <v>5.0136450678110123E-2</v>
      </c>
      <c r="G98" s="62">
        <f t="shared" si="66"/>
        <v>5.0136450678110123E-2</v>
      </c>
      <c r="H98" s="62">
        <f t="shared" si="66"/>
        <v>5.0136450678110123E-2</v>
      </c>
      <c r="I98" s="62">
        <f t="shared" si="66"/>
        <v>5.0136450678110123E-2</v>
      </c>
      <c r="J98" s="62">
        <f t="shared" si="66"/>
        <v>5.0136450678110123E-2</v>
      </c>
      <c r="K98" s="62">
        <f t="shared" si="66"/>
        <v>5.0136450678110123E-2</v>
      </c>
      <c r="L98" s="62">
        <f t="shared" si="66"/>
        <v>5.0136450678110123E-2</v>
      </c>
      <c r="M98" s="62">
        <f t="shared" si="66"/>
        <v>5.0136450678110123E-2</v>
      </c>
      <c r="N98" s="62">
        <f t="shared" si="66"/>
        <v>5.0136450678110123E-2</v>
      </c>
      <c r="O98" s="62">
        <f t="shared" si="66"/>
        <v>5.0136450678110123E-2</v>
      </c>
    </row>
    <row r="99" spans="1:15">
      <c r="B99" s="4" t="s">
        <v>99</v>
      </c>
      <c r="D99" s="5" t="s">
        <v>16</v>
      </c>
      <c r="E99" s="62">
        <f>+E56</f>
        <v>0</v>
      </c>
      <c r="F99" s="62">
        <f t="shared" ref="F99:O99" si="67">+F56</f>
        <v>16666666.666666666</v>
      </c>
      <c r="G99" s="62">
        <f t="shared" si="67"/>
        <v>17333333.333333332</v>
      </c>
      <c r="H99" s="62">
        <f t="shared" si="67"/>
        <v>18026666.666666664</v>
      </c>
      <c r="I99" s="62">
        <f t="shared" si="67"/>
        <v>18747733.333333336</v>
      </c>
      <c r="J99" s="62">
        <f t="shared" si="67"/>
        <v>19497642.666666668</v>
      </c>
      <c r="K99" s="62">
        <f t="shared" si="67"/>
        <v>20277548.373333335</v>
      </c>
      <c r="L99" s="62">
        <f t="shared" si="67"/>
        <v>21088650.30826667</v>
      </c>
      <c r="M99" s="62">
        <f t="shared" si="67"/>
        <v>21932196.320597339</v>
      </c>
      <c r="N99" s="62">
        <f t="shared" si="67"/>
        <v>22809484.173421234</v>
      </c>
      <c r="O99" s="62">
        <f t="shared" si="67"/>
        <v>23721863.540358085</v>
      </c>
    </row>
    <row r="100" spans="1:15">
      <c r="B100" s="4" t="s">
        <v>59</v>
      </c>
      <c r="D100" s="5" t="s">
        <v>16</v>
      </c>
      <c r="E100" s="62">
        <f>+E57</f>
        <v>0</v>
      </c>
      <c r="F100" s="62">
        <f t="shared" ref="F100:O100" si="68">+F57</f>
        <v>14166666.666666666</v>
      </c>
      <c r="G100" s="62">
        <f t="shared" si="68"/>
        <v>14733333.333333332</v>
      </c>
      <c r="H100" s="62">
        <f t="shared" si="68"/>
        <v>15322666.666666666</v>
      </c>
      <c r="I100" s="62">
        <f t="shared" si="68"/>
        <v>15935573.333333332</v>
      </c>
      <c r="J100" s="62">
        <f t="shared" si="68"/>
        <v>16572996.266666666</v>
      </c>
      <c r="K100" s="62">
        <f t="shared" si="68"/>
        <v>17235916.117333334</v>
      </c>
      <c r="L100" s="62">
        <f t="shared" si="68"/>
        <v>17925352.762026668</v>
      </c>
      <c r="M100" s="62">
        <f t="shared" si="68"/>
        <v>18642366.872507732</v>
      </c>
      <c r="N100" s="62">
        <f t="shared" si="68"/>
        <v>19388061.547408044</v>
      </c>
      <c r="O100" s="62">
        <f t="shared" si="68"/>
        <v>20163584.009304367</v>
      </c>
    </row>
    <row r="101" spans="1:15">
      <c r="B101" s="4" t="s">
        <v>100</v>
      </c>
      <c r="D101" s="36">
        <v>0</v>
      </c>
      <c r="E101" s="62">
        <f>+D101+E84-E79</f>
        <v>40000000</v>
      </c>
      <c r="F101" s="62">
        <f t="shared" ref="F101:O101" si="69">+E101+F84-F79</f>
        <v>39900000</v>
      </c>
      <c r="G101" s="62">
        <f t="shared" si="69"/>
        <v>39776000</v>
      </c>
      <c r="H101" s="62">
        <f t="shared" si="69"/>
        <v>39627040</v>
      </c>
      <c r="I101" s="62">
        <f t="shared" si="69"/>
        <v>39452121.600000001</v>
      </c>
      <c r="J101" s="62">
        <f t="shared" si="69"/>
        <v>39250206.464000002</v>
      </c>
      <c r="K101" s="62">
        <f t="shared" si="69"/>
        <v>39020214.722560003</v>
      </c>
      <c r="L101" s="62">
        <f t="shared" si="69"/>
        <v>38761023.311462402</v>
      </c>
      <c r="M101" s="62">
        <f t="shared" si="69"/>
        <v>38471464.2439209</v>
      </c>
      <c r="N101" s="62">
        <f t="shared" si="69"/>
        <v>38150322.813677736</v>
      </c>
      <c r="O101" s="62">
        <f t="shared" si="69"/>
        <v>38472408.837125055</v>
      </c>
    </row>
    <row r="102" spans="1:15" s="15" customFormat="1">
      <c r="A102" s="52"/>
      <c r="B102" s="10" t="s">
        <v>101</v>
      </c>
      <c r="C102" s="11"/>
      <c r="D102" s="11" t="s">
        <v>16</v>
      </c>
      <c r="E102" s="34">
        <f>+E98+E99+E100+E101</f>
        <v>52000000</v>
      </c>
      <c r="F102" s="34">
        <f t="shared" ref="F102:O102" si="70">+F98+F99+F100+F101</f>
        <v>70733333.38346979</v>
      </c>
      <c r="G102" s="34">
        <f t="shared" si="70"/>
        <v>71842666.716803119</v>
      </c>
      <c r="H102" s="34">
        <f t="shared" si="70"/>
        <v>72976373.38346979</v>
      </c>
      <c r="I102" s="34">
        <f t="shared" si="70"/>
        <v>74135428.316803128</v>
      </c>
      <c r="J102" s="34">
        <f t="shared" si="70"/>
        <v>75320845.447469786</v>
      </c>
      <c r="K102" s="34">
        <f t="shared" si="70"/>
        <v>76533679.263363123</v>
      </c>
      <c r="L102" s="34">
        <f t="shared" si="70"/>
        <v>77775026.431892186</v>
      </c>
      <c r="M102" s="34">
        <f t="shared" si="70"/>
        <v>79046027.487162411</v>
      </c>
      <c r="N102" s="34">
        <f t="shared" si="70"/>
        <v>80347868.584643453</v>
      </c>
      <c r="O102" s="34">
        <f t="shared" si="70"/>
        <v>82357856.436923951</v>
      </c>
    </row>
    <row r="103" spans="1:15">
      <c r="B103" s="4" t="s">
        <v>61</v>
      </c>
      <c r="D103" s="5" t="s">
        <v>16</v>
      </c>
      <c r="E103" s="62">
        <f>+E58</f>
        <v>0</v>
      </c>
      <c r="F103" s="62">
        <f t="shared" ref="F103:O103" si="71">+F58</f>
        <v>14166666.666666666</v>
      </c>
      <c r="G103" s="62">
        <f t="shared" si="71"/>
        <v>14733333.333333332</v>
      </c>
      <c r="H103" s="62">
        <f t="shared" si="71"/>
        <v>15322666.666666666</v>
      </c>
      <c r="I103" s="62">
        <f t="shared" si="71"/>
        <v>15935573.333333332</v>
      </c>
      <c r="J103" s="62">
        <f t="shared" si="71"/>
        <v>16572996.266666666</v>
      </c>
      <c r="K103" s="62">
        <f t="shared" si="71"/>
        <v>17235916.117333334</v>
      </c>
      <c r="L103" s="62">
        <f t="shared" si="71"/>
        <v>17925352.762026668</v>
      </c>
      <c r="M103" s="62">
        <f t="shared" si="71"/>
        <v>18642366.872507732</v>
      </c>
      <c r="N103" s="62">
        <f t="shared" si="71"/>
        <v>19388061.547408044</v>
      </c>
      <c r="O103" s="62">
        <f t="shared" si="71"/>
        <v>20163584.009304367</v>
      </c>
    </row>
    <row r="104" spans="1:15">
      <c r="B104" s="4" t="s">
        <v>102</v>
      </c>
      <c r="D104" s="36">
        <v>0</v>
      </c>
      <c r="E104" s="62">
        <f>+D104+E87-E88</f>
        <v>20000000</v>
      </c>
      <c r="F104" s="62">
        <f t="shared" ref="F104:O104" si="72">+E104+F87-F88</f>
        <v>18860316.716803119</v>
      </c>
      <c r="G104" s="62">
        <f t="shared" si="72"/>
        <v>17583871.439622611</v>
      </c>
      <c r="H104" s="62">
        <f t="shared" si="72"/>
        <v>16154252.729180442</v>
      </c>
      <c r="I104" s="62">
        <f t="shared" si="72"/>
        <v>14553079.773485214</v>
      </c>
      <c r="J104" s="62">
        <f t="shared" si="72"/>
        <v>12759766.063106557</v>
      </c>
      <c r="K104" s="62">
        <f t="shared" si="72"/>
        <v>10751254.707482461</v>
      </c>
      <c r="L104" s="62">
        <f t="shared" si="72"/>
        <v>8501721.9891834743</v>
      </c>
      <c r="M104" s="62">
        <f t="shared" si="72"/>
        <v>5982245.3446886092</v>
      </c>
      <c r="N104" s="62">
        <f t="shared" si="72"/>
        <v>3160431.5028543598</v>
      </c>
      <c r="O104" s="62">
        <f t="shared" si="72"/>
        <v>0</v>
      </c>
    </row>
    <row r="105" spans="1:15" s="15" customFormat="1">
      <c r="A105" s="52"/>
      <c r="B105" s="10" t="s">
        <v>103</v>
      </c>
      <c r="C105" s="11"/>
      <c r="D105" s="11" t="s">
        <v>16</v>
      </c>
      <c r="E105" s="34">
        <f>+E103+E104</f>
        <v>20000000</v>
      </c>
      <c r="F105" s="34">
        <f t="shared" ref="F105:O105" si="73">+F103+F104</f>
        <v>33026983.383469783</v>
      </c>
      <c r="G105" s="34">
        <f t="shared" si="73"/>
        <v>32317204.772955943</v>
      </c>
      <c r="H105" s="34">
        <f t="shared" si="73"/>
        <v>31476919.395847108</v>
      </c>
      <c r="I105" s="34">
        <f t="shared" si="73"/>
        <v>30488653.106818546</v>
      </c>
      <c r="J105" s="34">
        <f t="shared" si="73"/>
        <v>29332762.329773225</v>
      </c>
      <c r="K105" s="34">
        <f t="shared" si="73"/>
        <v>27987170.824815795</v>
      </c>
      <c r="L105" s="34">
        <f t="shared" si="73"/>
        <v>26427074.751210142</v>
      </c>
      <c r="M105" s="34">
        <f t="shared" si="73"/>
        <v>24624612.217196342</v>
      </c>
      <c r="N105" s="34">
        <f t="shared" si="73"/>
        <v>22548493.050262403</v>
      </c>
      <c r="O105" s="34">
        <f t="shared" si="73"/>
        <v>20163584.009304367</v>
      </c>
    </row>
    <row r="106" spans="1:15">
      <c r="B106" s="4" t="s">
        <v>80</v>
      </c>
      <c r="D106" s="36">
        <v>0</v>
      </c>
      <c r="E106" s="62">
        <f>+E78</f>
        <v>0</v>
      </c>
      <c r="F106" s="62">
        <f t="shared" ref="F106:O106" si="74">+F78</f>
        <v>5963000</v>
      </c>
      <c r="G106" s="62">
        <f t="shared" si="74"/>
        <v>6344070.5359690301</v>
      </c>
      <c r="H106" s="62">
        <f t="shared" si="74"/>
        <v>6747714.3362543425</v>
      </c>
      <c r="I106" s="62">
        <f t="shared" si="74"/>
        <v>7175713.9845739026</v>
      </c>
      <c r="J106" s="62">
        <f t="shared" si="74"/>
        <v>7630028.9263718035</v>
      </c>
      <c r="K106" s="62">
        <f t="shared" si="74"/>
        <v>8112815.2102926411</v>
      </c>
      <c r="L106" s="62">
        <f t="shared" si="74"/>
        <v>8626447.5393554829</v>
      </c>
      <c r="M106" s="62">
        <f t="shared" si="74"/>
        <v>9173543.9066202138</v>
      </c>
      <c r="N106" s="62">
        <f t="shared" si="74"/>
        <v>9756993.1230196171</v>
      </c>
      <c r="O106" s="62">
        <f t="shared" si="74"/>
        <v>10356145.108994344</v>
      </c>
    </row>
    <row r="107" spans="1:15">
      <c r="B107" s="4" t="s">
        <v>104</v>
      </c>
      <c r="D107" s="36">
        <v>0</v>
      </c>
      <c r="E107" s="62">
        <f>+D107+D106-E90</f>
        <v>0</v>
      </c>
      <c r="F107" s="62">
        <f t="shared" ref="F107:O107" si="75">+E107+E106-F90</f>
        <v>-256650</v>
      </c>
      <c r="G107" s="62">
        <f t="shared" si="75"/>
        <v>1181391.4078781437</v>
      </c>
      <c r="H107" s="62">
        <f t="shared" si="75"/>
        <v>2751739.6513683312</v>
      </c>
      <c r="I107" s="62">
        <f t="shared" si="75"/>
        <v>4471061.2254106766</v>
      </c>
      <c r="J107" s="62">
        <f t="shared" si="75"/>
        <v>6358054.1913247649</v>
      </c>
      <c r="K107" s="62">
        <f t="shared" si="75"/>
        <v>8433693.2282546908</v>
      </c>
      <c r="L107" s="62">
        <f t="shared" si="75"/>
        <v>10721504.141326567</v>
      </c>
      <c r="M107" s="62">
        <f t="shared" si="75"/>
        <v>13247871.363345865</v>
      </c>
      <c r="N107" s="62">
        <f t="shared" si="75"/>
        <v>16042382.411361443</v>
      </c>
      <c r="O107" s="62">
        <f t="shared" si="75"/>
        <v>19838127.318625249</v>
      </c>
    </row>
    <row r="108" spans="1:15">
      <c r="B108" s="4" t="s">
        <v>105</v>
      </c>
      <c r="D108" s="36">
        <v>0</v>
      </c>
      <c r="E108" s="62">
        <f t="shared" ref="E108:O108" si="76">+D108+E89</f>
        <v>32000000</v>
      </c>
      <c r="F108" s="62">
        <f t="shared" si="76"/>
        <v>32000000</v>
      </c>
      <c r="G108" s="62">
        <f t="shared" si="76"/>
        <v>32000000</v>
      </c>
      <c r="H108" s="62">
        <f t="shared" si="76"/>
        <v>32000000</v>
      </c>
      <c r="I108" s="62">
        <f t="shared" si="76"/>
        <v>32000000</v>
      </c>
      <c r="J108" s="62">
        <f t="shared" si="76"/>
        <v>32000000</v>
      </c>
      <c r="K108" s="62">
        <f t="shared" si="76"/>
        <v>32000000</v>
      </c>
      <c r="L108" s="62">
        <f t="shared" si="76"/>
        <v>32000000</v>
      </c>
      <c r="M108" s="62">
        <f t="shared" si="76"/>
        <v>32000000</v>
      </c>
      <c r="N108" s="62">
        <f t="shared" si="76"/>
        <v>32000000</v>
      </c>
      <c r="O108" s="62">
        <f t="shared" si="76"/>
        <v>32000000</v>
      </c>
    </row>
    <row r="109" spans="1:15" s="15" customFormat="1">
      <c r="A109" s="52"/>
      <c r="B109" s="10" t="s">
        <v>106</v>
      </c>
      <c r="C109" s="11"/>
      <c r="D109" s="11" t="s">
        <v>16</v>
      </c>
      <c r="E109" s="34">
        <f>+E106+E107+E108</f>
        <v>32000000</v>
      </c>
      <c r="F109" s="34">
        <f t="shared" ref="F109:O109" si="77">+F106+F107+F108</f>
        <v>37706350</v>
      </c>
      <c r="G109" s="34">
        <f t="shared" si="77"/>
        <v>39525461.943847172</v>
      </c>
      <c r="H109" s="34">
        <f t="shared" si="77"/>
        <v>41499453.987622678</v>
      </c>
      <c r="I109" s="34">
        <f t="shared" si="77"/>
        <v>43646775.209984578</v>
      </c>
      <c r="J109" s="34">
        <f t="shared" si="77"/>
        <v>45988083.117696568</v>
      </c>
      <c r="K109" s="34">
        <f t="shared" si="77"/>
        <v>48546508.438547328</v>
      </c>
      <c r="L109" s="34">
        <f t="shared" si="77"/>
        <v>51347951.680682048</v>
      </c>
      <c r="M109" s="34">
        <f t="shared" si="77"/>
        <v>54421415.269966081</v>
      </c>
      <c r="N109" s="34">
        <f t="shared" si="77"/>
        <v>57799375.534381062</v>
      </c>
      <c r="O109" s="34">
        <f t="shared" si="77"/>
        <v>62194272.427619591</v>
      </c>
    </row>
    <row r="110" spans="1:15">
      <c r="B110" s="4" t="s">
        <v>107</v>
      </c>
      <c r="E110" s="50">
        <f>+E102-E105-E109</f>
        <v>0</v>
      </c>
      <c r="F110" s="50">
        <f t="shared" ref="F110:O110" si="78">+F102-F105-F109</f>
        <v>0</v>
      </c>
      <c r="G110" s="50">
        <f t="shared" si="78"/>
        <v>0</v>
      </c>
      <c r="H110" s="50">
        <f t="shared" si="78"/>
        <v>0</v>
      </c>
      <c r="I110" s="50">
        <f t="shared" si="78"/>
        <v>0</v>
      </c>
      <c r="J110" s="50">
        <f t="shared" si="78"/>
        <v>0</v>
      </c>
      <c r="K110" s="50">
        <f t="shared" si="78"/>
        <v>0</v>
      </c>
      <c r="L110" s="50">
        <f t="shared" si="78"/>
        <v>0</v>
      </c>
      <c r="M110" s="50">
        <f t="shared" si="78"/>
        <v>0</v>
      </c>
      <c r="N110" s="50">
        <f t="shared" si="78"/>
        <v>0</v>
      </c>
      <c r="O110" s="50">
        <f t="shared" si="78"/>
        <v>0</v>
      </c>
    </row>
    <row r="112" spans="1:15" s="78" customFormat="1">
      <c r="A112" s="80"/>
      <c r="B112" s="51" t="s">
        <v>108</v>
      </c>
      <c r="C112" s="79"/>
      <c r="D112" s="79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1:15" s="81" customFormat="1">
      <c r="A113" s="83" t="s">
        <v>62</v>
      </c>
      <c r="B113" s="85" t="s">
        <v>72</v>
      </c>
      <c r="C113" s="86" t="s">
        <v>73</v>
      </c>
      <c r="D113" s="87" t="s">
        <v>16</v>
      </c>
      <c r="E113" s="88">
        <f>+E68</f>
        <v>0</v>
      </c>
      <c r="F113" s="88">
        <f t="shared" ref="F113:O113" si="79">+F68</f>
        <v>11300000</v>
      </c>
      <c r="G113" s="88">
        <f t="shared" si="79"/>
        <v>11732000</v>
      </c>
      <c r="H113" s="88">
        <f t="shared" si="79"/>
        <v>12181280</v>
      </c>
      <c r="I113" s="88">
        <f t="shared" si="79"/>
        <v>12648531.200000014</v>
      </c>
      <c r="J113" s="88">
        <f t="shared" si="79"/>
        <v>13134472.448000021</v>
      </c>
      <c r="K113" s="88">
        <f t="shared" si="79"/>
        <v>13639851.345920013</v>
      </c>
      <c r="L113" s="88">
        <f t="shared" si="79"/>
        <v>14165445.399756826</v>
      </c>
      <c r="M113" s="88">
        <f t="shared" si="79"/>
        <v>14712063.215747112</v>
      </c>
      <c r="N113" s="88">
        <f t="shared" si="79"/>
        <v>15280545.744376987</v>
      </c>
      <c r="O113" s="88">
        <f t="shared" si="79"/>
        <v>15836184.778841544</v>
      </c>
    </row>
    <row r="114" spans="1:15" s="78" customFormat="1">
      <c r="A114" s="80" t="s">
        <v>60</v>
      </c>
      <c r="B114" s="78" t="s">
        <v>109</v>
      </c>
      <c r="C114" s="79" t="s">
        <v>110</v>
      </c>
      <c r="D114" s="79" t="s">
        <v>16</v>
      </c>
      <c r="E114" s="89">
        <f>+E113*E4</f>
        <v>0</v>
      </c>
      <c r="F114" s="89">
        <f>+F113*F4</f>
        <v>3729000</v>
      </c>
      <c r="G114" s="89">
        <f t="shared" ref="G114:O114" si="80">+G113*G4</f>
        <v>3871560</v>
      </c>
      <c r="H114" s="89">
        <f t="shared" si="80"/>
        <v>4019822.4000000004</v>
      </c>
      <c r="I114" s="89">
        <f t="shared" si="80"/>
        <v>4174015.2960000047</v>
      </c>
      <c r="J114" s="89">
        <f t="shared" si="80"/>
        <v>4334375.907840007</v>
      </c>
      <c r="K114" s="89">
        <f t="shared" si="80"/>
        <v>4501150.944153605</v>
      </c>
      <c r="L114" s="89">
        <f t="shared" si="80"/>
        <v>4674596.9819197534</v>
      </c>
      <c r="M114" s="89">
        <f t="shared" si="80"/>
        <v>4854980.8611965477</v>
      </c>
      <c r="N114" s="89">
        <f t="shared" si="80"/>
        <v>5042580.095644406</v>
      </c>
      <c r="O114" s="89">
        <f t="shared" si="80"/>
        <v>5225940.97701771</v>
      </c>
    </row>
    <row r="115" spans="1:15" s="81" customFormat="1">
      <c r="A115" s="83" t="s">
        <v>62</v>
      </c>
      <c r="B115" s="81" t="s">
        <v>111</v>
      </c>
      <c r="C115" s="82" t="s">
        <v>112</v>
      </c>
      <c r="D115" s="79" t="s">
        <v>16</v>
      </c>
      <c r="E115" s="90">
        <f>+E113-E114</f>
        <v>0</v>
      </c>
      <c r="F115" s="90">
        <f>+F113-F114</f>
        <v>7571000</v>
      </c>
      <c r="G115" s="90">
        <f t="shared" ref="G115:O115" si="81">+G113-G114</f>
        <v>7860440</v>
      </c>
      <c r="H115" s="90">
        <f t="shared" si="81"/>
        <v>8161457.5999999996</v>
      </c>
      <c r="I115" s="90">
        <f t="shared" si="81"/>
        <v>8474515.9040000103</v>
      </c>
      <c r="J115" s="90">
        <f t="shared" si="81"/>
        <v>8800096.5401600152</v>
      </c>
      <c r="K115" s="90">
        <f t="shared" si="81"/>
        <v>9138700.4017664082</v>
      </c>
      <c r="L115" s="90">
        <f t="shared" si="81"/>
        <v>9490848.4178370722</v>
      </c>
      <c r="M115" s="90">
        <f t="shared" si="81"/>
        <v>9857082.3545505647</v>
      </c>
      <c r="N115" s="90">
        <f t="shared" si="81"/>
        <v>10237965.64873258</v>
      </c>
      <c r="O115" s="90">
        <f t="shared" si="81"/>
        <v>10610243.801823834</v>
      </c>
    </row>
    <row r="116" spans="1:15" s="81" customFormat="1">
      <c r="A116" s="80" t="s">
        <v>57</v>
      </c>
      <c r="B116" s="78" t="s">
        <v>22</v>
      </c>
      <c r="C116" s="82"/>
      <c r="D116" s="79"/>
      <c r="E116" s="95">
        <f t="shared" ref="E116:O116" si="82">+E27</f>
        <v>0</v>
      </c>
      <c r="F116" s="95">
        <f t="shared" si="82"/>
        <v>2100000</v>
      </c>
      <c r="G116" s="95">
        <f t="shared" si="82"/>
        <v>2204000</v>
      </c>
      <c r="H116" s="95">
        <f t="shared" si="82"/>
        <v>2312160</v>
      </c>
      <c r="I116" s="95">
        <f t="shared" si="82"/>
        <v>2424646.4</v>
      </c>
      <c r="J116" s="95">
        <f t="shared" si="82"/>
        <v>2541632.2560000001</v>
      </c>
      <c r="K116" s="95">
        <f t="shared" si="82"/>
        <v>2663297.5462400001</v>
      </c>
      <c r="L116" s="95">
        <f t="shared" si="82"/>
        <v>2789829.4480896001</v>
      </c>
      <c r="M116" s="95">
        <f t="shared" si="82"/>
        <v>2921422.626013184</v>
      </c>
      <c r="N116" s="95">
        <f t="shared" si="82"/>
        <v>3058279.5310537117</v>
      </c>
      <c r="O116" s="95">
        <f t="shared" si="82"/>
        <v>3236193.5076063974</v>
      </c>
    </row>
    <row r="117" spans="1:15" s="78" customFormat="1">
      <c r="A117" s="80" t="s">
        <v>60</v>
      </c>
      <c r="B117" s="78" t="s">
        <v>113</v>
      </c>
      <c r="C117" s="79"/>
      <c r="D117" s="79" t="s">
        <v>16</v>
      </c>
      <c r="E117" s="89">
        <f>+E84</f>
        <v>40000000</v>
      </c>
      <c r="F117" s="89">
        <f t="shared" ref="F117:O117" si="83">+F84</f>
        <v>2000000</v>
      </c>
      <c r="G117" s="89">
        <f t="shared" si="83"/>
        <v>2080000</v>
      </c>
      <c r="H117" s="89">
        <f t="shared" si="83"/>
        <v>2163200</v>
      </c>
      <c r="I117" s="89">
        <f t="shared" si="83"/>
        <v>2249728</v>
      </c>
      <c r="J117" s="89">
        <f t="shared" si="83"/>
        <v>2339717.1200000001</v>
      </c>
      <c r="K117" s="89">
        <f t="shared" si="83"/>
        <v>2433305.8048</v>
      </c>
      <c r="L117" s="89">
        <f t="shared" si="83"/>
        <v>2530638.036992</v>
      </c>
      <c r="M117" s="89">
        <f t="shared" si="83"/>
        <v>2631863.5584716802</v>
      </c>
      <c r="N117" s="89">
        <f t="shared" si="83"/>
        <v>2737138.1008105474</v>
      </c>
      <c r="O117" s="89">
        <f t="shared" si="83"/>
        <v>3558279.5310537131</v>
      </c>
    </row>
    <row r="118" spans="1:15" s="78" customFormat="1">
      <c r="A118" s="80" t="s">
        <v>60</v>
      </c>
      <c r="B118" s="78" t="s">
        <v>114</v>
      </c>
      <c r="C118" s="79"/>
      <c r="D118" s="79" t="s">
        <v>16</v>
      </c>
      <c r="E118" s="89">
        <f>+E81</f>
        <v>0</v>
      </c>
      <c r="F118" s="89">
        <f t="shared" ref="F118:O118" si="84">+F81</f>
        <v>16666666.666666666</v>
      </c>
      <c r="G118" s="89">
        <f t="shared" si="84"/>
        <v>666666.66666666605</v>
      </c>
      <c r="H118" s="89">
        <f t="shared" si="84"/>
        <v>693333.33333333209</v>
      </c>
      <c r="I118" s="89">
        <f t="shared" si="84"/>
        <v>721066.66666667536</v>
      </c>
      <c r="J118" s="89">
        <f t="shared" si="84"/>
        <v>749909.33333333209</v>
      </c>
      <c r="K118" s="89">
        <f t="shared" si="84"/>
        <v>779905.70666666701</v>
      </c>
      <c r="L118" s="89">
        <f t="shared" si="84"/>
        <v>811101.93493333086</v>
      </c>
      <c r="M118" s="89">
        <f t="shared" si="84"/>
        <v>843546.01233066991</v>
      </c>
      <c r="N118" s="89">
        <f t="shared" si="84"/>
        <v>877287.85282389447</v>
      </c>
      <c r="O118" s="89">
        <f t="shared" si="84"/>
        <v>912379.36693685502</v>
      </c>
    </row>
    <row r="119" spans="1:15" s="81" customFormat="1">
      <c r="A119" s="91" t="s">
        <v>62</v>
      </c>
      <c r="B119" s="92" t="s">
        <v>115</v>
      </c>
      <c r="C119" s="93"/>
      <c r="D119" s="93"/>
      <c r="E119" s="94">
        <f>+E115+E116-E117-E118</f>
        <v>-40000000</v>
      </c>
      <c r="F119" s="94">
        <f t="shared" ref="F119:O119" si="85">+F115+F116-F117-F118</f>
        <v>-8995666.666666666</v>
      </c>
      <c r="G119" s="94">
        <f t="shared" si="85"/>
        <v>7317773.333333334</v>
      </c>
      <c r="H119" s="94">
        <f t="shared" si="85"/>
        <v>7617084.2666666675</v>
      </c>
      <c r="I119" s="94">
        <f t="shared" si="85"/>
        <v>7928367.6373333354</v>
      </c>
      <c r="J119" s="94">
        <f t="shared" si="85"/>
        <v>8252102.3428266831</v>
      </c>
      <c r="K119" s="94">
        <f t="shared" si="85"/>
        <v>8588786.4365397412</v>
      </c>
      <c r="L119" s="94">
        <f t="shared" si="85"/>
        <v>8938937.8940013405</v>
      </c>
      <c r="M119" s="94">
        <f t="shared" si="85"/>
        <v>9303095.409761399</v>
      </c>
      <c r="N119" s="94">
        <f t="shared" si="85"/>
        <v>9681819.2261518501</v>
      </c>
      <c r="O119" s="94">
        <f t="shared" si="85"/>
        <v>9375778.4114396628</v>
      </c>
    </row>
    <row r="120" spans="1:15" s="78" customFormat="1">
      <c r="A120" s="80"/>
      <c r="B120" s="78" t="s">
        <v>116</v>
      </c>
      <c r="C120" s="79"/>
      <c r="D120" s="79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95">
        <f>+O119*(1+D125)/(D124-D125)</f>
        <v>102640100.50418158</v>
      </c>
    </row>
    <row r="121" spans="1:15" s="81" customFormat="1">
      <c r="A121" s="91" t="s">
        <v>62</v>
      </c>
      <c r="B121" s="92" t="s">
        <v>115</v>
      </c>
      <c r="C121" s="93"/>
      <c r="D121" s="93"/>
      <c r="E121" s="94">
        <f>+E119+E120</f>
        <v>-40000000</v>
      </c>
      <c r="F121" s="94">
        <f t="shared" ref="F121:O121" si="86">+F119+F120</f>
        <v>-8995666.666666666</v>
      </c>
      <c r="G121" s="94">
        <f t="shared" si="86"/>
        <v>7317773.333333334</v>
      </c>
      <c r="H121" s="94">
        <f t="shared" si="86"/>
        <v>7617084.2666666675</v>
      </c>
      <c r="I121" s="94">
        <f t="shared" si="86"/>
        <v>7928367.6373333354</v>
      </c>
      <c r="J121" s="94">
        <f t="shared" si="86"/>
        <v>8252102.3428266831</v>
      </c>
      <c r="K121" s="94">
        <f t="shared" si="86"/>
        <v>8588786.4365397412</v>
      </c>
      <c r="L121" s="94">
        <f t="shared" si="86"/>
        <v>8938937.8940013405</v>
      </c>
      <c r="M121" s="94">
        <f t="shared" si="86"/>
        <v>9303095.409761399</v>
      </c>
      <c r="N121" s="94">
        <f t="shared" si="86"/>
        <v>9681819.2261518501</v>
      </c>
      <c r="O121" s="94">
        <f t="shared" si="86"/>
        <v>112015878.91562124</v>
      </c>
    </row>
    <row r="122" spans="1:15" s="81" customFormat="1">
      <c r="A122" s="83"/>
      <c r="B122" s="81" t="s">
        <v>117</v>
      </c>
      <c r="C122" s="82"/>
      <c r="D122" s="82"/>
      <c r="E122" s="96">
        <f>+IRR(E121:O121)</f>
        <v>0.18711535709012361</v>
      </c>
      <c r="F122" s="90"/>
      <c r="G122" s="90"/>
      <c r="H122" s="90"/>
      <c r="I122" s="90"/>
      <c r="J122" s="90"/>
      <c r="K122" s="90"/>
      <c r="L122" s="90"/>
      <c r="M122" s="90"/>
      <c r="N122" s="90"/>
      <c r="O122" s="90"/>
    </row>
    <row r="123" spans="1:15" s="78" customFormat="1">
      <c r="A123" s="80"/>
      <c r="C123" s="79"/>
      <c r="D123" s="79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</row>
    <row r="124" spans="1:15" s="78" customFormat="1">
      <c r="A124" s="80"/>
      <c r="B124" s="78" t="s">
        <v>118</v>
      </c>
      <c r="C124" s="79"/>
      <c r="D124" s="97">
        <v>0.13500000000000001</v>
      </c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</row>
    <row r="125" spans="1:15" s="78" customFormat="1">
      <c r="A125" s="80"/>
      <c r="B125" s="78" t="s">
        <v>119</v>
      </c>
      <c r="C125" s="79"/>
      <c r="D125" s="97">
        <v>0.04</v>
      </c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</row>
    <row r="126" spans="1:15" s="78" customFormat="1">
      <c r="A126" s="80"/>
      <c r="C126" s="79"/>
      <c r="D126" s="79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</row>
    <row r="127" spans="1:15" s="78" customFormat="1">
      <c r="B127" s="78" t="s">
        <v>120</v>
      </c>
      <c r="C127" s="79"/>
      <c r="D127" s="79" t="s">
        <v>16</v>
      </c>
      <c r="E127" s="98">
        <f>+NPV(D124,F121:O121)+E121</f>
        <v>17873215.089723408</v>
      </c>
      <c r="F127" s="80"/>
      <c r="G127" s="80"/>
      <c r="H127" s="80"/>
      <c r="I127" s="80"/>
      <c r="J127" s="80"/>
      <c r="K127" s="80"/>
      <c r="L127" s="80"/>
      <c r="M127" s="80"/>
      <c r="N127" s="80"/>
      <c r="O127" s="80"/>
    </row>
    <row r="129" spans="1:15">
      <c r="A129" s="80"/>
      <c r="B129" s="51" t="s">
        <v>92</v>
      </c>
    </row>
    <row r="130" spans="1:15">
      <c r="A130" s="6" t="s">
        <v>60</v>
      </c>
      <c r="B130" s="4" t="s">
        <v>91</v>
      </c>
      <c r="D130" s="5" t="s">
        <v>16</v>
      </c>
      <c r="E130" s="33">
        <f>E89</f>
        <v>32000000</v>
      </c>
    </row>
    <row r="131" spans="1:15">
      <c r="A131" s="6" t="s">
        <v>57</v>
      </c>
      <c r="B131" s="4" t="s">
        <v>92</v>
      </c>
      <c r="D131" s="5" t="s">
        <v>16</v>
      </c>
      <c r="E131" s="33">
        <f>+E90</f>
        <v>0</v>
      </c>
      <c r="F131" s="33">
        <f t="shared" ref="F131:O131" si="87">+F90</f>
        <v>256650</v>
      </c>
      <c r="G131" s="33">
        <f t="shared" si="87"/>
        <v>4524958.5921218563</v>
      </c>
      <c r="H131" s="33">
        <f t="shared" si="87"/>
        <v>4773722.2924788427</v>
      </c>
      <c r="I131" s="33">
        <f t="shared" si="87"/>
        <v>5028392.762211998</v>
      </c>
      <c r="J131" s="33">
        <f t="shared" si="87"/>
        <v>5288721.0186598133</v>
      </c>
      <c r="K131" s="33">
        <f t="shared" si="87"/>
        <v>5554389.8894418785</v>
      </c>
      <c r="L131" s="33">
        <f t="shared" si="87"/>
        <v>5825004.2972207647</v>
      </c>
      <c r="M131" s="33">
        <f t="shared" si="87"/>
        <v>6100080.317336183</v>
      </c>
      <c r="N131" s="33">
        <f t="shared" si="87"/>
        <v>6379032.8586046379</v>
      </c>
      <c r="O131" s="33">
        <f t="shared" si="87"/>
        <v>5961248.2157558147</v>
      </c>
    </row>
    <row r="132" spans="1:15" s="15" customFormat="1">
      <c r="A132" s="52" t="s">
        <v>62</v>
      </c>
      <c r="B132" s="15" t="s">
        <v>124</v>
      </c>
      <c r="C132" s="20"/>
      <c r="D132" s="20" t="s">
        <v>16</v>
      </c>
      <c r="E132" s="46">
        <f>-E130+E131</f>
        <v>-32000000</v>
      </c>
      <c r="F132" s="46">
        <f t="shared" ref="F132:O132" si="88">-F130+F131</f>
        <v>256650</v>
      </c>
      <c r="G132" s="46">
        <f t="shared" si="88"/>
        <v>4524958.5921218563</v>
      </c>
      <c r="H132" s="46">
        <f t="shared" si="88"/>
        <v>4773722.2924788427</v>
      </c>
      <c r="I132" s="46">
        <f t="shared" si="88"/>
        <v>5028392.762211998</v>
      </c>
      <c r="J132" s="46">
        <f t="shared" si="88"/>
        <v>5288721.0186598133</v>
      </c>
      <c r="K132" s="46">
        <f t="shared" si="88"/>
        <v>5554389.8894418785</v>
      </c>
      <c r="L132" s="46">
        <f t="shared" si="88"/>
        <v>5825004.2972207647</v>
      </c>
      <c r="M132" s="46">
        <f t="shared" si="88"/>
        <v>6100080.317336183</v>
      </c>
      <c r="N132" s="46">
        <f t="shared" si="88"/>
        <v>6379032.8586046379</v>
      </c>
      <c r="O132" s="46">
        <f t="shared" si="88"/>
        <v>5961248.2157558147</v>
      </c>
    </row>
    <row r="133" spans="1:15">
      <c r="A133" s="6" t="s">
        <v>57</v>
      </c>
      <c r="B133" s="4" t="s">
        <v>116</v>
      </c>
      <c r="D133" s="5" t="s">
        <v>16</v>
      </c>
      <c r="O133" s="33">
        <f>+O132*(1+D138)/(D137-D138)</f>
        <v>65259980.467221551</v>
      </c>
    </row>
    <row r="134" spans="1:15" s="15" customFormat="1">
      <c r="A134" s="52" t="s">
        <v>62</v>
      </c>
      <c r="B134" s="15" t="s">
        <v>124</v>
      </c>
      <c r="C134" s="20"/>
      <c r="D134" s="20" t="s">
        <v>16</v>
      </c>
      <c r="E134" s="46">
        <f t="shared" ref="E134:N134" si="89">+E132+E133</f>
        <v>-32000000</v>
      </c>
      <c r="F134" s="46">
        <f t="shared" si="89"/>
        <v>256650</v>
      </c>
      <c r="G134" s="46">
        <f t="shared" si="89"/>
        <v>4524958.5921218563</v>
      </c>
      <c r="H134" s="46">
        <f t="shared" si="89"/>
        <v>4773722.2924788427</v>
      </c>
      <c r="I134" s="46">
        <f t="shared" si="89"/>
        <v>5028392.762211998</v>
      </c>
      <c r="J134" s="46">
        <f t="shared" si="89"/>
        <v>5288721.0186598133</v>
      </c>
      <c r="K134" s="46">
        <f t="shared" si="89"/>
        <v>5554389.8894418785</v>
      </c>
      <c r="L134" s="46">
        <f t="shared" si="89"/>
        <v>5825004.2972207647</v>
      </c>
      <c r="M134" s="46">
        <f t="shared" si="89"/>
        <v>6100080.317336183</v>
      </c>
      <c r="N134" s="46">
        <f t="shared" si="89"/>
        <v>6379032.8586046379</v>
      </c>
      <c r="O134" s="46">
        <f>+O132+O133</f>
        <v>71221228.682977363</v>
      </c>
    </row>
    <row r="135" spans="1:15" s="15" customFormat="1">
      <c r="A135" s="52"/>
      <c r="B135" s="81" t="s">
        <v>117</v>
      </c>
      <c r="C135" s="82"/>
      <c r="D135" s="82"/>
      <c r="E135" s="96">
        <f>+IRR(E134:O134)</f>
        <v>0.17912563265067405</v>
      </c>
      <c r="F135" s="46"/>
      <c r="G135" s="46"/>
      <c r="H135" s="46"/>
      <c r="I135" s="46"/>
      <c r="J135" s="46"/>
      <c r="K135" s="46"/>
      <c r="L135" s="46"/>
      <c r="M135" s="46"/>
      <c r="N135" s="46"/>
      <c r="O135" s="46"/>
    </row>
    <row r="137" spans="1:15">
      <c r="B137" s="78" t="s">
        <v>118</v>
      </c>
      <c r="C137" s="79"/>
      <c r="D137" s="97">
        <v>0.13500000000000001</v>
      </c>
    </row>
    <row r="138" spans="1:15">
      <c r="B138" s="78" t="s">
        <v>119</v>
      </c>
      <c r="C138" s="79"/>
      <c r="D138" s="97">
        <v>0.04</v>
      </c>
    </row>
    <row r="140" spans="1:15">
      <c r="B140" s="51" t="s">
        <v>125</v>
      </c>
    </row>
    <row r="141" spans="1:15">
      <c r="A141" s="6" t="s">
        <v>57</v>
      </c>
      <c r="B141" s="4" t="s">
        <v>126</v>
      </c>
      <c r="D141" s="5" t="s">
        <v>16</v>
      </c>
      <c r="E141" s="89">
        <f>+E68*(1-E4)</f>
        <v>0</v>
      </c>
      <c r="F141" s="89">
        <f t="shared" ref="F141:O141" si="90">+F68*(1-F4)</f>
        <v>7570999.9999999991</v>
      </c>
      <c r="G141" s="89">
        <f t="shared" si="90"/>
        <v>7860439.9999999991</v>
      </c>
      <c r="H141" s="89">
        <f t="shared" si="90"/>
        <v>8161457.5999999987</v>
      </c>
      <c r="I141" s="89">
        <f t="shared" si="90"/>
        <v>8474515.9040000085</v>
      </c>
      <c r="J141" s="89">
        <f t="shared" si="90"/>
        <v>8800096.5401600134</v>
      </c>
      <c r="K141" s="89">
        <f t="shared" si="90"/>
        <v>9138700.4017664082</v>
      </c>
      <c r="L141" s="89">
        <f t="shared" si="90"/>
        <v>9490848.4178370722</v>
      </c>
      <c r="M141" s="89">
        <f t="shared" si="90"/>
        <v>9857082.3545505647</v>
      </c>
      <c r="N141" s="89">
        <f t="shared" si="90"/>
        <v>10237965.64873258</v>
      </c>
      <c r="O141" s="89">
        <f t="shared" si="90"/>
        <v>10610243.801823834</v>
      </c>
    </row>
    <row r="142" spans="1:15">
      <c r="A142" s="6" t="s">
        <v>60</v>
      </c>
      <c r="B142" s="4" t="s">
        <v>127</v>
      </c>
      <c r="D142" s="5" t="s">
        <v>16</v>
      </c>
      <c r="E142" s="89">
        <f>+E117-E116</f>
        <v>40000000</v>
      </c>
      <c r="F142" s="89">
        <f t="shared" ref="F142:O142" si="91">+F117-F116</f>
        <v>-100000</v>
      </c>
      <c r="G142" s="89">
        <f t="shared" si="91"/>
        <v>-124000</v>
      </c>
      <c r="H142" s="89">
        <f t="shared" si="91"/>
        <v>-148960</v>
      </c>
      <c r="I142" s="89">
        <f t="shared" si="91"/>
        <v>-174918.39999999991</v>
      </c>
      <c r="J142" s="89">
        <f t="shared" si="91"/>
        <v>-201915.13599999994</v>
      </c>
      <c r="K142" s="89">
        <f t="shared" si="91"/>
        <v>-229991.74144000001</v>
      </c>
      <c r="L142" s="89">
        <f t="shared" si="91"/>
        <v>-259191.41109760012</v>
      </c>
      <c r="M142" s="89">
        <f t="shared" si="91"/>
        <v>-289559.06754150381</v>
      </c>
      <c r="N142" s="89">
        <f t="shared" si="91"/>
        <v>-321141.4302431643</v>
      </c>
      <c r="O142" s="89">
        <f t="shared" si="91"/>
        <v>322086.02344731567</v>
      </c>
    </row>
    <row r="143" spans="1:15">
      <c r="A143" s="6" t="s">
        <v>60</v>
      </c>
      <c r="B143" s="4" t="s">
        <v>128</v>
      </c>
      <c r="D143" s="5" t="s">
        <v>16</v>
      </c>
      <c r="E143" s="89">
        <f>+E80-E82</f>
        <v>0</v>
      </c>
      <c r="F143" s="89">
        <f>+F80-F82</f>
        <v>16666666.666666666</v>
      </c>
      <c r="G143" s="89">
        <f t="shared" ref="G143:O143" si="92">+G80-G82</f>
        <v>666666.66666666605</v>
      </c>
      <c r="H143" s="89">
        <f t="shared" si="92"/>
        <v>693333.33333333209</v>
      </c>
      <c r="I143" s="89">
        <f t="shared" si="92"/>
        <v>721066.66666667536</v>
      </c>
      <c r="J143" s="89">
        <f t="shared" si="92"/>
        <v>749909.33333333209</v>
      </c>
      <c r="K143" s="89">
        <f t="shared" si="92"/>
        <v>779905.70666666701</v>
      </c>
      <c r="L143" s="89">
        <f t="shared" si="92"/>
        <v>811101.93493333086</v>
      </c>
      <c r="M143" s="89">
        <f t="shared" si="92"/>
        <v>843546.01233066991</v>
      </c>
      <c r="N143" s="89">
        <f t="shared" si="92"/>
        <v>877287.85282389447</v>
      </c>
      <c r="O143" s="89">
        <f t="shared" si="92"/>
        <v>912379.36693685502</v>
      </c>
    </row>
    <row r="144" spans="1:15" s="15" customFormat="1">
      <c r="A144" s="52" t="s">
        <v>62</v>
      </c>
      <c r="B144" s="15" t="s">
        <v>129</v>
      </c>
      <c r="C144" s="20"/>
      <c r="D144" s="20" t="s">
        <v>16</v>
      </c>
      <c r="E144" s="46">
        <f>+E141-E142-E143</f>
        <v>-40000000</v>
      </c>
      <c r="F144" s="46">
        <f t="shared" ref="F144:O144" si="93">+F141-F142-F143</f>
        <v>-8995666.6666666679</v>
      </c>
      <c r="G144" s="46">
        <f t="shared" si="93"/>
        <v>7317773.333333333</v>
      </c>
      <c r="H144" s="46">
        <f t="shared" si="93"/>
        <v>7617084.2666666666</v>
      </c>
      <c r="I144" s="46">
        <f t="shared" si="93"/>
        <v>7928367.6373333335</v>
      </c>
      <c r="J144" s="46">
        <f t="shared" si="93"/>
        <v>8252102.3428266812</v>
      </c>
      <c r="K144" s="46">
        <f t="shared" si="93"/>
        <v>8588786.4365397412</v>
      </c>
      <c r="L144" s="46">
        <f t="shared" si="93"/>
        <v>8938937.8940013424</v>
      </c>
      <c r="M144" s="46">
        <f t="shared" si="93"/>
        <v>9303095.409761399</v>
      </c>
      <c r="N144" s="46">
        <f t="shared" si="93"/>
        <v>9681819.2261518501</v>
      </c>
      <c r="O144" s="46">
        <f t="shared" si="93"/>
        <v>9375778.4114396628</v>
      </c>
    </row>
    <row r="145" spans="2:15">
      <c r="B145" s="4" t="s">
        <v>130</v>
      </c>
      <c r="E145" s="121">
        <f>+E144-E119</f>
        <v>0</v>
      </c>
      <c r="F145" s="121">
        <f t="shared" ref="F145:O145" si="94">+F144-F119</f>
        <v>0</v>
      </c>
      <c r="G145" s="121">
        <f t="shared" si="94"/>
        <v>0</v>
      </c>
      <c r="H145" s="121">
        <f t="shared" si="94"/>
        <v>0</v>
      </c>
      <c r="I145" s="121">
        <f t="shared" si="94"/>
        <v>0</v>
      </c>
      <c r="J145" s="121">
        <f t="shared" si="94"/>
        <v>0</v>
      </c>
      <c r="K145" s="121">
        <f t="shared" si="94"/>
        <v>0</v>
      </c>
      <c r="L145" s="121">
        <f t="shared" si="94"/>
        <v>0</v>
      </c>
      <c r="M145" s="121">
        <f t="shared" si="94"/>
        <v>0</v>
      </c>
      <c r="N145" s="121">
        <f t="shared" si="94"/>
        <v>0</v>
      </c>
      <c r="O145" s="121">
        <f t="shared" si="94"/>
        <v>0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F5EF-CFE4-4A1B-8A0A-7ED8F0C91547}">
  <sheetPr codeName="Hoja3">
    <tabColor theme="8" tint="0.79998168889431442"/>
    <pageSetUpPr autoPageBreaks="0"/>
  </sheetPr>
  <dimension ref="B1:AO279"/>
  <sheetViews>
    <sheetView showGridLines="0" zoomScale="85" zoomScaleNormal="85" workbookViewId="0">
      <selection activeCell="E44" sqref="E44"/>
    </sheetView>
  </sheetViews>
  <sheetFormatPr baseColWidth="10" defaultColWidth="10.85546875" defaultRowHeight="12.75" outlineLevelRow="1"/>
  <cols>
    <col min="1" max="1" width="2.85546875" style="130" customWidth="1"/>
    <col min="2" max="2" width="55.140625" style="142" bestFit="1" customWidth="1"/>
    <col min="3" max="3" width="6.7109375" style="130" customWidth="1"/>
    <col min="4" max="29" width="12.5703125" style="130" customWidth="1"/>
    <col min="30" max="16384" width="10.85546875" style="130"/>
  </cols>
  <sheetData>
    <row r="1" spans="2:41" s="122" customFormat="1" ht="13.5" thickBot="1">
      <c r="AO1" s="123"/>
    </row>
    <row r="2" spans="2:41" s="128" customFormat="1" ht="18.75">
      <c r="B2" s="124" t="s">
        <v>113</v>
      </c>
      <c r="C2" s="125"/>
      <c r="D2" s="126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3"/>
    </row>
    <row r="3" spans="2:41" ht="18.75">
      <c r="B3" s="129"/>
    </row>
    <row r="4" spans="2:41" ht="15" customHeight="1">
      <c r="B4" s="130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</row>
    <row r="5" spans="2:41" ht="15" customHeight="1">
      <c r="B5" s="132"/>
      <c r="C5" s="133"/>
      <c r="D5" s="134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2:41" ht="15" customHeight="1">
      <c r="B6" s="136" t="s">
        <v>131</v>
      </c>
      <c r="C6" s="137"/>
      <c r="D6" s="134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</row>
    <row r="7" spans="2:41" ht="15" customHeight="1">
      <c r="B7" s="136"/>
      <c r="C7" s="133"/>
      <c r="D7" s="134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</row>
    <row r="8" spans="2:41" ht="15" customHeight="1">
      <c r="B8" s="136" t="s">
        <v>132</v>
      </c>
      <c r="C8" s="138"/>
      <c r="D8" s="134"/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170</v>
      </c>
      <c r="Q8" s="3" t="s">
        <v>171</v>
      </c>
      <c r="R8" s="3" t="s">
        <v>172</v>
      </c>
      <c r="S8" s="3" t="s">
        <v>173</v>
      </c>
      <c r="T8" s="3" t="s">
        <v>174</v>
      </c>
      <c r="U8" s="3" t="s">
        <v>175</v>
      </c>
      <c r="V8" s="3" t="s">
        <v>176</v>
      </c>
      <c r="W8" s="3" t="s">
        <v>177</v>
      </c>
      <c r="X8" s="3" t="s">
        <v>178</v>
      </c>
      <c r="Y8" s="3" t="s">
        <v>179</v>
      </c>
      <c r="Z8" s="3" t="s">
        <v>180</v>
      </c>
      <c r="AA8" s="3" t="s">
        <v>181</v>
      </c>
      <c r="AB8" s="3" t="s">
        <v>182</v>
      </c>
      <c r="AC8" s="3" t="s">
        <v>183</v>
      </c>
      <c r="AD8" s="3" t="s">
        <v>184</v>
      </c>
    </row>
    <row r="9" spans="2:41" ht="15" customHeight="1">
      <c r="B9" s="130"/>
      <c r="C9" s="133"/>
      <c r="D9" s="133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</row>
    <row r="10" spans="2:41" ht="15" customHeight="1">
      <c r="B10" s="141" t="s">
        <v>133</v>
      </c>
      <c r="C10" s="133"/>
      <c r="D10" s="133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</row>
    <row r="11" spans="2:41" ht="15" customHeight="1">
      <c r="C11" s="133"/>
      <c r="D11" s="133"/>
      <c r="E11" s="143">
        <v>1</v>
      </c>
      <c r="F11" s="143">
        <v>2</v>
      </c>
      <c r="G11" s="143">
        <v>3</v>
      </c>
      <c r="H11" s="143">
        <v>4</v>
      </c>
      <c r="I11" s="143">
        <v>5</v>
      </c>
      <c r="J11" s="143">
        <v>6</v>
      </c>
      <c r="K11" s="143">
        <v>7</v>
      </c>
      <c r="L11" s="143">
        <v>8</v>
      </c>
      <c r="M11" s="143">
        <v>9</v>
      </c>
      <c r="N11" s="143">
        <v>10</v>
      </c>
      <c r="O11" s="143">
        <v>11</v>
      </c>
      <c r="P11" s="143">
        <v>12</v>
      </c>
      <c r="Q11" s="143">
        <v>13</v>
      </c>
      <c r="R11" s="143">
        <v>14</v>
      </c>
      <c r="S11" s="143">
        <v>15</v>
      </c>
      <c r="T11" s="143">
        <v>16</v>
      </c>
      <c r="U11" s="143">
        <v>17</v>
      </c>
      <c r="V11" s="143">
        <v>18</v>
      </c>
      <c r="W11" s="143">
        <v>19</v>
      </c>
      <c r="X11" s="143">
        <v>20</v>
      </c>
      <c r="Y11" s="143">
        <v>21</v>
      </c>
      <c r="Z11" s="143">
        <v>22</v>
      </c>
      <c r="AA11" s="143">
        <v>23</v>
      </c>
      <c r="AB11" s="143">
        <v>24</v>
      </c>
      <c r="AC11" s="143">
        <v>25</v>
      </c>
      <c r="AD11" s="143">
        <v>26</v>
      </c>
    </row>
    <row r="12" spans="2:41" ht="15" customHeight="1">
      <c r="B12" s="144" t="s">
        <v>134</v>
      </c>
      <c r="C12" s="145" t="s">
        <v>135</v>
      </c>
      <c r="D12" s="145"/>
      <c r="E12" s="146">
        <v>10000000</v>
      </c>
      <c r="F12" s="146">
        <v>10000000</v>
      </c>
      <c r="G12" s="146">
        <v>10000000</v>
      </c>
      <c r="H12" s="146">
        <v>10000000</v>
      </c>
      <c r="I12" s="146">
        <v>10000000</v>
      </c>
      <c r="J12" s="146">
        <v>10000000</v>
      </c>
      <c r="K12" s="146">
        <v>10000000</v>
      </c>
      <c r="L12" s="146">
        <v>10000000</v>
      </c>
      <c r="M12" s="146">
        <v>10000000</v>
      </c>
      <c r="N12" s="146">
        <v>10000000</v>
      </c>
      <c r="O12" s="146">
        <v>10000000</v>
      </c>
      <c r="P12" s="146">
        <v>10000000</v>
      </c>
      <c r="Q12" s="146">
        <v>10000000</v>
      </c>
      <c r="R12" s="146">
        <v>10000000</v>
      </c>
      <c r="S12" s="146">
        <v>10000000</v>
      </c>
      <c r="T12" s="146">
        <v>10000000</v>
      </c>
      <c r="U12" s="146">
        <v>10000000</v>
      </c>
      <c r="V12" s="146">
        <v>10000000</v>
      </c>
      <c r="W12" s="146">
        <v>10000000</v>
      </c>
      <c r="X12" s="146">
        <v>10000000</v>
      </c>
      <c r="Y12" s="146">
        <v>10000000</v>
      </c>
      <c r="Z12" s="146">
        <v>10000000</v>
      </c>
      <c r="AA12" s="146">
        <v>10000000</v>
      </c>
      <c r="AB12" s="146">
        <v>10000000</v>
      </c>
      <c r="AC12" s="146">
        <v>10000000</v>
      </c>
      <c r="AD12" s="146">
        <v>10000000</v>
      </c>
    </row>
    <row r="13" spans="2:41" ht="15" customHeight="1">
      <c r="B13" s="147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</row>
    <row r="14" spans="2:41" ht="15" customHeight="1" outlineLevel="1">
      <c r="B14" s="147" t="s">
        <v>136</v>
      </c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</row>
    <row r="15" spans="2:41" ht="15" customHeight="1" outlineLevel="1">
      <c r="B15" s="147" t="s">
        <v>137</v>
      </c>
      <c r="C15" s="130">
        <v>1</v>
      </c>
      <c r="E15" s="148">
        <f>+IF($C15&gt;E$11,0,IF($C15=E$11,E$12,D15))</f>
        <v>10000000</v>
      </c>
      <c r="F15" s="148">
        <f t="shared" ref="F15:U15" si="0">+IF($C15&gt;F$11,0,IF($C15=F$11,F$12,E15))</f>
        <v>10000000</v>
      </c>
      <c r="G15" s="148">
        <f t="shared" si="0"/>
        <v>10000000</v>
      </c>
      <c r="H15" s="148">
        <f t="shared" si="0"/>
        <v>10000000</v>
      </c>
      <c r="I15" s="148">
        <f t="shared" si="0"/>
        <v>10000000</v>
      </c>
      <c r="J15" s="148">
        <f t="shared" si="0"/>
        <v>10000000</v>
      </c>
      <c r="K15" s="148">
        <f t="shared" si="0"/>
        <v>10000000</v>
      </c>
      <c r="L15" s="148">
        <f t="shared" si="0"/>
        <v>10000000</v>
      </c>
      <c r="M15" s="148">
        <f t="shared" si="0"/>
        <v>10000000</v>
      </c>
      <c r="N15" s="148">
        <f t="shared" si="0"/>
        <v>10000000</v>
      </c>
      <c r="O15" s="148">
        <f t="shared" si="0"/>
        <v>10000000</v>
      </c>
      <c r="P15" s="148">
        <f t="shared" si="0"/>
        <v>10000000</v>
      </c>
      <c r="Q15" s="148">
        <f t="shared" si="0"/>
        <v>10000000</v>
      </c>
      <c r="R15" s="148">
        <f t="shared" si="0"/>
        <v>10000000</v>
      </c>
      <c r="S15" s="148">
        <f t="shared" si="0"/>
        <v>10000000</v>
      </c>
      <c r="T15" s="148">
        <f t="shared" si="0"/>
        <v>10000000</v>
      </c>
      <c r="U15" s="148">
        <f t="shared" si="0"/>
        <v>10000000</v>
      </c>
      <c r="V15" s="148">
        <f t="shared" ref="T15:AD30" si="1">+IF($C15&gt;V$11,0,IF($C15=V$11,V$12,U15))</f>
        <v>10000000</v>
      </c>
      <c r="W15" s="148">
        <f t="shared" si="1"/>
        <v>10000000</v>
      </c>
      <c r="X15" s="148">
        <f t="shared" si="1"/>
        <v>10000000</v>
      </c>
      <c r="Y15" s="148">
        <f t="shared" si="1"/>
        <v>10000000</v>
      </c>
      <c r="Z15" s="148">
        <f t="shared" si="1"/>
        <v>10000000</v>
      </c>
      <c r="AA15" s="148">
        <f t="shared" si="1"/>
        <v>10000000</v>
      </c>
      <c r="AB15" s="148">
        <f t="shared" si="1"/>
        <v>10000000</v>
      </c>
      <c r="AC15" s="148">
        <f t="shared" si="1"/>
        <v>10000000</v>
      </c>
      <c r="AD15" s="148">
        <f t="shared" si="1"/>
        <v>10000000</v>
      </c>
    </row>
    <row r="16" spans="2:41" ht="15" customHeight="1" outlineLevel="1">
      <c r="B16" s="147" t="s">
        <v>138</v>
      </c>
      <c r="C16" s="130">
        <v>2</v>
      </c>
      <c r="E16" s="148">
        <f t="shared" ref="E16:T31" si="2">+IF($C16&gt;E$11,0,IF($C16=E$11,E$12,D16))</f>
        <v>0</v>
      </c>
      <c r="F16" s="148">
        <f t="shared" si="2"/>
        <v>10000000</v>
      </c>
      <c r="G16" s="148">
        <f t="shared" si="2"/>
        <v>10000000</v>
      </c>
      <c r="H16" s="148">
        <f t="shared" si="2"/>
        <v>10000000</v>
      </c>
      <c r="I16" s="148">
        <f t="shared" si="2"/>
        <v>10000000</v>
      </c>
      <c r="J16" s="148">
        <f t="shared" si="2"/>
        <v>10000000</v>
      </c>
      <c r="K16" s="148">
        <f t="shared" si="2"/>
        <v>10000000</v>
      </c>
      <c r="L16" s="148">
        <f t="shared" si="2"/>
        <v>10000000</v>
      </c>
      <c r="M16" s="148">
        <f t="shared" si="2"/>
        <v>10000000</v>
      </c>
      <c r="N16" s="148">
        <f t="shared" si="2"/>
        <v>10000000</v>
      </c>
      <c r="O16" s="148">
        <f t="shared" si="2"/>
        <v>10000000</v>
      </c>
      <c r="P16" s="148">
        <f t="shared" si="2"/>
        <v>10000000</v>
      </c>
      <c r="Q16" s="148">
        <f t="shared" si="2"/>
        <v>10000000</v>
      </c>
      <c r="R16" s="148">
        <f t="shared" si="2"/>
        <v>10000000</v>
      </c>
      <c r="S16" s="148">
        <f t="shared" si="2"/>
        <v>10000000</v>
      </c>
      <c r="T16" s="148">
        <f t="shared" si="1"/>
        <v>10000000</v>
      </c>
      <c r="U16" s="148">
        <f t="shared" si="1"/>
        <v>10000000</v>
      </c>
      <c r="V16" s="148">
        <f t="shared" si="1"/>
        <v>10000000</v>
      </c>
      <c r="W16" s="148">
        <f t="shared" si="1"/>
        <v>10000000</v>
      </c>
      <c r="X16" s="148">
        <f t="shared" si="1"/>
        <v>10000000</v>
      </c>
      <c r="Y16" s="148">
        <f t="shared" si="1"/>
        <v>10000000</v>
      </c>
      <c r="Z16" s="148">
        <f t="shared" si="1"/>
        <v>10000000</v>
      </c>
      <c r="AA16" s="148">
        <f t="shared" si="1"/>
        <v>10000000</v>
      </c>
      <c r="AB16" s="148">
        <f t="shared" si="1"/>
        <v>10000000</v>
      </c>
      <c r="AC16" s="148">
        <f t="shared" si="1"/>
        <v>10000000</v>
      </c>
      <c r="AD16" s="148">
        <f t="shared" si="1"/>
        <v>10000000</v>
      </c>
    </row>
    <row r="17" spans="2:30" ht="15" customHeight="1" outlineLevel="1">
      <c r="B17" s="147" t="s">
        <v>139</v>
      </c>
      <c r="C17" s="130">
        <v>3</v>
      </c>
      <c r="E17" s="148">
        <f t="shared" si="2"/>
        <v>0</v>
      </c>
      <c r="F17" s="148">
        <f>+IF($C17&gt;F$11,0,IF($C17=F$11,F$12,E17))</f>
        <v>0</v>
      </c>
      <c r="G17" s="148">
        <f t="shared" si="2"/>
        <v>10000000</v>
      </c>
      <c r="H17" s="148">
        <f t="shared" si="2"/>
        <v>10000000</v>
      </c>
      <c r="I17" s="148">
        <f t="shared" si="2"/>
        <v>10000000</v>
      </c>
      <c r="J17" s="148">
        <f t="shared" si="2"/>
        <v>10000000</v>
      </c>
      <c r="K17" s="148">
        <f t="shared" si="2"/>
        <v>10000000</v>
      </c>
      <c r="L17" s="148">
        <f t="shared" si="2"/>
        <v>10000000</v>
      </c>
      <c r="M17" s="148">
        <f t="shared" si="2"/>
        <v>10000000</v>
      </c>
      <c r="N17" s="148">
        <f t="shared" si="2"/>
        <v>10000000</v>
      </c>
      <c r="O17" s="148">
        <f t="shared" si="2"/>
        <v>10000000</v>
      </c>
      <c r="P17" s="148">
        <f t="shared" si="2"/>
        <v>10000000</v>
      </c>
      <c r="Q17" s="148">
        <f t="shared" si="2"/>
        <v>10000000</v>
      </c>
      <c r="R17" s="148">
        <f t="shared" si="2"/>
        <v>10000000</v>
      </c>
      <c r="S17" s="148">
        <f t="shared" si="2"/>
        <v>10000000</v>
      </c>
      <c r="T17" s="148">
        <f t="shared" si="1"/>
        <v>10000000</v>
      </c>
      <c r="U17" s="148">
        <f t="shared" si="1"/>
        <v>10000000</v>
      </c>
      <c r="V17" s="148">
        <f t="shared" si="1"/>
        <v>10000000</v>
      </c>
      <c r="W17" s="148">
        <f t="shared" si="1"/>
        <v>10000000</v>
      </c>
      <c r="X17" s="148">
        <f t="shared" si="1"/>
        <v>10000000</v>
      </c>
      <c r="Y17" s="148">
        <f t="shared" si="1"/>
        <v>10000000</v>
      </c>
      <c r="Z17" s="148">
        <f t="shared" si="1"/>
        <v>10000000</v>
      </c>
      <c r="AA17" s="148">
        <f t="shared" si="1"/>
        <v>10000000</v>
      </c>
      <c r="AB17" s="148">
        <f t="shared" si="1"/>
        <v>10000000</v>
      </c>
      <c r="AC17" s="148">
        <f t="shared" si="1"/>
        <v>10000000</v>
      </c>
      <c r="AD17" s="148">
        <f t="shared" si="1"/>
        <v>10000000</v>
      </c>
    </row>
    <row r="18" spans="2:30" ht="15" customHeight="1" outlineLevel="1">
      <c r="B18" s="147" t="s">
        <v>140</v>
      </c>
      <c r="C18" s="130">
        <v>4</v>
      </c>
      <c r="E18" s="148">
        <f t="shared" si="2"/>
        <v>0</v>
      </c>
      <c r="F18" s="148">
        <f t="shared" si="2"/>
        <v>0</v>
      </c>
      <c r="G18" s="148">
        <f>+IF($C18&gt;G$11,0,IF($C18=G$11,G$12,F18))</f>
        <v>0</v>
      </c>
      <c r="H18" s="148">
        <f t="shared" si="2"/>
        <v>10000000</v>
      </c>
      <c r="I18" s="148">
        <f t="shared" si="2"/>
        <v>10000000</v>
      </c>
      <c r="J18" s="148">
        <f t="shared" si="2"/>
        <v>10000000</v>
      </c>
      <c r="K18" s="148">
        <f t="shared" si="2"/>
        <v>10000000</v>
      </c>
      <c r="L18" s="148">
        <f t="shared" si="2"/>
        <v>10000000</v>
      </c>
      <c r="M18" s="148">
        <f t="shared" si="2"/>
        <v>10000000</v>
      </c>
      <c r="N18" s="148">
        <f t="shared" si="2"/>
        <v>10000000</v>
      </c>
      <c r="O18" s="148">
        <f t="shared" si="2"/>
        <v>10000000</v>
      </c>
      <c r="P18" s="148">
        <f t="shared" si="2"/>
        <v>10000000</v>
      </c>
      <c r="Q18" s="148">
        <f t="shared" si="2"/>
        <v>10000000</v>
      </c>
      <c r="R18" s="148">
        <f t="shared" si="2"/>
        <v>10000000</v>
      </c>
      <c r="S18" s="148">
        <f t="shared" si="2"/>
        <v>10000000</v>
      </c>
      <c r="T18" s="148">
        <f t="shared" si="1"/>
        <v>10000000</v>
      </c>
      <c r="U18" s="148">
        <f t="shared" si="1"/>
        <v>10000000</v>
      </c>
      <c r="V18" s="148">
        <f t="shared" si="1"/>
        <v>10000000</v>
      </c>
      <c r="W18" s="148">
        <f t="shared" si="1"/>
        <v>10000000</v>
      </c>
      <c r="X18" s="148">
        <f t="shared" si="1"/>
        <v>10000000</v>
      </c>
      <c r="Y18" s="148">
        <f t="shared" si="1"/>
        <v>10000000</v>
      </c>
      <c r="Z18" s="148">
        <f t="shared" si="1"/>
        <v>10000000</v>
      </c>
      <c r="AA18" s="148">
        <f t="shared" si="1"/>
        <v>10000000</v>
      </c>
      <c r="AB18" s="148">
        <f t="shared" si="1"/>
        <v>10000000</v>
      </c>
      <c r="AC18" s="148">
        <f t="shared" si="1"/>
        <v>10000000</v>
      </c>
      <c r="AD18" s="148">
        <f t="shared" si="1"/>
        <v>10000000</v>
      </c>
    </row>
    <row r="19" spans="2:30" ht="15" customHeight="1" outlineLevel="1">
      <c r="B19" s="147" t="s">
        <v>141</v>
      </c>
      <c r="C19" s="130">
        <v>5</v>
      </c>
      <c r="E19" s="148">
        <f t="shared" si="2"/>
        <v>0</v>
      </c>
      <c r="F19" s="148">
        <f t="shared" si="2"/>
        <v>0</v>
      </c>
      <c r="G19" s="148">
        <f t="shared" si="2"/>
        <v>0</v>
      </c>
      <c r="H19" s="148">
        <f t="shared" si="2"/>
        <v>0</v>
      </c>
      <c r="I19" s="148">
        <f t="shared" si="2"/>
        <v>10000000</v>
      </c>
      <c r="J19" s="148">
        <f t="shared" si="2"/>
        <v>10000000</v>
      </c>
      <c r="K19" s="148">
        <f t="shared" si="2"/>
        <v>10000000</v>
      </c>
      <c r="L19" s="148">
        <f t="shared" si="2"/>
        <v>10000000</v>
      </c>
      <c r="M19" s="148">
        <f t="shared" si="2"/>
        <v>10000000</v>
      </c>
      <c r="N19" s="148">
        <f t="shared" si="2"/>
        <v>10000000</v>
      </c>
      <c r="O19" s="148">
        <f t="shared" si="2"/>
        <v>10000000</v>
      </c>
      <c r="P19" s="148">
        <f t="shared" si="2"/>
        <v>10000000</v>
      </c>
      <c r="Q19" s="148">
        <f t="shared" si="2"/>
        <v>10000000</v>
      </c>
      <c r="R19" s="148">
        <f t="shared" si="2"/>
        <v>10000000</v>
      </c>
      <c r="S19" s="148">
        <f t="shared" si="2"/>
        <v>10000000</v>
      </c>
      <c r="T19" s="148">
        <f t="shared" si="1"/>
        <v>10000000</v>
      </c>
      <c r="U19" s="148">
        <f t="shared" si="1"/>
        <v>10000000</v>
      </c>
      <c r="V19" s="148">
        <f t="shared" si="1"/>
        <v>10000000</v>
      </c>
      <c r="W19" s="148">
        <f t="shared" si="1"/>
        <v>10000000</v>
      </c>
      <c r="X19" s="148">
        <f t="shared" si="1"/>
        <v>10000000</v>
      </c>
      <c r="Y19" s="148">
        <f t="shared" si="1"/>
        <v>10000000</v>
      </c>
      <c r="Z19" s="148">
        <f t="shared" si="1"/>
        <v>10000000</v>
      </c>
      <c r="AA19" s="148">
        <f t="shared" si="1"/>
        <v>10000000</v>
      </c>
      <c r="AB19" s="148">
        <f t="shared" si="1"/>
        <v>10000000</v>
      </c>
      <c r="AC19" s="148">
        <f t="shared" si="1"/>
        <v>10000000</v>
      </c>
      <c r="AD19" s="148">
        <f t="shared" si="1"/>
        <v>10000000</v>
      </c>
    </row>
    <row r="20" spans="2:30" ht="15" customHeight="1" outlineLevel="1">
      <c r="B20" s="147" t="s">
        <v>142</v>
      </c>
      <c r="C20" s="130">
        <v>6</v>
      </c>
      <c r="E20" s="148">
        <f t="shared" si="2"/>
        <v>0</v>
      </c>
      <c r="F20" s="148">
        <f t="shared" si="2"/>
        <v>0</v>
      </c>
      <c r="G20" s="148">
        <f t="shared" si="2"/>
        <v>0</v>
      </c>
      <c r="H20" s="148">
        <f t="shared" si="2"/>
        <v>0</v>
      </c>
      <c r="I20" s="148">
        <f t="shared" si="2"/>
        <v>0</v>
      </c>
      <c r="J20" s="148">
        <f t="shared" si="2"/>
        <v>10000000</v>
      </c>
      <c r="K20" s="148">
        <f t="shared" si="2"/>
        <v>10000000</v>
      </c>
      <c r="L20" s="148">
        <f t="shared" si="2"/>
        <v>10000000</v>
      </c>
      <c r="M20" s="148">
        <f t="shared" si="2"/>
        <v>10000000</v>
      </c>
      <c r="N20" s="148">
        <f t="shared" si="2"/>
        <v>10000000</v>
      </c>
      <c r="O20" s="148">
        <f t="shared" si="2"/>
        <v>10000000</v>
      </c>
      <c r="P20" s="148">
        <f t="shared" si="2"/>
        <v>10000000</v>
      </c>
      <c r="Q20" s="148">
        <f t="shared" si="2"/>
        <v>10000000</v>
      </c>
      <c r="R20" s="148">
        <f t="shared" si="2"/>
        <v>10000000</v>
      </c>
      <c r="S20" s="148">
        <f t="shared" si="2"/>
        <v>10000000</v>
      </c>
      <c r="T20" s="148">
        <f t="shared" si="1"/>
        <v>10000000</v>
      </c>
      <c r="U20" s="148">
        <f t="shared" si="1"/>
        <v>10000000</v>
      </c>
      <c r="V20" s="148">
        <f t="shared" si="1"/>
        <v>10000000</v>
      </c>
      <c r="W20" s="148">
        <f t="shared" si="1"/>
        <v>10000000</v>
      </c>
      <c r="X20" s="148">
        <f t="shared" si="1"/>
        <v>10000000</v>
      </c>
      <c r="Y20" s="148">
        <f t="shared" si="1"/>
        <v>10000000</v>
      </c>
      <c r="Z20" s="148">
        <f t="shared" si="1"/>
        <v>10000000</v>
      </c>
      <c r="AA20" s="148">
        <f t="shared" si="1"/>
        <v>10000000</v>
      </c>
      <c r="AB20" s="148">
        <f t="shared" si="1"/>
        <v>10000000</v>
      </c>
      <c r="AC20" s="148">
        <f t="shared" si="1"/>
        <v>10000000</v>
      </c>
      <c r="AD20" s="148">
        <f t="shared" si="1"/>
        <v>10000000</v>
      </c>
    </row>
    <row r="21" spans="2:30" ht="15" customHeight="1" outlineLevel="1">
      <c r="B21" s="147" t="s">
        <v>143</v>
      </c>
      <c r="C21" s="130">
        <v>7</v>
      </c>
      <c r="E21" s="148">
        <f t="shared" si="2"/>
        <v>0</v>
      </c>
      <c r="F21" s="148">
        <f t="shared" si="2"/>
        <v>0</v>
      </c>
      <c r="G21" s="148">
        <f t="shared" si="2"/>
        <v>0</v>
      </c>
      <c r="H21" s="148">
        <f t="shared" si="2"/>
        <v>0</v>
      </c>
      <c r="I21" s="148">
        <f t="shared" si="2"/>
        <v>0</v>
      </c>
      <c r="J21" s="148">
        <f t="shared" si="2"/>
        <v>0</v>
      </c>
      <c r="K21" s="148">
        <f t="shared" si="2"/>
        <v>10000000</v>
      </c>
      <c r="L21" s="148">
        <f t="shared" si="2"/>
        <v>10000000</v>
      </c>
      <c r="M21" s="148">
        <f t="shared" si="2"/>
        <v>10000000</v>
      </c>
      <c r="N21" s="148">
        <f t="shared" si="2"/>
        <v>10000000</v>
      </c>
      <c r="O21" s="148">
        <f t="shared" si="2"/>
        <v>10000000</v>
      </c>
      <c r="P21" s="148">
        <f t="shared" si="2"/>
        <v>10000000</v>
      </c>
      <c r="Q21" s="148">
        <f t="shared" si="2"/>
        <v>10000000</v>
      </c>
      <c r="R21" s="148">
        <f t="shared" si="2"/>
        <v>10000000</v>
      </c>
      <c r="S21" s="148">
        <f t="shared" si="2"/>
        <v>10000000</v>
      </c>
      <c r="T21" s="148">
        <f t="shared" si="1"/>
        <v>10000000</v>
      </c>
      <c r="U21" s="148">
        <f t="shared" si="1"/>
        <v>10000000</v>
      </c>
      <c r="V21" s="148">
        <f t="shared" si="1"/>
        <v>10000000</v>
      </c>
      <c r="W21" s="148">
        <f t="shared" si="1"/>
        <v>10000000</v>
      </c>
      <c r="X21" s="148">
        <f t="shared" si="1"/>
        <v>10000000</v>
      </c>
      <c r="Y21" s="148">
        <f t="shared" si="1"/>
        <v>10000000</v>
      </c>
      <c r="Z21" s="148">
        <f t="shared" si="1"/>
        <v>10000000</v>
      </c>
      <c r="AA21" s="148">
        <f t="shared" si="1"/>
        <v>10000000</v>
      </c>
      <c r="AB21" s="148">
        <f t="shared" si="1"/>
        <v>10000000</v>
      </c>
      <c r="AC21" s="148">
        <f t="shared" si="1"/>
        <v>10000000</v>
      </c>
      <c r="AD21" s="148">
        <f t="shared" si="1"/>
        <v>10000000</v>
      </c>
    </row>
    <row r="22" spans="2:30" ht="15" customHeight="1" outlineLevel="1">
      <c r="B22" s="147" t="s">
        <v>144</v>
      </c>
      <c r="C22" s="130">
        <v>8</v>
      </c>
      <c r="E22" s="148">
        <f t="shared" si="2"/>
        <v>0</v>
      </c>
      <c r="F22" s="148">
        <f t="shared" si="2"/>
        <v>0</v>
      </c>
      <c r="G22" s="148">
        <f t="shared" si="2"/>
        <v>0</v>
      </c>
      <c r="H22" s="148">
        <f t="shared" si="2"/>
        <v>0</v>
      </c>
      <c r="I22" s="148">
        <f t="shared" si="2"/>
        <v>0</v>
      </c>
      <c r="J22" s="148">
        <f t="shared" si="2"/>
        <v>0</v>
      </c>
      <c r="K22" s="148">
        <f t="shared" si="2"/>
        <v>0</v>
      </c>
      <c r="L22" s="148">
        <f t="shared" si="2"/>
        <v>10000000</v>
      </c>
      <c r="M22" s="148">
        <f t="shared" si="2"/>
        <v>10000000</v>
      </c>
      <c r="N22" s="148">
        <f t="shared" si="2"/>
        <v>10000000</v>
      </c>
      <c r="O22" s="148">
        <f t="shared" si="2"/>
        <v>10000000</v>
      </c>
      <c r="P22" s="148">
        <f t="shared" si="2"/>
        <v>10000000</v>
      </c>
      <c r="Q22" s="148">
        <f t="shared" si="2"/>
        <v>10000000</v>
      </c>
      <c r="R22" s="148">
        <f t="shared" si="2"/>
        <v>10000000</v>
      </c>
      <c r="S22" s="148">
        <f t="shared" si="2"/>
        <v>10000000</v>
      </c>
      <c r="T22" s="148">
        <f t="shared" si="1"/>
        <v>10000000</v>
      </c>
      <c r="U22" s="148">
        <f t="shared" si="1"/>
        <v>10000000</v>
      </c>
      <c r="V22" s="148">
        <f t="shared" si="1"/>
        <v>10000000</v>
      </c>
      <c r="W22" s="148">
        <f t="shared" si="1"/>
        <v>10000000</v>
      </c>
      <c r="X22" s="148">
        <f t="shared" si="1"/>
        <v>10000000</v>
      </c>
      <c r="Y22" s="148">
        <f t="shared" si="1"/>
        <v>10000000</v>
      </c>
      <c r="Z22" s="148">
        <f t="shared" si="1"/>
        <v>10000000</v>
      </c>
      <c r="AA22" s="148">
        <f t="shared" si="1"/>
        <v>10000000</v>
      </c>
      <c r="AB22" s="148">
        <f t="shared" si="1"/>
        <v>10000000</v>
      </c>
      <c r="AC22" s="148">
        <f t="shared" si="1"/>
        <v>10000000</v>
      </c>
      <c r="AD22" s="148">
        <f t="shared" si="1"/>
        <v>10000000</v>
      </c>
    </row>
    <row r="23" spans="2:30" ht="15" customHeight="1" outlineLevel="1">
      <c r="B23" s="147" t="s">
        <v>145</v>
      </c>
      <c r="C23" s="130">
        <v>9</v>
      </c>
      <c r="E23" s="148">
        <f t="shared" si="2"/>
        <v>0</v>
      </c>
      <c r="F23" s="148">
        <f t="shared" si="2"/>
        <v>0</v>
      </c>
      <c r="G23" s="148">
        <f t="shared" si="2"/>
        <v>0</v>
      </c>
      <c r="H23" s="148">
        <f t="shared" si="2"/>
        <v>0</v>
      </c>
      <c r="I23" s="148">
        <f t="shared" si="2"/>
        <v>0</v>
      </c>
      <c r="J23" s="148">
        <f t="shared" si="2"/>
        <v>0</v>
      </c>
      <c r="K23" s="148">
        <f t="shared" si="2"/>
        <v>0</v>
      </c>
      <c r="L23" s="148">
        <f t="shared" si="2"/>
        <v>0</v>
      </c>
      <c r="M23" s="148">
        <f t="shared" si="2"/>
        <v>10000000</v>
      </c>
      <c r="N23" s="148">
        <f t="shared" si="2"/>
        <v>10000000</v>
      </c>
      <c r="O23" s="148">
        <f t="shared" si="2"/>
        <v>10000000</v>
      </c>
      <c r="P23" s="148">
        <f t="shared" si="2"/>
        <v>10000000</v>
      </c>
      <c r="Q23" s="148">
        <f t="shared" si="2"/>
        <v>10000000</v>
      </c>
      <c r="R23" s="148">
        <f t="shared" si="2"/>
        <v>10000000</v>
      </c>
      <c r="S23" s="148">
        <f t="shared" si="2"/>
        <v>10000000</v>
      </c>
      <c r="T23" s="148">
        <f t="shared" si="1"/>
        <v>10000000</v>
      </c>
      <c r="U23" s="148">
        <f t="shared" si="1"/>
        <v>10000000</v>
      </c>
      <c r="V23" s="148">
        <f t="shared" si="1"/>
        <v>10000000</v>
      </c>
      <c r="W23" s="148">
        <f t="shared" si="1"/>
        <v>10000000</v>
      </c>
      <c r="X23" s="148">
        <f t="shared" si="1"/>
        <v>10000000</v>
      </c>
      <c r="Y23" s="148">
        <f t="shared" si="1"/>
        <v>10000000</v>
      </c>
      <c r="Z23" s="148">
        <f t="shared" si="1"/>
        <v>10000000</v>
      </c>
      <c r="AA23" s="148">
        <f t="shared" si="1"/>
        <v>10000000</v>
      </c>
      <c r="AB23" s="148">
        <f t="shared" si="1"/>
        <v>10000000</v>
      </c>
      <c r="AC23" s="148">
        <f t="shared" si="1"/>
        <v>10000000</v>
      </c>
      <c r="AD23" s="148">
        <f t="shared" si="1"/>
        <v>10000000</v>
      </c>
    </row>
    <row r="24" spans="2:30" ht="15" customHeight="1" outlineLevel="1">
      <c r="B24" s="147" t="s">
        <v>146</v>
      </c>
      <c r="C24" s="130">
        <v>10</v>
      </c>
      <c r="E24" s="148">
        <f t="shared" si="2"/>
        <v>0</v>
      </c>
      <c r="F24" s="148">
        <f t="shared" si="2"/>
        <v>0</v>
      </c>
      <c r="G24" s="148">
        <f t="shared" si="2"/>
        <v>0</v>
      </c>
      <c r="H24" s="148">
        <f t="shared" si="2"/>
        <v>0</v>
      </c>
      <c r="I24" s="148">
        <f t="shared" si="2"/>
        <v>0</v>
      </c>
      <c r="J24" s="148">
        <f t="shared" si="2"/>
        <v>0</v>
      </c>
      <c r="K24" s="148">
        <f t="shared" si="2"/>
        <v>0</v>
      </c>
      <c r="L24" s="148">
        <f t="shared" si="2"/>
        <v>0</v>
      </c>
      <c r="M24" s="148">
        <f t="shared" si="2"/>
        <v>0</v>
      </c>
      <c r="N24" s="148">
        <f t="shared" si="2"/>
        <v>10000000</v>
      </c>
      <c r="O24" s="148">
        <f t="shared" si="2"/>
        <v>10000000</v>
      </c>
      <c r="P24" s="148">
        <f t="shared" si="2"/>
        <v>10000000</v>
      </c>
      <c r="Q24" s="148">
        <f t="shared" si="2"/>
        <v>10000000</v>
      </c>
      <c r="R24" s="148">
        <f t="shared" si="2"/>
        <v>10000000</v>
      </c>
      <c r="S24" s="148">
        <f t="shared" si="2"/>
        <v>10000000</v>
      </c>
      <c r="T24" s="148">
        <f t="shared" si="1"/>
        <v>10000000</v>
      </c>
      <c r="U24" s="148">
        <f t="shared" si="1"/>
        <v>10000000</v>
      </c>
      <c r="V24" s="148">
        <f t="shared" si="1"/>
        <v>10000000</v>
      </c>
      <c r="W24" s="148">
        <f t="shared" si="1"/>
        <v>10000000</v>
      </c>
      <c r="X24" s="148">
        <f t="shared" si="1"/>
        <v>10000000</v>
      </c>
      <c r="Y24" s="148">
        <f t="shared" si="1"/>
        <v>10000000</v>
      </c>
      <c r="Z24" s="148">
        <f t="shared" si="1"/>
        <v>10000000</v>
      </c>
      <c r="AA24" s="148">
        <f t="shared" si="1"/>
        <v>10000000</v>
      </c>
      <c r="AB24" s="148">
        <f t="shared" si="1"/>
        <v>10000000</v>
      </c>
      <c r="AC24" s="148">
        <f t="shared" si="1"/>
        <v>10000000</v>
      </c>
      <c r="AD24" s="148">
        <f t="shared" si="1"/>
        <v>10000000</v>
      </c>
    </row>
    <row r="25" spans="2:30" ht="15" customHeight="1" outlineLevel="1">
      <c r="B25" s="147" t="s">
        <v>147</v>
      </c>
      <c r="C25" s="130">
        <v>11</v>
      </c>
      <c r="E25" s="148">
        <f t="shared" si="2"/>
        <v>0</v>
      </c>
      <c r="F25" s="148">
        <f t="shared" si="2"/>
        <v>0</v>
      </c>
      <c r="G25" s="148">
        <f t="shared" si="2"/>
        <v>0</v>
      </c>
      <c r="H25" s="148">
        <f t="shared" si="2"/>
        <v>0</v>
      </c>
      <c r="I25" s="148">
        <f t="shared" si="2"/>
        <v>0</v>
      </c>
      <c r="J25" s="148">
        <f t="shared" si="2"/>
        <v>0</v>
      </c>
      <c r="K25" s="148">
        <f t="shared" si="2"/>
        <v>0</v>
      </c>
      <c r="L25" s="148">
        <f t="shared" si="2"/>
        <v>0</v>
      </c>
      <c r="M25" s="148">
        <f t="shared" si="2"/>
        <v>0</v>
      </c>
      <c r="N25" s="148">
        <f t="shared" si="2"/>
        <v>0</v>
      </c>
      <c r="O25" s="148">
        <f t="shared" si="2"/>
        <v>10000000</v>
      </c>
      <c r="P25" s="148">
        <f t="shared" si="2"/>
        <v>10000000</v>
      </c>
      <c r="Q25" s="148">
        <f t="shared" si="2"/>
        <v>10000000</v>
      </c>
      <c r="R25" s="148">
        <f t="shared" si="2"/>
        <v>10000000</v>
      </c>
      <c r="S25" s="148">
        <f t="shared" si="2"/>
        <v>10000000</v>
      </c>
      <c r="T25" s="148">
        <f t="shared" si="1"/>
        <v>10000000</v>
      </c>
      <c r="U25" s="148">
        <f t="shared" si="1"/>
        <v>10000000</v>
      </c>
      <c r="V25" s="148">
        <f t="shared" si="1"/>
        <v>10000000</v>
      </c>
      <c r="W25" s="148">
        <f t="shared" si="1"/>
        <v>10000000</v>
      </c>
      <c r="X25" s="148">
        <f t="shared" si="1"/>
        <v>10000000</v>
      </c>
      <c r="Y25" s="148">
        <f t="shared" si="1"/>
        <v>10000000</v>
      </c>
      <c r="Z25" s="148">
        <f t="shared" si="1"/>
        <v>10000000</v>
      </c>
      <c r="AA25" s="148">
        <f t="shared" si="1"/>
        <v>10000000</v>
      </c>
      <c r="AB25" s="148">
        <f t="shared" si="1"/>
        <v>10000000</v>
      </c>
      <c r="AC25" s="148">
        <f t="shared" si="1"/>
        <v>10000000</v>
      </c>
      <c r="AD25" s="148">
        <f t="shared" si="1"/>
        <v>10000000</v>
      </c>
    </row>
    <row r="26" spans="2:30" ht="15" customHeight="1" outlineLevel="1">
      <c r="B26" s="147" t="s">
        <v>148</v>
      </c>
      <c r="C26" s="130">
        <v>12</v>
      </c>
      <c r="E26" s="148">
        <f t="shared" si="2"/>
        <v>0</v>
      </c>
      <c r="F26" s="148">
        <f t="shared" si="2"/>
        <v>0</v>
      </c>
      <c r="G26" s="148">
        <f t="shared" si="2"/>
        <v>0</v>
      </c>
      <c r="H26" s="148">
        <f t="shared" si="2"/>
        <v>0</v>
      </c>
      <c r="I26" s="148">
        <f t="shared" si="2"/>
        <v>0</v>
      </c>
      <c r="J26" s="148">
        <f t="shared" si="2"/>
        <v>0</v>
      </c>
      <c r="K26" s="148">
        <f t="shared" si="2"/>
        <v>0</v>
      </c>
      <c r="L26" s="148">
        <f t="shared" si="2"/>
        <v>0</v>
      </c>
      <c r="M26" s="148">
        <f t="shared" si="2"/>
        <v>0</v>
      </c>
      <c r="N26" s="148">
        <f t="shared" si="2"/>
        <v>0</v>
      </c>
      <c r="O26" s="148">
        <f t="shared" si="2"/>
        <v>0</v>
      </c>
      <c r="P26" s="148">
        <f t="shared" si="2"/>
        <v>10000000</v>
      </c>
      <c r="Q26" s="148">
        <f t="shared" si="2"/>
        <v>10000000</v>
      </c>
      <c r="R26" s="148">
        <f t="shared" si="2"/>
        <v>10000000</v>
      </c>
      <c r="S26" s="148">
        <f t="shared" si="2"/>
        <v>10000000</v>
      </c>
      <c r="T26" s="148">
        <f t="shared" si="1"/>
        <v>10000000</v>
      </c>
      <c r="U26" s="148">
        <f t="shared" si="1"/>
        <v>10000000</v>
      </c>
      <c r="V26" s="148">
        <f t="shared" si="1"/>
        <v>10000000</v>
      </c>
      <c r="W26" s="148">
        <f t="shared" si="1"/>
        <v>10000000</v>
      </c>
      <c r="X26" s="148">
        <f t="shared" si="1"/>
        <v>10000000</v>
      </c>
      <c r="Y26" s="148">
        <f t="shared" si="1"/>
        <v>10000000</v>
      </c>
      <c r="Z26" s="148">
        <f t="shared" si="1"/>
        <v>10000000</v>
      </c>
      <c r="AA26" s="148">
        <f t="shared" si="1"/>
        <v>10000000</v>
      </c>
      <c r="AB26" s="148">
        <f t="shared" si="1"/>
        <v>10000000</v>
      </c>
      <c r="AC26" s="148">
        <f t="shared" si="1"/>
        <v>10000000</v>
      </c>
      <c r="AD26" s="148">
        <f t="shared" si="1"/>
        <v>10000000</v>
      </c>
    </row>
    <row r="27" spans="2:30" ht="15" customHeight="1" outlineLevel="1">
      <c r="B27" s="147" t="s">
        <v>149</v>
      </c>
      <c r="C27" s="130">
        <v>13</v>
      </c>
      <c r="E27" s="148">
        <f t="shared" si="2"/>
        <v>0</v>
      </c>
      <c r="F27" s="148">
        <f t="shared" si="2"/>
        <v>0</v>
      </c>
      <c r="G27" s="148">
        <f t="shared" si="2"/>
        <v>0</v>
      </c>
      <c r="H27" s="148">
        <f t="shared" si="2"/>
        <v>0</v>
      </c>
      <c r="I27" s="148">
        <f t="shared" si="2"/>
        <v>0</v>
      </c>
      <c r="J27" s="148">
        <f t="shared" si="2"/>
        <v>0</v>
      </c>
      <c r="K27" s="148">
        <f t="shared" si="2"/>
        <v>0</v>
      </c>
      <c r="L27" s="148">
        <f t="shared" si="2"/>
        <v>0</v>
      </c>
      <c r="M27" s="148">
        <f t="shared" si="2"/>
        <v>0</v>
      </c>
      <c r="N27" s="148">
        <f t="shared" si="2"/>
        <v>0</v>
      </c>
      <c r="O27" s="148">
        <f t="shared" si="2"/>
        <v>0</v>
      </c>
      <c r="P27" s="148">
        <f t="shared" si="2"/>
        <v>0</v>
      </c>
      <c r="Q27" s="148">
        <f t="shared" si="2"/>
        <v>10000000</v>
      </c>
      <c r="R27" s="148">
        <f t="shared" si="2"/>
        <v>10000000</v>
      </c>
      <c r="S27" s="148">
        <f t="shared" si="2"/>
        <v>10000000</v>
      </c>
      <c r="T27" s="148">
        <f t="shared" si="1"/>
        <v>10000000</v>
      </c>
      <c r="U27" s="148">
        <f t="shared" si="1"/>
        <v>10000000</v>
      </c>
      <c r="V27" s="148">
        <f t="shared" si="1"/>
        <v>10000000</v>
      </c>
      <c r="W27" s="148">
        <f t="shared" si="1"/>
        <v>10000000</v>
      </c>
      <c r="X27" s="148">
        <f t="shared" si="1"/>
        <v>10000000</v>
      </c>
      <c r="Y27" s="148">
        <f t="shared" si="1"/>
        <v>10000000</v>
      </c>
      <c r="Z27" s="148">
        <f t="shared" si="1"/>
        <v>10000000</v>
      </c>
      <c r="AA27" s="148">
        <f t="shared" si="1"/>
        <v>10000000</v>
      </c>
      <c r="AB27" s="148">
        <f t="shared" si="1"/>
        <v>10000000</v>
      </c>
      <c r="AC27" s="148">
        <f t="shared" si="1"/>
        <v>10000000</v>
      </c>
      <c r="AD27" s="148">
        <f t="shared" si="1"/>
        <v>10000000</v>
      </c>
    </row>
    <row r="28" spans="2:30" ht="15" customHeight="1" outlineLevel="1">
      <c r="B28" s="147" t="s">
        <v>150</v>
      </c>
      <c r="C28" s="130">
        <v>14</v>
      </c>
      <c r="E28" s="148">
        <f t="shared" si="2"/>
        <v>0</v>
      </c>
      <c r="F28" s="148">
        <f t="shared" si="2"/>
        <v>0</v>
      </c>
      <c r="G28" s="148">
        <f t="shared" si="2"/>
        <v>0</v>
      </c>
      <c r="H28" s="148">
        <f t="shared" si="2"/>
        <v>0</v>
      </c>
      <c r="I28" s="148">
        <f t="shared" si="2"/>
        <v>0</v>
      </c>
      <c r="J28" s="148">
        <f t="shared" si="2"/>
        <v>0</v>
      </c>
      <c r="K28" s="148">
        <f t="shared" si="2"/>
        <v>0</v>
      </c>
      <c r="L28" s="148">
        <f t="shared" si="2"/>
        <v>0</v>
      </c>
      <c r="M28" s="148">
        <f t="shared" si="2"/>
        <v>0</v>
      </c>
      <c r="N28" s="148">
        <f t="shared" si="2"/>
        <v>0</v>
      </c>
      <c r="O28" s="148">
        <f t="shared" si="2"/>
        <v>0</v>
      </c>
      <c r="P28" s="148">
        <f t="shared" si="2"/>
        <v>0</v>
      </c>
      <c r="Q28" s="148">
        <f t="shared" si="2"/>
        <v>0</v>
      </c>
      <c r="R28" s="148">
        <f t="shared" si="2"/>
        <v>10000000</v>
      </c>
      <c r="S28" s="148">
        <f t="shared" si="2"/>
        <v>10000000</v>
      </c>
      <c r="T28" s="148">
        <f t="shared" si="1"/>
        <v>10000000</v>
      </c>
      <c r="U28" s="148">
        <f t="shared" si="1"/>
        <v>10000000</v>
      </c>
      <c r="V28" s="148">
        <f t="shared" si="1"/>
        <v>10000000</v>
      </c>
      <c r="W28" s="148">
        <f t="shared" si="1"/>
        <v>10000000</v>
      </c>
      <c r="X28" s="148">
        <f t="shared" si="1"/>
        <v>10000000</v>
      </c>
      <c r="Y28" s="148">
        <f t="shared" si="1"/>
        <v>10000000</v>
      </c>
      <c r="Z28" s="148">
        <f t="shared" si="1"/>
        <v>10000000</v>
      </c>
      <c r="AA28" s="148">
        <f t="shared" si="1"/>
        <v>10000000</v>
      </c>
      <c r="AB28" s="148">
        <f t="shared" si="1"/>
        <v>10000000</v>
      </c>
      <c r="AC28" s="148">
        <f t="shared" si="1"/>
        <v>10000000</v>
      </c>
      <c r="AD28" s="148">
        <f t="shared" si="1"/>
        <v>10000000</v>
      </c>
    </row>
    <row r="29" spans="2:30" ht="15" customHeight="1" outlineLevel="1">
      <c r="B29" s="147" t="s">
        <v>151</v>
      </c>
      <c r="C29" s="130">
        <v>15</v>
      </c>
      <c r="E29" s="148">
        <f t="shared" si="2"/>
        <v>0</v>
      </c>
      <c r="F29" s="148">
        <f t="shared" si="2"/>
        <v>0</v>
      </c>
      <c r="G29" s="148">
        <f t="shared" si="2"/>
        <v>0</v>
      </c>
      <c r="H29" s="148">
        <f t="shared" si="2"/>
        <v>0</v>
      </c>
      <c r="I29" s="148">
        <f t="shared" si="2"/>
        <v>0</v>
      </c>
      <c r="J29" s="148">
        <f t="shared" si="2"/>
        <v>0</v>
      </c>
      <c r="K29" s="148">
        <f t="shared" si="2"/>
        <v>0</v>
      </c>
      <c r="L29" s="148">
        <f t="shared" si="2"/>
        <v>0</v>
      </c>
      <c r="M29" s="148">
        <f t="shared" si="2"/>
        <v>0</v>
      </c>
      <c r="N29" s="148">
        <f t="shared" si="2"/>
        <v>0</v>
      </c>
      <c r="O29" s="148">
        <f t="shared" si="2"/>
        <v>0</v>
      </c>
      <c r="P29" s="148">
        <f t="shared" si="2"/>
        <v>0</v>
      </c>
      <c r="Q29" s="148">
        <f t="shared" si="2"/>
        <v>0</v>
      </c>
      <c r="R29" s="148">
        <f t="shared" si="2"/>
        <v>0</v>
      </c>
      <c r="S29" s="148">
        <f t="shared" si="2"/>
        <v>10000000</v>
      </c>
      <c r="T29" s="148">
        <f t="shared" si="1"/>
        <v>10000000</v>
      </c>
      <c r="U29" s="148">
        <f t="shared" si="1"/>
        <v>10000000</v>
      </c>
      <c r="V29" s="148">
        <f t="shared" si="1"/>
        <v>10000000</v>
      </c>
      <c r="W29" s="148">
        <f t="shared" si="1"/>
        <v>10000000</v>
      </c>
      <c r="X29" s="148">
        <f t="shared" si="1"/>
        <v>10000000</v>
      </c>
      <c r="Y29" s="148">
        <f t="shared" si="1"/>
        <v>10000000</v>
      </c>
      <c r="Z29" s="148">
        <f t="shared" si="1"/>
        <v>10000000</v>
      </c>
      <c r="AA29" s="148">
        <f t="shared" si="1"/>
        <v>10000000</v>
      </c>
      <c r="AB29" s="148">
        <f t="shared" si="1"/>
        <v>10000000</v>
      </c>
      <c r="AC29" s="148">
        <f t="shared" si="1"/>
        <v>10000000</v>
      </c>
      <c r="AD29" s="148">
        <f t="shared" si="1"/>
        <v>10000000</v>
      </c>
    </row>
    <row r="30" spans="2:30" ht="15" customHeight="1" outlineLevel="1">
      <c r="B30" s="147" t="s">
        <v>152</v>
      </c>
      <c r="C30" s="130">
        <v>16</v>
      </c>
      <c r="E30" s="148">
        <f t="shared" si="2"/>
        <v>0</v>
      </c>
      <c r="F30" s="148">
        <f t="shared" si="2"/>
        <v>0</v>
      </c>
      <c r="G30" s="148">
        <f t="shared" si="2"/>
        <v>0</v>
      </c>
      <c r="H30" s="148">
        <f t="shared" si="2"/>
        <v>0</v>
      </c>
      <c r="I30" s="148">
        <f t="shared" si="2"/>
        <v>0</v>
      </c>
      <c r="J30" s="148">
        <f t="shared" si="2"/>
        <v>0</v>
      </c>
      <c r="K30" s="148">
        <f t="shared" si="2"/>
        <v>0</v>
      </c>
      <c r="L30" s="148">
        <f t="shared" si="2"/>
        <v>0</v>
      </c>
      <c r="M30" s="148">
        <f t="shared" si="2"/>
        <v>0</v>
      </c>
      <c r="N30" s="148">
        <f t="shared" si="2"/>
        <v>0</v>
      </c>
      <c r="O30" s="148">
        <f t="shared" si="2"/>
        <v>0</v>
      </c>
      <c r="P30" s="148">
        <f t="shared" si="2"/>
        <v>0</v>
      </c>
      <c r="Q30" s="148">
        <f t="shared" si="2"/>
        <v>0</v>
      </c>
      <c r="R30" s="148">
        <f t="shared" si="2"/>
        <v>0</v>
      </c>
      <c r="S30" s="148">
        <f t="shared" si="2"/>
        <v>0</v>
      </c>
      <c r="T30" s="148">
        <f t="shared" si="1"/>
        <v>10000000</v>
      </c>
      <c r="U30" s="148">
        <f t="shared" si="1"/>
        <v>10000000</v>
      </c>
      <c r="V30" s="148">
        <f t="shared" si="1"/>
        <v>10000000</v>
      </c>
      <c r="W30" s="148">
        <f t="shared" si="1"/>
        <v>10000000</v>
      </c>
      <c r="X30" s="148">
        <f t="shared" si="1"/>
        <v>10000000</v>
      </c>
      <c r="Y30" s="148">
        <f t="shared" si="1"/>
        <v>10000000</v>
      </c>
      <c r="Z30" s="148">
        <f t="shared" si="1"/>
        <v>10000000</v>
      </c>
      <c r="AA30" s="148">
        <f t="shared" si="1"/>
        <v>10000000</v>
      </c>
      <c r="AB30" s="148">
        <f t="shared" si="1"/>
        <v>10000000</v>
      </c>
      <c r="AC30" s="148">
        <f t="shared" si="1"/>
        <v>10000000</v>
      </c>
      <c r="AD30" s="148">
        <f t="shared" si="1"/>
        <v>10000000</v>
      </c>
    </row>
    <row r="31" spans="2:30" ht="15" customHeight="1" outlineLevel="1">
      <c r="B31" s="147" t="s">
        <v>153</v>
      </c>
      <c r="C31" s="130">
        <v>17</v>
      </c>
      <c r="E31" s="148">
        <f t="shared" si="2"/>
        <v>0</v>
      </c>
      <c r="F31" s="148">
        <f t="shared" si="2"/>
        <v>0</v>
      </c>
      <c r="G31" s="148">
        <f t="shared" si="2"/>
        <v>0</v>
      </c>
      <c r="H31" s="148">
        <f t="shared" si="2"/>
        <v>0</v>
      </c>
      <c r="I31" s="148">
        <f t="shared" si="2"/>
        <v>0</v>
      </c>
      <c r="J31" s="148">
        <f t="shared" si="2"/>
        <v>0</v>
      </c>
      <c r="K31" s="148">
        <f t="shared" si="2"/>
        <v>0</v>
      </c>
      <c r="L31" s="148">
        <f t="shared" si="2"/>
        <v>0</v>
      </c>
      <c r="M31" s="148">
        <f t="shared" si="2"/>
        <v>0</v>
      </c>
      <c r="N31" s="148">
        <f t="shared" si="2"/>
        <v>0</v>
      </c>
      <c r="O31" s="148">
        <f t="shared" si="2"/>
        <v>0</v>
      </c>
      <c r="P31" s="148">
        <f t="shared" si="2"/>
        <v>0</v>
      </c>
      <c r="Q31" s="148">
        <f t="shared" si="2"/>
        <v>0</v>
      </c>
      <c r="R31" s="148">
        <f t="shared" si="2"/>
        <v>0</v>
      </c>
      <c r="S31" s="148">
        <f t="shared" si="2"/>
        <v>0</v>
      </c>
      <c r="T31" s="148">
        <f t="shared" si="2"/>
        <v>0</v>
      </c>
      <c r="U31" s="148">
        <f t="shared" ref="U31:AD39" si="3">+IF($C31&gt;U$11,0,IF($C31=U$11,U$12,T31))</f>
        <v>10000000</v>
      </c>
      <c r="V31" s="148">
        <f t="shared" si="3"/>
        <v>10000000</v>
      </c>
      <c r="W31" s="148">
        <f t="shared" si="3"/>
        <v>10000000</v>
      </c>
      <c r="X31" s="148">
        <f t="shared" si="3"/>
        <v>10000000</v>
      </c>
      <c r="Y31" s="148">
        <f t="shared" si="3"/>
        <v>10000000</v>
      </c>
      <c r="Z31" s="148">
        <f t="shared" si="3"/>
        <v>10000000</v>
      </c>
      <c r="AA31" s="148">
        <f t="shared" si="3"/>
        <v>10000000</v>
      </c>
      <c r="AB31" s="148">
        <f t="shared" si="3"/>
        <v>10000000</v>
      </c>
      <c r="AC31" s="148">
        <f t="shared" si="3"/>
        <v>10000000</v>
      </c>
      <c r="AD31" s="148">
        <f t="shared" si="3"/>
        <v>10000000</v>
      </c>
    </row>
    <row r="32" spans="2:30" ht="15" customHeight="1" outlineLevel="1">
      <c r="B32" s="147" t="s">
        <v>154</v>
      </c>
      <c r="C32" s="130">
        <v>18</v>
      </c>
      <c r="E32" s="148">
        <f t="shared" ref="E32:T39" si="4">+IF($C32&gt;E$11,0,IF($C32=E$11,E$12,D32))</f>
        <v>0</v>
      </c>
      <c r="F32" s="148">
        <f t="shared" si="4"/>
        <v>0</v>
      </c>
      <c r="G32" s="148">
        <f t="shared" si="4"/>
        <v>0</v>
      </c>
      <c r="H32" s="148">
        <f t="shared" si="4"/>
        <v>0</v>
      </c>
      <c r="I32" s="148">
        <f t="shared" si="4"/>
        <v>0</v>
      </c>
      <c r="J32" s="148">
        <f t="shared" si="4"/>
        <v>0</v>
      </c>
      <c r="K32" s="148">
        <f t="shared" si="4"/>
        <v>0</v>
      </c>
      <c r="L32" s="148">
        <f t="shared" si="4"/>
        <v>0</v>
      </c>
      <c r="M32" s="148">
        <f t="shared" si="4"/>
        <v>0</v>
      </c>
      <c r="N32" s="148">
        <f t="shared" si="4"/>
        <v>0</v>
      </c>
      <c r="O32" s="148">
        <f t="shared" si="4"/>
        <v>0</v>
      </c>
      <c r="P32" s="148">
        <f t="shared" si="4"/>
        <v>0</v>
      </c>
      <c r="Q32" s="148">
        <f t="shared" si="4"/>
        <v>0</v>
      </c>
      <c r="R32" s="148">
        <f t="shared" si="4"/>
        <v>0</v>
      </c>
      <c r="S32" s="148">
        <f t="shared" si="4"/>
        <v>0</v>
      </c>
      <c r="T32" s="148">
        <f t="shared" si="4"/>
        <v>0</v>
      </c>
      <c r="U32" s="148">
        <f t="shared" si="3"/>
        <v>0</v>
      </c>
      <c r="V32" s="148">
        <f t="shared" si="3"/>
        <v>10000000</v>
      </c>
      <c r="W32" s="148">
        <f t="shared" si="3"/>
        <v>10000000</v>
      </c>
      <c r="X32" s="148">
        <f t="shared" si="3"/>
        <v>10000000</v>
      </c>
      <c r="Y32" s="148">
        <f t="shared" si="3"/>
        <v>10000000</v>
      </c>
      <c r="Z32" s="148">
        <f t="shared" si="3"/>
        <v>10000000</v>
      </c>
      <c r="AA32" s="148">
        <f t="shared" si="3"/>
        <v>10000000</v>
      </c>
      <c r="AB32" s="148">
        <f t="shared" si="3"/>
        <v>10000000</v>
      </c>
      <c r="AC32" s="148">
        <f t="shared" si="3"/>
        <v>10000000</v>
      </c>
      <c r="AD32" s="148">
        <f t="shared" si="3"/>
        <v>10000000</v>
      </c>
    </row>
    <row r="33" spans="2:30" ht="15" customHeight="1" outlineLevel="1">
      <c r="B33" s="147" t="s">
        <v>155</v>
      </c>
      <c r="C33" s="130">
        <v>19</v>
      </c>
      <c r="E33" s="148">
        <f t="shared" si="4"/>
        <v>0</v>
      </c>
      <c r="F33" s="148">
        <f t="shared" si="4"/>
        <v>0</v>
      </c>
      <c r="G33" s="148">
        <f t="shared" si="4"/>
        <v>0</v>
      </c>
      <c r="H33" s="148">
        <f t="shared" si="4"/>
        <v>0</v>
      </c>
      <c r="I33" s="148">
        <f t="shared" si="4"/>
        <v>0</v>
      </c>
      <c r="J33" s="148">
        <f t="shared" si="4"/>
        <v>0</v>
      </c>
      <c r="K33" s="148">
        <f t="shared" si="4"/>
        <v>0</v>
      </c>
      <c r="L33" s="148">
        <f t="shared" si="4"/>
        <v>0</v>
      </c>
      <c r="M33" s="148">
        <f t="shared" si="4"/>
        <v>0</v>
      </c>
      <c r="N33" s="148">
        <f t="shared" si="4"/>
        <v>0</v>
      </c>
      <c r="O33" s="148">
        <f t="shared" si="4"/>
        <v>0</v>
      </c>
      <c r="P33" s="148">
        <f t="shared" si="4"/>
        <v>0</v>
      </c>
      <c r="Q33" s="148">
        <f t="shared" si="4"/>
        <v>0</v>
      </c>
      <c r="R33" s="148">
        <f t="shared" si="4"/>
        <v>0</v>
      </c>
      <c r="S33" s="148">
        <f t="shared" si="4"/>
        <v>0</v>
      </c>
      <c r="T33" s="148">
        <f t="shared" si="4"/>
        <v>0</v>
      </c>
      <c r="U33" s="148">
        <f t="shared" si="3"/>
        <v>0</v>
      </c>
      <c r="V33" s="148">
        <f t="shared" si="3"/>
        <v>0</v>
      </c>
      <c r="W33" s="148">
        <f t="shared" si="3"/>
        <v>10000000</v>
      </c>
      <c r="X33" s="148">
        <f t="shared" si="3"/>
        <v>10000000</v>
      </c>
      <c r="Y33" s="148">
        <f t="shared" si="3"/>
        <v>10000000</v>
      </c>
      <c r="Z33" s="148">
        <f t="shared" si="3"/>
        <v>10000000</v>
      </c>
      <c r="AA33" s="148">
        <f t="shared" si="3"/>
        <v>10000000</v>
      </c>
      <c r="AB33" s="148">
        <f t="shared" si="3"/>
        <v>10000000</v>
      </c>
      <c r="AC33" s="148">
        <f t="shared" si="3"/>
        <v>10000000</v>
      </c>
      <c r="AD33" s="148">
        <f t="shared" si="3"/>
        <v>10000000</v>
      </c>
    </row>
    <row r="34" spans="2:30" ht="15" customHeight="1" outlineLevel="1">
      <c r="B34" s="147" t="s">
        <v>156</v>
      </c>
      <c r="C34" s="130">
        <v>20</v>
      </c>
      <c r="E34" s="148">
        <f t="shared" si="4"/>
        <v>0</v>
      </c>
      <c r="F34" s="148">
        <f t="shared" si="4"/>
        <v>0</v>
      </c>
      <c r="G34" s="148">
        <f t="shared" si="4"/>
        <v>0</v>
      </c>
      <c r="H34" s="148">
        <f t="shared" si="4"/>
        <v>0</v>
      </c>
      <c r="I34" s="148">
        <f t="shared" si="4"/>
        <v>0</v>
      </c>
      <c r="J34" s="148">
        <f t="shared" si="4"/>
        <v>0</v>
      </c>
      <c r="K34" s="148">
        <f t="shared" si="4"/>
        <v>0</v>
      </c>
      <c r="L34" s="148">
        <f t="shared" si="4"/>
        <v>0</v>
      </c>
      <c r="M34" s="148">
        <f t="shared" si="4"/>
        <v>0</v>
      </c>
      <c r="N34" s="148">
        <f t="shared" si="4"/>
        <v>0</v>
      </c>
      <c r="O34" s="148">
        <f t="shared" si="4"/>
        <v>0</v>
      </c>
      <c r="P34" s="148">
        <f t="shared" si="4"/>
        <v>0</v>
      </c>
      <c r="Q34" s="148">
        <f t="shared" si="4"/>
        <v>0</v>
      </c>
      <c r="R34" s="148">
        <f t="shared" si="4"/>
        <v>0</v>
      </c>
      <c r="S34" s="148">
        <f t="shared" si="4"/>
        <v>0</v>
      </c>
      <c r="T34" s="148">
        <f t="shared" si="4"/>
        <v>0</v>
      </c>
      <c r="U34" s="148">
        <f t="shared" si="3"/>
        <v>0</v>
      </c>
      <c r="V34" s="148">
        <f t="shared" si="3"/>
        <v>0</v>
      </c>
      <c r="W34" s="148">
        <f t="shared" si="3"/>
        <v>0</v>
      </c>
      <c r="X34" s="148">
        <f t="shared" si="3"/>
        <v>10000000</v>
      </c>
      <c r="Y34" s="148">
        <f t="shared" si="3"/>
        <v>10000000</v>
      </c>
      <c r="Z34" s="148">
        <f t="shared" si="3"/>
        <v>10000000</v>
      </c>
      <c r="AA34" s="148">
        <f t="shared" si="3"/>
        <v>10000000</v>
      </c>
      <c r="AB34" s="148">
        <f t="shared" si="3"/>
        <v>10000000</v>
      </c>
      <c r="AC34" s="148">
        <f t="shared" si="3"/>
        <v>10000000</v>
      </c>
      <c r="AD34" s="148">
        <f t="shared" si="3"/>
        <v>10000000</v>
      </c>
    </row>
    <row r="35" spans="2:30" ht="15" customHeight="1" outlineLevel="1">
      <c r="B35" s="147" t="s">
        <v>157</v>
      </c>
      <c r="C35" s="130">
        <v>21</v>
      </c>
      <c r="E35" s="148">
        <f t="shared" si="4"/>
        <v>0</v>
      </c>
      <c r="F35" s="148">
        <f t="shared" si="4"/>
        <v>0</v>
      </c>
      <c r="G35" s="148">
        <f t="shared" si="4"/>
        <v>0</v>
      </c>
      <c r="H35" s="148">
        <f t="shared" si="4"/>
        <v>0</v>
      </c>
      <c r="I35" s="148">
        <f t="shared" si="4"/>
        <v>0</v>
      </c>
      <c r="J35" s="148">
        <f t="shared" si="4"/>
        <v>0</v>
      </c>
      <c r="K35" s="148">
        <f t="shared" si="4"/>
        <v>0</v>
      </c>
      <c r="L35" s="148">
        <f t="shared" si="4"/>
        <v>0</v>
      </c>
      <c r="M35" s="148">
        <f t="shared" si="4"/>
        <v>0</v>
      </c>
      <c r="N35" s="148">
        <f t="shared" si="4"/>
        <v>0</v>
      </c>
      <c r="O35" s="148">
        <f t="shared" si="4"/>
        <v>0</v>
      </c>
      <c r="P35" s="148">
        <f t="shared" si="4"/>
        <v>0</v>
      </c>
      <c r="Q35" s="148">
        <f t="shared" si="4"/>
        <v>0</v>
      </c>
      <c r="R35" s="148">
        <f t="shared" si="4"/>
        <v>0</v>
      </c>
      <c r="S35" s="148">
        <f t="shared" si="4"/>
        <v>0</v>
      </c>
      <c r="T35" s="148">
        <f t="shared" si="4"/>
        <v>0</v>
      </c>
      <c r="U35" s="148">
        <f t="shared" si="3"/>
        <v>0</v>
      </c>
      <c r="V35" s="148">
        <f t="shared" si="3"/>
        <v>0</v>
      </c>
      <c r="W35" s="148">
        <f t="shared" si="3"/>
        <v>0</v>
      </c>
      <c r="X35" s="148">
        <f t="shared" si="3"/>
        <v>0</v>
      </c>
      <c r="Y35" s="148">
        <f t="shared" si="3"/>
        <v>10000000</v>
      </c>
      <c r="Z35" s="148">
        <f t="shared" si="3"/>
        <v>10000000</v>
      </c>
      <c r="AA35" s="148">
        <f t="shared" si="3"/>
        <v>10000000</v>
      </c>
      <c r="AB35" s="148">
        <f t="shared" si="3"/>
        <v>10000000</v>
      </c>
      <c r="AC35" s="148">
        <f t="shared" si="3"/>
        <v>10000000</v>
      </c>
      <c r="AD35" s="148">
        <f t="shared" si="3"/>
        <v>10000000</v>
      </c>
    </row>
    <row r="36" spans="2:30" ht="15" customHeight="1" outlineLevel="1">
      <c r="B36" s="147" t="s">
        <v>158</v>
      </c>
      <c r="C36" s="130">
        <v>22</v>
      </c>
      <c r="E36" s="148">
        <f t="shared" si="4"/>
        <v>0</v>
      </c>
      <c r="F36" s="148">
        <f t="shared" si="4"/>
        <v>0</v>
      </c>
      <c r="G36" s="148">
        <f t="shared" si="4"/>
        <v>0</v>
      </c>
      <c r="H36" s="148">
        <f t="shared" si="4"/>
        <v>0</v>
      </c>
      <c r="I36" s="148">
        <f t="shared" si="4"/>
        <v>0</v>
      </c>
      <c r="J36" s="148">
        <f t="shared" si="4"/>
        <v>0</v>
      </c>
      <c r="K36" s="148">
        <f t="shared" si="4"/>
        <v>0</v>
      </c>
      <c r="L36" s="148">
        <f t="shared" si="4"/>
        <v>0</v>
      </c>
      <c r="M36" s="148">
        <f t="shared" si="4"/>
        <v>0</v>
      </c>
      <c r="N36" s="148">
        <f t="shared" si="4"/>
        <v>0</v>
      </c>
      <c r="O36" s="148">
        <f t="shared" si="4"/>
        <v>0</v>
      </c>
      <c r="P36" s="148">
        <f t="shared" si="4"/>
        <v>0</v>
      </c>
      <c r="Q36" s="148">
        <f t="shared" si="4"/>
        <v>0</v>
      </c>
      <c r="R36" s="148">
        <f t="shared" si="4"/>
        <v>0</v>
      </c>
      <c r="S36" s="148">
        <f t="shared" si="4"/>
        <v>0</v>
      </c>
      <c r="T36" s="148">
        <f t="shared" si="4"/>
        <v>0</v>
      </c>
      <c r="U36" s="148">
        <f t="shared" si="3"/>
        <v>0</v>
      </c>
      <c r="V36" s="148">
        <f t="shared" si="3"/>
        <v>0</v>
      </c>
      <c r="W36" s="148">
        <f t="shared" si="3"/>
        <v>0</v>
      </c>
      <c r="X36" s="148">
        <f t="shared" si="3"/>
        <v>0</v>
      </c>
      <c r="Y36" s="148">
        <f t="shared" si="3"/>
        <v>0</v>
      </c>
      <c r="Z36" s="148">
        <f t="shared" si="3"/>
        <v>10000000</v>
      </c>
      <c r="AA36" s="148">
        <f t="shared" si="3"/>
        <v>10000000</v>
      </c>
      <c r="AB36" s="148">
        <f t="shared" si="3"/>
        <v>10000000</v>
      </c>
      <c r="AC36" s="148">
        <f t="shared" si="3"/>
        <v>10000000</v>
      </c>
      <c r="AD36" s="148">
        <f t="shared" si="3"/>
        <v>10000000</v>
      </c>
    </row>
    <row r="37" spans="2:30" ht="15" customHeight="1" outlineLevel="1">
      <c r="B37" s="147" t="s">
        <v>159</v>
      </c>
      <c r="C37" s="130">
        <v>23</v>
      </c>
      <c r="E37" s="148">
        <f t="shared" si="4"/>
        <v>0</v>
      </c>
      <c r="F37" s="148">
        <f t="shared" si="4"/>
        <v>0</v>
      </c>
      <c r="G37" s="148">
        <f t="shared" si="4"/>
        <v>0</v>
      </c>
      <c r="H37" s="148">
        <f t="shared" si="4"/>
        <v>0</v>
      </c>
      <c r="I37" s="148">
        <f t="shared" si="4"/>
        <v>0</v>
      </c>
      <c r="J37" s="148">
        <f t="shared" si="4"/>
        <v>0</v>
      </c>
      <c r="K37" s="148">
        <f t="shared" si="4"/>
        <v>0</v>
      </c>
      <c r="L37" s="148">
        <f t="shared" si="4"/>
        <v>0</v>
      </c>
      <c r="M37" s="148">
        <f t="shared" si="4"/>
        <v>0</v>
      </c>
      <c r="N37" s="148">
        <f t="shared" si="4"/>
        <v>0</v>
      </c>
      <c r="O37" s="148">
        <f t="shared" si="4"/>
        <v>0</v>
      </c>
      <c r="P37" s="148">
        <f t="shared" si="4"/>
        <v>0</v>
      </c>
      <c r="Q37" s="148">
        <f t="shared" si="4"/>
        <v>0</v>
      </c>
      <c r="R37" s="148">
        <f t="shared" si="4"/>
        <v>0</v>
      </c>
      <c r="S37" s="148">
        <f t="shared" si="4"/>
        <v>0</v>
      </c>
      <c r="T37" s="148">
        <f t="shared" si="4"/>
        <v>0</v>
      </c>
      <c r="U37" s="148">
        <f t="shared" si="3"/>
        <v>0</v>
      </c>
      <c r="V37" s="148">
        <f t="shared" si="3"/>
        <v>0</v>
      </c>
      <c r="W37" s="148">
        <f t="shared" si="3"/>
        <v>0</v>
      </c>
      <c r="X37" s="148">
        <f t="shared" si="3"/>
        <v>0</v>
      </c>
      <c r="Y37" s="148">
        <f t="shared" si="3"/>
        <v>0</v>
      </c>
      <c r="Z37" s="148">
        <f t="shared" si="3"/>
        <v>0</v>
      </c>
      <c r="AA37" s="148">
        <f t="shared" si="3"/>
        <v>10000000</v>
      </c>
      <c r="AB37" s="148">
        <f t="shared" si="3"/>
        <v>10000000</v>
      </c>
      <c r="AC37" s="148">
        <f t="shared" si="3"/>
        <v>10000000</v>
      </c>
      <c r="AD37" s="148">
        <f t="shared" si="3"/>
        <v>10000000</v>
      </c>
    </row>
    <row r="38" spans="2:30" ht="15" customHeight="1" outlineLevel="1">
      <c r="B38" s="147" t="s">
        <v>160</v>
      </c>
      <c r="C38" s="130">
        <v>24</v>
      </c>
      <c r="E38" s="148">
        <f t="shared" si="4"/>
        <v>0</v>
      </c>
      <c r="F38" s="148">
        <f t="shared" si="4"/>
        <v>0</v>
      </c>
      <c r="G38" s="148">
        <f t="shared" si="4"/>
        <v>0</v>
      </c>
      <c r="H38" s="148">
        <f t="shared" si="4"/>
        <v>0</v>
      </c>
      <c r="I38" s="148">
        <f t="shared" si="4"/>
        <v>0</v>
      </c>
      <c r="J38" s="148">
        <f t="shared" si="4"/>
        <v>0</v>
      </c>
      <c r="K38" s="148">
        <f t="shared" si="4"/>
        <v>0</v>
      </c>
      <c r="L38" s="148">
        <f t="shared" si="4"/>
        <v>0</v>
      </c>
      <c r="M38" s="148">
        <f t="shared" si="4"/>
        <v>0</v>
      </c>
      <c r="N38" s="148">
        <f t="shared" si="4"/>
        <v>0</v>
      </c>
      <c r="O38" s="148">
        <f t="shared" si="4"/>
        <v>0</v>
      </c>
      <c r="P38" s="148">
        <f t="shared" si="4"/>
        <v>0</v>
      </c>
      <c r="Q38" s="148">
        <f t="shared" si="4"/>
        <v>0</v>
      </c>
      <c r="R38" s="148">
        <f t="shared" si="4"/>
        <v>0</v>
      </c>
      <c r="S38" s="148">
        <f t="shared" si="4"/>
        <v>0</v>
      </c>
      <c r="T38" s="148">
        <f t="shared" si="4"/>
        <v>0</v>
      </c>
      <c r="U38" s="148">
        <f t="shared" si="3"/>
        <v>0</v>
      </c>
      <c r="V38" s="148">
        <f t="shared" si="3"/>
        <v>0</v>
      </c>
      <c r="W38" s="148">
        <f t="shared" si="3"/>
        <v>0</v>
      </c>
      <c r="X38" s="148">
        <f t="shared" si="3"/>
        <v>0</v>
      </c>
      <c r="Y38" s="148">
        <f t="shared" si="3"/>
        <v>0</v>
      </c>
      <c r="Z38" s="148">
        <f t="shared" si="3"/>
        <v>0</v>
      </c>
      <c r="AA38" s="148">
        <f t="shared" si="3"/>
        <v>0</v>
      </c>
      <c r="AB38" s="148">
        <f t="shared" si="3"/>
        <v>10000000</v>
      </c>
      <c r="AC38" s="148">
        <f t="shared" si="3"/>
        <v>10000000</v>
      </c>
      <c r="AD38" s="148">
        <f t="shared" si="3"/>
        <v>10000000</v>
      </c>
    </row>
    <row r="39" spans="2:30" ht="15" customHeight="1" outlineLevel="1">
      <c r="B39" s="149" t="s">
        <v>161</v>
      </c>
      <c r="C39" s="150">
        <v>25</v>
      </c>
      <c r="D39" s="150"/>
      <c r="E39" s="151">
        <f t="shared" si="4"/>
        <v>0</v>
      </c>
      <c r="F39" s="151">
        <f t="shared" si="4"/>
        <v>0</v>
      </c>
      <c r="G39" s="151">
        <f t="shared" si="4"/>
        <v>0</v>
      </c>
      <c r="H39" s="151">
        <f t="shared" si="4"/>
        <v>0</v>
      </c>
      <c r="I39" s="151">
        <f t="shared" si="4"/>
        <v>0</v>
      </c>
      <c r="J39" s="151">
        <f t="shared" si="4"/>
        <v>0</v>
      </c>
      <c r="K39" s="151">
        <f t="shared" si="4"/>
        <v>0</v>
      </c>
      <c r="L39" s="151">
        <f t="shared" si="4"/>
        <v>0</v>
      </c>
      <c r="M39" s="151">
        <f t="shared" si="4"/>
        <v>0</v>
      </c>
      <c r="N39" s="151">
        <f t="shared" si="4"/>
        <v>0</v>
      </c>
      <c r="O39" s="151">
        <f t="shared" si="4"/>
        <v>0</v>
      </c>
      <c r="P39" s="151">
        <f t="shared" si="4"/>
        <v>0</v>
      </c>
      <c r="Q39" s="151">
        <f t="shared" si="4"/>
        <v>0</v>
      </c>
      <c r="R39" s="151">
        <f t="shared" si="4"/>
        <v>0</v>
      </c>
      <c r="S39" s="151">
        <f t="shared" si="4"/>
        <v>0</v>
      </c>
      <c r="T39" s="151">
        <f t="shared" si="4"/>
        <v>0</v>
      </c>
      <c r="U39" s="151">
        <f t="shared" si="3"/>
        <v>0</v>
      </c>
      <c r="V39" s="151">
        <f t="shared" si="3"/>
        <v>0</v>
      </c>
      <c r="W39" s="151">
        <f t="shared" si="3"/>
        <v>0</v>
      </c>
      <c r="X39" s="151">
        <f t="shared" si="3"/>
        <v>0</v>
      </c>
      <c r="Y39" s="151">
        <f t="shared" si="3"/>
        <v>0</v>
      </c>
      <c r="Z39" s="151">
        <f t="shared" si="3"/>
        <v>0</v>
      </c>
      <c r="AA39" s="151">
        <f t="shared" si="3"/>
        <v>0</v>
      </c>
      <c r="AB39" s="151">
        <f t="shared" si="3"/>
        <v>0</v>
      </c>
      <c r="AC39" s="151">
        <f t="shared" si="3"/>
        <v>10000000</v>
      </c>
      <c r="AD39" s="151">
        <f t="shared" si="3"/>
        <v>10000000</v>
      </c>
    </row>
    <row r="40" spans="2:30" ht="15" customHeight="1">
      <c r="B40" s="147" t="s">
        <v>162</v>
      </c>
      <c r="E40" s="148">
        <f>+SUM(E15:E39)</f>
        <v>10000000</v>
      </c>
      <c r="F40" s="148">
        <f t="shared" ref="F40:AC40" si="5">+SUM(F15:F39)</f>
        <v>20000000</v>
      </c>
      <c r="G40" s="148">
        <f t="shared" si="5"/>
        <v>30000000</v>
      </c>
      <c r="H40" s="148">
        <f t="shared" si="5"/>
        <v>40000000</v>
      </c>
      <c r="I40" s="148">
        <f t="shared" si="5"/>
        <v>50000000</v>
      </c>
      <c r="J40" s="148">
        <f t="shared" si="5"/>
        <v>60000000</v>
      </c>
      <c r="K40" s="148">
        <f t="shared" si="5"/>
        <v>70000000</v>
      </c>
      <c r="L40" s="148">
        <f t="shared" si="5"/>
        <v>80000000</v>
      </c>
      <c r="M40" s="148">
        <f t="shared" si="5"/>
        <v>90000000</v>
      </c>
      <c r="N40" s="148">
        <f t="shared" si="5"/>
        <v>100000000</v>
      </c>
      <c r="O40" s="148">
        <f t="shared" si="5"/>
        <v>110000000</v>
      </c>
      <c r="P40" s="148">
        <f t="shared" si="5"/>
        <v>120000000</v>
      </c>
      <c r="Q40" s="148">
        <f t="shared" si="5"/>
        <v>130000000</v>
      </c>
      <c r="R40" s="148">
        <f t="shared" si="5"/>
        <v>140000000</v>
      </c>
      <c r="S40" s="148">
        <f t="shared" si="5"/>
        <v>150000000</v>
      </c>
      <c r="T40" s="148">
        <f t="shared" si="5"/>
        <v>160000000</v>
      </c>
      <c r="U40" s="148">
        <f t="shared" si="5"/>
        <v>170000000</v>
      </c>
      <c r="V40" s="148">
        <f t="shared" si="5"/>
        <v>180000000</v>
      </c>
      <c r="W40" s="148">
        <f t="shared" si="5"/>
        <v>190000000</v>
      </c>
      <c r="X40" s="148">
        <f t="shared" si="5"/>
        <v>200000000</v>
      </c>
      <c r="Y40" s="148">
        <f t="shared" si="5"/>
        <v>210000000</v>
      </c>
      <c r="Z40" s="148">
        <f t="shared" si="5"/>
        <v>220000000</v>
      </c>
      <c r="AA40" s="148">
        <f t="shared" si="5"/>
        <v>230000000</v>
      </c>
      <c r="AB40" s="148">
        <f t="shared" si="5"/>
        <v>240000000</v>
      </c>
      <c r="AC40" s="148">
        <f t="shared" si="5"/>
        <v>250000000</v>
      </c>
      <c r="AD40" s="148">
        <f t="shared" ref="AD40" si="6">+SUM(AD15:AD39)</f>
        <v>250000000</v>
      </c>
    </row>
    <row r="41" spans="2:30" ht="15" customHeight="1">
      <c r="B41" s="130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</row>
    <row r="42" spans="2:30" ht="15" customHeight="1">
      <c r="B42" s="144" t="s">
        <v>163</v>
      </c>
      <c r="C42" s="152">
        <v>20</v>
      </c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</row>
    <row r="43" spans="2:30" ht="15" customHeight="1">
      <c r="B43" s="147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</row>
    <row r="44" spans="2:30" ht="15" customHeight="1" outlineLevel="1">
      <c r="B44" s="147" t="s">
        <v>137</v>
      </c>
      <c r="C44" s="130">
        <v>1</v>
      </c>
      <c r="E44" s="153">
        <f>+IF($C44+$C$42&gt;E$11,E15/$C$42,0)</f>
        <v>500000</v>
      </c>
      <c r="F44" s="153">
        <f t="shared" ref="F44:AD44" si="7">+IF($C44+$C$42&gt;F$11,F15/$C$42,0)</f>
        <v>500000</v>
      </c>
      <c r="G44" s="153">
        <f t="shared" si="7"/>
        <v>500000</v>
      </c>
      <c r="H44" s="153">
        <f>+IF($C44+$C$42&gt;H$11,H15/$C$42,0)</f>
        <v>500000</v>
      </c>
      <c r="I44" s="153">
        <f>+IF($C44+$C$42&gt;I$11,I15/$C$42,0)</f>
        <v>500000</v>
      </c>
      <c r="J44" s="153">
        <f>+IF($C44+$C$42&gt;J$11,J15/$C$42,0)</f>
        <v>500000</v>
      </c>
      <c r="K44" s="153">
        <f t="shared" si="7"/>
        <v>500000</v>
      </c>
      <c r="L44" s="153">
        <f t="shared" si="7"/>
        <v>500000</v>
      </c>
      <c r="M44" s="153">
        <f t="shared" si="7"/>
        <v>500000</v>
      </c>
      <c r="N44" s="153">
        <f t="shared" si="7"/>
        <v>500000</v>
      </c>
      <c r="O44" s="153">
        <f t="shared" si="7"/>
        <v>500000</v>
      </c>
      <c r="P44" s="153">
        <f t="shared" si="7"/>
        <v>500000</v>
      </c>
      <c r="Q44" s="153">
        <f t="shared" si="7"/>
        <v>500000</v>
      </c>
      <c r="R44" s="153">
        <f t="shared" si="7"/>
        <v>500000</v>
      </c>
      <c r="S44" s="153">
        <f t="shared" si="7"/>
        <v>500000</v>
      </c>
      <c r="T44" s="153">
        <f t="shared" si="7"/>
        <v>500000</v>
      </c>
      <c r="U44" s="153">
        <f t="shared" si="7"/>
        <v>500000</v>
      </c>
      <c r="V44" s="153">
        <f t="shared" si="7"/>
        <v>500000</v>
      </c>
      <c r="W44" s="153">
        <f t="shared" si="7"/>
        <v>500000</v>
      </c>
      <c r="X44" s="153">
        <f t="shared" si="7"/>
        <v>500000</v>
      </c>
      <c r="Y44" s="153">
        <f t="shared" si="7"/>
        <v>0</v>
      </c>
      <c r="Z44" s="153">
        <f t="shared" si="7"/>
        <v>0</v>
      </c>
      <c r="AA44" s="153">
        <f t="shared" si="7"/>
        <v>0</v>
      </c>
      <c r="AB44" s="153">
        <f t="shared" si="7"/>
        <v>0</v>
      </c>
      <c r="AC44" s="153">
        <f t="shared" si="7"/>
        <v>0</v>
      </c>
      <c r="AD44" s="153">
        <f t="shared" si="7"/>
        <v>0</v>
      </c>
    </row>
    <row r="45" spans="2:30" ht="15" customHeight="1" outlineLevel="1">
      <c r="B45" s="147" t="s">
        <v>138</v>
      </c>
      <c r="C45" s="130">
        <v>2</v>
      </c>
      <c r="E45" s="153">
        <f t="shared" ref="E45:AD54" si="8">+IF($C45+$C$42&gt;E$11,E16/$C$42,0)</f>
        <v>0</v>
      </c>
      <c r="F45" s="153">
        <f t="shared" si="8"/>
        <v>500000</v>
      </c>
      <c r="G45" s="153">
        <f t="shared" si="8"/>
        <v>500000</v>
      </c>
      <c r="H45" s="153">
        <f t="shared" si="8"/>
        <v>500000</v>
      </c>
      <c r="I45" s="153">
        <f t="shared" si="8"/>
        <v>500000</v>
      </c>
      <c r="J45" s="153">
        <f t="shared" si="8"/>
        <v>500000</v>
      </c>
      <c r="K45" s="153">
        <f t="shared" si="8"/>
        <v>500000</v>
      </c>
      <c r="L45" s="153">
        <f t="shared" si="8"/>
        <v>500000</v>
      </c>
      <c r="M45" s="153">
        <f t="shared" si="8"/>
        <v>500000</v>
      </c>
      <c r="N45" s="153">
        <f t="shared" si="8"/>
        <v>500000</v>
      </c>
      <c r="O45" s="153">
        <f t="shared" si="8"/>
        <v>500000</v>
      </c>
      <c r="P45" s="153">
        <f t="shared" si="8"/>
        <v>500000</v>
      </c>
      <c r="Q45" s="153">
        <f t="shared" si="8"/>
        <v>500000</v>
      </c>
      <c r="R45" s="153">
        <f t="shared" si="8"/>
        <v>500000</v>
      </c>
      <c r="S45" s="153">
        <f t="shared" si="8"/>
        <v>500000</v>
      </c>
      <c r="T45" s="153">
        <f t="shared" si="8"/>
        <v>500000</v>
      </c>
      <c r="U45" s="153">
        <f t="shared" si="8"/>
        <v>500000</v>
      </c>
      <c r="V45" s="153">
        <f t="shared" si="8"/>
        <v>500000</v>
      </c>
      <c r="W45" s="153">
        <f t="shared" si="8"/>
        <v>500000</v>
      </c>
      <c r="X45" s="153">
        <f t="shared" si="8"/>
        <v>500000</v>
      </c>
      <c r="Y45" s="153">
        <f t="shared" si="8"/>
        <v>500000</v>
      </c>
      <c r="Z45" s="153">
        <f t="shared" si="8"/>
        <v>0</v>
      </c>
      <c r="AA45" s="153">
        <f t="shared" si="8"/>
        <v>0</v>
      </c>
      <c r="AB45" s="153">
        <f t="shared" si="8"/>
        <v>0</v>
      </c>
      <c r="AC45" s="153">
        <f t="shared" si="8"/>
        <v>0</v>
      </c>
      <c r="AD45" s="153">
        <f t="shared" si="8"/>
        <v>0</v>
      </c>
    </row>
    <row r="46" spans="2:30" ht="15" customHeight="1" outlineLevel="1">
      <c r="B46" s="147" t="s">
        <v>139</v>
      </c>
      <c r="C46" s="130">
        <v>3</v>
      </c>
      <c r="E46" s="153">
        <f t="shared" si="8"/>
        <v>0</v>
      </c>
      <c r="F46" s="153">
        <f t="shared" si="8"/>
        <v>0</v>
      </c>
      <c r="G46" s="153">
        <f t="shared" si="8"/>
        <v>500000</v>
      </c>
      <c r="H46" s="153">
        <f t="shared" si="8"/>
        <v>500000</v>
      </c>
      <c r="I46" s="153">
        <f t="shared" si="8"/>
        <v>500000</v>
      </c>
      <c r="J46" s="153">
        <f t="shared" si="8"/>
        <v>500000</v>
      </c>
      <c r="K46" s="153">
        <f t="shared" si="8"/>
        <v>500000</v>
      </c>
      <c r="L46" s="153">
        <f t="shared" si="8"/>
        <v>500000</v>
      </c>
      <c r="M46" s="153">
        <f t="shared" si="8"/>
        <v>500000</v>
      </c>
      <c r="N46" s="153">
        <f t="shared" si="8"/>
        <v>500000</v>
      </c>
      <c r="O46" s="153">
        <f t="shared" si="8"/>
        <v>500000</v>
      </c>
      <c r="P46" s="153">
        <f t="shared" si="8"/>
        <v>500000</v>
      </c>
      <c r="Q46" s="153">
        <f t="shared" si="8"/>
        <v>500000</v>
      </c>
      <c r="R46" s="153">
        <f t="shared" si="8"/>
        <v>500000</v>
      </c>
      <c r="S46" s="153">
        <f t="shared" si="8"/>
        <v>500000</v>
      </c>
      <c r="T46" s="153">
        <f t="shared" si="8"/>
        <v>500000</v>
      </c>
      <c r="U46" s="153">
        <f t="shared" si="8"/>
        <v>500000</v>
      </c>
      <c r="V46" s="153">
        <f t="shared" si="8"/>
        <v>500000</v>
      </c>
      <c r="W46" s="153">
        <f t="shared" si="8"/>
        <v>500000</v>
      </c>
      <c r="X46" s="153">
        <f t="shared" si="8"/>
        <v>500000</v>
      </c>
      <c r="Y46" s="153">
        <f t="shared" si="8"/>
        <v>500000</v>
      </c>
      <c r="Z46" s="153">
        <f t="shared" si="8"/>
        <v>500000</v>
      </c>
      <c r="AA46" s="153">
        <f t="shared" si="8"/>
        <v>0</v>
      </c>
      <c r="AB46" s="153">
        <f t="shared" si="8"/>
        <v>0</v>
      </c>
      <c r="AC46" s="153">
        <f t="shared" si="8"/>
        <v>0</v>
      </c>
      <c r="AD46" s="153">
        <f t="shared" si="8"/>
        <v>0</v>
      </c>
    </row>
    <row r="47" spans="2:30" ht="15" customHeight="1" outlineLevel="1">
      <c r="B47" s="147" t="s">
        <v>140</v>
      </c>
      <c r="C47" s="130">
        <v>4</v>
      </c>
      <c r="E47" s="153">
        <f t="shared" si="8"/>
        <v>0</v>
      </c>
      <c r="F47" s="153">
        <f t="shared" si="8"/>
        <v>0</v>
      </c>
      <c r="G47" s="153">
        <f t="shared" si="8"/>
        <v>0</v>
      </c>
      <c r="H47" s="153">
        <f t="shared" si="8"/>
        <v>500000</v>
      </c>
      <c r="I47" s="153">
        <f t="shared" si="8"/>
        <v>500000</v>
      </c>
      <c r="J47" s="153">
        <f t="shared" si="8"/>
        <v>500000</v>
      </c>
      <c r="K47" s="153">
        <f t="shared" si="8"/>
        <v>500000</v>
      </c>
      <c r="L47" s="153">
        <f t="shared" si="8"/>
        <v>500000</v>
      </c>
      <c r="M47" s="153">
        <f t="shared" si="8"/>
        <v>500000</v>
      </c>
      <c r="N47" s="153">
        <f t="shared" si="8"/>
        <v>500000</v>
      </c>
      <c r="O47" s="153">
        <f t="shared" si="8"/>
        <v>500000</v>
      </c>
      <c r="P47" s="153">
        <f t="shared" si="8"/>
        <v>500000</v>
      </c>
      <c r="Q47" s="153">
        <f t="shared" si="8"/>
        <v>500000</v>
      </c>
      <c r="R47" s="153">
        <f t="shared" si="8"/>
        <v>500000</v>
      </c>
      <c r="S47" s="153">
        <f t="shared" si="8"/>
        <v>500000</v>
      </c>
      <c r="T47" s="153">
        <f t="shared" si="8"/>
        <v>500000</v>
      </c>
      <c r="U47" s="153">
        <f t="shared" si="8"/>
        <v>500000</v>
      </c>
      <c r="V47" s="153">
        <f t="shared" si="8"/>
        <v>500000</v>
      </c>
      <c r="W47" s="153">
        <f t="shared" si="8"/>
        <v>500000</v>
      </c>
      <c r="X47" s="153">
        <f t="shared" si="8"/>
        <v>500000</v>
      </c>
      <c r="Y47" s="153">
        <f t="shared" si="8"/>
        <v>500000</v>
      </c>
      <c r="Z47" s="153">
        <f t="shared" si="8"/>
        <v>500000</v>
      </c>
      <c r="AA47" s="153">
        <f t="shared" si="8"/>
        <v>500000</v>
      </c>
      <c r="AB47" s="153">
        <f t="shared" si="8"/>
        <v>0</v>
      </c>
      <c r="AC47" s="153">
        <f t="shared" si="8"/>
        <v>0</v>
      </c>
      <c r="AD47" s="153">
        <f t="shared" si="8"/>
        <v>0</v>
      </c>
    </row>
    <row r="48" spans="2:30" ht="15" customHeight="1" outlineLevel="1">
      <c r="B48" s="147" t="s">
        <v>141</v>
      </c>
      <c r="C48" s="130">
        <v>5</v>
      </c>
      <c r="E48" s="153">
        <f t="shared" si="8"/>
        <v>0</v>
      </c>
      <c r="F48" s="153">
        <f t="shared" si="8"/>
        <v>0</v>
      </c>
      <c r="G48" s="153">
        <f t="shared" si="8"/>
        <v>0</v>
      </c>
      <c r="H48" s="153">
        <f t="shared" si="8"/>
        <v>0</v>
      </c>
      <c r="I48" s="153">
        <f t="shared" si="8"/>
        <v>500000</v>
      </c>
      <c r="J48" s="153">
        <f t="shared" si="8"/>
        <v>500000</v>
      </c>
      <c r="K48" s="153">
        <f t="shared" si="8"/>
        <v>500000</v>
      </c>
      <c r="L48" s="153">
        <f t="shared" si="8"/>
        <v>500000</v>
      </c>
      <c r="M48" s="153">
        <f t="shared" si="8"/>
        <v>500000</v>
      </c>
      <c r="N48" s="153">
        <f t="shared" si="8"/>
        <v>500000</v>
      </c>
      <c r="O48" s="153">
        <f t="shared" si="8"/>
        <v>500000</v>
      </c>
      <c r="P48" s="153">
        <f t="shared" si="8"/>
        <v>500000</v>
      </c>
      <c r="Q48" s="153">
        <f t="shared" si="8"/>
        <v>500000</v>
      </c>
      <c r="R48" s="153">
        <f t="shared" si="8"/>
        <v>500000</v>
      </c>
      <c r="S48" s="153">
        <f t="shared" si="8"/>
        <v>500000</v>
      </c>
      <c r="T48" s="153">
        <f t="shared" si="8"/>
        <v>500000</v>
      </c>
      <c r="U48" s="153">
        <f t="shared" si="8"/>
        <v>500000</v>
      </c>
      <c r="V48" s="153">
        <f t="shared" si="8"/>
        <v>500000</v>
      </c>
      <c r="W48" s="153">
        <f t="shared" si="8"/>
        <v>500000</v>
      </c>
      <c r="X48" s="153">
        <f t="shared" si="8"/>
        <v>500000</v>
      </c>
      <c r="Y48" s="153">
        <f t="shared" si="8"/>
        <v>500000</v>
      </c>
      <c r="Z48" s="153">
        <f t="shared" si="8"/>
        <v>500000</v>
      </c>
      <c r="AA48" s="153">
        <f t="shared" si="8"/>
        <v>500000</v>
      </c>
      <c r="AB48" s="153">
        <f t="shared" si="8"/>
        <v>500000</v>
      </c>
      <c r="AC48" s="153">
        <f t="shared" si="8"/>
        <v>0</v>
      </c>
      <c r="AD48" s="153">
        <f t="shared" si="8"/>
        <v>0</v>
      </c>
    </row>
    <row r="49" spans="2:30" ht="15" customHeight="1" outlineLevel="1">
      <c r="B49" s="147" t="s">
        <v>142</v>
      </c>
      <c r="C49" s="130">
        <v>6</v>
      </c>
      <c r="E49" s="153">
        <f t="shared" si="8"/>
        <v>0</v>
      </c>
      <c r="F49" s="153">
        <f t="shared" si="8"/>
        <v>0</v>
      </c>
      <c r="G49" s="153">
        <f t="shared" si="8"/>
        <v>0</v>
      </c>
      <c r="H49" s="153">
        <f t="shared" si="8"/>
        <v>0</v>
      </c>
      <c r="I49" s="153">
        <f t="shared" si="8"/>
        <v>0</v>
      </c>
      <c r="J49" s="153">
        <f t="shared" si="8"/>
        <v>500000</v>
      </c>
      <c r="K49" s="153">
        <f t="shared" si="8"/>
        <v>500000</v>
      </c>
      <c r="L49" s="153">
        <f t="shared" si="8"/>
        <v>500000</v>
      </c>
      <c r="M49" s="153">
        <f t="shared" si="8"/>
        <v>500000</v>
      </c>
      <c r="N49" s="153">
        <f t="shared" si="8"/>
        <v>500000</v>
      </c>
      <c r="O49" s="153">
        <f t="shared" si="8"/>
        <v>500000</v>
      </c>
      <c r="P49" s="153">
        <f t="shared" si="8"/>
        <v>500000</v>
      </c>
      <c r="Q49" s="153">
        <f t="shared" si="8"/>
        <v>500000</v>
      </c>
      <c r="R49" s="153">
        <f t="shared" si="8"/>
        <v>500000</v>
      </c>
      <c r="S49" s="153">
        <f t="shared" si="8"/>
        <v>500000</v>
      </c>
      <c r="T49" s="153">
        <f t="shared" si="8"/>
        <v>500000</v>
      </c>
      <c r="U49" s="153">
        <f t="shared" si="8"/>
        <v>500000</v>
      </c>
      <c r="V49" s="153">
        <f t="shared" si="8"/>
        <v>500000</v>
      </c>
      <c r="W49" s="153">
        <f t="shared" si="8"/>
        <v>500000</v>
      </c>
      <c r="X49" s="153">
        <f t="shared" si="8"/>
        <v>500000</v>
      </c>
      <c r="Y49" s="153">
        <f t="shared" si="8"/>
        <v>500000</v>
      </c>
      <c r="Z49" s="153">
        <f t="shared" si="8"/>
        <v>500000</v>
      </c>
      <c r="AA49" s="153">
        <f t="shared" si="8"/>
        <v>500000</v>
      </c>
      <c r="AB49" s="153">
        <f t="shared" si="8"/>
        <v>500000</v>
      </c>
      <c r="AC49" s="153">
        <f t="shared" si="8"/>
        <v>500000</v>
      </c>
      <c r="AD49" s="153">
        <f t="shared" si="8"/>
        <v>0</v>
      </c>
    </row>
    <row r="50" spans="2:30" ht="15" customHeight="1" outlineLevel="1">
      <c r="B50" s="147" t="s">
        <v>143</v>
      </c>
      <c r="C50" s="130">
        <v>7</v>
      </c>
      <c r="E50" s="153">
        <f t="shared" si="8"/>
        <v>0</v>
      </c>
      <c r="F50" s="153">
        <f t="shared" si="8"/>
        <v>0</v>
      </c>
      <c r="G50" s="153">
        <f t="shared" si="8"/>
        <v>0</v>
      </c>
      <c r="H50" s="153">
        <f t="shared" si="8"/>
        <v>0</v>
      </c>
      <c r="I50" s="153">
        <f t="shared" si="8"/>
        <v>0</v>
      </c>
      <c r="J50" s="153">
        <f t="shared" si="8"/>
        <v>0</v>
      </c>
      <c r="K50" s="153">
        <f t="shared" si="8"/>
        <v>500000</v>
      </c>
      <c r="L50" s="153">
        <f t="shared" si="8"/>
        <v>500000</v>
      </c>
      <c r="M50" s="153">
        <f t="shared" si="8"/>
        <v>500000</v>
      </c>
      <c r="N50" s="153">
        <f t="shared" si="8"/>
        <v>500000</v>
      </c>
      <c r="O50" s="153">
        <f t="shared" si="8"/>
        <v>500000</v>
      </c>
      <c r="P50" s="153">
        <f t="shared" si="8"/>
        <v>500000</v>
      </c>
      <c r="Q50" s="153">
        <f t="shared" si="8"/>
        <v>500000</v>
      </c>
      <c r="R50" s="153">
        <f t="shared" si="8"/>
        <v>500000</v>
      </c>
      <c r="S50" s="153">
        <f t="shared" si="8"/>
        <v>500000</v>
      </c>
      <c r="T50" s="153">
        <f t="shared" si="8"/>
        <v>500000</v>
      </c>
      <c r="U50" s="153">
        <f t="shared" si="8"/>
        <v>500000</v>
      </c>
      <c r="V50" s="153">
        <f t="shared" si="8"/>
        <v>500000</v>
      </c>
      <c r="W50" s="153">
        <f t="shared" si="8"/>
        <v>500000</v>
      </c>
      <c r="X50" s="153">
        <f t="shared" si="8"/>
        <v>500000</v>
      </c>
      <c r="Y50" s="153">
        <f t="shared" si="8"/>
        <v>500000</v>
      </c>
      <c r="Z50" s="153">
        <f t="shared" si="8"/>
        <v>500000</v>
      </c>
      <c r="AA50" s="153">
        <f t="shared" si="8"/>
        <v>500000</v>
      </c>
      <c r="AB50" s="153">
        <f t="shared" si="8"/>
        <v>500000</v>
      </c>
      <c r="AC50" s="153">
        <f t="shared" si="8"/>
        <v>500000</v>
      </c>
      <c r="AD50" s="153">
        <f t="shared" si="8"/>
        <v>500000</v>
      </c>
    </row>
    <row r="51" spans="2:30" ht="15" customHeight="1" outlineLevel="1">
      <c r="B51" s="147" t="s">
        <v>144</v>
      </c>
      <c r="C51" s="130">
        <v>8</v>
      </c>
      <c r="E51" s="153">
        <f t="shared" si="8"/>
        <v>0</v>
      </c>
      <c r="F51" s="153">
        <f t="shared" si="8"/>
        <v>0</v>
      </c>
      <c r="G51" s="153">
        <f t="shared" si="8"/>
        <v>0</v>
      </c>
      <c r="H51" s="153">
        <f t="shared" si="8"/>
        <v>0</v>
      </c>
      <c r="I51" s="153">
        <f t="shared" si="8"/>
        <v>0</v>
      </c>
      <c r="J51" s="153">
        <f t="shared" si="8"/>
        <v>0</v>
      </c>
      <c r="K51" s="153">
        <f t="shared" si="8"/>
        <v>0</v>
      </c>
      <c r="L51" s="153">
        <f t="shared" si="8"/>
        <v>500000</v>
      </c>
      <c r="M51" s="153">
        <f t="shared" si="8"/>
        <v>500000</v>
      </c>
      <c r="N51" s="153">
        <f t="shared" si="8"/>
        <v>500000</v>
      </c>
      <c r="O51" s="153">
        <f t="shared" si="8"/>
        <v>500000</v>
      </c>
      <c r="P51" s="153">
        <f t="shared" si="8"/>
        <v>500000</v>
      </c>
      <c r="Q51" s="153">
        <f t="shared" si="8"/>
        <v>500000</v>
      </c>
      <c r="R51" s="153">
        <f t="shared" si="8"/>
        <v>500000</v>
      </c>
      <c r="S51" s="153">
        <f t="shared" si="8"/>
        <v>500000</v>
      </c>
      <c r="T51" s="153">
        <f t="shared" si="8"/>
        <v>500000</v>
      </c>
      <c r="U51" s="153">
        <f t="shared" si="8"/>
        <v>500000</v>
      </c>
      <c r="V51" s="153">
        <f t="shared" si="8"/>
        <v>500000</v>
      </c>
      <c r="W51" s="153">
        <f t="shared" si="8"/>
        <v>500000</v>
      </c>
      <c r="X51" s="153">
        <f t="shared" si="8"/>
        <v>500000</v>
      </c>
      <c r="Y51" s="153">
        <f t="shared" si="8"/>
        <v>500000</v>
      </c>
      <c r="Z51" s="153">
        <f t="shared" si="8"/>
        <v>500000</v>
      </c>
      <c r="AA51" s="153">
        <f t="shared" si="8"/>
        <v>500000</v>
      </c>
      <c r="AB51" s="153">
        <f t="shared" si="8"/>
        <v>500000</v>
      </c>
      <c r="AC51" s="153">
        <f t="shared" si="8"/>
        <v>500000</v>
      </c>
      <c r="AD51" s="153">
        <f t="shared" si="8"/>
        <v>500000</v>
      </c>
    </row>
    <row r="52" spans="2:30" ht="15" customHeight="1" outlineLevel="1">
      <c r="B52" s="147" t="s">
        <v>145</v>
      </c>
      <c r="C52" s="130">
        <v>9</v>
      </c>
      <c r="E52" s="153">
        <f t="shared" si="8"/>
        <v>0</v>
      </c>
      <c r="F52" s="153">
        <f t="shared" si="8"/>
        <v>0</v>
      </c>
      <c r="G52" s="153">
        <f t="shared" si="8"/>
        <v>0</v>
      </c>
      <c r="H52" s="153">
        <f t="shared" si="8"/>
        <v>0</v>
      </c>
      <c r="I52" s="153">
        <f t="shared" si="8"/>
        <v>0</v>
      </c>
      <c r="J52" s="153">
        <f t="shared" si="8"/>
        <v>0</v>
      </c>
      <c r="K52" s="153">
        <f t="shared" si="8"/>
        <v>0</v>
      </c>
      <c r="L52" s="153">
        <f t="shared" si="8"/>
        <v>0</v>
      </c>
      <c r="M52" s="153">
        <f t="shared" si="8"/>
        <v>500000</v>
      </c>
      <c r="N52" s="153">
        <f t="shared" si="8"/>
        <v>500000</v>
      </c>
      <c r="O52" s="153">
        <f t="shared" si="8"/>
        <v>500000</v>
      </c>
      <c r="P52" s="153">
        <f t="shared" si="8"/>
        <v>500000</v>
      </c>
      <c r="Q52" s="153">
        <f t="shared" si="8"/>
        <v>500000</v>
      </c>
      <c r="R52" s="153">
        <f t="shared" si="8"/>
        <v>500000</v>
      </c>
      <c r="S52" s="153">
        <f t="shared" si="8"/>
        <v>500000</v>
      </c>
      <c r="T52" s="153">
        <f t="shared" si="8"/>
        <v>500000</v>
      </c>
      <c r="U52" s="153">
        <f t="shared" si="8"/>
        <v>500000</v>
      </c>
      <c r="V52" s="153">
        <f t="shared" si="8"/>
        <v>500000</v>
      </c>
      <c r="W52" s="153">
        <f t="shared" si="8"/>
        <v>500000</v>
      </c>
      <c r="X52" s="153">
        <f t="shared" si="8"/>
        <v>500000</v>
      </c>
      <c r="Y52" s="153">
        <f t="shared" si="8"/>
        <v>500000</v>
      </c>
      <c r="Z52" s="153">
        <f t="shared" si="8"/>
        <v>500000</v>
      </c>
      <c r="AA52" s="153">
        <f t="shared" si="8"/>
        <v>500000</v>
      </c>
      <c r="AB52" s="153">
        <f t="shared" si="8"/>
        <v>500000</v>
      </c>
      <c r="AC52" s="153">
        <f t="shared" si="8"/>
        <v>500000</v>
      </c>
      <c r="AD52" s="153">
        <f t="shared" si="8"/>
        <v>500000</v>
      </c>
    </row>
    <row r="53" spans="2:30" ht="15" customHeight="1" outlineLevel="1">
      <c r="B53" s="147" t="s">
        <v>146</v>
      </c>
      <c r="C53" s="130">
        <v>10</v>
      </c>
      <c r="E53" s="153">
        <f t="shared" si="8"/>
        <v>0</v>
      </c>
      <c r="F53" s="153">
        <f t="shared" si="8"/>
        <v>0</v>
      </c>
      <c r="G53" s="153">
        <f t="shared" si="8"/>
        <v>0</v>
      </c>
      <c r="H53" s="153">
        <f t="shared" si="8"/>
        <v>0</v>
      </c>
      <c r="I53" s="153">
        <f t="shared" si="8"/>
        <v>0</v>
      </c>
      <c r="J53" s="153">
        <f t="shared" si="8"/>
        <v>0</v>
      </c>
      <c r="K53" s="153">
        <f t="shared" si="8"/>
        <v>0</v>
      </c>
      <c r="L53" s="153">
        <f t="shared" si="8"/>
        <v>0</v>
      </c>
      <c r="M53" s="153">
        <f t="shared" si="8"/>
        <v>0</v>
      </c>
      <c r="N53" s="153">
        <f t="shared" si="8"/>
        <v>500000</v>
      </c>
      <c r="O53" s="153">
        <f t="shared" si="8"/>
        <v>500000</v>
      </c>
      <c r="P53" s="153">
        <f t="shared" si="8"/>
        <v>500000</v>
      </c>
      <c r="Q53" s="153">
        <f t="shared" si="8"/>
        <v>500000</v>
      </c>
      <c r="R53" s="153">
        <f t="shared" si="8"/>
        <v>500000</v>
      </c>
      <c r="S53" s="153">
        <f t="shared" si="8"/>
        <v>500000</v>
      </c>
      <c r="T53" s="153">
        <f t="shared" si="8"/>
        <v>500000</v>
      </c>
      <c r="U53" s="153">
        <f t="shared" si="8"/>
        <v>500000</v>
      </c>
      <c r="V53" s="153">
        <f t="shared" si="8"/>
        <v>500000</v>
      </c>
      <c r="W53" s="153">
        <f t="shared" si="8"/>
        <v>500000</v>
      </c>
      <c r="X53" s="153">
        <f t="shared" si="8"/>
        <v>500000</v>
      </c>
      <c r="Y53" s="153">
        <f t="shared" si="8"/>
        <v>500000</v>
      </c>
      <c r="Z53" s="153">
        <f t="shared" si="8"/>
        <v>500000</v>
      </c>
      <c r="AA53" s="153">
        <f t="shared" si="8"/>
        <v>500000</v>
      </c>
      <c r="AB53" s="153">
        <f t="shared" si="8"/>
        <v>500000</v>
      </c>
      <c r="AC53" s="153">
        <f t="shared" si="8"/>
        <v>500000</v>
      </c>
      <c r="AD53" s="153">
        <f t="shared" si="8"/>
        <v>500000</v>
      </c>
    </row>
    <row r="54" spans="2:30" ht="15" customHeight="1" outlineLevel="1">
      <c r="B54" s="147" t="s">
        <v>147</v>
      </c>
      <c r="C54" s="130">
        <v>11</v>
      </c>
      <c r="E54" s="153">
        <f t="shared" si="8"/>
        <v>0</v>
      </c>
      <c r="F54" s="153">
        <f t="shared" si="8"/>
        <v>0</v>
      </c>
      <c r="G54" s="153">
        <f t="shared" si="8"/>
        <v>0</v>
      </c>
      <c r="H54" s="153">
        <f t="shared" si="8"/>
        <v>0</v>
      </c>
      <c r="I54" s="153">
        <f t="shared" si="8"/>
        <v>0</v>
      </c>
      <c r="J54" s="153">
        <f t="shared" si="8"/>
        <v>0</v>
      </c>
      <c r="K54" s="153">
        <f t="shared" si="8"/>
        <v>0</v>
      </c>
      <c r="L54" s="153">
        <f t="shared" si="8"/>
        <v>0</v>
      </c>
      <c r="M54" s="153">
        <f t="shared" si="8"/>
        <v>0</v>
      </c>
      <c r="N54" s="153">
        <f t="shared" si="8"/>
        <v>0</v>
      </c>
      <c r="O54" s="153">
        <f t="shared" si="8"/>
        <v>500000</v>
      </c>
      <c r="P54" s="153">
        <f t="shared" si="8"/>
        <v>500000</v>
      </c>
      <c r="Q54" s="153">
        <f t="shared" si="8"/>
        <v>500000</v>
      </c>
      <c r="R54" s="153">
        <f t="shared" si="8"/>
        <v>500000</v>
      </c>
      <c r="S54" s="153">
        <f t="shared" si="8"/>
        <v>500000</v>
      </c>
      <c r="T54" s="153">
        <f t="shared" si="8"/>
        <v>500000</v>
      </c>
      <c r="U54" s="153">
        <f t="shared" si="8"/>
        <v>500000</v>
      </c>
      <c r="V54" s="153">
        <f t="shared" si="8"/>
        <v>500000</v>
      </c>
      <c r="W54" s="153">
        <f t="shared" si="8"/>
        <v>500000</v>
      </c>
      <c r="X54" s="153">
        <f t="shared" si="8"/>
        <v>500000</v>
      </c>
      <c r="Y54" s="153">
        <f t="shared" si="8"/>
        <v>500000</v>
      </c>
      <c r="Z54" s="153">
        <f t="shared" ref="Z54:AD54" si="9">+IF($C54+$C$42&gt;Z$11,Z25/$C$42,0)</f>
        <v>500000</v>
      </c>
      <c r="AA54" s="153">
        <f t="shared" si="9"/>
        <v>500000</v>
      </c>
      <c r="AB54" s="153">
        <f t="shared" si="9"/>
        <v>500000</v>
      </c>
      <c r="AC54" s="153">
        <f t="shared" si="9"/>
        <v>500000</v>
      </c>
      <c r="AD54" s="153">
        <f t="shared" si="9"/>
        <v>500000</v>
      </c>
    </row>
    <row r="55" spans="2:30" ht="15" customHeight="1" outlineLevel="1">
      <c r="B55" s="147" t="s">
        <v>148</v>
      </c>
      <c r="C55" s="130">
        <v>12</v>
      </c>
      <c r="E55" s="153">
        <f t="shared" ref="E55:AD64" si="10">+IF($C55+$C$42&gt;E$11,E26/$C$42,0)</f>
        <v>0</v>
      </c>
      <c r="F55" s="153">
        <f t="shared" si="10"/>
        <v>0</v>
      </c>
      <c r="G55" s="153">
        <f t="shared" si="10"/>
        <v>0</v>
      </c>
      <c r="H55" s="153">
        <f t="shared" si="10"/>
        <v>0</v>
      </c>
      <c r="I55" s="153">
        <f t="shared" si="10"/>
        <v>0</v>
      </c>
      <c r="J55" s="153">
        <f t="shared" si="10"/>
        <v>0</v>
      </c>
      <c r="K55" s="153">
        <f t="shared" si="10"/>
        <v>0</v>
      </c>
      <c r="L55" s="153">
        <f t="shared" si="10"/>
        <v>0</v>
      </c>
      <c r="M55" s="153">
        <f t="shared" si="10"/>
        <v>0</v>
      </c>
      <c r="N55" s="153">
        <f t="shared" si="10"/>
        <v>0</v>
      </c>
      <c r="O55" s="153">
        <f t="shared" si="10"/>
        <v>0</v>
      </c>
      <c r="P55" s="153">
        <f t="shared" si="10"/>
        <v>500000</v>
      </c>
      <c r="Q55" s="153">
        <f t="shared" si="10"/>
        <v>500000</v>
      </c>
      <c r="R55" s="153">
        <f t="shared" si="10"/>
        <v>500000</v>
      </c>
      <c r="S55" s="153">
        <f t="shared" si="10"/>
        <v>500000</v>
      </c>
      <c r="T55" s="153">
        <f t="shared" si="10"/>
        <v>500000</v>
      </c>
      <c r="U55" s="153">
        <f t="shared" si="10"/>
        <v>500000</v>
      </c>
      <c r="V55" s="153">
        <f t="shared" si="10"/>
        <v>500000</v>
      </c>
      <c r="W55" s="153">
        <f t="shared" si="10"/>
        <v>500000</v>
      </c>
      <c r="X55" s="153">
        <f t="shared" si="10"/>
        <v>500000</v>
      </c>
      <c r="Y55" s="153">
        <f t="shared" si="10"/>
        <v>500000</v>
      </c>
      <c r="Z55" s="153">
        <f t="shared" si="10"/>
        <v>500000</v>
      </c>
      <c r="AA55" s="153">
        <f t="shared" si="10"/>
        <v>500000</v>
      </c>
      <c r="AB55" s="153">
        <f t="shared" si="10"/>
        <v>500000</v>
      </c>
      <c r="AC55" s="153">
        <f t="shared" si="10"/>
        <v>500000</v>
      </c>
      <c r="AD55" s="153">
        <f t="shared" si="10"/>
        <v>500000</v>
      </c>
    </row>
    <row r="56" spans="2:30" ht="15" customHeight="1" outlineLevel="1">
      <c r="B56" s="147" t="s">
        <v>149</v>
      </c>
      <c r="C56" s="130">
        <v>13</v>
      </c>
      <c r="E56" s="153">
        <f t="shared" si="10"/>
        <v>0</v>
      </c>
      <c r="F56" s="153">
        <f t="shared" si="10"/>
        <v>0</v>
      </c>
      <c r="G56" s="153">
        <f t="shared" si="10"/>
        <v>0</v>
      </c>
      <c r="H56" s="153">
        <f t="shared" si="10"/>
        <v>0</v>
      </c>
      <c r="I56" s="153">
        <f t="shared" si="10"/>
        <v>0</v>
      </c>
      <c r="J56" s="153">
        <f t="shared" si="10"/>
        <v>0</v>
      </c>
      <c r="K56" s="153">
        <f t="shared" si="10"/>
        <v>0</v>
      </c>
      <c r="L56" s="153">
        <f t="shared" si="10"/>
        <v>0</v>
      </c>
      <c r="M56" s="153">
        <f t="shared" si="10"/>
        <v>0</v>
      </c>
      <c r="N56" s="153">
        <f t="shared" si="10"/>
        <v>0</v>
      </c>
      <c r="O56" s="153">
        <f t="shared" si="10"/>
        <v>0</v>
      </c>
      <c r="P56" s="153">
        <f t="shared" si="10"/>
        <v>0</v>
      </c>
      <c r="Q56" s="153">
        <f t="shared" si="10"/>
        <v>500000</v>
      </c>
      <c r="R56" s="153">
        <f t="shared" si="10"/>
        <v>500000</v>
      </c>
      <c r="S56" s="153">
        <f t="shared" si="10"/>
        <v>500000</v>
      </c>
      <c r="T56" s="153">
        <f t="shared" si="10"/>
        <v>500000</v>
      </c>
      <c r="U56" s="153">
        <f t="shared" si="10"/>
        <v>500000</v>
      </c>
      <c r="V56" s="153">
        <f t="shared" si="10"/>
        <v>500000</v>
      </c>
      <c r="W56" s="153">
        <f t="shared" si="10"/>
        <v>500000</v>
      </c>
      <c r="X56" s="153">
        <f t="shared" si="10"/>
        <v>500000</v>
      </c>
      <c r="Y56" s="153">
        <f t="shared" si="10"/>
        <v>500000</v>
      </c>
      <c r="Z56" s="153">
        <f t="shared" si="10"/>
        <v>500000</v>
      </c>
      <c r="AA56" s="153">
        <f t="shared" si="10"/>
        <v>500000</v>
      </c>
      <c r="AB56" s="153">
        <f t="shared" si="10"/>
        <v>500000</v>
      </c>
      <c r="AC56" s="153">
        <f t="shared" si="10"/>
        <v>500000</v>
      </c>
      <c r="AD56" s="153">
        <f t="shared" si="10"/>
        <v>500000</v>
      </c>
    </row>
    <row r="57" spans="2:30" ht="15" customHeight="1" outlineLevel="1">
      <c r="B57" s="147" t="s">
        <v>150</v>
      </c>
      <c r="C57" s="130">
        <v>14</v>
      </c>
      <c r="E57" s="153">
        <f t="shared" si="10"/>
        <v>0</v>
      </c>
      <c r="F57" s="153">
        <f t="shared" si="10"/>
        <v>0</v>
      </c>
      <c r="G57" s="153">
        <f t="shared" si="10"/>
        <v>0</v>
      </c>
      <c r="H57" s="153">
        <f t="shared" si="10"/>
        <v>0</v>
      </c>
      <c r="I57" s="153">
        <f t="shared" si="10"/>
        <v>0</v>
      </c>
      <c r="J57" s="153">
        <f t="shared" si="10"/>
        <v>0</v>
      </c>
      <c r="K57" s="153">
        <f t="shared" si="10"/>
        <v>0</v>
      </c>
      <c r="L57" s="153">
        <f t="shared" si="10"/>
        <v>0</v>
      </c>
      <c r="M57" s="153">
        <f t="shared" si="10"/>
        <v>0</v>
      </c>
      <c r="N57" s="153">
        <f t="shared" si="10"/>
        <v>0</v>
      </c>
      <c r="O57" s="153">
        <f t="shared" si="10"/>
        <v>0</v>
      </c>
      <c r="P57" s="153">
        <f t="shared" si="10"/>
        <v>0</v>
      </c>
      <c r="Q57" s="153">
        <f t="shared" si="10"/>
        <v>0</v>
      </c>
      <c r="R57" s="153">
        <f t="shared" si="10"/>
        <v>500000</v>
      </c>
      <c r="S57" s="153">
        <f t="shared" si="10"/>
        <v>500000</v>
      </c>
      <c r="T57" s="153">
        <f t="shared" si="10"/>
        <v>500000</v>
      </c>
      <c r="U57" s="153">
        <f t="shared" si="10"/>
        <v>500000</v>
      </c>
      <c r="V57" s="153">
        <f t="shared" si="10"/>
        <v>500000</v>
      </c>
      <c r="W57" s="153">
        <f t="shared" si="10"/>
        <v>500000</v>
      </c>
      <c r="X57" s="153">
        <f t="shared" si="10"/>
        <v>500000</v>
      </c>
      <c r="Y57" s="153">
        <f t="shared" si="10"/>
        <v>500000</v>
      </c>
      <c r="Z57" s="153">
        <f t="shared" si="10"/>
        <v>500000</v>
      </c>
      <c r="AA57" s="153">
        <f t="shared" si="10"/>
        <v>500000</v>
      </c>
      <c r="AB57" s="153">
        <f t="shared" si="10"/>
        <v>500000</v>
      </c>
      <c r="AC57" s="153">
        <f t="shared" si="10"/>
        <v>500000</v>
      </c>
      <c r="AD57" s="153">
        <f t="shared" si="10"/>
        <v>500000</v>
      </c>
    </row>
    <row r="58" spans="2:30" ht="15" customHeight="1" outlineLevel="1">
      <c r="B58" s="147" t="s">
        <v>151</v>
      </c>
      <c r="C58" s="130">
        <v>15</v>
      </c>
      <c r="E58" s="153">
        <f t="shared" si="10"/>
        <v>0</v>
      </c>
      <c r="F58" s="153">
        <f t="shared" si="10"/>
        <v>0</v>
      </c>
      <c r="G58" s="153">
        <f t="shared" si="10"/>
        <v>0</v>
      </c>
      <c r="H58" s="153">
        <f t="shared" si="10"/>
        <v>0</v>
      </c>
      <c r="I58" s="153">
        <f t="shared" si="10"/>
        <v>0</v>
      </c>
      <c r="J58" s="153">
        <f t="shared" si="10"/>
        <v>0</v>
      </c>
      <c r="K58" s="153">
        <f t="shared" si="10"/>
        <v>0</v>
      </c>
      <c r="L58" s="153">
        <f t="shared" si="10"/>
        <v>0</v>
      </c>
      <c r="M58" s="153">
        <f t="shared" si="10"/>
        <v>0</v>
      </c>
      <c r="N58" s="153">
        <f t="shared" si="10"/>
        <v>0</v>
      </c>
      <c r="O58" s="153">
        <f t="shared" si="10"/>
        <v>0</v>
      </c>
      <c r="P58" s="153">
        <f t="shared" si="10"/>
        <v>0</v>
      </c>
      <c r="Q58" s="153">
        <f t="shared" si="10"/>
        <v>0</v>
      </c>
      <c r="R58" s="153">
        <f t="shared" si="10"/>
        <v>0</v>
      </c>
      <c r="S58" s="153">
        <f t="shared" si="10"/>
        <v>500000</v>
      </c>
      <c r="T58" s="153">
        <f t="shared" si="10"/>
        <v>500000</v>
      </c>
      <c r="U58" s="153">
        <f t="shared" si="10"/>
        <v>500000</v>
      </c>
      <c r="V58" s="153">
        <f t="shared" si="10"/>
        <v>500000</v>
      </c>
      <c r="W58" s="153">
        <f t="shared" si="10"/>
        <v>500000</v>
      </c>
      <c r="X58" s="153">
        <f t="shared" si="10"/>
        <v>500000</v>
      </c>
      <c r="Y58" s="153">
        <f t="shared" si="10"/>
        <v>500000</v>
      </c>
      <c r="Z58" s="153">
        <f t="shared" si="10"/>
        <v>500000</v>
      </c>
      <c r="AA58" s="153">
        <f t="shared" si="10"/>
        <v>500000</v>
      </c>
      <c r="AB58" s="153">
        <f t="shared" si="10"/>
        <v>500000</v>
      </c>
      <c r="AC58" s="153">
        <f t="shared" si="10"/>
        <v>500000</v>
      </c>
      <c r="AD58" s="153">
        <f t="shared" si="10"/>
        <v>500000</v>
      </c>
    </row>
    <row r="59" spans="2:30" ht="15" customHeight="1" outlineLevel="1">
      <c r="B59" s="147" t="s">
        <v>152</v>
      </c>
      <c r="C59" s="130">
        <v>16</v>
      </c>
      <c r="E59" s="153">
        <f t="shared" si="10"/>
        <v>0</v>
      </c>
      <c r="F59" s="153">
        <f t="shared" si="10"/>
        <v>0</v>
      </c>
      <c r="G59" s="153">
        <f t="shared" si="10"/>
        <v>0</v>
      </c>
      <c r="H59" s="153">
        <f t="shared" si="10"/>
        <v>0</v>
      </c>
      <c r="I59" s="153">
        <f t="shared" si="10"/>
        <v>0</v>
      </c>
      <c r="J59" s="153">
        <f t="shared" si="10"/>
        <v>0</v>
      </c>
      <c r="K59" s="153">
        <f t="shared" si="10"/>
        <v>0</v>
      </c>
      <c r="L59" s="153">
        <f t="shared" si="10"/>
        <v>0</v>
      </c>
      <c r="M59" s="153">
        <f t="shared" si="10"/>
        <v>0</v>
      </c>
      <c r="N59" s="153">
        <f t="shared" si="10"/>
        <v>0</v>
      </c>
      <c r="O59" s="153">
        <f t="shared" si="10"/>
        <v>0</v>
      </c>
      <c r="P59" s="153">
        <f t="shared" si="10"/>
        <v>0</v>
      </c>
      <c r="Q59" s="153">
        <f t="shared" si="10"/>
        <v>0</v>
      </c>
      <c r="R59" s="153">
        <f t="shared" si="10"/>
        <v>0</v>
      </c>
      <c r="S59" s="153">
        <f t="shared" si="10"/>
        <v>0</v>
      </c>
      <c r="T59" s="153">
        <f t="shared" si="10"/>
        <v>500000</v>
      </c>
      <c r="U59" s="153">
        <f t="shared" si="10"/>
        <v>500000</v>
      </c>
      <c r="V59" s="153">
        <f t="shared" si="10"/>
        <v>500000</v>
      </c>
      <c r="W59" s="153">
        <f t="shared" si="10"/>
        <v>500000</v>
      </c>
      <c r="X59" s="153">
        <f t="shared" si="10"/>
        <v>500000</v>
      </c>
      <c r="Y59" s="153">
        <f t="shared" si="10"/>
        <v>500000</v>
      </c>
      <c r="Z59" s="153">
        <f t="shared" si="10"/>
        <v>500000</v>
      </c>
      <c r="AA59" s="153">
        <f t="shared" si="10"/>
        <v>500000</v>
      </c>
      <c r="AB59" s="153">
        <f t="shared" si="10"/>
        <v>500000</v>
      </c>
      <c r="AC59" s="153">
        <f t="shared" si="10"/>
        <v>500000</v>
      </c>
      <c r="AD59" s="153">
        <f t="shared" si="10"/>
        <v>500000</v>
      </c>
    </row>
    <row r="60" spans="2:30" ht="15" customHeight="1" outlineLevel="1">
      <c r="B60" s="147" t="s">
        <v>153</v>
      </c>
      <c r="C60" s="130">
        <v>17</v>
      </c>
      <c r="E60" s="153">
        <f t="shared" si="10"/>
        <v>0</v>
      </c>
      <c r="F60" s="153">
        <f t="shared" si="10"/>
        <v>0</v>
      </c>
      <c r="G60" s="153">
        <f t="shared" si="10"/>
        <v>0</v>
      </c>
      <c r="H60" s="153">
        <f t="shared" si="10"/>
        <v>0</v>
      </c>
      <c r="I60" s="153">
        <f t="shared" si="10"/>
        <v>0</v>
      </c>
      <c r="J60" s="153">
        <f t="shared" si="10"/>
        <v>0</v>
      </c>
      <c r="K60" s="153">
        <f t="shared" si="10"/>
        <v>0</v>
      </c>
      <c r="L60" s="153">
        <f t="shared" si="10"/>
        <v>0</v>
      </c>
      <c r="M60" s="153">
        <f t="shared" si="10"/>
        <v>0</v>
      </c>
      <c r="N60" s="153">
        <f t="shared" si="10"/>
        <v>0</v>
      </c>
      <c r="O60" s="153">
        <f t="shared" si="10"/>
        <v>0</v>
      </c>
      <c r="P60" s="153">
        <f t="shared" si="10"/>
        <v>0</v>
      </c>
      <c r="Q60" s="153">
        <f t="shared" si="10"/>
        <v>0</v>
      </c>
      <c r="R60" s="153">
        <f t="shared" si="10"/>
        <v>0</v>
      </c>
      <c r="S60" s="153">
        <f t="shared" si="10"/>
        <v>0</v>
      </c>
      <c r="T60" s="153">
        <f t="shared" si="10"/>
        <v>0</v>
      </c>
      <c r="U60" s="153">
        <f t="shared" si="10"/>
        <v>500000</v>
      </c>
      <c r="V60" s="153">
        <f t="shared" si="10"/>
        <v>500000</v>
      </c>
      <c r="W60" s="153">
        <f t="shared" si="10"/>
        <v>500000</v>
      </c>
      <c r="X60" s="153">
        <f t="shared" si="10"/>
        <v>500000</v>
      </c>
      <c r="Y60" s="153">
        <f t="shared" si="10"/>
        <v>500000</v>
      </c>
      <c r="Z60" s="153">
        <f t="shared" si="10"/>
        <v>500000</v>
      </c>
      <c r="AA60" s="153">
        <f t="shared" si="10"/>
        <v>500000</v>
      </c>
      <c r="AB60" s="153">
        <f t="shared" si="10"/>
        <v>500000</v>
      </c>
      <c r="AC60" s="153">
        <f t="shared" si="10"/>
        <v>500000</v>
      </c>
      <c r="AD60" s="153">
        <f t="shared" si="10"/>
        <v>500000</v>
      </c>
    </row>
    <row r="61" spans="2:30" ht="15" customHeight="1" outlineLevel="1">
      <c r="B61" s="147" t="s">
        <v>154</v>
      </c>
      <c r="C61" s="130">
        <v>18</v>
      </c>
      <c r="E61" s="153">
        <f t="shared" si="10"/>
        <v>0</v>
      </c>
      <c r="F61" s="153">
        <f t="shared" si="10"/>
        <v>0</v>
      </c>
      <c r="G61" s="153">
        <f t="shared" si="10"/>
        <v>0</v>
      </c>
      <c r="H61" s="153">
        <f t="shared" si="10"/>
        <v>0</v>
      </c>
      <c r="I61" s="153">
        <f t="shared" si="10"/>
        <v>0</v>
      </c>
      <c r="J61" s="153">
        <f t="shared" si="10"/>
        <v>0</v>
      </c>
      <c r="K61" s="153">
        <f t="shared" si="10"/>
        <v>0</v>
      </c>
      <c r="L61" s="153">
        <f t="shared" si="10"/>
        <v>0</v>
      </c>
      <c r="M61" s="153">
        <f t="shared" si="10"/>
        <v>0</v>
      </c>
      <c r="N61" s="153">
        <f t="shared" si="10"/>
        <v>0</v>
      </c>
      <c r="O61" s="153">
        <f t="shared" si="10"/>
        <v>0</v>
      </c>
      <c r="P61" s="153">
        <f t="shared" si="10"/>
        <v>0</v>
      </c>
      <c r="Q61" s="153">
        <f t="shared" si="10"/>
        <v>0</v>
      </c>
      <c r="R61" s="153">
        <f t="shared" si="10"/>
        <v>0</v>
      </c>
      <c r="S61" s="153">
        <f t="shared" si="10"/>
        <v>0</v>
      </c>
      <c r="T61" s="153">
        <f t="shared" si="10"/>
        <v>0</v>
      </c>
      <c r="U61" s="153">
        <f t="shared" si="10"/>
        <v>0</v>
      </c>
      <c r="V61" s="153">
        <f t="shared" si="10"/>
        <v>500000</v>
      </c>
      <c r="W61" s="153">
        <f t="shared" si="10"/>
        <v>500000</v>
      </c>
      <c r="X61" s="153">
        <f t="shared" si="10"/>
        <v>500000</v>
      </c>
      <c r="Y61" s="153">
        <f t="shared" si="10"/>
        <v>500000</v>
      </c>
      <c r="Z61" s="153">
        <f t="shared" si="10"/>
        <v>500000</v>
      </c>
      <c r="AA61" s="153">
        <f t="shared" si="10"/>
        <v>500000</v>
      </c>
      <c r="AB61" s="153">
        <f t="shared" si="10"/>
        <v>500000</v>
      </c>
      <c r="AC61" s="153">
        <f t="shared" si="10"/>
        <v>500000</v>
      </c>
      <c r="AD61" s="153">
        <f t="shared" si="10"/>
        <v>500000</v>
      </c>
    </row>
    <row r="62" spans="2:30" ht="15" customHeight="1" outlineLevel="1">
      <c r="B62" s="147" t="s">
        <v>155</v>
      </c>
      <c r="C62" s="130">
        <v>19</v>
      </c>
      <c r="E62" s="153">
        <f t="shared" si="10"/>
        <v>0</v>
      </c>
      <c r="F62" s="153">
        <f t="shared" si="10"/>
        <v>0</v>
      </c>
      <c r="G62" s="153">
        <f t="shared" si="10"/>
        <v>0</v>
      </c>
      <c r="H62" s="153">
        <f t="shared" si="10"/>
        <v>0</v>
      </c>
      <c r="I62" s="153">
        <f t="shared" si="10"/>
        <v>0</v>
      </c>
      <c r="J62" s="153">
        <f t="shared" si="10"/>
        <v>0</v>
      </c>
      <c r="K62" s="153">
        <f t="shared" si="10"/>
        <v>0</v>
      </c>
      <c r="L62" s="153">
        <f t="shared" si="10"/>
        <v>0</v>
      </c>
      <c r="M62" s="153">
        <f t="shared" si="10"/>
        <v>0</v>
      </c>
      <c r="N62" s="153">
        <f t="shared" si="10"/>
        <v>0</v>
      </c>
      <c r="O62" s="153">
        <f t="shared" si="10"/>
        <v>0</v>
      </c>
      <c r="P62" s="153">
        <f t="shared" si="10"/>
        <v>0</v>
      </c>
      <c r="Q62" s="153">
        <f t="shared" si="10"/>
        <v>0</v>
      </c>
      <c r="R62" s="153">
        <f t="shared" si="10"/>
        <v>0</v>
      </c>
      <c r="S62" s="153">
        <f t="shared" si="10"/>
        <v>0</v>
      </c>
      <c r="T62" s="153">
        <f t="shared" si="10"/>
        <v>0</v>
      </c>
      <c r="U62" s="153">
        <f t="shared" si="10"/>
        <v>0</v>
      </c>
      <c r="V62" s="153">
        <f t="shared" si="10"/>
        <v>0</v>
      </c>
      <c r="W62" s="153">
        <f t="shared" si="10"/>
        <v>500000</v>
      </c>
      <c r="X62" s="153">
        <f t="shared" si="10"/>
        <v>500000</v>
      </c>
      <c r="Y62" s="153">
        <f t="shared" si="10"/>
        <v>500000</v>
      </c>
      <c r="Z62" s="153">
        <f t="shared" si="10"/>
        <v>500000</v>
      </c>
      <c r="AA62" s="153">
        <f t="shared" si="10"/>
        <v>500000</v>
      </c>
      <c r="AB62" s="153">
        <f t="shared" si="10"/>
        <v>500000</v>
      </c>
      <c r="AC62" s="153">
        <f t="shared" si="10"/>
        <v>500000</v>
      </c>
      <c r="AD62" s="153">
        <f t="shared" si="10"/>
        <v>500000</v>
      </c>
    </row>
    <row r="63" spans="2:30" ht="15" customHeight="1" outlineLevel="1">
      <c r="B63" s="147" t="s">
        <v>156</v>
      </c>
      <c r="C63" s="130">
        <v>20</v>
      </c>
      <c r="E63" s="153">
        <f t="shared" si="10"/>
        <v>0</v>
      </c>
      <c r="F63" s="153">
        <f t="shared" si="10"/>
        <v>0</v>
      </c>
      <c r="G63" s="153">
        <f t="shared" si="10"/>
        <v>0</v>
      </c>
      <c r="H63" s="153">
        <f t="shared" si="10"/>
        <v>0</v>
      </c>
      <c r="I63" s="153">
        <f t="shared" si="10"/>
        <v>0</v>
      </c>
      <c r="J63" s="153">
        <f t="shared" si="10"/>
        <v>0</v>
      </c>
      <c r="K63" s="153">
        <f t="shared" si="10"/>
        <v>0</v>
      </c>
      <c r="L63" s="153">
        <f t="shared" si="10"/>
        <v>0</v>
      </c>
      <c r="M63" s="153">
        <f t="shared" si="10"/>
        <v>0</v>
      </c>
      <c r="N63" s="153">
        <f t="shared" si="10"/>
        <v>0</v>
      </c>
      <c r="O63" s="153">
        <f t="shared" si="10"/>
        <v>0</v>
      </c>
      <c r="P63" s="153">
        <f t="shared" si="10"/>
        <v>0</v>
      </c>
      <c r="Q63" s="153">
        <f t="shared" si="10"/>
        <v>0</v>
      </c>
      <c r="R63" s="153">
        <f t="shared" si="10"/>
        <v>0</v>
      </c>
      <c r="S63" s="153">
        <f t="shared" si="10"/>
        <v>0</v>
      </c>
      <c r="T63" s="153">
        <f t="shared" si="10"/>
        <v>0</v>
      </c>
      <c r="U63" s="153">
        <f t="shared" si="10"/>
        <v>0</v>
      </c>
      <c r="V63" s="153">
        <f t="shared" si="10"/>
        <v>0</v>
      </c>
      <c r="W63" s="153">
        <f t="shared" si="10"/>
        <v>0</v>
      </c>
      <c r="X63" s="153">
        <f t="shared" si="10"/>
        <v>500000</v>
      </c>
      <c r="Y63" s="153">
        <f t="shared" si="10"/>
        <v>500000</v>
      </c>
      <c r="Z63" s="153">
        <f t="shared" si="10"/>
        <v>500000</v>
      </c>
      <c r="AA63" s="153">
        <f t="shared" si="10"/>
        <v>500000</v>
      </c>
      <c r="AB63" s="153">
        <f t="shared" si="10"/>
        <v>500000</v>
      </c>
      <c r="AC63" s="153">
        <f t="shared" si="10"/>
        <v>500000</v>
      </c>
      <c r="AD63" s="153">
        <f t="shared" si="10"/>
        <v>500000</v>
      </c>
    </row>
    <row r="64" spans="2:30" ht="15" customHeight="1" outlineLevel="1">
      <c r="B64" s="147" t="s">
        <v>157</v>
      </c>
      <c r="C64" s="130">
        <v>21</v>
      </c>
      <c r="E64" s="153">
        <f t="shared" si="10"/>
        <v>0</v>
      </c>
      <c r="F64" s="153">
        <f t="shared" si="10"/>
        <v>0</v>
      </c>
      <c r="G64" s="153">
        <f t="shared" si="10"/>
        <v>0</v>
      </c>
      <c r="H64" s="153">
        <f t="shared" si="10"/>
        <v>0</v>
      </c>
      <c r="I64" s="153">
        <f t="shared" si="10"/>
        <v>0</v>
      </c>
      <c r="J64" s="153">
        <f t="shared" si="10"/>
        <v>0</v>
      </c>
      <c r="K64" s="153">
        <f t="shared" si="10"/>
        <v>0</v>
      </c>
      <c r="L64" s="153">
        <f t="shared" si="10"/>
        <v>0</v>
      </c>
      <c r="M64" s="153">
        <f t="shared" si="10"/>
        <v>0</v>
      </c>
      <c r="N64" s="153">
        <f t="shared" si="10"/>
        <v>0</v>
      </c>
      <c r="O64" s="153">
        <f t="shared" si="10"/>
        <v>0</v>
      </c>
      <c r="P64" s="153">
        <f t="shared" si="10"/>
        <v>0</v>
      </c>
      <c r="Q64" s="153">
        <f t="shared" si="10"/>
        <v>0</v>
      </c>
      <c r="R64" s="153">
        <f t="shared" si="10"/>
        <v>0</v>
      </c>
      <c r="S64" s="153">
        <f t="shared" si="10"/>
        <v>0</v>
      </c>
      <c r="T64" s="153">
        <f t="shared" si="10"/>
        <v>0</v>
      </c>
      <c r="U64" s="153">
        <f t="shared" si="10"/>
        <v>0</v>
      </c>
      <c r="V64" s="153">
        <f t="shared" si="10"/>
        <v>0</v>
      </c>
      <c r="W64" s="153">
        <f t="shared" si="10"/>
        <v>0</v>
      </c>
      <c r="X64" s="153">
        <f t="shared" si="10"/>
        <v>0</v>
      </c>
      <c r="Y64" s="153">
        <f t="shared" si="10"/>
        <v>500000</v>
      </c>
      <c r="Z64" s="153">
        <f t="shared" ref="Z64:AD64" si="11">+IF($C64+$C$42&gt;Z$11,Z35/$C$42,0)</f>
        <v>500000</v>
      </c>
      <c r="AA64" s="153">
        <f t="shared" si="11"/>
        <v>500000</v>
      </c>
      <c r="AB64" s="153">
        <f t="shared" si="11"/>
        <v>500000</v>
      </c>
      <c r="AC64" s="153">
        <f t="shared" si="11"/>
        <v>500000</v>
      </c>
      <c r="AD64" s="153">
        <f t="shared" si="11"/>
        <v>500000</v>
      </c>
    </row>
    <row r="65" spans="2:30" ht="15" customHeight="1" outlineLevel="1">
      <c r="B65" s="147" t="s">
        <v>158</v>
      </c>
      <c r="C65" s="130">
        <v>22</v>
      </c>
      <c r="E65" s="153">
        <f t="shared" ref="E65:AD68" si="12">+IF($C65+$C$42&gt;E$11,E36/$C$42,0)</f>
        <v>0</v>
      </c>
      <c r="F65" s="153">
        <f t="shared" si="12"/>
        <v>0</v>
      </c>
      <c r="G65" s="153">
        <f t="shared" si="12"/>
        <v>0</v>
      </c>
      <c r="H65" s="153">
        <f t="shared" si="12"/>
        <v>0</v>
      </c>
      <c r="I65" s="153">
        <f t="shared" si="12"/>
        <v>0</v>
      </c>
      <c r="J65" s="153">
        <f t="shared" si="12"/>
        <v>0</v>
      </c>
      <c r="K65" s="153">
        <f t="shared" si="12"/>
        <v>0</v>
      </c>
      <c r="L65" s="153">
        <f t="shared" si="12"/>
        <v>0</v>
      </c>
      <c r="M65" s="153">
        <f t="shared" si="12"/>
        <v>0</v>
      </c>
      <c r="N65" s="153">
        <f t="shared" si="12"/>
        <v>0</v>
      </c>
      <c r="O65" s="153">
        <f t="shared" si="12"/>
        <v>0</v>
      </c>
      <c r="P65" s="153">
        <f t="shared" si="12"/>
        <v>0</v>
      </c>
      <c r="Q65" s="153">
        <f t="shared" si="12"/>
        <v>0</v>
      </c>
      <c r="R65" s="153">
        <f t="shared" si="12"/>
        <v>0</v>
      </c>
      <c r="S65" s="153">
        <f t="shared" si="12"/>
        <v>0</v>
      </c>
      <c r="T65" s="153">
        <f t="shared" si="12"/>
        <v>0</v>
      </c>
      <c r="U65" s="153">
        <f t="shared" si="12"/>
        <v>0</v>
      </c>
      <c r="V65" s="153">
        <f t="shared" si="12"/>
        <v>0</v>
      </c>
      <c r="W65" s="153">
        <f t="shared" si="12"/>
        <v>0</v>
      </c>
      <c r="X65" s="153">
        <f t="shared" si="12"/>
        <v>0</v>
      </c>
      <c r="Y65" s="153">
        <f t="shared" si="12"/>
        <v>0</v>
      </c>
      <c r="Z65" s="153">
        <f t="shared" si="12"/>
        <v>500000</v>
      </c>
      <c r="AA65" s="153">
        <f t="shared" si="12"/>
        <v>500000</v>
      </c>
      <c r="AB65" s="153">
        <f t="shared" si="12"/>
        <v>500000</v>
      </c>
      <c r="AC65" s="153">
        <f t="shared" si="12"/>
        <v>500000</v>
      </c>
      <c r="AD65" s="153">
        <f t="shared" si="12"/>
        <v>500000</v>
      </c>
    </row>
    <row r="66" spans="2:30" ht="15" customHeight="1" outlineLevel="1">
      <c r="B66" s="147" t="s">
        <v>159</v>
      </c>
      <c r="C66" s="130">
        <v>23</v>
      </c>
      <c r="E66" s="153">
        <f t="shared" si="12"/>
        <v>0</v>
      </c>
      <c r="F66" s="153">
        <f t="shared" si="12"/>
        <v>0</v>
      </c>
      <c r="G66" s="153">
        <f t="shared" si="12"/>
        <v>0</v>
      </c>
      <c r="H66" s="153">
        <f t="shared" si="12"/>
        <v>0</v>
      </c>
      <c r="I66" s="153">
        <f t="shared" si="12"/>
        <v>0</v>
      </c>
      <c r="J66" s="153">
        <f t="shared" si="12"/>
        <v>0</v>
      </c>
      <c r="K66" s="153">
        <f t="shared" si="12"/>
        <v>0</v>
      </c>
      <c r="L66" s="153">
        <f t="shared" si="12"/>
        <v>0</v>
      </c>
      <c r="M66" s="153">
        <f t="shared" si="12"/>
        <v>0</v>
      </c>
      <c r="N66" s="153">
        <f t="shared" si="12"/>
        <v>0</v>
      </c>
      <c r="O66" s="153">
        <f t="shared" si="12"/>
        <v>0</v>
      </c>
      <c r="P66" s="153">
        <f t="shared" si="12"/>
        <v>0</v>
      </c>
      <c r="Q66" s="153">
        <f t="shared" si="12"/>
        <v>0</v>
      </c>
      <c r="R66" s="153">
        <f t="shared" si="12"/>
        <v>0</v>
      </c>
      <c r="S66" s="153">
        <f t="shared" si="12"/>
        <v>0</v>
      </c>
      <c r="T66" s="153">
        <f t="shared" si="12"/>
        <v>0</v>
      </c>
      <c r="U66" s="153">
        <f t="shared" si="12"/>
        <v>0</v>
      </c>
      <c r="V66" s="153">
        <f t="shared" si="12"/>
        <v>0</v>
      </c>
      <c r="W66" s="153">
        <f t="shared" si="12"/>
        <v>0</v>
      </c>
      <c r="X66" s="153">
        <f t="shared" si="12"/>
        <v>0</v>
      </c>
      <c r="Y66" s="153">
        <f t="shared" si="12"/>
        <v>0</v>
      </c>
      <c r="Z66" s="153">
        <f t="shared" si="12"/>
        <v>0</v>
      </c>
      <c r="AA66" s="153">
        <f t="shared" si="12"/>
        <v>500000</v>
      </c>
      <c r="AB66" s="153">
        <f t="shared" si="12"/>
        <v>500000</v>
      </c>
      <c r="AC66" s="153">
        <f t="shared" si="12"/>
        <v>500000</v>
      </c>
      <c r="AD66" s="153">
        <f t="shared" si="12"/>
        <v>500000</v>
      </c>
    </row>
    <row r="67" spans="2:30" ht="15" customHeight="1" outlineLevel="1">
      <c r="B67" s="147" t="s">
        <v>160</v>
      </c>
      <c r="C67" s="130">
        <v>24</v>
      </c>
      <c r="E67" s="153">
        <f t="shared" si="12"/>
        <v>0</v>
      </c>
      <c r="F67" s="153">
        <f t="shared" si="12"/>
        <v>0</v>
      </c>
      <c r="G67" s="153">
        <f t="shared" si="12"/>
        <v>0</v>
      </c>
      <c r="H67" s="153">
        <f t="shared" si="12"/>
        <v>0</v>
      </c>
      <c r="I67" s="153">
        <f t="shared" si="12"/>
        <v>0</v>
      </c>
      <c r="J67" s="153">
        <f t="shared" si="12"/>
        <v>0</v>
      </c>
      <c r="K67" s="153">
        <f t="shared" si="12"/>
        <v>0</v>
      </c>
      <c r="L67" s="153">
        <f t="shared" si="12"/>
        <v>0</v>
      </c>
      <c r="M67" s="153">
        <f t="shared" si="12"/>
        <v>0</v>
      </c>
      <c r="N67" s="153">
        <f t="shared" si="12"/>
        <v>0</v>
      </c>
      <c r="O67" s="153">
        <f t="shared" si="12"/>
        <v>0</v>
      </c>
      <c r="P67" s="153">
        <f t="shared" si="12"/>
        <v>0</v>
      </c>
      <c r="Q67" s="153">
        <f t="shared" si="12"/>
        <v>0</v>
      </c>
      <c r="R67" s="153">
        <f t="shared" si="12"/>
        <v>0</v>
      </c>
      <c r="S67" s="153">
        <f t="shared" si="12"/>
        <v>0</v>
      </c>
      <c r="T67" s="153">
        <f t="shared" si="12"/>
        <v>0</v>
      </c>
      <c r="U67" s="153">
        <f t="shared" si="12"/>
        <v>0</v>
      </c>
      <c r="V67" s="153">
        <f t="shared" si="12"/>
        <v>0</v>
      </c>
      <c r="W67" s="153">
        <f t="shared" si="12"/>
        <v>0</v>
      </c>
      <c r="X67" s="153">
        <f t="shared" si="12"/>
        <v>0</v>
      </c>
      <c r="Y67" s="153">
        <f t="shared" si="12"/>
        <v>0</v>
      </c>
      <c r="Z67" s="153">
        <f t="shared" si="12"/>
        <v>0</v>
      </c>
      <c r="AA67" s="153">
        <f t="shared" si="12"/>
        <v>0</v>
      </c>
      <c r="AB67" s="153">
        <f t="shared" si="12"/>
        <v>500000</v>
      </c>
      <c r="AC67" s="153">
        <f t="shared" si="12"/>
        <v>500000</v>
      </c>
      <c r="AD67" s="153">
        <f t="shared" si="12"/>
        <v>500000</v>
      </c>
    </row>
    <row r="68" spans="2:30" ht="15" customHeight="1" outlineLevel="1">
      <c r="B68" s="147" t="s">
        <v>161</v>
      </c>
      <c r="C68" s="130">
        <v>25</v>
      </c>
      <c r="E68" s="153">
        <f t="shared" si="12"/>
        <v>0</v>
      </c>
      <c r="F68" s="153">
        <f t="shared" si="12"/>
        <v>0</v>
      </c>
      <c r="G68" s="153">
        <f t="shared" si="12"/>
        <v>0</v>
      </c>
      <c r="H68" s="153">
        <f t="shared" si="12"/>
        <v>0</v>
      </c>
      <c r="I68" s="153">
        <f t="shared" si="12"/>
        <v>0</v>
      </c>
      <c r="J68" s="153">
        <f t="shared" si="12"/>
        <v>0</v>
      </c>
      <c r="K68" s="153">
        <f t="shared" si="12"/>
        <v>0</v>
      </c>
      <c r="L68" s="153">
        <f t="shared" si="12"/>
        <v>0</v>
      </c>
      <c r="M68" s="153">
        <f t="shared" si="12"/>
        <v>0</v>
      </c>
      <c r="N68" s="153">
        <f t="shared" si="12"/>
        <v>0</v>
      </c>
      <c r="O68" s="153">
        <f t="shared" si="12"/>
        <v>0</v>
      </c>
      <c r="P68" s="153">
        <f t="shared" si="12"/>
        <v>0</v>
      </c>
      <c r="Q68" s="153">
        <f t="shared" si="12"/>
        <v>0</v>
      </c>
      <c r="R68" s="153">
        <f t="shared" si="12"/>
        <v>0</v>
      </c>
      <c r="S68" s="153">
        <f t="shared" si="12"/>
        <v>0</v>
      </c>
      <c r="T68" s="153">
        <f t="shared" si="12"/>
        <v>0</v>
      </c>
      <c r="U68" s="153">
        <f t="shared" si="12"/>
        <v>0</v>
      </c>
      <c r="V68" s="153">
        <f t="shared" si="12"/>
        <v>0</v>
      </c>
      <c r="W68" s="153">
        <f t="shared" si="12"/>
        <v>0</v>
      </c>
      <c r="X68" s="153">
        <f t="shared" si="12"/>
        <v>0</v>
      </c>
      <c r="Y68" s="153">
        <f t="shared" si="12"/>
        <v>0</v>
      </c>
      <c r="Z68" s="153">
        <f t="shared" si="12"/>
        <v>0</v>
      </c>
      <c r="AA68" s="153">
        <f t="shared" si="12"/>
        <v>0</v>
      </c>
      <c r="AB68" s="153">
        <f t="shared" si="12"/>
        <v>0</v>
      </c>
      <c r="AC68" s="153">
        <f t="shared" si="12"/>
        <v>500000</v>
      </c>
      <c r="AD68" s="153">
        <f t="shared" si="12"/>
        <v>500000</v>
      </c>
    </row>
    <row r="69" spans="2:30" ht="15" customHeight="1">
      <c r="B69" s="154" t="s">
        <v>164</v>
      </c>
      <c r="C69" s="155"/>
      <c r="D69" s="155"/>
      <c r="E69" s="156">
        <f>+SUM(E44:E68)</f>
        <v>500000</v>
      </c>
      <c r="F69" s="156">
        <f t="shared" ref="F69:AC69" si="13">+SUM(F44:F68)</f>
        <v>1000000</v>
      </c>
      <c r="G69" s="156">
        <f t="shared" si="13"/>
        <v>1500000</v>
      </c>
      <c r="H69" s="156">
        <f t="shared" si="13"/>
        <v>2000000</v>
      </c>
      <c r="I69" s="156">
        <f t="shared" si="13"/>
        <v>2500000</v>
      </c>
      <c r="J69" s="156">
        <f t="shared" si="13"/>
        <v>3000000</v>
      </c>
      <c r="K69" s="156">
        <f t="shared" si="13"/>
        <v>3500000</v>
      </c>
      <c r="L69" s="156">
        <f t="shared" si="13"/>
        <v>4000000</v>
      </c>
      <c r="M69" s="156">
        <f t="shared" si="13"/>
        <v>4500000</v>
      </c>
      <c r="N69" s="156">
        <f t="shared" si="13"/>
        <v>5000000</v>
      </c>
      <c r="O69" s="156">
        <f t="shared" si="13"/>
        <v>5500000</v>
      </c>
      <c r="P69" s="156">
        <f t="shared" si="13"/>
        <v>6000000</v>
      </c>
      <c r="Q69" s="156">
        <f t="shared" si="13"/>
        <v>6500000</v>
      </c>
      <c r="R69" s="156">
        <f t="shared" si="13"/>
        <v>7000000</v>
      </c>
      <c r="S69" s="156">
        <f t="shared" si="13"/>
        <v>7500000</v>
      </c>
      <c r="T69" s="156">
        <f t="shared" si="13"/>
        <v>8000000</v>
      </c>
      <c r="U69" s="156">
        <f t="shared" si="13"/>
        <v>8500000</v>
      </c>
      <c r="V69" s="156">
        <f t="shared" si="13"/>
        <v>9000000</v>
      </c>
      <c r="W69" s="156">
        <f t="shared" si="13"/>
        <v>9500000</v>
      </c>
      <c r="X69" s="156">
        <f t="shared" si="13"/>
        <v>10000000</v>
      </c>
      <c r="Y69" s="156">
        <f t="shared" si="13"/>
        <v>10000000</v>
      </c>
      <c r="Z69" s="156">
        <f t="shared" si="13"/>
        <v>10000000</v>
      </c>
      <c r="AA69" s="156">
        <f t="shared" si="13"/>
        <v>10000000</v>
      </c>
      <c r="AB69" s="156">
        <f t="shared" si="13"/>
        <v>10000000</v>
      </c>
      <c r="AC69" s="156">
        <f t="shared" si="13"/>
        <v>10000000</v>
      </c>
      <c r="AD69" s="156">
        <f t="shared" ref="AD69" si="14">+SUM(AD44:AD68)</f>
        <v>9500000</v>
      </c>
    </row>
    <row r="70" spans="2:30" ht="15" customHeight="1">
      <c r="B70" s="147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</row>
    <row r="71" spans="2:30" ht="15" customHeight="1">
      <c r="B71" s="147" t="s">
        <v>19</v>
      </c>
      <c r="E71" s="148">
        <f t="shared" ref="E71:AD71" si="15">+D71+E69</f>
        <v>500000</v>
      </c>
      <c r="F71" s="148">
        <f t="shared" si="15"/>
        <v>1500000</v>
      </c>
      <c r="G71" s="148">
        <f t="shared" si="15"/>
        <v>3000000</v>
      </c>
      <c r="H71" s="148">
        <f t="shared" si="15"/>
        <v>5000000</v>
      </c>
      <c r="I71" s="148">
        <f t="shared" si="15"/>
        <v>7500000</v>
      </c>
      <c r="J71" s="148">
        <f t="shared" si="15"/>
        <v>10500000</v>
      </c>
      <c r="K71" s="148">
        <f t="shared" si="15"/>
        <v>14000000</v>
      </c>
      <c r="L71" s="148">
        <f t="shared" si="15"/>
        <v>18000000</v>
      </c>
      <c r="M71" s="148">
        <f t="shared" si="15"/>
        <v>22500000</v>
      </c>
      <c r="N71" s="148">
        <f t="shared" si="15"/>
        <v>27500000</v>
      </c>
      <c r="O71" s="148">
        <f t="shared" si="15"/>
        <v>33000000</v>
      </c>
      <c r="P71" s="148">
        <f t="shared" si="15"/>
        <v>39000000</v>
      </c>
      <c r="Q71" s="148">
        <f t="shared" si="15"/>
        <v>45500000</v>
      </c>
      <c r="R71" s="148">
        <f t="shared" si="15"/>
        <v>52500000</v>
      </c>
      <c r="S71" s="148">
        <f t="shared" si="15"/>
        <v>60000000</v>
      </c>
      <c r="T71" s="148">
        <f t="shared" si="15"/>
        <v>68000000</v>
      </c>
      <c r="U71" s="148">
        <f t="shared" si="15"/>
        <v>76500000</v>
      </c>
      <c r="V71" s="148">
        <f t="shared" si="15"/>
        <v>85500000</v>
      </c>
      <c r="W71" s="148">
        <f t="shared" si="15"/>
        <v>95000000</v>
      </c>
      <c r="X71" s="148">
        <f t="shared" si="15"/>
        <v>105000000</v>
      </c>
      <c r="Y71" s="148">
        <f t="shared" si="15"/>
        <v>115000000</v>
      </c>
      <c r="Z71" s="148">
        <f t="shared" si="15"/>
        <v>125000000</v>
      </c>
      <c r="AA71" s="148">
        <f t="shared" si="15"/>
        <v>135000000</v>
      </c>
      <c r="AB71" s="148">
        <f t="shared" si="15"/>
        <v>145000000</v>
      </c>
      <c r="AC71" s="148">
        <f t="shared" si="15"/>
        <v>155000000</v>
      </c>
      <c r="AD71" s="148">
        <f t="shared" si="15"/>
        <v>164500000</v>
      </c>
    </row>
    <row r="72" spans="2:30" ht="15" customHeight="1">
      <c r="B72" s="147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</row>
    <row r="73" spans="2:30" s="139" customFormat="1" ht="15" customHeight="1">
      <c r="B73" s="157" t="s">
        <v>165</v>
      </c>
      <c r="C73" s="158"/>
      <c r="D73" s="158"/>
      <c r="E73" s="159">
        <f>+E40-E71</f>
        <v>9500000</v>
      </c>
      <c r="F73" s="159">
        <f t="shared" ref="F73:AD73" si="16">+F40-F71</f>
        <v>18500000</v>
      </c>
      <c r="G73" s="159">
        <f>+G40-G71</f>
        <v>27000000</v>
      </c>
      <c r="H73" s="159">
        <f t="shared" si="16"/>
        <v>35000000</v>
      </c>
      <c r="I73" s="159">
        <f t="shared" si="16"/>
        <v>42500000</v>
      </c>
      <c r="J73" s="159">
        <f t="shared" si="16"/>
        <v>49500000</v>
      </c>
      <c r="K73" s="159">
        <f t="shared" si="16"/>
        <v>56000000</v>
      </c>
      <c r="L73" s="159">
        <f t="shared" si="16"/>
        <v>62000000</v>
      </c>
      <c r="M73" s="159">
        <f t="shared" si="16"/>
        <v>67500000</v>
      </c>
      <c r="N73" s="159">
        <f t="shared" si="16"/>
        <v>72500000</v>
      </c>
      <c r="O73" s="159">
        <f t="shared" si="16"/>
        <v>77000000</v>
      </c>
      <c r="P73" s="159">
        <f t="shared" si="16"/>
        <v>81000000</v>
      </c>
      <c r="Q73" s="159">
        <f t="shared" si="16"/>
        <v>84500000</v>
      </c>
      <c r="R73" s="159">
        <f t="shared" si="16"/>
        <v>87500000</v>
      </c>
      <c r="S73" s="159">
        <f t="shared" si="16"/>
        <v>90000000</v>
      </c>
      <c r="T73" s="159">
        <f t="shared" si="16"/>
        <v>92000000</v>
      </c>
      <c r="U73" s="159">
        <f t="shared" si="16"/>
        <v>93500000</v>
      </c>
      <c r="V73" s="159">
        <f t="shared" si="16"/>
        <v>94500000</v>
      </c>
      <c r="W73" s="159">
        <f t="shared" si="16"/>
        <v>95000000</v>
      </c>
      <c r="X73" s="159">
        <f t="shared" si="16"/>
        <v>95000000</v>
      </c>
      <c r="Y73" s="159">
        <f t="shared" si="16"/>
        <v>95000000</v>
      </c>
      <c r="Z73" s="159">
        <f t="shared" si="16"/>
        <v>95000000</v>
      </c>
      <c r="AA73" s="159">
        <f t="shared" si="16"/>
        <v>95000000</v>
      </c>
      <c r="AB73" s="159">
        <f t="shared" si="16"/>
        <v>95000000</v>
      </c>
      <c r="AC73" s="159">
        <f t="shared" si="16"/>
        <v>95000000</v>
      </c>
      <c r="AD73" s="159">
        <f t="shared" si="16"/>
        <v>85500000</v>
      </c>
    </row>
    <row r="74" spans="2:30" ht="15" customHeight="1">
      <c r="B74" s="144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</row>
    <row r="75" spans="2:30" s="139" customFormat="1" ht="15" customHeight="1">
      <c r="B75" s="157" t="s">
        <v>133</v>
      </c>
      <c r="C75" s="158"/>
      <c r="D75" s="158"/>
      <c r="E75" s="159">
        <f>+E12</f>
        <v>10000000</v>
      </c>
      <c r="F75" s="159">
        <f t="shared" ref="F75:AD75" si="17">+F12</f>
        <v>10000000</v>
      </c>
      <c r="G75" s="159">
        <f>+G12</f>
        <v>10000000</v>
      </c>
      <c r="H75" s="159">
        <f t="shared" si="17"/>
        <v>10000000</v>
      </c>
      <c r="I75" s="159">
        <f t="shared" si="17"/>
        <v>10000000</v>
      </c>
      <c r="J75" s="159">
        <f t="shared" si="17"/>
        <v>10000000</v>
      </c>
      <c r="K75" s="159">
        <f t="shared" si="17"/>
        <v>10000000</v>
      </c>
      <c r="L75" s="159">
        <f t="shared" si="17"/>
        <v>10000000</v>
      </c>
      <c r="M75" s="159">
        <f t="shared" si="17"/>
        <v>10000000</v>
      </c>
      <c r="N75" s="159">
        <f t="shared" si="17"/>
        <v>10000000</v>
      </c>
      <c r="O75" s="159">
        <f t="shared" si="17"/>
        <v>10000000</v>
      </c>
      <c r="P75" s="159">
        <f t="shared" si="17"/>
        <v>10000000</v>
      </c>
      <c r="Q75" s="159">
        <f t="shared" si="17"/>
        <v>10000000</v>
      </c>
      <c r="R75" s="159">
        <f t="shared" si="17"/>
        <v>10000000</v>
      </c>
      <c r="S75" s="159">
        <f t="shared" si="17"/>
        <v>10000000</v>
      </c>
      <c r="T75" s="159">
        <f t="shared" si="17"/>
        <v>10000000</v>
      </c>
      <c r="U75" s="159">
        <f t="shared" si="17"/>
        <v>10000000</v>
      </c>
      <c r="V75" s="159">
        <f t="shared" si="17"/>
        <v>10000000</v>
      </c>
      <c r="W75" s="159">
        <f t="shared" si="17"/>
        <v>10000000</v>
      </c>
      <c r="X75" s="159">
        <f t="shared" si="17"/>
        <v>10000000</v>
      </c>
      <c r="Y75" s="159">
        <f t="shared" si="17"/>
        <v>10000000</v>
      </c>
      <c r="Z75" s="159">
        <f t="shared" si="17"/>
        <v>10000000</v>
      </c>
      <c r="AA75" s="159">
        <f t="shared" si="17"/>
        <v>10000000</v>
      </c>
      <c r="AB75" s="159">
        <f t="shared" si="17"/>
        <v>10000000</v>
      </c>
      <c r="AC75" s="159">
        <f t="shared" si="17"/>
        <v>10000000</v>
      </c>
      <c r="AD75" s="159">
        <f t="shared" si="17"/>
        <v>10000000</v>
      </c>
    </row>
    <row r="76" spans="2:30" ht="15" customHeight="1" thickBot="1">
      <c r="B76" s="161"/>
      <c r="C76" s="162"/>
      <c r="D76" s="162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</row>
    <row r="77" spans="2:30" ht="15" customHeight="1">
      <c r="B77" s="144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</row>
    <row r="78" spans="2:30" ht="14.1" customHeight="1">
      <c r="B78" s="141" t="s">
        <v>166</v>
      </c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</row>
    <row r="79" spans="2:30" ht="15" customHeight="1">
      <c r="B79" s="130"/>
      <c r="C79" s="133"/>
      <c r="D79" s="133"/>
      <c r="E79" s="143">
        <v>1</v>
      </c>
      <c r="F79" s="143">
        <v>2</v>
      </c>
      <c r="G79" s="143">
        <v>3</v>
      </c>
      <c r="H79" s="143">
        <v>4</v>
      </c>
      <c r="I79" s="143">
        <v>5</v>
      </c>
      <c r="J79" s="143">
        <v>6</v>
      </c>
      <c r="K79" s="143">
        <v>7</v>
      </c>
      <c r="L79" s="143">
        <v>8</v>
      </c>
      <c r="M79" s="143">
        <v>9</v>
      </c>
      <c r="N79" s="143">
        <v>10</v>
      </c>
      <c r="O79" s="143">
        <v>11</v>
      </c>
      <c r="P79" s="143">
        <v>12</v>
      </c>
      <c r="Q79" s="143">
        <v>13</v>
      </c>
      <c r="R79" s="143">
        <v>14</v>
      </c>
      <c r="S79" s="143">
        <v>15</v>
      </c>
      <c r="T79" s="143">
        <v>16</v>
      </c>
      <c r="U79" s="143">
        <v>17</v>
      </c>
      <c r="V79" s="143">
        <v>18</v>
      </c>
      <c r="W79" s="143">
        <v>19</v>
      </c>
      <c r="X79" s="143">
        <v>20</v>
      </c>
      <c r="Y79" s="143">
        <v>21</v>
      </c>
      <c r="Z79" s="143">
        <v>22</v>
      </c>
      <c r="AA79" s="143">
        <v>23</v>
      </c>
      <c r="AB79" s="143">
        <v>24</v>
      </c>
      <c r="AC79" s="143">
        <v>25</v>
      </c>
      <c r="AD79" s="143">
        <v>26</v>
      </c>
    </row>
    <row r="80" spans="2:30" ht="15" customHeight="1">
      <c r="B80" s="144" t="s">
        <v>134</v>
      </c>
      <c r="C80" s="145" t="s">
        <v>135</v>
      </c>
      <c r="D80" s="145"/>
      <c r="E80" s="146">
        <v>100000</v>
      </c>
      <c r="F80" s="146">
        <v>100000</v>
      </c>
      <c r="G80" s="146">
        <v>100000</v>
      </c>
      <c r="H80" s="146">
        <v>100000</v>
      </c>
      <c r="I80" s="146">
        <v>100000</v>
      </c>
      <c r="J80" s="146">
        <v>100000</v>
      </c>
      <c r="K80" s="146">
        <v>100000</v>
      </c>
      <c r="L80" s="146">
        <v>100000</v>
      </c>
      <c r="M80" s="146">
        <v>100000</v>
      </c>
      <c r="N80" s="146">
        <v>100000</v>
      </c>
      <c r="O80" s="146">
        <v>100000</v>
      </c>
      <c r="P80" s="146">
        <v>100000</v>
      </c>
      <c r="Q80" s="146">
        <v>100000</v>
      </c>
      <c r="R80" s="146">
        <v>100000</v>
      </c>
      <c r="S80" s="146">
        <v>100000</v>
      </c>
      <c r="T80" s="146">
        <v>100000</v>
      </c>
      <c r="U80" s="146">
        <v>100000</v>
      </c>
      <c r="V80" s="146">
        <v>100000</v>
      </c>
      <c r="W80" s="146">
        <v>100000</v>
      </c>
      <c r="X80" s="146">
        <v>100000</v>
      </c>
      <c r="Y80" s="146">
        <v>100000</v>
      </c>
      <c r="Z80" s="146">
        <v>100000</v>
      </c>
      <c r="AA80" s="146">
        <v>100000</v>
      </c>
      <c r="AB80" s="146">
        <v>100000</v>
      </c>
      <c r="AC80" s="146">
        <v>100000</v>
      </c>
      <c r="AD80" s="146">
        <v>100000</v>
      </c>
    </row>
    <row r="81" spans="2:30" ht="15" customHeight="1">
      <c r="B81" s="147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</row>
    <row r="82" spans="2:30" ht="15" customHeight="1" outlineLevel="1">
      <c r="B82" s="147" t="s">
        <v>136</v>
      </c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</row>
    <row r="83" spans="2:30" ht="15" customHeight="1" outlineLevel="1">
      <c r="B83" s="147" t="s">
        <v>137</v>
      </c>
      <c r="C83" s="130">
        <v>1</v>
      </c>
      <c r="E83" s="148">
        <f>+IF($C83&gt;E$79,0,IF($C83=E$79,E$80,D83))</f>
        <v>100000</v>
      </c>
      <c r="F83" s="148">
        <f t="shared" ref="F83:AD98" si="18">+IF($C83&gt;F$79,0,IF($C83=F$79,F$80,E83))</f>
        <v>100000</v>
      </c>
      <c r="G83" s="148">
        <f t="shared" si="18"/>
        <v>100000</v>
      </c>
      <c r="H83" s="148">
        <f t="shared" si="18"/>
        <v>100000</v>
      </c>
      <c r="I83" s="148">
        <f t="shared" si="18"/>
        <v>100000</v>
      </c>
      <c r="J83" s="148">
        <f t="shared" si="18"/>
        <v>100000</v>
      </c>
      <c r="K83" s="148">
        <f t="shared" si="18"/>
        <v>100000</v>
      </c>
      <c r="L83" s="148">
        <f t="shared" si="18"/>
        <v>100000</v>
      </c>
      <c r="M83" s="148">
        <f t="shared" si="18"/>
        <v>100000</v>
      </c>
      <c r="N83" s="148">
        <f t="shared" si="18"/>
        <v>100000</v>
      </c>
      <c r="O83" s="148">
        <f t="shared" si="18"/>
        <v>100000</v>
      </c>
      <c r="P83" s="148">
        <f t="shared" si="18"/>
        <v>100000</v>
      </c>
      <c r="Q83" s="148">
        <f t="shared" si="18"/>
        <v>100000</v>
      </c>
      <c r="R83" s="148">
        <f t="shared" si="18"/>
        <v>100000</v>
      </c>
      <c r="S83" s="148">
        <f t="shared" si="18"/>
        <v>100000</v>
      </c>
      <c r="T83" s="148">
        <f t="shared" si="18"/>
        <v>100000</v>
      </c>
      <c r="U83" s="148">
        <f t="shared" si="18"/>
        <v>100000</v>
      </c>
      <c r="V83" s="148">
        <f t="shared" si="18"/>
        <v>100000</v>
      </c>
      <c r="W83" s="148">
        <f t="shared" si="18"/>
        <v>100000</v>
      </c>
      <c r="X83" s="148">
        <f t="shared" si="18"/>
        <v>100000</v>
      </c>
      <c r="Y83" s="148">
        <f t="shared" si="18"/>
        <v>100000</v>
      </c>
      <c r="Z83" s="148">
        <f t="shared" si="18"/>
        <v>100000</v>
      </c>
      <c r="AA83" s="148">
        <f t="shared" si="18"/>
        <v>100000</v>
      </c>
      <c r="AB83" s="148">
        <f t="shared" si="18"/>
        <v>100000</v>
      </c>
      <c r="AC83" s="148">
        <f t="shared" si="18"/>
        <v>100000</v>
      </c>
      <c r="AD83" s="148">
        <f t="shared" si="18"/>
        <v>100000</v>
      </c>
    </row>
    <row r="84" spans="2:30" ht="15" customHeight="1" outlineLevel="1">
      <c r="B84" s="147" t="s">
        <v>138</v>
      </c>
      <c r="C84" s="130">
        <v>2</v>
      </c>
      <c r="E84" s="148">
        <f t="shared" ref="E84:T99" si="19">+IF($C84&gt;E$79,0,IF($C84=E$79,E$80,D84))</f>
        <v>0</v>
      </c>
      <c r="F84" s="148">
        <f t="shared" si="19"/>
        <v>100000</v>
      </c>
      <c r="G84" s="148">
        <f t="shared" si="19"/>
        <v>100000</v>
      </c>
      <c r="H84" s="148">
        <f t="shared" si="19"/>
        <v>100000</v>
      </c>
      <c r="I84" s="148">
        <f t="shared" si="19"/>
        <v>100000</v>
      </c>
      <c r="J84" s="148">
        <f t="shared" si="19"/>
        <v>100000</v>
      </c>
      <c r="K84" s="148">
        <f t="shared" si="19"/>
        <v>100000</v>
      </c>
      <c r="L84" s="148">
        <f t="shared" si="19"/>
        <v>100000</v>
      </c>
      <c r="M84" s="148">
        <f t="shared" si="19"/>
        <v>100000</v>
      </c>
      <c r="N84" s="148">
        <f t="shared" si="19"/>
        <v>100000</v>
      </c>
      <c r="O84" s="148">
        <f t="shared" si="19"/>
        <v>100000</v>
      </c>
      <c r="P84" s="148">
        <f t="shared" si="19"/>
        <v>100000</v>
      </c>
      <c r="Q84" s="148">
        <f t="shared" si="19"/>
        <v>100000</v>
      </c>
      <c r="R84" s="148">
        <f t="shared" si="19"/>
        <v>100000</v>
      </c>
      <c r="S84" s="148">
        <f t="shared" si="19"/>
        <v>100000</v>
      </c>
      <c r="T84" s="148">
        <f t="shared" si="19"/>
        <v>100000</v>
      </c>
      <c r="U84" s="148">
        <f t="shared" si="18"/>
        <v>100000</v>
      </c>
      <c r="V84" s="148">
        <f t="shared" si="18"/>
        <v>100000</v>
      </c>
      <c r="W84" s="148">
        <f t="shared" si="18"/>
        <v>100000</v>
      </c>
      <c r="X84" s="148">
        <f t="shared" si="18"/>
        <v>100000</v>
      </c>
      <c r="Y84" s="148">
        <f t="shared" si="18"/>
        <v>100000</v>
      </c>
      <c r="Z84" s="148">
        <f t="shared" si="18"/>
        <v>100000</v>
      </c>
      <c r="AA84" s="148">
        <f t="shared" si="18"/>
        <v>100000</v>
      </c>
      <c r="AB84" s="148">
        <f t="shared" si="18"/>
        <v>100000</v>
      </c>
      <c r="AC84" s="148">
        <f t="shared" si="18"/>
        <v>100000</v>
      </c>
      <c r="AD84" s="148">
        <f t="shared" si="18"/>
        <v>100000</v>
      </c>
    </row>
    <row r="85" spans="2:30" ht="15" customHeight="1" outlineLevel="1">
      <c r="B85" s="147" t="s">
        <v>139</v>
      </c>
      <c r="C85" s="130">
        <v>3</v>
      </c>
      <c r="E85" s="148">
        <f t="shared" si="19"/>
        <v>0</v>
      </c>
      <c r="F85" s="148">
        <f t="shared" si="19"/>
        <v>0</v>
      </c>
      <c r="G85" s="148">
        <f t="shared" si="19"/>
        <v>100000</v>
      </c>
      <c r="H85" s="148">
        <f t="shared" si="19"/>
        <v>100000</v>
      </c>
      <c r="I85" s="148">
        <f t="shared" si="19"/>
        <v>100000</v>
      </c>
      <c r="J85" s="148">
        <f t="shared" si="19"/>
        <v>100000</v>
      </c>
      <c r="K85" s="148">
        <f t="shared" si="19"/>
        <v>100000</v>
      </c>
      <c r="L85" s="148">
        <f t="shared" si="19"/>
        <v>100000</v>
      </c>
      <c r="M85" s="148">
        <f t="shared" si="19"/>
        <v>100000</v>
      </c>
      <c r="N85" s="148">
        <f t="shared" si="19"/>
        <v>100000</v>
      </c>
      <c r="O85" s="148">
        <f t="shared" si="19"/>
        <v>100000</v>
      </c>
      <c r="P85" s="148">
        <f t="shared" si="19"/>
        <v>100000</v>
      </c>
      <c r="Q85" s="148">
        <f t="shared" si="19"/>
        <v>100000</v>
      </c>
      <c r="R85" s="148">
        <f t="shared" si="19"/>
        <v>100000</v>
      </c>
      <c r="S85" s="148">
        <f t="shared" si="19"/>
        <v>100000</v>
      </c>
      <c r="T85" s="148">
        <f t="shared" si="19"/>
        <v>100000</v>
      </c>
      <c r="U85" s="148">
        <f t="shared" si="18"/>
        <v>100000</v>
      </c>
      <c r="V85" s="148">
        <f t="shared" si="18"/>
        <v>100000</v>
      </c>
      <c r="W85" s="148">
        <f t="shared" si="18"/>
        <v>100000</v>
      </c>
      <c r="X85" s="148">
        <f t="shared" si="18"/>
        <v>100000</v>
      </c>
      <c r="Y85" s="148">
        <f t="shared" si="18"/>
        <v>100000</v>
      </c>
      <c r="Z85" s="148">
        <f t="shared" si="18"/>
        <v>100000</v>
      </c>
      <c r="AA85" s="148">
        <f t="shared" si="18"/>
        <v>100000</v>
      </c>
      <c r="AB85" s="148">
        <f t="shared" si="18"/>
        <v>100000</v>
      </c>
      <c r="AC85" s="148">
        <f t="shared" si="18"/>
        <v>100000</v>
      </c>
      <c r="AD85" s="148">
        <f t="shared" si="18"/>
        <v>100000</v>
      </c>
    </row>
    <row r="86" spans="2:30" ht="15" customHeight="1" outlineLevel="1">
      <c r="B86" s="147" t="s">
        <v>140</v>
      </c>
      <c r="C86" s="130">
        <v>4</v>
      </c>
      <c r="E86" s="148">
        <f t="shared" si="19"/>
        <v>0</v>
      </c>
      <c r="F86" s="148">
        <f t="shared" si="19"/>
        <v>0</v>
      </c>
      <c r="G86" s="148">
        <f t="shared" si="19"/>
        <v>0</v>
      </c>
      <c r="H86" s="148">
        <f t="shared" si="19"/>
        <v>100000</v>
      </c>
      <c r="I86" s="148">
        <f t="shared" si="19"/>
        <v>100000</v>
      </c>
      <c r="J86" s="148">
        <f t="shared" si="19"/>
        <v>100000</v>
      </c>
      <c r="K86" s="148">
        <f t="shared" si="19"/>
        <v>100000</v>
      </c>
      <c r="L86" s="148">
        <f t="shared" si="19"/>
        <v>100000</v>
      </c>
      <c r="M86" s="148">
        <f t="shared" si="19"/>
        <v>100000</v>
      </c>
      <c r="N86" s="148">
        <f t="shared" si="19"/>
        <v>100000</v>
      </c>
      <c r="O86" s="148">
        <f t="shared" si="19"/>
        <v>100000</v>
      </c>
      <c r="P86" s="148">
        <f t="shared" si="19"/>
        <v>100000</v>
      </c>
      <c r="Q86" s="148">
        <f t="shared" si="19"/>
        <v>100000</v>
      </c>
      <c r="R86" s="148">
        <f t="shared" si="19"/>
        <v>100000</v>
      </c>
      <c r="S86" s="148">
        <f t="shared" si="19"/>
        <v>100000</v>
      </c>
      <c r="T86" s="148">
        <f t="shared" si="19"/>
        <v>100000</v>
      </c>
      <c r="U86" s="148">
        <f t="shared" si="18"/>
        <v>100000</v>
      </c>
      <c r="V86" s="148">
        <f t="shared" si="18"/>
        <v>100000</v>
      </c>
      <c r="W86" s="148">
        <f t="shared" si="18"/>
        <v>100000</v>
      </c>
      <c r="X86" s="148">
        <f t="shared" si="18"/>
        <v>100000</v>
      </c>
      <c r="Y86" s="148">
        <f t="shared" si="18"/>
        <v>100000</v>
      </c>
      <c r="Z86" s="148">
        <f t="shared" si="18"/>
        <v>100000</v>
      </c>
      <c r="AA86" s="148">
        <f t="shared" si="18"/>
        <v>100000</v>
      </c>
      <c r="AB86" s="148">
        <f t="shared" si="18"/>
        <v>100000</v>
      </c>
      <c r="AC86" s="148">
        <f t="shared" si="18"/>
        <v>100000</v>
      </c>
      <c r="AD86" s="148">
        <f t="shared" si="18"/>
        <v>100000</v>
      </c>
    </row>
    <row r="87" spans="2:30" ht="15" customHeight="1" outlineLevel="1">
      <c r="B87" s="147" t="s">
        <v>141</v>
      </c>
      <c r="C87" s="130">
        <v>5</v>
      </c>
      <c r="E87" s="148">
        <f t="shared" si="19"/>
        <v>0</v>
      </c>
      <c r="F87" s="148">
        <f t="shared" si="19"/>
        <v>0</v>
      </c>
      <c r="G87" s="148">
        <f t="shared" si="19"/>
        <v>0</v>
      </c>
      <c r="H87" s="148">
        <f t="shared" si="19"/>
        <v>0</v>
      </c>
      <c r="I87" s="148">
        <f t="shared" si="19"/>
        <v>100000</v>
      </c>
      <c r="J87" s="148">
        <f t="shared" si="19"/>
        <v>100000</v>
      </c>
      <c r="K87" s="148">
        <f t="shared" si="19"/>
        <v>100000</v>
      </c>
      <c r="L87" s="148">
        <f t="shared" si="19"/>
        <v>100000</v>
      </c>
      <c r="M87" s="148">
        <f t="shared" si="19"/>
        <v>100000</v>
      </c>
      <c r="N87" s="148">
        <f t="shared" si="19"/>
        <v>100000</v>
      </c>
      <c r="O87" s="148">
        <f t="shared" si="19"/>
        <v>100000</v>
      </c>
      <c r="P87" s="148">
        <f t="shared" si="19"/>
        <v>100000</v>
      </c>
      <c r="Q87" s="148">
        <f t="shared" si="19"/>
        <v>100000</v>
      </c>
      <c r="R87" s="148">
        <f t="shared" si="19"/>
        <v>100000</v>
      </c>
      <c r="S87" s="148">
        <f t="shared" si="19"/>
        <v>100000</v>
      </c>
      <c r="T87" s="148">
        <f t="shared" si="19"/>
        <v>100000</v>
      </c>
      <c r="U87" s="148">
        <f t="shared" si="18"/>
        <v>100000</v>
      </c>
      <c r="V87" s="148">
        <f t="shared" si="18"/>
        <v>100000</v>
      </c>
      <c r="W87" s="148">
        <f t="shared" si="18"/>
        <v>100000</v>
      </c>
      <c r="X87" s="148">
        <f t="shared" si="18"/>
        <v>100000</v>
      </c>
      <c r="Y87" s="148">
        <f t="shared" si="18"/>
        <v>100000</v>
      </c>
      <c r="Z87" s="148">
        <f t="shared" si="18"/>
        <v>100000</v>
      </c>
      <c r="AA87" s="148">
        <f t="shared" si="18"/>
        <v>100000</v>
      </c>
      <c r="AB87" s="148">
        <f t="shared" si="18"/>
        <v>100000</v>
      </c>
      <c r="AC87" s="148">
        <f t="shared" si="18"/>
        <v>100000</v>
      </c>
      <c r="AD87" s="148">
        <f t="shared" si="18"/>
        <v>100000</v>
      </c>
    </row>
    <row r="88" spans="2:30" ht="15" customHeight="1" outlineLevel="1">
      <c r="B88" s="147" t="s">
        <v>142</v>
      </c>
      <c r="C88" s="130">
        <v>6</v>
      </c>
      <c r="E88" s="148">
        <f t="shared" si="19"/>
        <v>0</v>
      </c>
      <c r="F88" s="148">
        <f t="shared" si="19"/>
        <v>0</v>
      </c>
      <c r="G88" s="148">
        <f t="shared" si="19"/>
        <v>0</v>
      </c>
      <c r="H88" s="148">
        <f t="shared" si="19"/>
        <v>0</v>
      </c>
      <c r="I88" s="148">
        <f t="shared" si="19"/>
        <v>0</v>
      </c>
      <c r="J88" s="148">
        <f t="shared" si="19"/>
        <v>100000</v>
      </c>
      <c r="K88" s="148">
        <f t="shared" si="19"/>
        <v>100000</v>
      </c>
      <c r="L88" s="148">
        <f t="shared" si="19"/>
        <v>100000</v>
      </c>
      <c r="M88" s="148">
        <f t="shared" si="19"/>
        <v>100000</v>
      </c>
      <c r="N88" s="148">
        <f t="shared" si="19"/>
        <v>100000</v>
      </c>
      <c r="O88" s="148">
        <f t="shared" si="19"/>
        <v>100000</v>
      </c>
      <c r="P88" s="148">
        <f t="shared" si="19"/>
        <v>100000</v>
      </c>
      <c r="Q88" s="148">
        <f t="shared" si="19"/>
        <v>100000</v>
      </c>
      <c r="R88" s="148">
        <f t="shared" si="19"/>
        <v>100000</v>
      </c>
      <c r="S88" s="148">
        <f t="shared" si="19"/>
        <v>100000</v>
      </c>
      <c r="T88" s="148">
        <f t="shared" si="19"/>
        <v>100000</v>
      </c>
      <c r="U88" s="148">
        <f t="shared" si="18"/>
        <v>100000</v>
      </c>
      <c r="V88" s="148">
        <f t="shared" si="18"/>
        <v>100000</v>
      </c>
      <c r="W88" s="148">
        <f t="shared" si="18"/>
        <v>100000</v>
      </c>
      <c r="X88" s="148">
        <f t="shared" si="18"/>
        <v>100000</v>
      </c>
      <c r="Y88" s="148">
        <f t="shared" si="18"/>
        <v>100000</v>
      </c>
      <c r="Z88" s="148">
        <f t="shared" si="18"/>
        <v>100000</v>
      </c>
      <c r="AA88" s="148">
        <f t="shared" si="18"/>
        <v>100000</v>
      </c>
      <c r="AB88" s="148">
        <f t="shared" si="18"/>
        <v>100000</v>
      </c>
      <c r="AC88" s="148">
        <f t="shared" si="18"/>
        <v>100000</v>
      </c>
      <c r="AD88" s="148">
        <f t="shared" si="18"/>
        <v>100000</v>
      </c>
    </row>
    <row r="89" spans="2:30" ht="15" customHeight="1" outlineLevel="1">
      <c r="B89" s="147" t="s">
        <v>143</v>
      </c>
      <c r="C89" s="130">
        <v>7</v>
      </c>
      <c r="E89" s="148">
        <f t="shared" si="19"/>
        <v>0</v>
      </c>
      <c r="F89" s="148">
        <f t="shared" si="19"/>
        <v>0</v>
      </c>
      <c r="G89" s="148">
        <f t="shared" si="19"/>
        <v>0</v>
      </c>
      <c r="H89" s="148">
        <f t="shared" si="19"/>
        <v>0</v>
      </c>
      <c r="I89" s="148">
        <f t="shared" si="19"/>
        <v>0</v>
      </c>
      <c r="J89" s="148">
        <f t="shared" si="19"/>
        <v>0</v>
      </c>
      <c r="K89" s="148">
        <f t="shared" si="19"/>
        <v>100000</v>
      </c>
      <c r="L89" s="148">
        <f t="shared" si="19"/>
        <v>100000</v>
      </c>
      <c r="M89" s="148">
        <f t="shared" si="19"/>
        <v>100000</v>
      </c>
      <c r="N89" s="148">
        <f t="shared" si="19"/>
        <v>100000</v>
      </c>
      <c r="O89" s="148">
        <f t="shared" si="19"/>
        <v>100000</v>
      </c>
      <c r="P89" s="148">
        <f t="shared" si="19"/>
        <v>100000</v>
      </c>
      <c r="Q89" s="148">
        <f t="shared" si="19"/>
        <v>100000</v>
      </c>
      <c r="R89" s="148">
        <f t="shared" si="19"/>
        <v>100000</v>
      </c>
      <c r="S89" s="148">
        <f t="shared" si="19"/>
        <v>100000</v>
      </c>
      <c r="T89" s="148">
        <f t="shared" si="19"/>
        <v>100000</v>
      </c>
      <c r="U89" s="148">
        <f t="shared" si="18"/>
        <v>100000</v>
      </c>
      <c r="V89" s="148">
        <f t="shared" si="18"/>
        <v>100000</v>
      </c>
      <c r="W89" s="148">
        <f t="shared" si="18"/>
        <v>100000</v>
      </c>
      <c r="X89" s="148">
        <f t="shared" si="18"/>
        <v>100000</v>
      </c>
      <c r="Y89" s="148">
        <f t="shared" si="18"/>
        <v>100000</v>
      </c>
      <c r="Z89" s="148">
        <f t="shared" si="18"/>
        <v>100000</v>
      </c>
      <c r="AA89" s="148">
        <f t="shared" si="18"/>
        <v>100000</v>
      </c>
      <c r="AB89" s="148">
        <f t="shared" si="18"/>
        <v>100000</v>
      </c>
      <c r="AC89" s="148">
        <f t="shared" si="18"/>
        <v>100000</v>
      </c>
      <c r="AD89" s="148">
        <f t="shared" si="18"/>
        <v>100000</v>
      </c>
    </row>
    <row r="90" spans="2:30" ht="15" customHeight="1" outlineLevel="1">
      <c r="B90" s="147" t="s">
        <v>144</v>
      </c>
      <c r="C90" s="130">
        <v>8</v>
      </c>
      <c r="E90" s="148">
        <f t="shared" si="19"/>
        <v>0</v>
      </c>
      <c r="F90" s="148">
        <f t="shared" si="19"/>
        <v>0</v>
      </c>
      <c r="G90" s="148">
        <f t="shared" si="19"/>
        <v>0</v>
      </c>
      <c r="H90" s="148">
        <f t="shared" si="19"/>
        <v>0</v>
      </c>
      <c r="I90" s="148">
        <f t="shared" si="19"/>
        <v>0</v>
      </c>
      <c r="J90" s="148">
        <f t="shared" si="19"/>
        <v>0</v>
      </c>
      <c r="K90" s="148">
        <f t="shared" si="19"/>
        <v>0</v>
      </c>
      <c r="L90" s="148">
        <f t="shared" si="19"/>
        <v>100000</v>
      </c>
      <c r="M90" s="148">
        <f t="shared" si="19"/>
        <v>100000</v>
      </c>
      <c r="N90" s="148">
        <f t="shared" si="19"/>
        <v>100000</v>
      </c>
      <c r="O90" s="148">
        <f t="shared" si="19"/>
        <v>100000</v>
      </c>
      <c r="P90" s="148">
        <f t="shared" si="19"/>
        <v>100000</v>
      </c>
      <c r="Q90" s="148">
        <f t="shared" si="19"/>
        <v>100000</v>
      </c>
      <c r="R90" s="148">
        <f t="shared" si="19"/>
        <v>100000</v>
      </c>
      <c r="S90" s="148">
        <f t="shared" si="19"/>
        <v>100000</v>
      </c>
      <c r="T90" s="148">
        <f t="shared" si="19"/>
        <v>100000</v>
      </c>
      <c r="U90" s="148">
        <f t="shared" si="18"/>
        <v>100000</v>
      </c>
      <c r="V90" s="148">
        <f t="shared" si="18"/>
        <v>100000</v>
      </c>
      <c r="W90" s="148">
        <f t="shared" si="18"/>
        <v>100000</v>
      </c>
      <c r="X90" s="148">
        <f t="shared" si="18"/>
        <v>100000</v>
      </c>
      <c r="Y90" s="148">
        <f t="shared" si="18"/>
        <v>100000</v>
      </c>
      <c r="Z90" s="148">
        <f t="shared" si="18"/>
        <v>100000</v>
      </c>
      <c r="AA90" s="148">
        <f t="shared" si="18"/>
        <v>100000</v>
      </c>
      <c r="AB90" s="148">
        <f t="shared" si="18"/>
        <v>100000</v>
      </c>
      <c r="AC90" s="148">
        <f t="shared" si="18"/>
        <v>100000</v>
      </c>
      <c r="AD90" s="148">
        <f t="shared" si="18"/>
        <v>100000</v>
      </c>
    </row>
    <row r="91" spans="2:30" ht="15" customHeight="1" outlineLevel="1">
      <c r="B91" s="147" t="s">
        <v>145</v>
      </c>
      <c r="C91" s="130">
        <v>9</v>
      </c>
      <c r="E91" s="148">
        <f t="shared" si="19"/>
        <v>0</v>
      </c>
      <c r="F91" s="148">
        <f t="shared" si="19"/>
        <v>0</v>
      </c>
      <c r="G91" s="148">
        <f t="shared" si="19"/>
        <v>0</v>
      </c>
      <c r="H91" s="148">
        <f t="shared" si="19"/>
        <v>0</v>
      </c>
      <c r="I91" s="148">
        <f t="shared" si="19"/>
        <v>0</v>
      </c>
      <c r="J91" s="148">
        <f t="shared" si="19"/>
        <v>0</v>
      </c>
      <c r="K91" s="148">
        <f t="shared" si="19"/>
        <v>0</v>
      </c>
      <c r="L91" s="148">
        <f t="shared" si="19"/>
        <v>0</v>
      </c>
      <c r="M91" s="148">
        <f t="shared" si="19"/>
        <v>100000</v>
      </c>
      <c r="N91" s="148">
        <f t="shared" si="19"/>
        <v>100000</v>
      </c>
      <c r="O91" s="148">
        <f t="shared" si="19"/>
        <v>100000</v>
      </c>
      <c r="P91" s="148">
        <f t="shared" si="19"/>
        <v>100000</v>
      </c>
      <c r="Q91" s="148">
        <f t="shared" si="19"/>
        <v>100000</v>
      </c>
      <c r="R91" s="148">
        <f t="shared" si="19"/>
        <v>100000</v>
      </c>
      <c r="S91" s="148">
        <f t="shared" si="19"/>
        <v>100000</v>
      </c>
      <c r="T91" s="148">
        <f t="shared" si="19"/>
        <v>100000</v>
      </c>
      <c r="U91" s="148">
        <f t="shared" si="18"/>
        <v>100000</v>
      </c>
      <c r="V91" s="148">
        <f t="shared" si="18"/>
        <v>100000</v>
      </c>
      <c r="W91" s="148">
        <f t="shared" si="18"/>
        <v>100000</v>
      </c>
      <c r="X91" s="148">
        <f t="shared" si="18"/>
        <v>100000</v>
      </c>
      <c r="Y91" s="148">
        <f t="shared" si="18"/>
        <v>100000</v>
      </c>
      <c r="Z91" s="148">
        <f t="shared" si="18"/>
        <v>100000</v>
      </c>
      <c r="AA91" s="148">
        <f t="shared" si="18"/>
        <v>100000</v>
      </c>
      <c r="AB91" s="148">
        <f t="shared" si="18"/>
        <v>100000</v>
      </c>
      <c r="AC91" s="148">
        <f t="shared" si="18"/>
        <v>100000</v>
      </c>
      <c r="AD91" s="148">
        <f t="shared" si="18"/>
        <v>100000</v>
      </c>
    </row>
    <row r="92" spans="2:30" ht="15" customHeight="1" outlineLevel="1">
      <c r="B92" s="147" t="s">
        <v>146</v>
      </c>
      <c r="C92" s="130">
        <v>10</v>
      </c>
      <c r="E92" s="148">
        <f t="shared" si="19"/>
        <v>0</v>
      </c>
      <c r="F92" s="148">
        <f t="shared" si="19"/>
        <v>0</v>
      </c>
      <c r="G92" s="148">
        <f t="shared" si="19"/>
        <v>0</v>
      </c>
      <c r="H92" s="148">
        <f t="shared" si="19"/>
        <v>0</v>
      </c>
      <c r="I92" s="148">
        <f t="shared" si="19"/>
        <v>0</v>
      </c>
      <c r="J92" s="148">
        <f t="shared" si="19"/>
        <v>0</v>
      </c>
      <c r="K92" s="148">
        <f t="shared" si="19"/>
        <v>0</v>
      </c>
      <c r="L92" s="148">
        <f t="shared" si="19"/>
        <v>0</v>
      </c>
      <c r="M92" s="148">
        <f t="shared" si="19"/>
        <v>0</v>
      </c>
      <c r="N92" s="148">
        <f t="shared" si="19"/>
        <v>100000</v>
      </c>
      <c r="O92" s="148">
        <f t="shared" si="19"/>
        <v>100000</v>
      </c>
      <c r="P92" s="148">
        <f t="shared" si="19"/>
        <v>100000</v>
      </c>
      <c r="Q92" s="148">
        <f t="shared" si="19"/>
        <v>100000</v>
      </c>
      <c r="R92" s="148">
        <f t="shared" si="19"/>
        <v>100000</v>
      </c>
      <c r="S92" s="148">
        <f t="shared" si="19"/>
        <v>100000</v>
      </c>
      <c r="T92" s="148">
        <f t="shared" si="19"/>
        <v>100000</v>
      </c>
      <c r="U92" s="148">
        <f t="shared" si="18"/>
        <v>100000</v>
      </c>
      <c r="V92" s="148">
        <f t="shared" si="18"/>
        <v>100000</v>
      </c>
      <c r="W92" s="148">
        <f t="shared" si="18"/>
        <v>100000</v>
      </c>
      <c r="X92" s="148">
        <f t="shared" si="18"/>
        <v>100000</v>
      </c>
      <c r="Y92" s="148">
        <f t="shared" si="18"/>
        <v>100000</v>
      </c>
      <c r="Z92" s="148">
        <f t="shared" si="18"/>
        <v>100000</v>
      </c>
      <c r="AA92" s="148">
        <f t="shared" si="18"/>
        <v>100000</v>
      </c>
      <c r="AB92" s="148">
        <f t="shared" si="18"/>
        <v>100000</v>
      </c>
      <c r="AC92" s="148">
        <f t="shared" si="18"/>
        <v>100000</v>
      </c>
      <c r="AD92" s="148">
        <f t="shared" si="18"/>
        <v>100000</v>
      </c>
    </row>
    <row r="93" spans="2:30" ht="15" customHeight="1" outlineLevel="1">
      <c r="B93" s="147" t="s">
        <v>147</v>
      </c>
      <c r="C93" s="130">
        <v>11</v>
      </c>
      <c r="E93" s="148">
        <f t="shared" si="19"/>
        <v>0</v>
      </c>
      <c r="F93" s="148">
        <f t="shared" si="19"/>
        <v>0</v>
      </c>
      <c r="G93" s="148">
        <f t="shared" si="19"/>
        <v>0</v>
      </c>
      <c r="H93" s="148">
        <f t="shared" si="19"/>
        <v>0</v>
      </c>
      <c r="I93" s="148">
        <f t="shared" si="19"/>
        <v>0</v>
      </c>
      <c r="J93" s="148">
        <f t="shared" si="19"/>
        <v>0</v>
      </c>
      <c r="K93" s="148">
        <f t="shared" si="19"/>
        <v>0</v>
      </c>
      <c r="L93" s="148">
        <f t="shared" si="19"/>
        <v>0</v>
      </c>
      <c r="M93" s="148">
        <f t="shared" si="19"/>
        <v>0</v>
      </c>
      <c r="N93" s="148">
        <f t="shared" si="19"/>
        <v>0</v>
      </c>
      <c r="O93" s="148">
        <f t="shared" si="19"/>
        <v>100000</v>
      </c>
      <c r="P93" s="148">
        <f t="shared" si="19"/>
        <v>100000</v>
      </c>
      <c r="Q93" s="148">
        <f t="shared" si="19"/>
        <v>100000</v>
      </c>
      <c r="R93" s="148">
        <f t="shared" si="19"/>
        <v>100000</v>
      </c>
      <c r="S93" s="148">
        <f t="shared" si="19"/>
        <v>100000</v>
      </c>
      <c r="T93" s="148">
        <f t="shared" si="19"/>
        <v>100000</v>
      </c>
      <c r="U93" s="148">
        <f t="shared" si="18"/>
        <v>100000</v>
      </c>
      <c r="V93" s="148">
        <f t="shared" si="18"/>
        <v>100000</v>
      </c>
      <c r="W93" s="148">
        <f t="shared" si="18"/>
        <v>100000</v>
      </c>
      <c r="X93" s="148">
        <f t="shared" si="18"/>
        <v>100000</v>
      </c>
      <c r="Y93" s="148">
        <f t="shared" si="18"/>
        <v>100000</v>
      </c>
      <c r="Z93" s="148">
        <f t="shared" si="18"/>
        <v>100000</v>
      </c>
      <c r="AA93" s="148">
        <f t="shared" si="18"/>
        <v>100000</v>
      </c>
      <c r="AB93" s="148">
        <f t="shared" si="18"/>
        <v>100000</v>
      </c>
      <c r="AC93" s="148">
        <f t="shared" si="18"/>
        <v>100000</v>
      </c>
      <c r="AD93" s="148">
        <f t="shared" si="18"/>
        <v>100000</v>
      </c>
    </row>
    <row r="94" spans="2:30" ht="15" customHeight="1" outlineLevel="1">
      <c r="B94" s="147" t="s">
        <v>148</v>
      </c>
      <c r="C94" s="130">
        <v>12</v>
      </c>
      <c r="E94" s="148">
        <f t="shared" si="19"/>
        <v>0</v>
      </c>
      <c r="F94" s="148">
        <f t="shared" si="19"/>
        <v>0</v>
      </c>
      <c r="G94" s="148">
        <f t="shared" si="19"/>
        <v>0</v>
      </c>
      <c r="H94" s="148">
        <f t="shared" si="19"/>
        <v>0</v>
      </c>
      <c r="I94" s="148">
        <f t="shared" si="19"/>
        <v>0</v>
      </c>
      <c r="J94" s="148">
        <f t="shared" si="19"/>
        <v>0</v>
      </c>
      <c r="K94" s="148">
        <f t="shared" si="19"/>
        <v>0</v>
      </c>
      <c r="L94" s="148">
        <f t="shared" si="19"/>
        <v>0</v>
      </c>
      <c r="M94" s="148">
        <f t="shared" si="19"/>
        <v>0</v>
      </c>
      <c r="N94" s="148">
        <f t="shared" si="19"/>
        <v>0</v>
      </c>
      <c r="O94" s="148">
        <f t="shared" si="19"/>
        <v>0</v>
      </c>
      <c r="P94" s="148">
        <f t="shared" si="19"/>
        <v>100000</v>
      </c>
      <c r="Q94" s="148">
        <f t="shared" si="19"/>
        <v>100000</v>
      </c>
      <c r="R94" s="148">
        <f t="shared" si="19"/>
        <v>100000</v>
      </c>
      <c r="S94" s="148">
        <f t="shared" si="19"/>
        <v>100000</v>
      </c>
      <c r="T94" s="148">
        <f t="shared" si="19"/>
        <v>100000</v>
      </c>
      <c r="U94" s="148">
        <f t="shared" si="18"/>
        <v>100000</v>
      </c>
      <c r="V94" s="148">
        <f t="shared" si="18"/>
        <v>100000</v>
      </c>
      <c r="W94" s="148">
        <f t="shared" si="18"/>
        <v>100000</v>
      </c>
      <c r="X94" s="148">
        <f t="shared" si="18"/>
        <v>100000</v>
      </c>
      <c r="Y94" s="148">
        <f t="shared" si="18"/>
        <v>100000</v>
      </c>
      <c r="Z94" s="148">
        <f t="shared" si="18"/>
        <v>100000</v>
      </c>
      <c r="AA94" s="148">
        <f t="shared" si="18"/>
        <v>100000</v>
      </c>
      <c r="AB94" s="148">
        <f t="shared" si="18"/>
        <v>100000</v>
      </c>
      <c r="AC94" s="148">
        <f t="shared" si="18"/>
        <v>100000</v>
      </c>
      <c r="AD94" s="148">
        <f t="shared" si="18"/>
        <v>100000</v>
      </c>
    </row>
    <row r="95" spans="2:30" ht="15" customHeight="1" outlineLevel="1">
      <c r="B95" s="147" t="s">
        <v>149</v>
      </c>
      <c r="C95" s="130">
        <v>13</v>
      </c>
      <c r="E95" s="148">
        <f t="shared" si="19"/>
        <v>0</v>
      </c>
      <c r="F95" s="148">
        <f t="shared" si="19"/>
        <v>0</v>
      </c>
      <c r="G95" s="148">
        <f t="shared" si="19"/>
        <v>0</v>
      </c>
      <c r="H95" s="148">
        <f t="shared" si="19"/>
        <v>0</v>
      </c>
      <c r="I95" s="148">
        <f t="shared" si="19"/>
        <v>0</v>
      </c>
      <c r="J95" s="148">
        <f t="shared" si="19"/>
        <v>0</v>
      </c>
      <c r="K95" s="148">
        <f t="shared" si="19"/>
        <v>0</v>
      </c>
      <c r="L95" s="148">
        <f t="shared" si="19"/>
        <v>0</v>
      </c>
      <c r="M95" s="148">
        <f t="shared" si="19"/>
        <v>0</v>
      </c>
      <c r="N95" s="148">
        <f t="shared" si="19"/>
        <v>0</v>
      </c>
      <c r="O95" s="148">
        <f t="shared" si="19"/>
        <v>0</v>
      </c>
      <c r="P95" s="148">
        <f t="shared" si="19"/>
        <v>0</v>
      </c>
      <c r="Q95" s="148">
        <f t="shared" si="19"/>
        <v>100000</v>
      </c>
      <c r="R95" s="148">
        <f t="shared" si="19"/>
        <v>100000</v>
      </c>
      <c r="S95" s="148">
        <f t="shared" si="19"/>
        <v>100000</v>
      </c>
      <c r="T95" s="148">
        <f t="shared" si="19"/>
        <v>100000</v>
      </c>
      <c r="U95" s="148">
        <f t="shared" si="18"/>
        <v>100000</v>
      </c>
      <c r="V95" s="148">
        <f t="shared" si="18"/>
        <v>100000</v>
      </c>
      <c r="W95" s="148">
        <f t="shared" si="18"/>
        <v>100000</v>
      </c>
      <c r="X95" s="148">
        <f t="shared" si="18"/>
        <v>100000</v>
      </c>
      <c r="Y95" s="148">
        <f t="shared" si="18"/>
        <v>100000</v>
      </c>
      <c r="Z95" s="148">
        <f t="shared" si="18"/>
        <v>100000</v>
      </c>
      <c r="AA95" s="148">
        <f t="shared" si="18"/>
        <v>100000</v>
      </c>
      <c r="AB95" s="148">
        <f t="shared" si="18"/>
        <v>100000</v>
      </c>
      <c r="AC95" s="148">
        <f t="shared" si="18"/>
        <v>100000</v>
      </c>
      <c r="AD95" s="148">
        <f t="shared" si="18"/>
        <v>100000</v>
      </c>
    </row>
    <row r="96" spans="2:30" ht="15" customHeight="1" outlineLevel="1">
      <c r="B96" s="147" t="s">
        <v>150</v>
      </c>
      <c r="C96" s="130">
        <v>14</v>
      </c>
      <c r="E96" s="148">
        <f t="shared" si="19"/>
        <v>0</v>
      </c>
      <c r="F96" s="148">
        <f t="shared" si="19"/>
        <v>0</v>
      </c>
      <c r="G96" s="148">
        <f t="shared" si="19"/>
        <v>0</v>
      </c>
      <c r="H96" s="148">
        <f t="shared" si="19"/>
        <v>0</v>
      </c>
      <c r="I96" s="148">
        <f t="shared" si="19"/>
        <v>0</v>
      </c>
      <c r="J96" s="148">
        <f t="shared" si="19"/>
        <v>0</v>
      </c>
      <c r="K96" s="148">
        <f t="shared" si="19"/>
        <v>0</v>
      </c>
      <c r="L96" s="148">
        <f t="shared" si="19"/>
        <v>0</v>
      </c>
      <c r="M96" s="148">
        <f t="shared" si="19"/>
        <v>0</v>
      </c>
      <c r="N96" s="148">
        <f t="shared" si="19"/>
        <v>0</v>
      </c>
      <c r="O96" s="148">
        <f t="shared" si="19"/>
        <v>0</v>
      </c>
      <c r="P96" s="148">
        <f t="shared" si="19"/>
        <v>0</v>
      </c>
      <c r="Q96" s="148">
        <f t="shared" si="19"/>
        <v>0</v>
      </c>
      <c r="R96" s="148">
        <f t="shared" si="19"/>
        <v>100000</v>
      </c>
      <c r="S96" s="148">
        <f t="shared" si="19"/>
        <v>100000</v>
      </c>
      <c r="T96" s="148">
        <f t="shared" si="19"/>
        <v>100000</v>
      </c>
      <c r="U96" s="148">
        <f t="shared" si="18"/>
        <v>100000</v>
      </c>
      <c r="V96" s="148">
        <f t="shared" si="18"/>
        <v>100000</v>
      </c>
      <c r="W96" s="148">
        <f t="shared" si="18"/>
        <v>100000</v>
      </c>
      <c r="X96" s="148">
        <f t="shared" si="18"/>
        <v>100000</v>
      </c>
      <c r="Y96" s="148">
        <f t="shared" si="18"/>
        <v>100000</v>
      </c>
      <c r="Z96" s="148">
        <f t="shared" si="18"/>
        <v>100000</v>
      </c>
      <c r="AA96" s="148">
        <f t="shared" si="18"/>
        <v>100000</v>
      </c>
      <c r="AB96" s="148">
        <f t="shared" si="18"/>
        <v>100000</v>
      </c>
      <c r="AC96" s="148">
        <f t="shared" si="18"/>
        <v>100000</v>
      </c>
      <c r="AD96" s="148">
        <f t="shared" si="18"/>
        <v>100000</v>
      </c>
    </row>
    <row r="97" spans="2:30" ht="15" customHeight="1" outlineLevel="1">
      <c r="B97" s="147" t="s">
        <v>151</v>
      </c>
      <c r="C97" s="130">
        <v>15</v>
      </c>
      <c r="E97" s="148">
        <f t="shared" si="19"/>
        <v>0</v>
      </c>
      <c r="F97" s="148">
        <f t="shared" si="19"/>
        <v>0</v>
      </c>
      <c r="G97" s="148">
        <f t="shared" si="19"/>
        <v>0</v>
      </c>
      <c r="H97" s="148">
        <f t="shared" si="19"/>
        <v>0</v>
      </c>
      <c r="I97" s="148">
        <f t="shared" si="19"/>
        <v>0</v>
      </c>
      <c r="J97" s="148">
        <f t="shared" si="19"/>
        <v>0</v>
      </c>
      <c r="K97" s="148">
        <f t="shared" si="19"/>
        <v>0</v>
      </c>
      <c r="L97" s="148">
        <f t="shared" si="19"/>
        <v>0</v>
      </c>
      <c r="M97" s="148">
        <f t="shared" si="19"/>
        <v>0</v>
      </c>
      <c r="N97" s="148">
        <f t="shared" si="19"/>
        <v>0</v>
      </c>
      <c r="O97" s="148">
        <f t="shared" si="19"/>
        <v>0</v>
      </c>
      <c r="P97" s="148">
        <f t="shared" si="19"/>
        <v>0</v>
      </c>
      <c r="Q97" s="148">
        <f t="shared" si="19"/>
        <v>0</v>
      </c>
      <c r="R97" s="148">
        <f t="shared" si="19"/>
        <v>0</v>
      </c>
      <c r="S97" s="148">
        <f t="shared" si="19"/>
        <v>100000</v>
      </c>
      <c r="T97" s="148">
        <f t="shared" si="19"/>
        <v>100000</v>
      </c>
      <c r="U97" s="148">
        <f t="shared" si="18"/>
        <v>100000</v>
      </c>
      <c r="V97" s="148">
        <f t="shared" si="18"/>
        <v>100000</v>
      </c>
      <c r="W97" s="148">
        <f t="shared" si="18"/>
        <v>100000</v>
      </c>
      <c r="X97" s="148">
        <f t="shared" si="18"/>
        <v>100000</v>
      </c>
      <c r="Y97" s="148">
        <f t="shared" si="18"/>
        <v>100000</v>
      </c>
      <c r="Z97" s="148">
        <f t="shared" si="18"/>
        <v>100000</v>
      </c>
      <c r="AA97" s="148">
        <f t="shared" si="18"/>
        <v>100000</v>
      </c>
      <c r="AB97" s="148">
        <f t="shared" si="18"/>
        <v>100000</v>
      </c>
      <c r="AC97" s="148">
        <f t="shared" si="18"/>
        <v>100000</v>
      </c>
      <c r="AD97" s="148">
        <f t="shared" si="18"/>
        <v>100000</v>
      </c>
    </row>
    <row r="98" spans="2:30" ht="15" customHeight="1" outlineLevel="1">
      <c r="B98" s="147" t="s">
        <v>152</v>
      </c>
      <c r="C98" s="130">
        <v>16</v>
      </c>
      <c r="E98" s="148">
        <f t="shared" si="19"/>
        <v>0</v>
      </c>
      <c r="F98" s="148">
        <f t="shared" si="19"/>
        <v>0</v>
      </c>
      <c r="G98" s="148">
        <f t="shared" si="19"/>
        <v>0</v>
      </c>
      <c r="H98" s="148">
        <f t="shared" si="19"/>
        <v>0</v>
      </c>
      <c r="I98" s="148">
        <f t="shared" si="19"/>
        <v>0</v>
      </c>
      <c r="J98" s="148">
        <f t="shared" si="19"/>
        <v>0</v>
      </c>
      <c r="K98" s="148">
        <f t="shared" si="19"/>
        <v>0</v>
      </c>
      <c r="L98" s="148">
        <f t="shared" si="19"/>
        <v>0</v>
      </c>
      <c r="M98" s="148">
        <f t="shared" si="19"/>
        <v>0</v>
      </c>
      <c r="N98" s="148">
        <f t="shared" si="19"/>
        <v>0</v>
      </c>
      <c r="O98" s="148">
        <f t="shared" si="19"/>
        <v>0</v>
      </c>
      <c r="P98" s="148">
        <f t="shared" si="19"/>
        <v>0</v>
      </c>
      <c r="Q98" s="148">
        <f t="shared" si="19"/>
        <v>0</v>
      </c>
      <c r="R98" s="148">
        <f t="shared" si="19"/>
        <v>0</v>
      </c>
      <c r="S98" s="148">
        <f t="shared" si="19"/>
        <v>0</v>
      </c>
      <c r="T98" s="148">
        <f t="shared" si="19"/>
        <v>100000</v>
      </c>
      <c r="U98" s="148">
        <f t="shared" si="18"/>
        <v>100000</v>
      </c>
      <c r="V98" s="148">
        <f t="shared" si="18"/>
        <v>100000</v>
      </c>
      <c r="W98" s="148">
        <f t="shared" si="18"/>
        <v>100000</v>
      </c>
      <c r="X98" s="148">
        <f t="shared" si="18"/>
        <v>100000</v>
      </c>
      <c r="Y98" s="148">
        <f t="shared" si="18"/>
        <v>100000</v>
      </c>
      <c r="Z98" s="148">
        <f t="shared" si="18"/>
        <v>100000</v>
      </c>
      <c r="AA98" s="148">
        <f t="shared" si="18"/>
        <v>100000</v>
      </c>
      <c r="AB98" s="148">
        <f t="shared" si="18"/>
        <v>100000</v>
      </c>
      <c r="AC98" s="148">
        <f t="shared" si="18"/>
        <v>100000</v>
      </c>
      <c r="AD98" s="148">
        <f t="shared" si="18"/>
        <v>100000</v>
      </c>
    </row>
    <row r="99" spans="2:30" ht="15" customHeight="1" outlineLevel="1">
      <c r="B99" s="147" t="s">
        <v>153</v>
      </c>
      <c r="C99" s="130">
        <v>17</v>
      </c>
      <c r="E99" s="148">
        <f t="shared" si="19"/>
        <v>0</v>
      </c>
      <c r="F99" s="148">
        <f t="shared" si="19"/>
        <v>0</v>
      </c>
      <c r="G99" s="148">
        <f t="shared" si="19"/>
        <v>0</v>
      </c>
      <c r="H99" s="148">
        <f t="shared" si="19"/>
        <v>0</v>
      </c>
      <c r="I99" s="148">
        <f t="shared" si="19"/>
        <v>0</v>
      </c>
      <c r="J99" s="148">
        <f t="shared" si="19"/>
        <v>0</v>
      </c>
      <c r="K99" s="148">
        <f t="shared" si="19"/>
        <v>0</v>
      </c>
      <c r="L99" s="148">
        <f t="shared" si="19"/>
        <v>0</v>
      </c>
      <c r="M99" s="148">
        <f t="shared" si="19"/>
        <v>0</v>
      </c>
      <c r="N99" s="148">
        <f t="shared" si="19"/>
        <v>0</v>
      </c>
      <c r="O99" s="148">
        <f t="shared" si="19"/>
        <v>0</v>
      </c>
      <c r="P99" s="148">
        <f t="shared" si="19"/>
        <v>0</v>
      </c>
      <c r="Q99" s="148">
        <f t="shared" si="19"/>
        <v>0</v>
      </c>
      <c r="R99" s="148">
        <f t="shared" si="19"/>
        <v>0</v>
      </c>
      <c r="S99" s="148">
        <f t="shared" si="19"/>
        <v>0</v>
      </c>
      <c r="T99" s="148">
        <f t="shared" ref="T99:AD107" si="20">+IF($C99&gt;T$79,0,IF($C99=T$79,T$80,S99))</f>
        <v>0</v>
      </c>
      <c r="U99" s="148">
        <f t="shared" si="20"/>
        <v>100000</v>
      </c>
      <c r="V99" s="148">
        <f t="shared" si="20"/>
        <v>100000</v>
      </c>
      <c r="W99" s="148">
        <f t="shared" si="20"/>
        <v>100000</v>
      </c>
      <c r="X99" s="148">
        <f t="shared" si="20"/>
        <v>100000</v>
      </c>
      <c r="Y99" s="148">
        <f t="shared" si="20"/>
        <v>100000</v>
      </c>
      <c r="Z99" s="148">
        <f t="shared" si="20"/>
        <v>100000</v>
      </c>
      <c r="AA99" s="148">
        <f t="shared" si="20"/>
        <v>100000</v>
      </c>
      <c r="AB99" s="148">
        <f t="shared" si="20"/>
        <v>100000</v>
      </c>
      <c r="AC99" s="148">
        <f t="shared" si="20"/>
        <v>100000</v>
      </c>
      <c r="AD99" s="148">
        <f t="shared" si="20"/>
        <v>100000</v>
      </c>
    </row>
    <row r="100" spans="2:30" ht="15" customHeight="1" outlineLevel="1">
      <c r="B100" s="147" t="s">
        <v>154</v>
      </c>
      <c r="C100" s="130">
        <v>18</v>
      </c>
      <c r="E100" s="148">
        <f t="shared" ref="E100:T107" si="21">+IF($C100&gt;E$79,0,IF($C100=E$79,E$80,D100))</f>
        <v>0</v>
      </c>
      <c r="F100" s="148">
        <f t="shared" si="21"/>
        <v>0</v>
      </c>
      <c r="G100" s="148">
        <f t="shared" si="21"/>
        <v>0</v>
      </c>
      <c r="H100" s="148">
        <f t="shared" si="21"/>
        <v>0</v>
      </c>
      <c r="I100" s="148">
        <f t="shared" si="21"/>
        <v>0</v>
      </c>
      <c r="J100" s="148">
        <f t="shared" si="21"/>
        <v>0</v>
      </c>
      <c r="K100" s="148">
        <f t="shared" si="21"/>
        <v>0</v>
      </c>
      <c r="L100" s="148">
        <f t="shared" si="21"/>
        <v>0</v>
      </c>
      <c r="M100" s="148">
        <f t="shared" si="21"/>
        <v>0</v>
      </c>
      <c r="N100" s="148">
        <f t="shared" si="21"/>
        <v>0</v>
      </c>
      <c r="O100" s="148">
        <f t="shared" si="21"/>
        <v>0</v>
      </c>
      <c r="P100" s="148">
        <f t="shared" si="21"/>
        <v>0</v>
      </c>
      <c r="Q100" s="148">
        <f t="shared" si="21"/>
        <v>0</v>
      </c>
      <c r="R100" s="148">
        <f t="shared" si="21"/>
        <v>0</v>
      </c>
      <c r="S100" s="148">
        <f t="shared" si="21"/>
        <v>0</v>
      </c>
      <c r="T100" s="148">
        <f t="shared" si="21"/>
        <v>0</v>
      </c>
      <c r="U100" s="148">
        <f t="shared" si="20"/>
        <v>0</v>
      </c>
      <c r="V100" s="148">
        <f t="shared" si="20"/>
        <v>100000</v>
      </c>
      <c r="W100" s="148">
        <f t="shared" si="20"/>
        <v>100000</v>
      </c>
      <c r="X100" s="148">
        <f t="shared" si="20"/>
        <v>100000</v>
      </c>
      <c r="Y100" s="148">
        <f t="shared" si="20"/>
        <v>100000</v>
      </c>
      <c r="Z100" s="148">
        <f t="shared" si="20"/>
        <v>100000</v>
      </c>
      <c r="AA100" s="148">
        <f t="shared" si="20"/>
        <v>100000</v>
      </c>
      <c r="AB100" s="148">
        <f t="shared" si="20"/>
        <v>100000</v>
      </c>
      <c r="AC100" s="148">
        <f t="shared" si="20"/>
        <v>100000</v>
      </c>
      <c r="AD100" s="148">
        <f t="shared" si="20"/>
        <v>100000</v>
      </c>
    </row>
    <row r="101" spans="2:30" ht="15" customHeight="1" outlineLevel="1">
      <c r="B101" s="147" t="s">
        <v>155</v>
      </c>
      <c r="C101" s="130">
        <v>19</v>
      </c>
      <c r="E101" s="148">
        <f t="shared" si="21"/>
        <v>0</v>
      </c>
      <c r="F101" s="148">
        <f t="shared" si="21"/>
        <v>0</v>
      </c>
      <c r="G101" s="148">
        <f t="shared" si="21"/>
        <v>0</v>
      </c>
      <c r="H101" s="148">
        <f t="shared" si="21"/>
        <v>0</v>
      </c>
      <c r="I101" s="148">
        <f t="shared" si="21"/>
        <v>0</v>
      </c>
      <c r="J101" s="148">
        <f t="shared" si="21"/>
        <v>0</v>
      </c>
      <c r="K101" s="148">
        <f t="shared" si="21"/>
        <v>0</v>
      </c>
      <c r="L101" s="148">
        <f t="shared" si="21"/>
        <v>0</v>
      </c>
      <c r="M101" s="148">
        <f t="shared" si="21"/>
        <v>0</v>
      </c>
      <c r="N101" s="148">
        <f t="shared" si="21"/>
        <v>0</v>
      </c>
      <c r="O101" s="148">
        <f t="shared" si="21"/>
        <v>0</v>
      </c>
      <c r="P101" s="148">
        <f t="shared" si="21"/>
        <v>0</v>
      </c>
      <c r="Q101" s="148">
        <f t="shared" si="21"/>
        <v>0</v>
      </c>
      <c r="R101" s="148">
        <f t="shared" si="21"/>
        <v>0</v>
      </c>
      <c r="S101" s="148">
        <f t="shared" si="21"/>
        <v>0</v>
      </c>
      <c r="T101" s="148">
        <f t="shared" si="21"/>
        <v>0</v>
      </c>
      <c r="U101" s="148">
        <f t="shared" si="20"/>
        <v>0</v>
      </c>
      <c r="V101" s="148">
        <f t="shared" si="20"/>
        <v>0</v>
      </c>
      <c r="W101" s="148">
        <f t="shared" si="20"/>
        <v>100000</v>
      </c>
      <c r="X101" s="148">
        <f t="shared" si="20"/>
        <v>100000</v>
      </c>
      <c r="Y101" s="148">
        <f t="shared" si="20"/>
        <v>100000</v>
      </c>
      <c r="Z101" s="148">
        <f t="shared" si="20"/>
        <v>100000</v>
      </c>
      <c r="AA101" s="148">
        <f t="shared" si="20"/>
        <v>100000</v>
      </c>
      <c r="AB101" s="148">
        <f t="shared" si="20"/>
        <v>100000</v>
      </c>
      <c r="AC101" s="148">
        <f t="shared" si="20"/>
        <v>100000</v>
      </c>
      <c r="AD101" s="148">
        <f t="shared" si="20"/>
        <v>100000</v>
      </c>
    </row>
    <row r="102" spans="2:30" ht="15" customHeight="1" outlineLevel="1">
      <c r="B102" s="147" t="s">
        <v>156</v>
      </c>
      <c r="C102" s="130">
        <v>20</v>
      </c>
      <c r="E102" s="148">
        <f t="shared" si="21"/>
        <v>0</v>
      </c>
      <c r="F102" s="148">
        <f t="shared" si="21"/>
        <v>0</v>
      </c>
      <c r="G102" s="148">
        <f t="shared" si="21"/>
        <v>0</v>
      </c>
      <c r="H102" s="148">
        <f t="shared" si="21"/>
        <v>0</v>
      </c>
      <c r="I102" s="148">
        <f t="shared" si="21"/>
        <v>0</v>
      </c>
      <c r="J102" s="148">
        <f t="shared" si="21"/>
        <v>0</v>
      </c>
      <c r="K102" s="148">
        <f t="shared" si="21"/>
        <v>0</v>
      </c>
      <c r="L102" s="148">
        <f t="shared" si="21"/>
        <v>0</v>
      </c>
      <c r="M102" s="148">
        <f t="shared" si="21"/>
        <v>0</v>
      </c>
      <c r="N102" s="148">
        <f t="shared" si="21"/>
        <v>0</v>
      </c>
      <c r="O102" s="148">
        <f t="shared" si="21"/>
        <v>0</v>
      </c>
      <c r="P102" s="148">
        <f t="shared" si="21"/>
        <v>0</v>
      </c>
      <c r="Q102" s="148">
        <f t="shared" si="21"/>
        <v>0</v>
      </c>
      <c r="R102" s="148">
        <f t="shared" si="21"/>
        <v>0</v>
      </c>
      <c r="S102" s="148">
        <f t="shared" si="21"/>
        <v>0</v>
      </c>
      <c r="T102" s="148">
        <f t="shared" si="21"/>
        <v>0</v>
      </c>
      <c r="U102" s="148">
        <f t="shared" si="20"/>
        <v>0</v>
      </c>
      <c r="V102" s="148">
        <f t="shared" si="20"/>
        <v>0</v>
      </c>
      <c r="W102" s="148">
        <f t="shared" si="20"/>
        <v>0</v>
      </c>
      <c r="X102" s="148">
        <f t="shared" si="20"/>
        <v>100000</v>
      </c>
      <c r="Y102" s="148">
        <f t="shared" si="20"/>
        <v>100000</v>
      </c>
      <c r="Z102" s="148">
        <f t="shared" si="20"/>
        <v>100000</v>
      </c>
      <c r="AA102" s="148">
        <f t="shared" si="20"/>
        <v>100000</v>
      </c>
      <c r="AB102" s="148">
        <f t="shared" si="20"/>
        <v>100000</v>
      </c>
      <c r="AC102" s="148">
        <f t="shared" si="20"/>
        <v>100000</v>
      </c>
      <c r="AD102" s="148">
        <f t="shared" si="20"/>
        <v>100000</v>
      </c>
    </row>
    <row r="103" spans="2:30" ht="15" customHeight="1" outlineLevel="1">
      <c r="B103" s="147" t="s">
        <v>157</v>
      </c>
      <c r="C103" s="130">
        <v>21</v>
      </c>
      <c r="E103" s="148">
        <f t="shared" si="21"/>
        <v>0</v>
      </c>
      <c r="F103" s="148">
        <f t="shared" si="21"/>
        <v>0</v>
      </c>
      <c r="G103" s="148">
        <f t="shared" si="21"/>
        <v>0</v>
      </c>
      <c r="H103" s="148">
        <f t="shared" si="21"/>
        <v>0</v>
      </c>
      <c r="I103" s="148">
        <f t="shared" si="21"/>
        <v>0</v>
      </c>
      <c r="J103" s="148">
        <f t="shared" si="21"/>
        <v>0</v>
      </c>
      <c r="K103" s="148">
        <f t="shared" si="21"/>
        <v>0</v>
      </c>
      <c r="L103" s="148">
        <f t="shared" si="21"/>
        <v>0</v>
      </c>
      <c r="M103" s="148">
        <f t="shared" si="21"/>
        <v>0</v>
      </c>
      <c r="N103" s="148">
        <f t="shared" si="21"/>
        <v>0</v>
      </c>
      <c r="O103" s="148">
        <f t="shared" si="21"/>
        <v>0</v>
      </c>
      <c r="P103" s="148">
        <f t="shared" si="21"/>
        <v>0</v>
      </c>
      <c r="Q103" s="148">
        <f t="shared" si="21"/>
        <v>0</v>
      </c>
      <c r="R103" s="148">
        <f t="shared" si="21"/>
        <v>0</v>
      </c>
      <c r="S103" s="148">
        <f t="shared" si="21"/>
        <v>0</v>
      </c>
      <c r="T103" s="148">
        <f t="shared" si="21"/>
        <v>0</v>
      </c>
      <c r="U103" s="148">
        <f t="shared" si="20"/>
        <v>0</v>
      </c>
      <c r="V103" s="148">
        <f t="shared" si="20"/>
        <v>0</v>
      </c>
      <c r="W103" s="148">
        <f t="shared" si="20"/>
        <v>0</v>
      </c>
      <c r="X103" s="148">
        <f t="shared" si="20"/>
        <v>0</v>
      </c>
      <c r="Y103" s="148">
        <f t="shared" si="20"/>
        <v>100000</v>
      </c>
      <c r="Z103" s="148">
        <f t="shared" si="20"/>
        <v>100000</v>
      </c>
      <c r="AA103" s="148">
        <f t="shared" si="20"/>
        <v>100000</v>
      </c>
      <c r="AB103" s="148">
        <f t="shared" si="20"/>
        <v>100000</v>
      </c>
      <c r="AC103" s="148">
        <f t="shared" si="20"/>
        <v>100000</v>
      </c>
      <c r="AD103" s="148">
        <f t="shared" si="20"/>
        <v>100000</v>
      </c>
    </row>
    <row r="104" spans="2:30" ht="15" customHeight="1" outlineLevel="1">
      <c r="B104" s="147" t="s">
        <v>158</v>
      </c>
      <c r="C104" s="130">
        <v>22</v>
      </c>
      <c r="E104" s="148">
        <f t="shared" si="21"/>
        <v>0</v>
      </c>
      <c r="F104" s="148">
        <f t="shared" si="21"/>
        <v>0</v>
      </c>
      <c r="G104" s="148">
        <f t="shared" si="21"/>
        <v>0</v>
      </c>
      <c r="H104" s="148">
        <f t="shared" si="21"/>
        <v>0</v>
      </c>
      <c r="I104" s="148">
        <f t="shared" si="21"/>
        <v>0</v>
      </c>
      <c r="J104" s="148">
        <f t="shared" si="21"/>
        <v>0</v>
      </c>
      <c r="K104" s="148">
        <f t="shared" si="21"/>
        <v>0</v>
      </c>
      <c r="L104" s="148">
        <f t="shared" si="21"/>
        <v>0</v>
      </c>
      <c r="M104" s="148">
        <f t="shared" si="21"/>
        <v>0</v>
      </c>
      <c r="N104" s="148">
        <f t="shared" si="21"/>
        <v>0</v>
      </c>
      <c r="O104" s="148">
        <f t="shared" si="21"/>
        <v>0</v>
      </c>
      <c r="P104" s="148">
        <f t="shared" si="21"/>
        <v>0</v>
      </c>
      <c r="Q104" s="148">
        <f t="shared" si="21"/>
        <v>0</v>
      </c>
      <c r="R104" s="148">
        <f t="shared" si="21"/>
        <v>0</v>
      </c>
      <c r="S104" s="148">
        <f t="shared" si="21"/>
        <v>0</v>
      </c>
      <c r="T104" s="148">
        <f t="shared" si="21"/>
        <v>0</v>
      </c>
      <c r="U104" s="148">
        <f t="shared" si="20"/>
        <v>0</v>
      </c>
      <c r="V104" s="148">
        <f t="shared" si="20"/>
        <v>0</v>
      </c>
      <c r="W104" s="148">
        <f t="shared" si="20"/>
        <v>0</v>
      </c>
      <c r="X104" s="148">
        <f t="shared" si="20"/>
        <v>0</v>
      </c>
      <c r="Y104" s="148">
        <f t="shared" si="20"/>
        <v>0</v>
      </c>
      <c r="Z104" s="148">
        <f t="shared" si="20"/>
        <v>100000</v>
      </c>
      <c r="AA104" s="148">
        <f t="shared" si="20"/>
        <v>100000</v>
      </c>
      <c r="AB104" s="148">
        <f t="shared" si="20"/>
        <v>100000</v>
      </c>
      <c r="AC104" s="148">
        <f t="shared" si="20"/>
        <v>100000</v>
      </c>
      <c r="AD104" s="148">
        <f t="shared" si="20"/>
        <v>100000</v>
      </c>
    </row>
    <row r="105" spans="2:30" ht="15" customHeight="1" outlineLevel="1">
      <c r="B105" s="147" t="s">
        <v>159</v>
      </c>
      <c r="C105" s="130">
        <v>23</v>
      </c>
      <c r="E105" s="148">
        <f t="shared" si="21"/>
        <v>0</v>
      </c>
      <c r="F105" s="148">
        <f t="shared" si="21"/>
        <v>0</v>
      </c>
      <c r="G105" s="148">
        <f t="shared" si="21"/>
        <v>0</v>
      </c>
      <c r="H105" s="148">
        <f t="shared" si="21"/>
        <v>0</v>
      </c>
      <c r="I105" s="148">
        <f t="shared" si="21"/>
        <v>0</v>
      </c>
      <c r="J105" s="148">
        <f t="shared" si="21"/>
        <v>0</v>
      </c>
      <c r="K105" s="148">
        <f t="shared" si="21"/>
        <v>0</v>
      </c>
      <c r="L105" s="148">
        <f t="shared" si="21"/>
        <v>0</v>
      </c>
      <c r="M105" s="148">
        <f t="shared" si="21"/>
        <v>0</v>
      </c>
      <c r="N105" s="148">
        <f t="shared" si="21"/>
        <v>0</v>
      </c>
      <c r="O105" s="148">
        <f t="shared" si="21"/>
        <v>0</v>
      </c>
      <c r="P105" s="148">
        <f t="shared" si="21"/>
        <v>0</v>
      </c>
      <c r="Q105" s="148">
        <f t="shared" si="21"/>
        <v>0</v>
      </c>
      <c r="R105" s="148">
        <f t="shared" si="21"/>
        <v>0</v>
      </c>
      <c r="S105" s="148">
        <f t="shared" si="21"/>
        <v>0</v>
      </c>
      <c r="T105" s="148">
        <f t="shared" si="21"/>
        <v>0</v>
      </c>
      <c r="U105" s="148">
        <f t="shared" si="20"/>
        <v>0</v>
      </c>
      <c r="V105" s="148">
        <f t="shared" si="20"/>
        <v>0</v>
      </c>
      <c r="W105" s="148">
        <f t="shared" si="20"/>
        <v>0</v>
      </c>
      <c r="X105" s="148">
        <f t="shared" si="20"/>
        <v>0</v>
      </c>
      <c r="Y105" s="148">
        <f t="shared" si="20"/>
        <v>0</v>
      </c>
      <c r="Z105" s="148">
        <f t="shared" si="20"/>
        <v>0</v>
      </c>
      <c r="AA105" s="148">
        <f t="shared" si="20"/>
        <v>100000</v>
      </c>
      <c r="AB105" s="148">
        <f t="shared" si="20"/>
        <v>100000</v>
      </c>
      <c r="AC105" s="148">
        <f t="shared" si="20"/>
        <v>100000</v>
      </c>
      <c r="AD105" s="148">
        <f t="shared" si="20"/>
        <v>100000</v>
      </c>
    </row>
    <row r="106" spans="2:30" ht="15" customHeight="1" outlineLevel="1">
      <c r="B106" s="147" t="s">
        <v>160</v>
      </c>
      <c r="C106" s="130">
        <v>24</v>
      </c>
      <c r="E106" s="148">
        <f t="shared" si="21"/>
        <v>0</v>
      </c>
      <c r="F106" s="148">
        <f t="shared" si="21"/>
        <v>0</v>
      </c>
      <c r="G106" s="148">
        <f t="shared" si="21"/>
        <v>0</v>
      </c>
      <c r="H106" s="148">
        <f t="shared" si="21"/>
        <v>0</v>
      </c>
      <c r="I106" s="148">
        <f t="shared" si="21"/>
        <v>0</v>
      </c>
      <c r="J106" s="148">
        <f t="shared" si="21"/>
        <v>0</v>
      </c>
      <c r="K106" s="148">
        <f t="shared" si="21"/>
        <v>0</v>
      </c>
      <c r="L106" s="148">
        <f t="shared" si="21"/>
        <v>0</v>
      </c>
      <c r="M106" s="148">
        <f t="shared" si="21"/>
        <v>0</v>
      </c>
      <c r="N106" s="148">
        <f t="shared" si="21"/>
        <v>0</v>
      </c>
      <c r="O106" s="148">
        <f t="shared" si="21"/>
        <v>0</v>
      </c>
      <c r="P106" s="148">
        <f t="shared" si="21"/>
        <v>0</v>
      </c>
      <c r="Q106" s="148">
        <f t="shared" si="21"/>
        <v>0</v>
      </c>
      <c r="R106" s="148">
        <f t="shared" si="21"/>
        <v>0</v>
      </c>
      <c r="S106" s="148">
        <f t="shared" si="21"/>
        <v>0</v>
      </c>
      <c r="T106" s="148">
        <f t="shared" si="21"/>
        <v>0</v>
      </c>
      <c r="U106" s="148">
        <f t="shared" si="20"/>
        <v>0</v>
      </c>
      <c r="V106" s="148">
        <f t="shared" si="20"/>
        <v>0</v>
      </c>
      <c r="W106" s="148">
        <f t="shared" si="20"/>
        <v>0</v>
      </c>
      <c r="X106" s="148">
        <f t="shared" si="20"/>
        <v>0</v>
      </c>
      <c r="Y106" s="148">
        <f t="shared" si="20"/>
        <v>0</v>
      </c>
      <c r="Z106" s="148">
        <f t="shared" si="20"/>
        <v>0</v>
      </c>
      <c r="AA106" s="148">
        <f t="shared" si="20"/>
        <v>0</v>
      </c>
      <c r="AB106" s="148">
        <f t="shared" si="20"/>
        <v>100000</v>
      </c>
      <c r="AC106" s="148">
        <f t="shared" si="20"/>
        <v>100000</v>
      </c>
      <c r="AD106" s="148">
        <f t="shared" si="20"/>
        <v>100000</v>
      </c>
    </row>
    <row r="107" spans="2:30" ht="15" customHeight="1" outlineLevel="1">
      <c r="B107" s="149" t="s">
        <v>161</v>
      </c>
      <c r="C107" s="150">
        <v>25</v>
      </c>
      <c r="D107" s="150"/>
      <c r="E107" s="151">
        <f t="shared" si="21"/>
        <v>0</v>
      </c>
      <c r="F107" s="151">
        <f t="shared" si="21"/>
        <v>0</v>
      </c>
      <c r="G107" s="151">
        <f t="shared" si="21"/>
        <v>0</v>
      </c>
      <c r="H107" s="151">
        <f t="shared" si="21"/>
        <v>0</v>
      </c>
      <c r="I107" s="151">
        <f t="shared" si="21"/>
        <v>0</v>
      </c>
      <c r="J107" s="151">
        <f t="shared" si="21"/>
        <v>0</v>
      </c>
      <c r="K107" s="151">
        <f t="shared" si="21"/>
        <v>0</v>
      </c>
      <c r="L107" s="151">
        <f t="shared" si="21"/>
        <v>0</v>
      </c>
      <c r="M107" s="151">
        <f t="shared" si="21"/>
        <v>0</v>
      </c>
      <c r="N107" s="151">
        <f t="shared" si="21"/>
        <v>0</v>
      </c>
      <c r="O107" s="151">
        <f t="shared" si="21"/>
        <v>0</v>
      </c>
      <c r="P107" s="151">
        <f t="shared" si="21"/>
        <v>0</v>
      </c>
      <c r="Q107" s="151">
        <f t="shared" si="21"/>
        <v>0</v>
      </c>
      <c r="R107" s="151">
        <f t="shared" si="21"/>
        <v>0</v>
      </c>
      <c r="S107" s="151">
        <f t="shared" si="21"/>
        <v>0</v>
      </c>
      <c r="T107" s="151">
        <f t="shared" si="21"/>
        <v>0</v>
      </c>
      <c r="U107" s="151">
        <f t="shared" si="20"/>
        <v>0</v>
      </c>
      <c r="V107" s="151">
        <f t="shared" si="20"/>
        <v>0</v>
      </c>
      <c r="W107" s="151">
        <f t="shared" si="20"/>
        <v>0</v>
      </c>
      <c r="X107" s="151">
        <f t="shared" si="20"/>
        <v>0</v>
      </c>
      <c r="Y107" s="151">
        <f t="shared" si="20"/>
        <v>0</v>
      </c>
      <c r="Z107" s="151">
        <f t="shared" si="20"/>
        <v>0</v>
      </c>
      <c r="AA107" s="151">
        <f t="shared" si="20"/>
        <v>0</v>
      </c>
      <c r="AB107" s="151">
        <f t="shared" si="20"/>
        <v>0</v>
      </c>
      <c r="AC107" s="151">
        <f t="shared" si="20"/>
        <v>100000</v>
      </c>
      <c r="AD107" s="151">
        <f t="shared" si="20"/>
        <v>100000</v>
      </c>
    </row>
    <row r="108" spans="2:30" ht="15" customHeight="1">
      <c r="B108" s="147" t="s">
        <v>167</v>
      </c>
      <c r="E108" s="148">
        <f>+SUM(E83:E107)</f>
        <v>100000</v>
      </c>
      <c r="F108" s="148">
        <f>+SUM(F83:F107)</f>
        <v>200000</v>
      </c>
      <c r="G108" s="148">
        <f t="shared" ref="G108:AD108" si="22">+SUM(G83:G107)</f>
        <v>300000</v>
      </c>
      <c r="H108" s="148">
        <f t="shared" si="22"/>
        <v>400000</v>
      </c>
      <c r="I108" s="148">
        <f t="shared" si="22"/>
        <v>500000</v>
      </c>
      <c r="J108" s="148">
        <f t="shared" si="22"/>
        <v>600000</v>
      </c>
      <c r="K108" s="148">
        <f t="shared" si="22"/>
        <v>700000</v>
      </c>
      <c r="L108" s="148">
        <f t="shared" si="22"/>
        <v>800000</v>
      </c>
      <c r="M108" s="148">
        <f t="shared" si="22"/>
        <v>900000</v>
      </c>
      <c r="N108" s="148">
        <f t="shared" si="22"/>
        <v>1000000</v>
      </c>
      <c r="O108" s="148">
        <f t="shared" si="22"/>
        <v>1100000</v>
      </c>
      <c r="P108" s="148">
        <f t="shared" si="22"/>
        <v>1200000</v>
      </c>
      <c r="Q108" s="148">
        <f t="shared" si="22"/>
        <v>1300000</v>
      </c>
      <c r="R108" s="148">
        <f t="shared" si="22"/>
        <v>1400000</v>
      </c>
      <c r="S108" s="148">
        <f t="shared" si="22"/>
        <v>1500000</v>
      </c>
      <c r="T108" s="148">
        <f t="shared" si="22"/>
        <v>1600000</v>
      </c>
      <c r="U108" s="148">
        <f t="shared" si="22"/>
        <v>1700000</v>
      </c>
      <c r="V108" s="148">
        <f t="shared" si="22"/>
        <v>1800000</v>
      </c>
      <c r="W108" s="148">
        <f t="shared" si="22"/>
        <v>1900000</v>
      </c>
      <c r="X108" s="148">
        <f t="shared" si="22"/>
        <v>2000000</v>
      </c>
      <c r="Y108" s="148">
        <f t="shared" si="22"/>
        <v>2100000</v>
      </c>
      <c r="Z108" s="148">
        <f t="shared" si="22"/>
        <v>2200000</v>
      </c>
      <c r="AA108" s="148">
        <f t="shared" si="22"/>
        <v>2300000</v>
      </c>
      <c r="AB108" s="148">
        <f t="shared" si="22"/>
        <v>2400000</v>
      </c>
      <c r="AC108" s="148">
        <f t="shared" si="22"/>
        <v>2500000</v>
      </c>
      <c r="AD108" s="148">
        <f t="shared" si="22"/>
        <v>2500000</v>
      </c>
    </row>
    <row r="109" spans="2:30" ht="15" customHeight="1">
      <c r="B109" s="130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</row>
    <row r="110" spans="2:30" ht="15" customHeight="1">
      <c r="B110" s="144" t="s">
        <v>163</v>
      </c>
      <c r="C110" s="152">
        <v>10</v>
      </c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</row>
    <row r="111" spans="2:30" ht="15" customHeight="1">
      <c r="B111" s="147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</row>
    <row r="112" spans="2:30" ht="15" customHeight="1" outlineLevel="1">
      <c r="B112" s="147" t="s">
        <v>137</v>
      </c>
      <c r="C112" s="130">
        <v>1</v>
      </c>
      <c r="E112" s="148">
        <f>+IF($C112+$C$110&gt;E$79,E83/$C$110,0)</f>
        <v>10000</v>
      </c>
      <c r="F112" s="148">
        <f t="shared" ref="F112:AD127" si="23">+IF($C112+$C$110&gt;F$79,F83/$C$110,0)</f>
        <v>10000</v>
      </c>
      <c r="G112" s="148">
        <f t="shared" si="23"/>
        <v>10000</v>
      </c>
      <c r="H112" s="148">
        <f t="shared" si="23"/>
        <v>10000</v>
      </c>
      <c r="I112" s="148">
        <f t="shared" si="23"/>
        <v>10000</v>
      </c>
      <c r="J112" s="148">
        <f t="shared" si="23"/>
        <v>10000</v>
      </c>
      <c r="K112" s="148">
        <f t="shared" si="23"/>
        <v>10000</v>
      </c>
      <c r="L112" s="148">
        <f t="shared" si="23"/>
        <v>10000</v>
      </c>
      <c r="M112" s="148">
        <f t="shared" si="23"/>
        <v>10000</v>
      </c>
      <c r="N112" s="148">
        <f t="shared" si="23"/>
        <v>10000</v>
      </c>
      <c r="O112" s="148">
        <f t="shared" si="23"/>
        <v>0</v>
      </c>
      <c r="P112" s="148">
        <f t="shared" si="23"/>
        <v>0</v>
      </c>
      <c r="Q112" s="148">
        <f t="shared" si="23"/>
        <v>0</v>
      </c>
      <c r="R112" s="148">
        <f t="shared" si="23"/>
        <v>0</v>
      </c>
      <c r="S112" s="148">
        <f t="shared" si="23"/>
        <v>0</v>
      </c>
      <c r="T112" s="148">
        <f t="shared" si="23"/>
        <v>0</v>
      </c>
      <c r="U112" s="148">
        <f t="shared" si="23"/>
        <v>0</v>
      </c>
      <c r="V112" s="148">
        <f t="shared" si="23"/>
        <v>0</v>
      </c>
      <c r="W112" s="148">
        <f t="shared" si="23"/>
        <v>0</v>
      </c>
      <c r="X112" s="148">
        <f t="shared" si="23"/>
        <v>0</v>
      </c>
      <c r="Y112" s="148">
        <f t="shared" si="23"/>
        <v>0</v>
      </c>
      <c r="Z112" s="148">
        <f t="shared" si="23"/>
        <v>0</v>
      </c>
      <c r="AA112" s="148">
        <f t="shared" si="23"/>
        <v>0</v>
      </c>
      <c r="AB112" s="148">
        <f t="shared" si="23"/>
        <v>0</v>
      </c>
      <c r="AC112" s="148">
        <f t="shared" si="23"/>
        <v>0</v>
      </c>
      <c r="AD112" s="148">
        <f t="shared" si="23"/>
        <v>0</v>
      </c>
    </row>
    <row r="113" spans="2:30" ht="15" customHeight="1" outlineLevel="1">
      <c r="B113" s="147" t="s">
        <v>138</v>
      </c>
      <c r="C113" s="130">
        <v>2</v>
      </c>
      <c r="E113" s="148">
        <f t="shared" ref="E113:AC123" si="24">+IF($C113+$C$110&gt;E$79,E84/$C$110,0)</f>
        <v>0</v>
      </c>
      <c r="F113" s="148">
        <f t="shared" si="24"/>
        <v>10000</v>
      </c>
      <c r="G113" s="148">
        <f t="shared" si="24"/>
        <v>10000</v>
      </c>
      <c r="H113" s="148">
        <f t="shared" si="24"/>
        <v>10000</v>
      </c>
      <c r="I113" s="148">
        <f t="shared" si="24"/>
        <v>10000</v>
      </c>
      <c r="J113" s="148">
        <f t="shared" si="24"/>
        <v>10000</v>
      </c>
      <c r="K113" s="148">
        <f t="shared" si="24"/>
        <v>10000</v>
      </c>
      <c r="L113" s="148">
        <f t="shared" si="24"/>
        <v>10000</v>
      </c>
      <c r="M113" s="148">
        <f t="shared" si="24"/>
        <v>10000</v>
      </c>
      <c r="N113" s="148">
        <f t="shared" si="24"/>
        <v>10000</v>
      </c>
      <c r="O113" s="148">
        <f t="shared" si="24"/>
        <v>10000</v>
      </c>
      <c r="P113" s="148">
        <f t="shared" si="24"/>
        <v>0</v>
      </c>
      <c r="Q113" s="148">
        <f t="shared" si="24"/>
        <v>0</v>
      </c>
      <c r="R113" s="148">
        <f t="shared" si="24"/>
        <v>0</v>
      </c>
      <c r="S113" s="148">
        <f t="shared" si="24"/>
        <v>0</v>
      </c>
      <c r="T113" s="148">
        <f t="shared" si="24"/>
        <v>0</v>
      </c>
      <c r="U113" s="148">
        <f t="shared" si="24"/>
        <v>0</v>
      </c>
      <c r="V113" s="148">
        <f t="shared" si="24"/>
        <v>0</v>
      </c>
      <c r="W113" s="148">
        <f t="shared" si="24"/>
        <v>0</v>
      </c>
      <c r="X113" s="148">
        <f t="shared" si="24"/>
        <v>0</v>
      </c>
      <c r="Y113" s="148">
        <f t="shared" si="24"/>
        <v>0</v>
      </c>
      <c r="Z113" s="148">
        <f t="shared" si="24"/>
        <v>0</v>
      </c>
      <c r="AA113" s="148">
        <f t="shared" si="24"/>
        <v>0</v>
      </c>
      <c r="AB113" s="148">
        <f t="shared" si="24"/>
        <v>0</v>
      </c>
      <c r="AC113" s="148">
        <f t="shared" si="24"/>
        <v>0</v>
      </c>
      <c r="AD113" s="148">
        <f t="shared" si="23"/>
        <v>0</v>
      </c>
    </row>
    <row r="114" spans="2:30" ht="15" customHeight="1" outlineLevel="1">
      <c r="B114" s="147" t="s">
        <v>139</v>
      </c>
      <c r="C114" s="130">
        <v>3</v>
      </c>
      <c r="E114" s="148">
        <f t="shared" si="24"/>
        <v>0</v>
      </c>
      <c r="F114" s="148">
        <f t="shared" si="24"/>
        <v>0</v>
      </c>
      <c r="G114" s="148">
        <f t="shared" si="24"/>
        <v>10000</v>
      </c>
      <c r="H114" s="148">
        <f t="shared" si="24"/>
        <v>10000</v>
      </c>
      <c r="I114" s="148">
        <f t="shared" si="24"/>
        <v>10000</v>
      </c>
      <c r="J114" s="148">
        <f t="shared" si="24"/>
        <v>10000</v>
      </c>
      <c r="K114" s="148">
        <f t="shared" si="24"/>
        <v>10000</v>
      </c>
      <c r="L114" s="148">
        <f t="shared" si="24"/>
        <v>10000</v>
      </c>
      <c r="M114" s="148">
        <f t="shared" si="24"/>
        <v>10000</v>
      </c>
      <c r="N114" s="148">
        <f t="shared" si="24"/>
        <v>10000</v>
      </c>
      <c r="O114" s="148">
        <f t="shared" si="24"/>
        <v>10000</v>
      </c>
      <c r="P114" s="148">
        <f t="shared" si="24"/>
        <v>10000</v>
      </c>
      <c r="Q114" s="148">
        <f t="shared" si="24"/>
        <v>0</v>
      </c>
      <c r="R114" s="148">
        <f t="shared" si="24"/>
        <v>0</v>
      </c>
      <c r="S114" s="148">
        <f t="shared" si="24"/>
        <v>0</v>
      </c>
      <c r="T114" s="148">
        <f t="shared" si="24"/>
        <v>0</v>
      </c>
      <c r="U114" s="148">
        <f t="shared" si="24"/>
        <v>0</v>
      </c>
      <c r="V114" s="148">
        <f t="shared" si="24"/>
        <v>0</v>
      </c>
      <c r="W114" s="148">
        <f t="shared" si="24"/>
        <v>0</v>
      </c>
      <c r="X114" s="148">
        <f t="shared" si="24"/>
        <v>0</v>
      </c>
      <c r="Y114" s="148">
        <f t="shared" si="24"/>
        <v>0</v>
      </c>
      <c r="Z114" s="148">
        <f t="shared" si="24"/>
        <v>0</v>
      </c>
      <c r="AA114" s="148">
        <f t="shared" si="24"/>
        <v>0</v>
      </c>
      <c r="AB114" s="148">
        <f t="shared" si="24"/>
        <v>0</v>
      </c>
      <c r="AC114" s="148">
        <f t="shared" si="24"/>
        <v>0</v>
      </c>
      <c r="AD114" s="148">
        <f t="shared" si="23"/>
        <v>0</v>
      </c>
    </row>
    <row r="115" spans="2:30" ht="15" customHeight="1" outlineLevel="1">
      <c r="B115" s="147" t="s">
        <v>140</v>
      </c>
      <c r="C115" s="130">
        <v>4</v>
      </c>
      <c r="E115" s="148">
        <f t="shared" si="24"/>
        <v>0</v>
      </c>
      <c r="F115" s="148">
        <f t="shared" si="24"/>
        <v>0</v>
      </c>
      <c r="G115" s="148">
        <f t="shared" si="24"/>
        <v>0</v>
      </c>
      <c r="H115" s="148">
        <f t="shared" si="24"/>
        <v>10000</v>
      </c>
      <c r="I115" s="148">
        <f t="shared" si="24"/>
        <v>10000</v>
      </c>
      <c r="J115" s="148">
        <f t="shared" si="24"/>
        <v>10000</v>
      </c>
      <c r="K115" s="148">
        <f t="shared" si="24"/>
        <v>10000</v>
      </c>
      <c r="L115" s="148">
        <f t="shared" si="24"/>
        <v>10000</v>
      </c>
      <c r="M115" s="148">
        <f t="shared" si="24"/>
        <v>10000</v>
      </c>
      <c r="N115" s="148">
        <f t="shared" si="24"/>
        <v>10000</v>
      </c>
      <c r="O115" s="148">
        <f t="shared" si="24"/>
        <v>10000</v>
      </c>
      <c r="P115" s="148">
        <f t="shared" si="24"/>
        <v>10000</v>
      </c>
      <c r="Q115" s="148">
        <f t="shared" si="24"/>
        <v>10000</v>
      </c>
      <c r="R115" s="148">
        <f t="shared" si="24"/>
        <v>0</v>
      </c>
      <c r="S115" s="148">
        <f t="shared" si="24"/>
        <v>0</v>
      </c>
      <c r="T115" s="148">
        <f t="shared" si="24"/>
        <v>0</v>
      </c>
      <c r="U115" s="148">
        <f t="shared" si="24"/>
        <v>0</v>
      </c>
      <c r="V115" s="148">
        <f t="shared" si="24"/>
        <v>0</v>
      </c>
      <c r="W115" s="148">
        <f t="shared" si="24"/>
        <v>0</v>
      </c>
      <c r="X115" s="148">
        <f t="shared" si="24"/>
        <v>0</v>
      </c>
      <c r="Y115" s="148">
        <f t="shared" si="24"/>
        <v>0</v>
      </c>
      <c r="Z115" s="148">
        <f t="shared" si="24"/>
        <v>0</v>
      </c>
      <c r="AA115" s="148">
        <f t="shared" si="24"/>
        <v>0</v>
      </c>
      <c r="AB115" s="148">
        <f t="shared" si="24"/>
        <v>0</v>
      </c>
      <c r="AC115" s="148">
        <f t="shared" si="24"/>
        <v>0</v>
      </c>
      <c r="AD115" s="148">
        <f t="shared" si="23"/>
        <v>0</v>
      </c>
    </row>
    <row r="116" spans="2:30" ht="15" customHeight="1" outlineLevel="1">
      <c r="B116" s="147" t="s">
        <v>141</v>
      </c>
      <c r="C116" s="130">
        <v>5</v>
      </c>
      <c r="E116" s="148">
        <f t="shared" si="24"/>
        <v>0</v>
      </c>
      <c r="F116" s="148">
        <f t="shared" si="24"/>
        <v>0</v>
      </c>
      <c r="G116" s="148">
        <f t="shared" si="24"/>
        <v>0</v>
      </c>
      <c r="H116" s="148">
        <f t="shared" si="24"/>
        <v>0</v>
      </c>
      <c r="I116" s="148">
        <f t="shared" si="24"/>
        <v>10000</v>
      </c>
      <c r="J116" s="148">
        <f t="shared" si="24"/>
        <v>10000</v>
      </c>
      <c r="K116" s="148">
        <f t="shared" si="24"/>
        <v>10000</v>
      </c>
      <c r="L116" s="148">
        <f t="shared" si="24"/>
        <v>10000</v>
      </c>
      <c r="M116" s="148">
        <f t="shared" si="24"/>
        <v>10000</v>
      </c>
      <c r="N116" s="148">
        <f t="shared" si="24"/>
        <v>10000</v>
      </c>
      <c r="O116" s="148">
        <f t="shared" si="24"/>
        <v>10000</v>
      </c>
      <c r="P116" s="148">
        <f t="shared" si="24"/>
        <v>10000</v>
      </c>
      <c r="Q116" s="148">
        <f t="shared" si="24"/>
        <v>10000</v>
      </c>
      <c r="R116" s="148">
        <f t="shared" si="24"/>
        <v>10000</v>
      </c>
      <c r="S116" s="148">
        <f t="shared" si="24"/>
        <v>0</v>
      </c>
      <c r="T116" s="148">
        <f t="shared" si="24"/>
        <v>0</v>
      </c>
      <c r="U116" s="148">
        <f t="shared" si="24"/>
        <v>0</v>
      </c>
      <c r="V116" s="148">
        <f t="shared" si="24"/>
        <v>0</v>
      </c>
      <c r="W116" s="148">
        <f t="shared" si="24"/>
        <v>0</v>
      </c>
      <c r="X116" s="148">
        <f t="shared" si="24"/>
        <v>0</v>
      </c>
      <c r="Y116" s="148">
        <f t="shared" si="24"/>
        <v>0</v>
      </c>
      <c r="Z116" s="148">
        <f t="shared" si="24"/>
        <v>0</v>
      </c>
      <c r="AA116" s="148">
        <f t="shared" si="24"/>
        <v>0</v>
      </c>
      <c r="AB116" s="148">
        <f t="shared" si="24"/>
        <v>0</v>
      </c>
      <c r="AC116" s="148">
        <f t="shared" si="24"/>
        <v>0</v>
      </c>
      <c r="AD116" s="148">
        <f t="shared" si="23"/>
        <v>0</v>
      </c>
    </row>
    <row r="117" spans="2:30" ht="15" customHeight="1" outlineLevel="1">
      <c r="B117" s="147" t="s">
        <v>142</v>
      </c>
      <c r="C117" s="130">
        <v>6</v>
      </c>
      <c r="E117" s="148">
        <f t="shared" si="24"/>
        <v>0</v>
      </c>
      <c r="F117" s="148">
        <f>+IF($C117+$C$110&gt;F$79,F88/$C$110,0)</f>
        <v>0</v>
      </c>
      <c r="G117" s="148">
        <f t="shared" si="24"/>
        <v>0</v>
      </c>
      <c r="H117" s="148">
        <f t="shared" si="24"/>
        <v>0</v>
      </c>
      <c r="I117" s="148">
        <f t="shared" si="24"/>
        <v>0</v>
      </c>
      <c r="J117" s="148">
        <f t="shared" si="24"/>
        <v>10000</v>
      </c>
      <c r="K117" s="148">
        <f t="shared" si="24"/>
        <v>10000</v>
      </c>
      <c r="L117" s="148">
        <f t="shared" si="24"/>
        <v>10000</v>
      </c>
      <c r="M117" s="148">
        <f t="shared" si="24"/>
        <v>10000</v>
      </c>
      <c r="N117" s="148">
        <f t="shared" si="24"/>
        <v>10000</v>
      </c>
      <c r="O117" s="148">
        <f t="shared" si="24"/>
        <v>10000</v>
      </c>
      <c r="P117" s="148">
        <f t="shared" si="24"/>
        <v>10000</v>
      </c>
      <c r="Q117" s="148">
        <f t="shared" si="24"/>
        <v>10000</v>
      </c>
      <c r="R117" s="148">
        <f t="shared" si="24"/>
        <v>10000</v>
      </c>
      <c r="S117" s="148">
        <f t="shared" si="24"/>
        <v>10000</v>
      </c>
      <c r="T117" s="148">
        <f t="shared" si="24"/>
        <v>0</v>
      </c>
      <c r="U117" s="148">
        <f t="shared" si="24"/>
        <v>0</v>
      </c>
      <c r="V117" s="148">
        <f t="shared" si="24"/>
        <v>0</v>
      </c>
      <c r="W117" s="148">
        <f t="shared" si="24"/>
        <v>0</v>
      </c>
      <c r="X117" s="148">
        <f t="shared" si="24"/>
        <v>0</v>
      </c>
      <c r="Y117" s="148">
        <f t="shared" si="24"/>
        <v>0</v>
      </c>
      <c r="Z117" s="148">
        <f t="shared" si="24"/>
        <v>0</v>
      </c>
      <c r="AA117" s="148">
        <f t="shared" si="24"/>
        <v>0</v>
      </c>
      <c r="AB117" s="148">
        <f t="shared" si="24"/>
        <v>0</v>
      </c>
      <c r="AC117" s="148">
        <f t="shared" si="24"/>
        <v>0</v>
      </c>
      <c r="AD117" s="148">
        <f t="shared" si="23"/>
        <v>0</v>
      </c>
    </row>
    <row r="118" spans="2:30" ht="15" customHeight="1" outlineLevel="1">
      <c r="B118" s="147" t="s">
        <v>143</v>
      </c>
      <c r="C118" s="130">
        <v>7</v>
      </c>
      <c r="E118" s="148">
        <f t="shared" si="24"/>
        <v>0</v>
      </c>
      <c r="F118" s="148">
        <f t="shared" si="24"/>
        <v>0</v>
      </c>
      <c r="G118" s="148">
        <f t="shared" si="24"/>
        <v>0</v>
      </c>
      <c r="H118" s="148">
        <f t="shared" si="24"/>
        <v>0</v>
      </c>
      <c r="I118" s="148">
        <f t="shared" si="24"/>
        <v>0</v>
      </c>
      <c r="J118" s="148">
        <f t="shared" si="24"/>
        <v>0</v>
      </c>
      <c r="K118" s="148">
        <f t="shared" si="24"/>
        <v>10000</v>
      </c>
      <c r="L118" s="148">
        <f t="shared" si="24"/>
        <v>10000</v>
      </c>
      <c r="M118" s="148">
        <f t="shared" si="24"/>
        <v>10000</v>
      </c>
      <c r="N118" s="148">
        <f t="shared" si="24"/>
        <v>10000</v>
      </c>
      <c r="O118" s="148">
        <f t="shared" si="24"/>
        <v>10000</v>
      </c>
      <c r="P118" s="148">
        <f t="shared" si="24"/>
        <v>10000</v>
      </c>
      <c r="Q118" s="148">
        <f t="shared" si="24"/>
        <v>10000</v>
      </c>
      <c r="R118" s="148">
        <f t="shared" si="24"/>
        <v>10000</v>
      </c>
      <c r="S118" s="148">
        <f t="shared" si="24"/>
        <v>10000</v>
      </c>
      <c r="T118" s="148">
        <f t="shared" si="24"/>
        <v>10000</v>
      </c>
      <c r="U118" s="148">
        <f t="shared" si="24"/>
        <v>0</v>
      </c>
      <c r="V118" s="148">
        <f t="shared" si="24"/>
        <v>0</v>
      </c>
      <c r="W118" s="148">
        <f t="shared" si="24"/>
        <v>0</v>
      </c>
      <c r="X118" s="148">
        <f t="shared" si="24"/>
        <v>0</v>
      </c>
      <c r="Y118" s="148">
        <f t="shared" si="24"/>
        <v>0</v>
      </c>
      <c r="Z118" s="148">
        <f t="shared" si="24"/>
        <v>0</v>
      </c>
      <c r="AA118" s="148">
        <f t="shared" si="24"/>
        <v>0</v>
      </c>
      <c r="AB118" s="148">
        <f t="shared" si="24"/>
        <v>0</v>
      </c>
      <c r="AC118" s="148">
        <f t="shared" si="24"/>
        <v>0</v>
      </c>
      <c r="AD118" s="148">
        <f t="shared" si="23"/>
        <v>0</v>
      </c>
    </row>
    <row r="119" spans="2:30" ht="15" customHeight="1" outlineLevel="1">
      <c r="B119" s="147" t="s">
        <v>144</v>
      </c>
      <c r="C119" s="130">
        <v>8</v>
      </c>
      <c r="E119" s="148">
        <f t="shared" si="24"/>
        <v>0</v>
      </c>
      <c r="F119" s="148">
        <f t="shared" si="24"/>
        <v>0</v>
      </c>
      <c r="G119" s="148">
        <f t="shared" si="24"/>
        <v>0</v>
      </c>
      <c r="H119" s="148">
        <f t="shared" si="24"/>
        <v>0</v>
      </c>
      <c r="I119" s="148">
        <f t="shared" si="24"/>
        <v>0</v>
      </c>
      <c r="J119" s="148">
        <f t="shared" si="24"/>
        <v>0</v>
      </c>
      <c r="K119" s="148">
        <f t="shared" si="24"/>
        <v>0</v>
      </c>
      <c r="L119" s="148">
        <f t="shared" si="24"/>
        <v>10000</v>
      </c>
      <c r="M119" s="148">
        <f t="shared" si="24"/>
        <v>10000</v>
      </c>
      <c r="N119" s="148">
        <f t="shared" si="24"/>
        <v>10000</v>
      </c>
      <c r="O119" s="148">
        <f t="shared" si="24"/>
        <v>10000</v>
      </c>
      <c r="P119" s="148">
        <f t="shared" si="24"/>
        <v>10000</v>
      </c>
      <c r="Q119" s="148">
        <f t="shared" si="24"/>
        <v>10000</v>
      </c>
      <c r="R119" s="148">
        <f t="shared" si="24"/>
        <v>10000</v>
      </c>
      <c r="S119" s="148">
        <f t="shared" si="24"/>
        <v>10000</v>
      </c>
      <c r="T119" s="148">
        <f t="shared" si="24"/>
        <v>10000</v>
      </c>
      <c r="U119" s="148">
        <f t="shared" si="24"/>
        <v>10000</v>
      </c>
      <c r="V119" s="148">
        <f t="shared" si="24"/>
        <v>0</v>
      </c>
      <c r="W119" s="148">
        <f t="shared" si="24"/>
        <v>0</v>
      </c>
      <c r="X119" s="148">
        <f t="shared" si="24"/>
        <v>0</v>
      </c>
      <c r="Y119" s="148">
        <f t="shared" si="24"/>
        <v>0</v>
      </c>
      <c r="Z119" s="148">
        <f t="shared" si="24"/>
        <v>0</v>
      </c>
      <c r="AA119" s="148">
        <f t="shared" si="24"/>
        <v>0</v>
      </c>
      <c r="AB119" s="148">
        <f t="shared" si="24"/>
        <v>0</v>
      </c>
      <c r="AC119" s="148">
        <f t="shared" si="24"/>
        <v>0</v>
      </c>
      <c r="AD119" s="148">
        <f t="shared" si="23"/>
        <v>0</v>
      </c>
    </row>
    <row r="120" spans="2:30" ht="15" customHeight="1" outlineLevel="1">
      <c r="B120" s="147" t="s">
        <v>145</v>
      </c>
      <c r="C120" s="130">
        <v>9</v>
      </c>
      <c r="E120" s="148">
        <f t="shared" si="24"/>
        <v>0</v>
      </c>
      <c r="F120" s="148">
        <f t="shared" si="24"/>
        <v>0</v>
      </c>
      <c r="G120" s="148">
        <f t="shared" si="24"/>
        <v>0</v>
      </c>
      <c r="H120" s="148">
        <f t="shared" si="24"/>
        <v>0</v>
      </c>
      <c r="I120" s="148">
        <f t="shared" si="24"/>
        <v>0</v>
      </c>
      <c r="J120" s="148">
        <f t="shared" si="24"/>
        <v>0</v>
      </c>
      <c r="K120" s="148">
        <f t="shared" si="24"/>
        <v>0</v>
      </c>
      <c r="L120" s="148">
        <f t="shared" si="24"/>
        <v>0</v>
      </c>
      <c r="M120" s="148">
        <f t="shared" si="24"/>
        <v>10000</v>
      </c>
      <c r="N120" s="148">
        <f t="shared" si="24"/>
        <v>10000</v>
      </c>
      <c r="O120" s="148">
        <f t="shared" si="24"/>
        <v>10000</v>
      </c>
      <c r="P120" s="148">
        <f t="shared" si="24"/>
        <v>10000</v>
      </c>
      <c r="Q120" s="148">
        <f t="shared" si="24"/>
        <v>10000</v>
      </c>
      <c r="R120" s="148">
        <f t="shared" si="24"/>
        <v>10000</v>
      </c>
      <c r="S120" s="148">
        <f t="shared" si="24"/>
        <v>10000</v>
      </c>
      <c r="T120" s="148">
        <f t="shared" si="24"/>
        <v>10000</v>
      </c>
      <c r="U120" s="148">
        <f t="shared" si="24"/>
        <v>10000</v>
      </c>
      <c r="V120" s="148">
        <f t="shared" si="24"/>
        <v>10000</v>
      </c>
      <c r="W120" s="148">
        <f t="shared" si="24"/>
        <v>0</v>
      </c>
      <c r="X120" s="148">
        <f t="shared" si="24"/>
        <v>0</v>
      </c>
      <c r="Y120" s="148">
        <f t="shared" si="24"/>
        <v>0</v>
      </c>
      <c r="Z120" s="148">
        <f t="shared" si="24"/>
        <v>0</v>
      </c>
      <c r="AA120" s="148">
        <f t="shared" si="24"/>
        <v>0</v>
      </c>
      <c r="AB120" s="148">
        <f t="shared" si="24"/>
        <v>0</v>
      </c>
      <c r="AC120" s="148">
        <f t="shared" si="24"/>
        <v>0</v>
      </c>
      <c r="AD120" s="148">
        <f t="shared" si="23"/>
        <v>0</v>
      </c>
    </row>
    <row r="121" spans="2:30" ht="15" customHeight="1" outlineLevel="1">
      <c r="B121" s="147" t="s">
        <v>146</v>
      </c>
      <c r="C121" s="130">
        <v>10</v>
      </c>
      <c r="E121" s="148">
        <f t="shared" si="24"/>
        <v>0</v>
      </c>
      <c r="F121" s="148">
        <f t="shared" si="24"/>
        <v>0</v>
      </c>
      <c r="G121" s="148">
        <f t="shared" si="24"/>
        <v>0</v>
      </c>
      <c r="H121" s="148">
        <f t="shared" si="24"/>
        <v>0</v>
      </c>
      <c r="I121" s="148">
        <f t="shared" si="24"/>
        <v>0</v>
      </c>
      <c r="J121" s="148">
        <f t="shared" si="24"/>
        <v>0</v>
      </c>
      <c r="K121" s="148">
        <f t="shared" si="24"/>
        <v>0</v>
      </c>
      <c r="L121" s="148">
        <f t="shared" si="24"/>
        <v>0</v>
      </c>
      <c r="M121" s="148">
        <f t="shared" si="24"/>
        <v>0</v>
      </c>
      <c r="N121" s="148">
        <f t="shared" si="24"/>
        <v>10000</v>
      </c>
      <c r="O121" s="148">
        <f t="shared" si="24"/>
        <v>10000</v>
      </c>
      <c r="P121" s="148">
        <f t="shared" si="24"/>
        <v>10000</v>
      </c>
      <c r="Q121" s="148">
        <f t="shared" si="24"/>
        <v>10000</v>
      </c>
      <c r="R121" s="148">
        <f t="shared" si="24"/>
        <v>10000</v>
      </c>
      <c r="S121" s="148">
        <f t="shared" si="24"/>
        <v>10000</v>
      </c>
      <c r="T121" s="148">
        <f t="shared" si="24"/>
        <v>10000</v>
      </c>
      <c r="U121" s="148">
        <f t="shared" si="24"/>
        <v>10000</v>
      </c>
      <c r="V121" s="148">
        <f t="shared" si="24"/>
        <v>10000</v>
      </c>
      <c r="W121" s="148">
        <f t="shared" si="24"/>
        <v>10000</v>
      </c>
      <c r="X121" s="148">
        <f t="shared" si="24"/>
        <v>0</v>
      </c>
      <c r="Y121" s="148">
        <f t="shared" si="24"/>
        <v>0</v>
      </c>
      <c r="Z121" s="148">
        <f t="shared" si="24"/>
        <v>0</v>
      </c>
      <c r="AA121" s="148">
        <f t="shared" si="24"/>
        <v>0</v>
      </c>
      <c r="AB121" s="148">
        <f t="shared" si="24"/>
        <v>0</v>
      </c>
      <c r="AC121" s="148">
        <f t="shared" si="24"/>
        <v>0</v>
      </c>
      <c r="AD121" s="148">
        <f t="shared" si="23"/>
        <v>0</v>
      </c>
    </row>
    <row r="122" spans="2:30" ht="15" customHeight="1" outlineLevel="1">
      <c r="B122" s="147" t="s">
        <v>147</v>
      </c>
      <c r="C122" s="130">
        <v>11</v>
      </c>
      <c r="E122" s="148">
        <f t="shared" si="24"/>
        <v>0</v>
      </c>
      <c r="F122" s="148">
        <f t="shared" si="24"/>
        <v>0</v>
      </c>
      <c r="G122" s="148">
        <f t="shared" si="24"/>
        <v>0</v>
      </c>
      <c r="H122" s="148">
        <f t="shared" si="24"/>
        <v>0</v>
      </c>
      <c r="I122" s="148">
        <f t="shared" si="24"/>
        <v>0</v>
      </c>
      <c r="J122" s="148">
        <f t="shared" si="24"/>
        <v>0</v>
      </c>
      <c r="K122" s="148">
        <f t="shared" si="24"/>
        <v>0</v>
      </c>
      <c r="L122" s="148">
        <f t="shared" si="24"/>
        <v>0</v>
      </c>
      <c r="M122" s="148">
        <f t="shared" si="24"/>
        <v>0</v>
      </c>
      <c r="N122" s="148">
        <f t="shared" si="24"/>
        <v>0</v>
      </c>
      <c r="O122" s="148">
        <f t="shared" si="24"/>
        <v>10000</v>
      </c>
      <c r="P122" s="148">
        <f t="shared" si="24"/>
        <v>10000</v>
      </c>
      <c r="Q122" s="148">
        <f t="shared" si="24"/>
        <v>10000</v>
      </c>
      <c r="R122" s="148">
        <f t="shared" si="24"/>
        <v>10000</v>
      </c>
      <c r="S122" s="148">
        <f t="shared" si="24"/>
        <v>10000</v>
      </c>
      <c r="T122" s="148">
        <f t="shared" si="24"/>
        <v>10000</v>
      </c>
      <c r="U122" s="148">
        <f t="shared" si="24"/>
        <v>10000</v>
      </c>
      <c r="V122" s="148">
        <f t="shared" si="24"/>
        <v>10000</v>
      </c>
      <c r="W122" s="148">
        <f t="shared" si="24"/>
        <v>10000</v>
      </c>
      <c r="X122" s="148">
        <f t="shared" si="24"/>
        <v>10000</v>
      </c>
      <c r="Y122" s="148">
        <f t="shared" si="24"/>
        <v>0</v>
      </c>
      <c r="Z122" s="148">
        <f t="shared" si="24"/>
        <v>0</v>
      </c>
      <c r="AA122" s="148">
        <f t="shared" si="24"/>
        <v>0</v>
      </c>
      <c r="AB122" s="148">
        <f t="shared" si="24"/>
        <v>0</v>
      </c>
      <c r="AC122" s="148">
        <f t="shared" si="24"/>
        <v>0</v>
      </c>
      <c r="AD122" s="148">
        <f t="shared" si="23"/>
        <v>0</v>
      </c>
    </row>
    <row r="123" spans="2:30" ht="15" customHeight="1" outlineLevel="1">
      <c r="B123" s="147" t="s">
        <v>148</v>
      </c>
      <c r="C123" s="130">
        <v>12</v>
      </c>
      <c r="E123" s="148">
        <f t="shared" si="24"/>
        <v>0</v>
      </c>
      <c r="F123" s="148">
        <f t="shared" si="24"/>
        <v>0</v>
      </c>
      <c r="G123" s="148">
        <f t="shared" si="24"/>
        <v>0</v>
      </c>
      <c r="H123" s="148">
        <f t="shared" si="24"/>
        <v>0</v>
      </c>
      <c r="I123" s="148">
        <f t="shared" si="24"/>
        <v>0</v>
      </c>
      <c r="J123" s="148">
        <f t="shared" si="24"/>
        <v>0</v>
      </c>
      <c r="K123" s="148">
        <f t="shared" ref="K123:AC123" si="25">+IF($C123+$C$110&gt;K$79,K94/$C$110,0)</f>
        <v>0</v>
      </c>
      <c r="L123" s="148">
        <f t="shared" si="25"/>
        <v>0</v>
      </c>
      <c r="M123" s="148">
        <f t="shared" si="25"/>
        <v>0</v>
      </c>
      <c r="N123" s="148">
        <f t="shared" si="25"/>
        <v>0</v>
      </c>
      <c r="O123" s="148">
        <f t="shared" si="25"/>
        <v>0</v>
      </c>
      <c r="P123" s="148">
        <f t="shared" si="25"/>
        <v>10000</v>
      </c>
      <c r="Q123" s="148">
        <f t="shared" si="25"/>
        <v>10000</v>
      </c>
      <c r="R123" s="148">
        <f t="shared" si="25"/>
        <v>10000</v>
      </c>
      <c r="S123" s="148">
        <f t="shared" si="25"/>
        <v>10000</v>
      </c>
      <c r="T123" s="148">
        <f t="shared" si="25"/>
        <v>10000</v>
      </c>
      <c r="U123" s="148">
        <f t="shared" si="25"/>
        <v>10000</v>
      </c>
      <c r="V123" s="148">
        <f t="shared" si="25"/>
        <v>10000</v>
      </c>
      <c r="W123" s="148">
        <f t="shared" si="25"/>
        <v>10000</v>
      </c>
      <c r="X123" s="148">
        <f t="shared" si="25"/>
        <v>10000</v>
      </c>
      <c r="Y123" s="148">
        <f t="shared" si="25"/>
        <v>10000</v>
      </c>
      <c r="Z123" s="148">
        <f t="shared" si="25"/>
        <v>0</v>
      </c>
      <c r="AA123" s="148">
        <f t="shared" si="25"/>
        <v>0</v>
      </c>
      <c r="AB123" s="148">
        <f t="shared" si="25"/>
        <v>0</v>
      </c>
      <c r="AC123" s="148">
        <f t="shared" si="25"/>
        <v>0</v>
      </c>
      <c r="AD123" s="148">
        <f t="shared" si="23"/>
        <v>0</v>
      </c>
    </row>
    <row r="124" spans="2:30" ht="15" customHeight="1" outlineLevel="1">
      <c r="B124" s="147" t="s">
        <v>149</v>
      </c>
      <c r="C124" s="130">
        <v>13</v>
      </c>
      <c r="E124" s="148">
        <f t="shared" ref="E124:AC134" si="26">+IF($C124+$C$110&gt;E$79,E95/$C$110,0)</f>
        <v>0</v>
      </c>
      <c r="F124" s="148">
        <f t="shared" si="26"/>
        <v>0</v>
      </c>
      <c r="G124" s="148">
        <f t="shared" si="26"/>
        <v>0</v>
      </c>
      <c r="H124" s="148">
        <f t="shared" si="26"/>
        <v>0</v>
      </c>
      <c r="I124" s="148">
        <f t="shared" si="26"/>
        <v>0</v>
      </c>
      <c r="J124" s="148">
        <f t="shared" si="26"/>
        <v>0</v>
      </c>
      <c r="K124" s="148">
        <f t="shared" si="26"/>
        <v>0</v>
      </c>
      <c r="L124" s="148">
        <f t="shared" si="26"/>
        <v>0</v>
      </c>
      <c r="M124" s="148">
        <f t="shared" si="26"/>
        <v>0</v>
      </c>
      <c r="N124" s="148">
        <f t="shared" si="26"/>
        <v>0</v>
      </c>
      <c r="O124" s="148">
        <f t="shared" si="26"/>
        <v>0</v>
      </c>
      <c r="P124" s="148">
        <f t="shared" si="26"/>
        <v>0</v>
      </c>
      <c r="Q124" s="148">
        <f t="shared" si="26"/>
        <v>10000</v>
      </c>
      <c r="R124" s="148">
        <f t="shared" si="26"/>
        <v>10000</v>
      </c>
      <c r="S124" s="148">
        <f t="shared" si="26"/>
        <v>10000</v>
      </c>
      <c r="T124" s="148">
        <f t="shared" si="26"/>
        <v>10000</v>
      </c>
      <c r="U124" s="148">
        <f t="shared" si="26"/>
        <v>10000</v>
      </c>
      <c r="V124" s="148">
        <f t="shared" si="26"/>
        <v>10000</v>
      </c>
      <c r="W124" s="148">
        <f t="shared" si="26"/>
        <v>10000</v>
      </c>
      <c r="X124" s="148">
        <f t="shared" si="26"/>
        <v>10000</v>
      </c>
      <c r="Y124" s="148">
        <f t="shared" si="26"/>
        <v>10000</v>
      </c>
      <c r="Z124" s="148">
        <f t="shared" si="26"/>
        <v>10000</v>
      </c>
      <c r="AA124" s="148">
        <f t="shared" si="26"/>
        <v>0</v>
      </c>
      <c r="AB124" s="148">
        <f t="shared" si="26"/>
        <v>0</v>
      </c>
      <c r="AC124" s="148">
        <f t="shared" si="26"/>
        <v>0</v>
      </c>
      <c r="AD124" s="148">
        <f t="shared" si="23"/>
        <v>0</v>
      </c>
    </row>
    <row r="125" spans="2:30" ht="15" customHeight="1" outlineLevel="1">
      <c r="B125" s="147" t="s">
        <v>150</v>
      </c>
      <c r="C125" s="130">
        <v>14</v>
      </c>
      <c r="E125" s="148">
        <f t="shared" si="26"/>
        <v>0</v>
      </c>
      <c r="F125" s="148">
        <f t="shared" si="26"/>
        <v>0</v>
      </c>
      <c r="G125" s="148">
        <f t="shared" si="26"/>
        <v>0</v>
      </c>
      <c r="H125" s="148">
        <f t="shared" si="26"/>
        <v>0</v>
      </c>
      <c r="I125" s="148">
        <f t="shared" si="26"/>
        <v>0</v>
      </c>
      <c r="J125" s="148">
        <f t="shared" si="26"/>
        <v>0</v>
      </c>
      <c r="K125" s="148">
        <f t="shared" si="26"/>
        <v>0</v>
      </c>
      <c r="L125" s="148">
        <f t="shared" si="26"/>
        <v>0</v>
      </c>
      <c r="M125" s="148">
        <f t="shared" si="26"/>
        <v>0</v>
      </c>
      <c r="N125" s="148">
        <f t="shared" si="26"/>
        <v>0</v>
      </c>
      <c r="O125" s="148">
        <f t="shared" si="26"/>
        <v>0</v>
      </c>
      <c r="P125" s="148">
        <f t="shared" si="26"/>
        <v>0</v>
      </c>
      <c r="Q125" s="148">
        <f t="shared" si="26"/>
        <v>0</v>
      </c>
      <c r="R125" s="148">
        <f t="shared" si="26"/>
        <v>10000</v>
      </c>
      <c r="S125" s="148">
        <f t="shared" si="26"/>
        <v>10000</v>
      </c>
      <c r="T125" s="148">
        <f t="shared" si="26"/>
        <v>10000</v>
      </c>
      <c r="U125" s="148">
        <f t="shared" si="26"/>
        <v>10000</v>
      </c>
      <c r="V125" s="148">
        <f t="shared" si="26"/>
        <v>10000</v>
      </c>
      <c r="W125" s="148">
        <f t="shared" si="26"/>
        <v>10000</v>
      </c>
      <c r="X125" s="148">
        <f t="shared" si="26"/>
        <v>10000</v>
      </c>
      <c r="Y125" s="148">
        <f t="shared" si="26"/>
        <v>10000</v>
      </c>
      <c r="Z125" s="148">
        <f t="shared" si="26"/>
        <v>10000</v>
      </c>
      <c r="AA125" s="148">
        <f t="shared" si="26"/>
        <v>10000</v>
      </c>
      <c r="AB125" s="148">
        <f t="shared" si="26"/>
        <v>0</v>
      </c>
      <c r="AC125" s="148">
        <f t="shared" si="26"/>
        <v>0</v>
      </c>
      <c r="AD125" s="148">
        <f t="shared" si="23"/>
        <v>0</v>
      </c>
    </row>
    <row r="126" spans="2:30" ht="15" customHeight="1" outlineLevel="1">
      <c r="B126" s="147" t="s">
        <v>151</v>
      </c>
      <c r="C126" s="130">
        <v>15</v>
      </c>
      <c r="E126" s="148">
        <f t="shared" si="26"/>
        <v>0</v>
      </c>
      <c r="F126" s="148">
        <f t="shared" si="26"/>
        <v>0</v>
      </c>
      <c r="G126" s="148">
        <f t="shared" si="26"/>
        <v>0</v>
      </c>
      <c r="H126" s="148">
        <f t="shared" si="26"/>
        <v>0</v>
      </c>
      <c r="I126" s="148">
        <f t="shared" si="26"/>
        <v>0</v>
      </c>
      <c r="J126" s="148">
        <f t="shared" si="26"/>
        <v>0</v>
      </c>
      <c r="K126" s="148">
        <f t="shared" si="26"/>
        <v>0</v>
      </c>
      <c r="L126" s="148">
        <f t="shared" si="26"/>
        <v>0</v>
      </c>
      <c r="M126" s="148">
        <f t="shared" si="26"/>
        <v>0</v>
      </c>
      <c r="N126" s="148">
        <f t="shared" si="26"/>
        <v>0</v>
      </c>
      <c r="O126" s="148">
        <f t="shared" si="26"/>
        <v>0</v>
      </c>
      <c r="P126" s="148">
        <f t="shared" si="26"/>
        <v>0</v>
      </c>
      <c r="Q126" s="148">
        <f t="shared" si="26"/>
        <v>0</v>
      </c>
      <c r="R126" s="148">
        <f t="shared" si="26"/>
        <v>0</v>
      </c>
      <c r="S126" s="148">
        <f t="shared" si="26"/>
        <v>10000</v>
      </c>
      <c r="T126" s="148">
        <f t="shared" si="26"/>
        <v>10000</v>
      </c>
      <c r="U126" s="148">
        <f t="shared" si="26"/>
        <v>10000</v>
      </c>
      <c r="V126" s="148">
        <f t="shared" si="26"/>
        <v>10000</v>
      </c>
      <c r="W126" s="148">
        <f t="shared" si="26"/>
        <v>10000</v>
      </c>
      <c r="X126" s="148">
        <f t="shared" si="26"/>
        <v>10000</v>
      </c>
      <c r="Y126" s="148">
        <f t="shared" si="26"/>
        <v>10000</v>
      </c>
      <c r="Z126" s="148">
        <f t="shared" si="26"/>
        <v>10000</v>
      </c>
      <c r="AA126" s="148">
        <f t="shared" si="26"/>
        <v>10000</v>
      </c>
      <c r="AB126" s="148">
        <f t="shared" si="26"/>
        <v>10000</v>
      </c>
      <c r="AC126" s="148">
        <f t="shared" si="26"/>
        <v>0</v>
      </c>
      <c r="AD126" s="148">
        <f t="shared" si="23"/>
        <v>0</v>
      </c>
    </row>
    <row r="127" spans="2:30" ht="15" customHeight="1" outlineLevel="1">
      <c r="B127" s="147" t="s">
        <v>152</v>
      </c>
      <c r="C127" s="130">
        <v>16</v>
      </c>
      <c r="E127" s="148">
        <f t="shared" si="26"/>
        <v>0</v>
      </c>
      <c r="F127" s="148">
        <f t="shared" si="26"/>
        <v>0</v>
      </c>
      <c r="G127" s="148">
        <f t="shared" si="26"/>
        <v>0</v>
      </c>
      <c r="H127" s="148">
        <f t="shared" si="26"/>
        <v>0</v>
      </c>
      <c r="I127" s="148">
        <f t="shared" si="26"/>
        <v>0</v>
      </c>
      <c r="J127" s="148">
        <f t="shared" si="26"/>
        <v>0</v>
      </c>
      <c r="K127" s="148">
        <f t="shared" si="26"/>
        <v>0</v>
      </c>
      <c r="L127" s="148">
        <f t="shared" si="26"/>
        <v>0</v>
      </c>
      <c r="M127" s="148">
        <f t="shared" si="26"/>
        <v>0</v>
      </c>
      <c r="N127" s="148">
        <f t="shared" si="26"/>
        <v>0</v>
      </c>
      <c r="O127" s="148">
        <f t="shared" si="26"/>
        <v>0</v>
      </c>
      <c r="P127" s="148">
        <f t="shared" si="26"/>
        <v>0</v>
      </c>
      <c r="Q127" s="148">
        <f t="shared" si="26"/>
        <v>0</v>
      </c>
      <c r="R127" s="148">
        <f t="shared" si="26"/>
        <v>0</v>
      </c>
      <c r="S127" s="148">
        <f t="shared" si="26"/>
        <v>0</v>
      </c>
      <c r="T127" s="148">
        <f t="shared" si="26"/>
        <v>10000</v>
      </c>
      <c r="U127" s="148">
        <f t="shared" si="26"/>
        <v>10000</v>
      </c>
      <c r="V127" s="148">
        <f t="shared" si="26"/>
        <v>10000</v>
      </c>
      <c r="W127" s="148">
        <f t="shared" si="26"/>
        <v>10000</v>
      </c>
      <c r="X127" s="148">
        <f t="shared" si="26"/>
        <v>10000</v>
      </c>
      <c r="Y127" s="148">
        <f t="shared" si="26"/>
        <v>10000</v>
      </c>
      <c r="Z127" s="148">
        <f t="shared" si="26"/>
        <v>10000</v>
      </c>
      <c r="AA127" s="148">
        <f t="shared" si="26"/>
        <v>10000</v>
      </c>
      <c r="AB127" s="148">
        <f t="shared" si="26"/>
        <v>10000</v>
      </c>
      <c r="AC127" s="148">
        <f t="shared" si="26"/>
        <v>10000</v>
      </c>
      <c r="AD127" s="148">
        <f t="shared" si="23"/>
        <v>0</v>
      </c>
    </row>
    <row r="128" spans="2:30" ht="15" customHeight="1" outlineLevel="1">
      <c r="B128" s="147" t="s">
        <v>153</v>
      </c>
      <c r="C128" s="130">
        <v>17</v>
      </c>
      <c r="E128" s="148">
        <f t="shared" si="26"/>
        <v>0</v>
      </c>
      <c r="F128" s="148">
        <f t="shared" si="26"/>
        <v>0</v>
      </c>
      <c r="G128" s="148">
        <f t="shared" si="26"/>
        <v>0</v>
      </c>
      <c r="H128" s="148">
        <f t="shared" si="26"/>
        <v>0</v>
      </c>
      <c r="I128" s="148">
        <f t="shared" si="26"/>
        <v>0</v>
      </c>
      <c r="J128" s="148">
        <f t="shared" si="26"/>
        <v>0</v>
      </c>
      <c r="K128" s="148">
        <f t="shared" si="26"/>
        <v>0</v>
      </c>
      <c r="L128" s="148">
        <f t="shared" si="26"/>
        <v>0</v>
      </c>
      <c r="M128" s="148">
        <f t="shared" si="26"/>
        <v>0</v>
      </c>
      <c r="N128" s="148">
        <f t="shared" si="26"/>
        <v>0</v>
      </c>
      <c r="O128" s="148">
        <f t="shared" si="26"/>
        <v>0</v>
      </c>
      <c r="P128" s="148">
        <f t="shared" si="26"/>
        <v>0</v>
      </c>
      <c r="Q128" s="148">
        <f t="shared" si="26"/>
        <v>0</v>
      </c>
      <c r="R128" s="148">
        <f t="shared" si="26"/>
        <v>0</v>
      </c>
      <c r="S128" s="148">
        <f t="shared" si="26"/>
        <v>0</v>
      </c>
      <c r="T128" s="148">
        <f t="shared" si="26"/>
        <v>0</v>
      </c>
      <c r="U128" s="148">
        <f t="shared" si="26"/>
        <v>10000</v>
      </c>
      <c r="V128" s="148">
        <f t="shared" si="26"/>
        <v>10000</v>
      </c>
      <c r="W128" s="148">
        <f t="shared" si="26"/>
        <v>10000</v>
      </c>
      <c r="X128" s="148">
        <f t="shared" si="26"/>
        <v>10000</v>
      </c>
      <c r="Y128" s="148">
        <f t="shared" si="26"/>
        <v>10000</v>
      </c>
      <c r="Z128" s="148">
        <f t="shared" si="26"/>
        <v>10000</v>
      </c>
      <c r="AA128" s="148">
        <f t="shared" si="26"/>
        <v>10000</v>
      </c>
      <c r="AB128" s="148">
        <f t="shared" si="26"/>
        <v>10000</v>
      </c>
      <c r="AC128" s="148">
        <f t="shared" si="26"/>
        <v>10000</v>
      </c>
      <c r="AD128" s="148">
        <f t="shared" ref="AD128:AD136" si="27">+IF($C128+$C$110&gt;AD$79,AD99/$C$110,0)</f>
        <v>10000</v>
      </c>
    </row>
    <row r="129" spans="2:30" ht="15" customHeight="1" outlineLevel="1">
      <c r="B129" s="147" t="s">
        <v>154</v>
      </c>
      <c r="C129" s="130">
        <v>18</v>
      </c>
      <c r="E129" s="148">
        <f t="shared" si="26"/>
        <v>0</v>
      </c>
      <c r="F129" s="148">
        <f t="shared" si="26"/>
        <v>0</v>
      </c>
      <c r="G129" s="148">
        <f t="shared" si="26"/>
        <v>0</v>
      </c>
      <c r="H129" s="148">
        <f t="shared" si="26"/>
        <v>0</v>
      </c>
      <c r="I129" s="148">
        <f t="shared" si="26"/>
        <v>0</v>
      </c>
      <c r="J129" s="148">
        <f t="shared" si="26"/>
        <v>0</v>
      </c>
      <c r="K129" s="148">
        <f t="shared" si="26"/>
        <v>0</v>
      </c>
      <c r="L129" s="148">
        <f t="shared" si="26"/>
        <v>0</v>
      </c>
      <c r="M129" s="148">
        <f t="shared" si="26"/>
        <v>0</v>
      </c>
      <c r="N129" s="148">
        <f t="shared" si="26"/>
        <v>0</v>
      </c>
      <c r="O129" s="148">
        <f t="shared" si="26"/>
        <v>0</v>
      </c>
      <c r="P129" s="148">
        <f t="shared" si="26"/>
        <v>0</v>
      </c>
      <c r="Q129" s="148">
        <f t="shared" si="26"/>
        <v>0</v>
      </c>
      <c r="R129" s="148">
        <f t="shared" si="26"/>
        <v>0</v>
      </c>
      <c r="S129" s="148">
        <f t="shared" si="26"/>
        <v>0</v>
      </c>
      <c r="T129" s="148">
        <f t="shared" si="26"/>
        <v>0</v>
      </c>
      <c r="U129" s="148">
        <f t="shared" si="26"/>
        <v>0</v>
      </c>
      <c r="V129" s="148">
        <f t="shared" si="26"/>
        <v>10000</v>
      </c>
      <c r="W129" s="148">
        <f t="shared" si="26"/>
        <v>10000</v>
      </c>
      <c r="X129" s="148">
        <f t="shared" si="26"/>
        <v>10000</v>
      </c>
      <c r="Y129" s="148">
        <f t="shared" si="26"/>
        <v>10000</v>
      </c>
      <c r="Z129" s="148">
        <f t="shared" si="26"/>
        <v>10000</v>
      </c>
      <c r="AA129" s="148">
        <f t="shared" si="26"/>
        <v>10000</v>
      </c>
      <c r="AB129" s="148">
        <f t="shared" si="26"/>
        <v>10000</v>
      </c>
      <c r="AC129" s="148">
        <f t="shared" si="26"/>
        <v>10000</v>
      </c>
      <c r="AD129" s="148">
        <f t="shared" si="27"/>
        <v>10000</v>
      </c>
    </row>
    <row r="130" spans="2:30" ht="15" customHeight="1" outlineLevel="1">
      <c r="B130" s="147" t="s">
        <v>155</v>
      </c>
      <c r="C130" s="130">
        <v>19</v>
      </c>
      <c r="E130" s="148">
        <f t="shared" si="26"/>
        <v>0</v>
      </c>
      <c r="F130" s="148">
        <f t="shared" si="26"/>
        <v>0</v>
      </c>
      <c r="G130" s="148">
        <f t="shared" si="26"/>
        <v>0</v>
      </c>
      <c r="H130" s="148">
        <f t="shared" si="26"/>
        <v>0</v>
      </c>
      <c r="I130" s="148">
        <f t="shared" si="26"/>
        <v>0</v>
      </c>
      <c r="J130" s="148">
        <f t="shared" si="26"/>
        <v>0</v>
      </c>
      <c r="K130" s="148">
        <f t="shared" si="26"/>
        <v>0</v>
      </c>
      <c r="L130" s="148">
        <f t="shared" si="26"/>
        <v>0</v>
      </c>
      <c r="M130" s="148">
        <f t="shared" si="26"/>
        <v>0</v>
      </c>
      <c r="N130" s="148">
        <f t="shared" si="26"/>
        <v>0</v>
      </c>
      <c r="O130" s="148">
        <f t="shared" si="26"/>
        <v>0</v>
      </c>
      <c r="P130" s="148">
        <f t="shared" si="26"/>
        <v>0</v>
      </c>
      <c r="Q130" s="148">
        <f t="shared" si="26"/>
        <v>0</v>
      </c>
      <c r="R130" s="148">
        <f t="shared" si="26"/>
        <v>0</v>
      </c>
      <c r="S130" s="148">
        <f t="shared" si="26"/>
        <v>0</v>
      </c>
      <c r="T130" s="148">
        <f t="shared" si="26"/>
        <v>0</v>
      </c>
      <c r="U130" s="148">
        <f t="shared" si="26"/>
        <v>0</v>
      </c>
      <c r="V130" s="148">
        <f t="shared" si="26"/>
        <v>0</v>
      </c>
      <c r="W130" s="148">
        <f t="shared" si="26"/>
        <v>10000</v>
      </c>
      <c r="X130" s="148">
        <f t="shared" si="26"/>
        <v>10000</v>
      </c>
      <c r="Y130" s="148">
        <f t="shared" si="26"/>
        <v>10000</v>
      </c>
      <c r="Z130" s="148">
        <f t="shared" si="26"/>
        <v>10000</v>
      </c>
      <c r="AA130" s="148">
        <f t="shared" si="26"/>
        <v>10000</v>
      </c>
      <c r="AB130" s="148">
        <f t="shared" si="26"/>
        <v>10000</v>
      </c>
      <c r="AC130" s="148">
        <f t="shared" si="26"/>
        <v>10000</v>
      </c>
      <c r="AD130" s="148">
        <f t="shared" si="27"/>
        <v>10000</v>
      </c>
    </row>
    <row r="131" spans="2:30" ht="15" customHeight="1" outlineLevel="1">
      <c r="B131" s="147" t="s">
        <v>156</v>
      </c>
      <c r="C131" s="130">
        <v>20</v>
      </c>
      <c r="E131" s="148">
        <f t="shared" si="26"/>
        <v>0</v>
      </c>
      <c r="F131" s="148">
        <f t="shared" si="26"/>
        <v>0</v>
      </c>
      <c r="G131" s="148">
        <f t="shared" si="26"/>
        <v>0</v>
      </c>
      <c r="H131" s="148">
        <f t="shared" si="26"/>
        <v>0</v>
      </c>
      <c r="I131" s="148">
        <f t="shared" si="26"/>
        <v>0</v>
      </c>
      <c r="J131" s="148">
        <f t="shared" si="26"/>
        <v>0</v>
      </c>
      <c r="K131" s="148">
        <f t="shared" si="26"/>
        <v>0</v>
      </c>
      <c r="L131" s="148">
        <f t="shared" si="26"/>
        <v>0</v>
      </c>
      <c r="M131" s="148">
        <f t="shared" si="26"/>
        <v>0</v>
      </c>
      <c r="N131" s="148">
        <f t="shared" si="26"/>
        <v>0</v>
      </c>
      <c r="O131" s="148">
        <f t="shared" si="26"/>
        <v>0</v>
      </c>
      <c r="P131" s="148">
        <f t="shared" si="26"/>
        <v>0</v>
      </c>
      <c r="Q131" s="148">
        <f t="shared" si="26"/>
        <v>0</v>
      </c>
      <c r="R131" s="148">
        <f t="shared" si="26"/>
        <v>0</v>
      </c>
      <c r="S131" s="148">
        <f t="shared" si="26"/>
        <v>0</v>
      </c>
      <c r="T131" s="148">
        <f t="shared" si="26"/>
        <v>0</v>
      </c>
      <c r="U131" s="148">
        <f t="shared" si="26"/>
        <v>0</v>
      </c>
      <c r="V131" s="148">
        <f t="shared" si="26"/>
        <v>0</v>
      </c>
      <c r="W131" s="148">
        <f t="shared" si="26"/>
        <v>0</v>
      </c>
      <c r="X131" s="148">
        <f t="shared" si="26"/>
        <v>10000</v>
      </c>
      <c r="Y131" s="148">
        <f t="shared" si="26"/>
        <v>10000</v>
      </c>
      <c r="Z131" s="148">
        <f t="shared" si="26"/>
        <v>10000</v>
      </c>
      <c r="AA131" s="148">
        <f t="shared" si="26"/>
        <v>10000</v>
      </c>
      <c r="AB131" s="148">
        <f t="shared" si="26"/>
        <v>10000</v>
      </c>
      <c r="AC131" s="148">
        <f t="shared" si="26"/>
        <v>10000</v>
      </c>
      <c r="AD131" s="148">
        <f t="shared" si="27"/>
        <v>10000</v>
      </c>
    </row>
    <row r="132" spans="2:30" ht="15" customHeight="1" outlineLevel="1">
      <c r="B132" s="147" t="s">
        <v>157</v>
      </c>
      <c r="C132" s="130">
        <v>21</v>
      </c>
      <c r="E132" s="148">
        <f t="shared" si="26"/>
        <v>0</v>
      </c>
      <c r="F132" s="148">
        <f t="shared" si="26"/>
        <v>0</v>
      </c>
      <c r="G132" s="148">
        <f t="shared" si="26"/>
        <v>0</v>
      </c>
      <c r="H132" s="148">
        <f t="shared" si="26"/>
        <v>0</v>
      </c>
      <c r="I132" s="148">
        <f t="shared" si="26"/>
        <v>0</v>
      </c>
      <c r="J132" s="148">
        <f t="shared" si="26"/>
        <v>0</v>
      </c>
      <c r="K132" s="148">
        <f t="shared" si="26"/>
        <v>0</v>
      </c>
      <c r="L132" s="148">
        <f t="shared" si="26"/>
        <v>0</v>
      </c>
      <c r="M132" s="148">
        <f t="shared" si="26"/>
        <v>0</v>
      </c>
      <c r="N132" s="148">
        <f t="shared" si="26"/>
        <v>0</v>
      </c>
      <c r="O132" s="148">
        <f t="shared" si="26"/>
        <v>0</v>
      </c>
      <c r="P132" s="148">
        <f t="shared" si="26"/>
        <v>0</v>
      </c>
      <c r="Q132" s="148">
        <f t="shared" si="26"/>
        <v>0</v>
      </c>
      <c r="R132" s="148">
        <f t="shared" si="26"/>
        <v>0</v>
      </c>
      <c r="S132" s="148">
        <f t="shared" si="26"/>
        <v>0</v>
      </c>
      <c r="T132" s="148">
        <f t="shared" si="26"/>
        <v>0</v>
      </c>
      <c r="U132" s="148">
        <f t="shared" si="26"/>
        <v>0</v>
      </c>
      <c r="V132" s="148">
        <f t="shared" si="26"/>
        <v>0</v>
      </c>
      <c r="W132" s="148">
        <f t="shared" si="26"/>
        <v>0</v>
      </c>
      <c r="X132" s="148">
        <f t="shared" si="26"/>
        <v>0</v>
      </c>
      <c r="Y132" s="148">
        <f t="shared" si="26"/>
        <v>10000</v>
      </c>
      <c r="Z132" s="148">
        <f t="shared" si="26"/>
        <v>10000</v>
      </c>
      <c r="AA132" s="148">
        <f t="shared" si="26"/>
        <v>10000</v>
      </c>
      <c r="AB132" s="148">
        <f t="shared" si="26"/>
        <v>10000</v>
      </c>
      <c r="AC132" s="148">
        <f t="shared" si="26"/>
        <v>10000</v>
      </c>
      <c r="AD132" s="148">
        <f t="shared" si="27"/>
        <v>10000</v>
      </c>
    </row>
    <row r="133" spans="2:30" ht="15" customHeight="1" outlineLevel="1">
      <c r="B133" s="147" t="s">
        <v>158</v>
      </c>
      <c r="C133" s="130">
        <v>22</v>
      </c>
      <c r="E133" s="148">
        <f t="shared" si="26"/>
        <v>0</v>
      </c>
      <c r="F133" s="148">
        <f t="shared" si="26"/>
        <v>0</v>
      </c>
      <c r="G133" s="148">
        <f t="shared" si="26"/>
        <v>0</v>
      </c>
      <c r="H133" s="148">
        <f t="shared" si="26"/>
        <v>0</v>
      </c>
      <c r="I133" s="148">
        <f t="shared" si="26"/>
        <v>0</v>
      </c>
      <c r="J133" s="148">
        <f t="shared" si="26"/>
        <v>0</v>
      </c>
      <c r="K133" s="148">
        <f t="shared" si="26"/>
        <v>0</v>
      </c>
      <c r="L133" s="148">
        <f t="shared" si="26"/>
        <v>0</v>
      </c>
      <c r="M133" s="148">
        <f t="shared" si="26"/>
        <v>0</v>
      </c>
      <c r="N133" s="148">
        <f t="shared" si="26"/>
        <v>0</v>
      </c>
      <c r="O133" s="148">
        <f t="shared" si="26"/>
        <v>0</v>
      </c>
      <c r="P133" s="148">
        <f t="shared" si="26"/>
        <v>0</v>
      </c>
      <c r="Q133" s="148">
        <f t="shared" si="26"/>
        <v>0</v>
      </c>
      <c r="R133" s="148">
        <f t="shared" si="26"/>
        <v>0</v>
      </c>
      <c r="S133" s="148">
        <f t="shared" si="26"/>
        <v>0</v>
      </c>
      <c r="T133" s="148">
        <f t="shared" si="26"/>
        <v>0</v>
      </c>
      <c r="U133" s="148">
        <f t="shared" si="26"/>
        <v>0</v>
      </c>
      <c r="V133" s="148">
        <f t="shared" si="26"/>
        <v>0</v>
      </c>
      <c r="W133" s="148">
        <f t="shared" si="26"/>
        <v>0</v>
      </c>
      <c r="X133" s="148">
        <f t="shared" si="26"/>
        <v>0</v>
      </c>
      <c r="Y133" s="148">
        <f t="shared" si="26"/>
        <v>0</v>
      </c>
      <c r="Z133" s="148">
        <f t="shared" si="26"/>
        <v>10000</v>
      </c>
      <c r="AA133" s="148">
        <f t="shared" si="26"/>
        <v>10000</v>
      </c>
      <c r="AB133" s="148">
        <f t="shared" si="26"/>
        <v>10000</v>
      </c>
      <c r="AC133" s="148">
        <f t="shared" si="26"/>
        <v>10000</v>
      </c>
      <c r="AD133" s="148">
        <f t="shared" si="27"/>
        <v>10000</v>
      </c>
    </row>
    <row r="134" spans="2:30" ht="15" customHeight="1" outlineLevel="1">
      <c r="B134" s="147" t="s">
        <v>159</v>
      </c>
      <c r="C134" s="130">
        <v>23</v>
      </c>
      <c r="E134" s="148">
        <f t="shared" si="26"/>
        <v>0</v>
      </c>
      <c r="F134" s="148">
        <f t="shared" si="26"/>
        <v>0</v>
      </c>
      <c r="G134" s="148">
        <f t="shared" si="26"/>
        <v>0</v>
      </c>
      <c r="H134" s="148">
        <f t="shared" si="26"/>
        <v>0</v>
      </c>
      <c r="I134" s="148">
        <f t="shared" si="26"/>
        <v>0</v>
      </c>
      <c r="J134" s="148">
        <f t="shared" ref="J134:AC134" si="28">+IF($C134+$C$110&gt;J$79,J105/$C$110,0)</f>
        <v>0</v>
      </c>
      <c r="K134" s="148">
        <f t="shared" si="28"/>
        <v>0</v>
      </c>
      <c r="L134" s="148">
        <f t="shared" si="28"/>
        <v>0</v>
      </c>
      <c r="M134" s="148">
        <f t="shared" si="28"/>
        <v>0</v>
      </c>
      <c r="N134" s="148">
        <f t="shared" si="28"/>
        <v>0</v>
      </c>
      <c r="O134" s="148">
        <f t="shared" si="28"/>
        <v>0</v>
      </c>
      <c r="P134" s="148">
        <f t="shared" si="28"/>
        <v>0</v>
      </c>
      <c r="Q134" s="148">
        <f t="shared" si="28"/>
        <v>0</v>
      </c>
      <c r="R134" s="148">
        <f t="shared" si="28"/>
        <v>0</v>
      </c>
      <c r="S134" s="148">
        <f t="shared" si="28"/>
        <v>0</v>
      </c>
      <c r="T134" s="148">
        <f t="shared" si="28"/>
        <v>0</v>
      </c>
      <c r="U134" s="148">
        <f t="shared" si="28"/>
        <v>0</v>
      </c>
      <c r="V134" s="148">
        <f t="shared" si="28"/>
        <v>0</v>
      </c>
      <c r="W134" s="148">
        <f t="shared" si="28"/>
        <v>0</v>
      </c>
      <c r="X134" s="148">
        <f t="shared" si="28"/>
        <v>0</v>
      </c>
      <c r="Y134" s="148">
        <f t="shared" si="28"/>
        <v>0</v>
      </c>
      <c r="Z134" s="148">
        <f t="shared" si="28"/>
        <v>0</v>
      </c>
      <c r="AA134" s="148">
        <f t="shared" si="28"/>
        <v>10000</v>
      </c>
      <c r="AB134" s="148">
        <f t="shared" si="28"/>
        <v>10000</v>
      </c>
      <c r="AC134" s="148">
        <f t="shared" si="28"/>
        <v>10000</v>
      </c>
      <c r="AD134" s="148">
        <f t="shared" si="27"/>
        <v>10000</v>
      </c>
    </row>
    <row r="135" spans="2:30" ht="15" customHeight="1" outlineLevel="1">
      <c r="B135" s="147" t="s">
        <v>160</v>
      </c>
      <c r="C135" s="130">
        <v>24</v>
      </c>
      <c r="E135" s="148">
        <f t="shared" ref="E135:AC136" si="29">+IF($C135+$C$110&gt;E$79,E106/$C$110,0)</f>
        <v>0</v>
      </c>
      <c r="F135" s="148">
        <f t="shared" si="29"/>
        <v>0</v>
      </c>
      <c r="G135" s="148">
        <f t="shared" si="29"/>
        <v>0</v>
      </c>
      <c r="H135" s="148">
        <f t="shared" si="29"/>
        <v>0</v>
      </c>
      <c r="I135" s="148">
        <f t="shared" si="29"/>
        <v>0</v>
      </c>
      <c r="J135" s="148">
        <f t="shared" si="29"/>
        <v>0</v>
      </c>
      <c r="K135" s="148">
        <f t="shared" si="29"/>
        <v>0</v>
      </c>
      <c r="L135" s="148">
        <f t="shared" si="29"/>
        <v>0</v>
      </c>
      <c r="M135" s="148">
        <f t="shared" si="29"/>
        <v>0</v>
      </c>
      <c r="N135" s="148">
        <f t="shared" si="29"/>
        <v>0</v>
      </c>
      <c r="O135" s="148">
        <f t="shared" si="29"/>
        <v>0</v>
      </c>
      <c r="P135" s="148">
        <f t="shared" si="29"/>
        <v>0</v>
      </c>
      <c r="Q135" s="148">
        <f t="shared" si="29"/>
        <v>0</v>
      </c>
      <c r="R135" s="148">
        <f t="shared" si="29"/>
        <v>0</v>
      </c>
      <c r="S135" s="148">
        <f t="shared" si="29"/>
        <v>0</v>
      </c>
      <c r="T135" s="148">
        <f t="shared" si="29"/>
        <v>0</v>
      </c>
      <c r="U135" s="148">
        <f t="shared" si="29"/>
        <v>0</v>
      </c>
      <c r="V135" s="148">
        <f t="shared" si="29"/>
        <v>0</v>
      </c>
      <c r="W135" s="148">
        <f t="shared" si="29"/>
        <v>0</v>
      </c>
      <c r="X135" s="148">
        <f t="shared" si="29"/>
        <v>0</v>
      </c>
      <c r="Y135" s="148">
        <f t="shared" si="29"/>
        <v>0</v>
      </c>
      <c r="Z135" s="148">
        <f t="shared" si="29"/>
        <v>0</v>
      </c>
      <c r="AA135" s="148">
        <f t="shared" si="29"/>
        <v>0</v>
      </c>
      <c r="AB135" s="148">
        <f t="shared" si="29"/>
        <v>10000</v>
      </c>
      <c r="AC135" s="148">
        <f t="shared" si="29"/>
        <v>10000</v>
      </c>
      <c r="AD135" s="148">
        <f t="shared" si="27"/>
        <v>10000</v>
      </c>
    </row>
    <row r="136" spans="2:30" ht="15" customHeight="1" outlineLevel="1">
      <c r="B136" s="149" t="s">
        <v>161</v>
      </c>
      <c r="C136" s="150">
        <v>25</v>
      </c>
      <c r="D136" s="150"/>
      <c r="E136" s="151">
        <f t="shared" si="29"/>
        <v>0</v>
      </c>
      <c r="F136" s="151">
        <f t="shared" si="29"/>
        <v>0</v>
      </c>
      <c r="G136" s="151">
        <f t="shared" si="29"/>
        <v>0</v>
      </c>
      <c r="H136" s="151">
        <f t="shared" si="29"/>
        <v>0</v>
      </c>
      <c r="I136" s="151">
        <f t="shared" si="29"/>
        <v>0</v>
      </c>
      <c r="J136" s="151">
        <f t="shared" si="29"/>
        <v>0</v>
      </c>
      <c r="K136" s="151">
        <f t="shared" si="29"/>
        <v>0</v>
      </c>
      <c r="L136" s="151">
        <f t="shared" si="29"/>
        <v>0</v>
      </c>
      <c r="M136" s="151">
        <f t="shared" si="29"/>
        <v>0</v>
      </c>
      <c r="N136" s="151">
        <f t="shared" si="29"/>
        <v>0</v>
      </c>
      <c r="O136" s="151">
        <f t="shared" si="29"/>
        <v>0</v>
      </c>
      <c r="P136" s="151">
        <f t="shared" si="29"/>
        <v>0</v>
      </c>
      <c r="Q136" s="151">
        <f t="shared" si="29"/>
        <v>0</v>
      </c>
      <c r="R136" s="151">
        <f t="shared" si="29"/>
        <v>0</v>
      </c>
      <c r="S136" s="151">
        <f t="shared" si="29"/>
        <v>0</v>
      </c>
      <c r="T136" s="151">
        <f t="shared" si="29"/>
        <v>0</v>
      </c>
      <c r="U136" s="151">
        <f t="shared" si="29"/>
        <v>0</v>
      </c>
      <c r="V136" s="151">
        <f t="shared" si="29"/>
        <v>0</v>
      </c>
      <c r="W136" s="151">
        <f t="shared" si="29"/>
        <v>0</v>
      </c>
      <c r="X136" s="151">
        <f t="shared" si="29"/>
        <v>0</v>
      </c>
      <c r="Y136" s="151">
        <f t="shared" si="29"/>
        <v>0</v>
      </c>
      <c r="Z136" s="151">
        <f t="shared" si="29"/>
        <v>0</v>
      </c>
      <c r="AA136" s="151">
        <f t="shared" si="29"/>
        <v>0</v>
      </c>
      <c r="AB136" s="151">
        <f t="shared" si="29"/>
        <v>0</v>
      </c>
      <c r="AC136" s="151">
        <f t="shared" si="29"/>
        <v>10000</v>
      </c>
      <c r="AD136" s="151">
        <f t="shared" si="27"/>
        <v>10000</v>
      </c>
    </row>
    <row r="137" spans="2:30" ht="15" customHeight="1">
      <c r="B137" s="164" t="s">
        <v>164</v>
      </c>
      <c r="C137" s="165"/>
      <c r="D137" s="165"/>
      <c r="E137" s="166">
        <f>+SUM(E112:E136)</f>
        <v>10000</v>
      </c>
      <c r="F137" s="166">
        <f t="shared" ref="F137:AC137" si="30">+SUM(F112:F136)</f>
        <v>20000</v>
      </c>
      <c r="G137" s="166">
        <f t="shared" si="30"/>
        <v>30000</v>
      </c>
      <c r="H137" s="166">
        <f t="shared" si="30"/>
        <v>40000</v>
      </c>
      <c r="I137" s="166">
        <f t="shared" si="30"/>
        <v>50000</v>
      </c>
      <c r="J137" s="166">
        <f t="shared" si="30"/>
        <v>60000</v>
      </c>
      <c r="K137" s="166">
        <f t="shared" si="30"/>
        <v>70000</v>
      </c>
      <c r="L137" s="166">
        <f t="shared" si="30"/>
        <v>80000</v>
      </c>
      <c r="M137" s="166">
        <f t="shared" si="30"/>
        <v>90000</v>
      </c>
      <c r="N137" s="166">
        <f t="shared" si="30"/>
        <v>100000</v>
      </c>
      <c r="O137" s="166">
        <f t="shared" si="30"/>
        <v>100000</v>
      </c>
      <c r="P137" s="166">
        <f t="shared" si="30"/>
        <v>100000</v>
      </c>
      <c r="Q137" s="166">
        <f t="shared" si="30"/>
        <v>100000</v>
      </c>
      <c r="R137" s="166">
        <f t="shared" si="30"/>
        <v>100000</v>
      </c>
      <c r="S137" s="166">
        <f t="shared" si="30"/>
        <v>100000</v>
      </c>
      <c r="T137" s="166">
        <f t="shared" si="30"/>
        <v>100000</v>
      </c>
      <c r="U137" s="166">
        <f t="shared" si="30"/>
        <v>100000</v>
      </c>
      <c r="V137" s="166">
        <f t="shared" si="30"/>
        <v>100000</v>
      </c>
      <c r="W137" s="166">
        <f t="shared" si="30"/>
        <v>100000</v>
      </c>
      <c r="X137" s="166">
        <f t="shared" si="30"/>
        <v>100000</v>
      </c>
      <c r="Y137" s="166">
        <f t="shared" si="30"/>
        <v>100000</v>
      </c>
      <c r="Z137" s="166">
        <f t="shared" si="30"/>
        <v>100000</v>
      </c>
      <c r="AA137" s="166">
        <f t="shared" si="30"/>
        <v>100000</v>
      </c>
      <c r="AB137" s="166">
        <f t="shared" si="30"/>
        <v>100000</v>
      </c>
      <c r="AC137" s="166">
        <f t="shared" si="30"/>
        <v>100000</v>
      </c>
      <c r="AD137" s="166">
        <f t="shared" ref="AD137" si="31">+SUM(AD112:AD136)</f>
        <v>90000</v>
      </c>
    </row>
    <row r="138" spans="2:30" ht="15" customHeight="1">
      <c r="B138" s="147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</row>
    <row r="139" spans="2:30" ht="15" customHeight="1">
      <c r="B139" s="147" t="s">
        <v>19</v>
      </c>
      <c r="E139" s="148">
        <f t="shared" ref="E139:AD139" si="32">+D139+E137</f>
        <v>10000</v>
      </c>
      <c r="F139" s="148">
        <f t="shared" si="32"/>
        <v>30000</v>
      </c>
      <c r="G139" s="148">
        <f t="shared" si="32"/>
        <v>60000</v>
      </c>
      <c r="H139" s="148">
        <f t="shared" si="32"/>
        <v>100000</v>
      </c>
      <c r="I139" s="148">
        <f t="shared" si="32"/>
        <v>150000</v>
      </c>
      <c r="J139" s="148">
        <f t="shared" si="32"/>
        <v>210000</v>
      </c>
      <c r="K139" s="148">
        <f t="shared" si="32"/>
        <v>280000</v>
      </c>
      <c r="L139" s="148">
        <f t="shared" si="32"/>
        <v>360000</v>
      </c>
      <c r="M139" s="148">
        <f t="shared" si="32"/>
        <v>450000</v>
      </c>
      <c r="N139" s="148">
        <f t="shared" si="32"/>
        <v>550000</v>
      </c>
      <c r="O139" s="148">
        <f t="shared" si="32"/>
        <v>650000</v>
      </c>
      <c r="P139" s="148">
        <f t="shared" si="32"/>
        <v>750000</v>
      </c>
      <c r="Q139" s="148">
        <f t="shared" si="32"/>
        <v>850000</v>
      </c>
      <c r="R139" s="148">
        <f t="shared" si="32"/>
        <v>950000</v>
      </c>
      <c r="S139" s="148">
        <f t="shared" si="32"/>
        <v>1050000</v>
      </c>
      <c r="T139" s="148">
        <f t="shared" si="32"/>
        <v>1150000</v>
      </c>
      <c r="U139" s="148">
        <f t="shared" si="32"/>
        <v>1250000</v>
      </c>
      <c r="V139" s="148">
        <f t="shared" si="32"/>
        <v>1350000</v>
      </c>
      <c r="W139" s="148">
        <f t="shared" si="32"/>
        <v>1450000</v>
      </c>
      <c r="X139" s="148">
        <f t="shared" si="32"/>
        <v>1550000</v>
      </c>
      <c r="Y139" s="148">
        <f t="shared" si="32"/>
        <v>1650000</v>
      </c>
      <c r="Z139" s="148">
        <f t="shared" si="32"/>
        <v>1750000</v>
      </c>
      <c r="AA139" s="148">
        <f t="shared" si="32"/>
        <v>1850000</v>
      </c>
      <c r="AB139" s="148">
        <f t="shared" si="32"/>
        <v>1950000</v>
      </c>
      <c r="AC139" s="148">
        <f t="shared" si="32"/>
        <v>2050000</v>
      </c>
      <c r="AD139" s="148">
        <f t="shared" si="32"/>
        <v>2140000</v>
      </c>
    </row>
    <row r="140" spans="2:30" ht="15" customHeight="1">
      <c r="B140" s="147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</row>
    <row r="141" spans="2:30" s="139" customFormat="1" ht="15" customHeight="1">
      <c r="B141" s="157" t="s">
        <v>165</v>
      </c>
      <c r="C141" s="158"/>
      <c r="D141" s="158"/>
      <c r="E141" s="159">
        <f>+E108-E139</f>
        <v>90000</v>
      </c>
      <c r="F141" s="159">
        <f t="shared" ref="F141:AD141" si="33">+F108-F139</f>
        <v>170000</v>
      </c>
      <c r="G141" s="159">
        <f t="shared" si="33"/>
        <v>240000</v>
      </c>
      <c r="H141" s="159">
        <f t="shared" si="33"/>
        <v>300000</v>
      </c>
      <c r="I141" s="159">
        <f t="shared" si="33"/>
        <v>350000</v>
      </c>
      <c r="J141" s="159">
        <f t="shared" si="33"/>
        <v>390000</v>
      </c>
      <c r="K141" s="159">
        <f t="shared" si="33"/>
        <v>420000</v>
      </c>
      <c r="L141" s="159">
        <f t="shared" si="33"/>
        <v>440000</v>
      </c>
      <c r="M141" s="159">
        <f t="shared" si="33"/>
        <v>450000</v>
      </c>
      <c r="N141" s="159">
        <f t="shared" si="33"/>
        <v>450000</v>
      </c>
      <c r="O141" s="159">
        <f t="shared" si="33"/>
        <v>450000</v>
      </c>
      <c r="P141" s="159">
        <f t="shared" si="33"/>
        <v>450000</v>
      </c>
      <c r="Q141" s="159">
        <f t="shared" si="33"/>
        <v>450000</v>
      </c>
      <c r="R141" s="159">
        <f t="shared" si="33"/>
        <v>450000</v>
      </c>
      <c r="S141" s="159">
        <f t="shared" si="33"/>
        <v>450000</v>
      </c>
      <c r="T141" s="159">
        <f t="shared" si="33"/>
        <v>450000</v>
      </c>
      <c r="U141" s="159">
        <f t="shared" si="33"/>
        <v>450000</v>
      </c>
      <c r="V141" s="159">
        <f t="shared" si="33"/>
        <v>450000</v>
      </c>
      <c r="W141" s="159">
        <f t="shared" si="33"/>
        <v>450000</v>
      </c>
      <c r="X141" s="159">
        <f t="shared" si="33"/>
        <v>450000</v>
      </c>
      <c r="Y141" s="159">
        <f t="shared" si="33"/>
        <v>450000</v>
      </c>
      <c r="Z141" s="159">
        <f t="shared" si="33"/>
        <v>450000</v>
      </c>
      <c r="AA141" s="159">
        <f t="shared" si="33"/>
        <v>450000</v>
      </c>
      <c r="AB141" s="159">
        <f t="shared" si="33"/>
        <v>450000</v>
      </c>
      <c r="AC141" s="159">
        <f t="shared" si="33"/>
        <v>450000</v>
      </c>
      <c r="AD141" s="159">
        <f t="shared" si="33"/>
        <v>360000</v>
      </c>
    </row>
    <row r="142" spans="2:30" ht="15" customHeight="1">
      <c r="B142" s="144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</row>
    <row r="143" spans="2:30" s="139" customFormat="1" ht="15" customHeight="1">
      <c r="B143" s="157" t="s">
        <v>166</v>
      </c>
      <c r="C143" s="158"/>
      <c r="D143" s="158"/>
      <c r="E143" s="159">
        <f>+E80</f>
        <v>100000</v>
      </c>
      <c r="F143" s="159">
        <f t="shared" ref="F143:AD143" si="34">+F80</f>
        <v>100000</v>
      </c>
      <c r="G143" s="159">
        <f t="shared" si="34"/>
        <v>100000</v>
      </c>
      <c r="H143" s="159">
        <f t="shared" si="34"/>
        <v>100000</v>
      </c>
      <c r="I143" s="159">
        <f t="shared" si="34"/>
        <v>100000</v>
      </c>
      <c r="J143" s="159">
        <f t="shared" si="34"/>
        <v>100000</v>
      </c>
      <c r="K143" s="159">
        <f t="shared" si="34"/>
        <v>100000</v>
      </c>
      <c r="L143" s="159">
        <f t="shared" si="34"/>
        <v>100000</v>
      </c>
      <c r="M143" s="159">
        <f t="shared" si="34"/>
        <v>100000</v>
      </c>
      <c r="N143" s="159">
        <f t="shared" si="34"/>
        <v>100000</v>
      </c>
      <c r="O143" s="159">
        <f t="shared" si="34"/>
        <v>100000</v>
      </c>
      <c r="P143" s="159">
        <f t="shared" si="34"/>
        <v>100000</v>
      </c>
      <c r="Q143" s="159">
        <f t="shared" si="34"/>
        <v>100000</v>
      </c>
      <c r="R143" s="159">
        <f t="shared" si="34"/>
        <v>100000</v>
      </c>
      <c r="S143" s="159">
        <f t="shared" si="34"/>
        <v>100000</v>
      </c>
      <c r="T143" s="159">
        <f t="shared" si="34"/>
        <v>100000</v>
      </c>
      <c r="U143" s="159">
        <f t="shared" si="34"/>
        <v>100000</v>
      </c>
      <c r="V143" s="159">
        <f t="shared" si="34"/>
        <v>100000</v>
      </c>
      <c r="W143" s="159">
        <f t="shared" si="34"/>
        <v>100000</v>
      </c>
      <c r="X143" s="159">
        <f t="shared" si="34"/>
        <v>100000</v>
      </c>
      <c r="Y143" s="159">
        <f t="shared" si="34"/>
        <v>100000</v>
      </c>
      <c r="Z143" s="159">
        <f t="shared" si="34"/>
        <v>100000</v>
      </c>
      <c r="AA143" s="159">
        <f t="shared" si="34"/>
        <v>100000</v>
      </c>
      <c r="AB143" s="159">
        <f t="shared" si="34"/>
        <v>100000</v>
      </c>
      <c r="AC143" s="159">
        <f t="shared" si="34"/>
        <v>100000</v>
      </c>
      <c r="AD143" s="159">
        <f t="shared" si="34"/>
        <v>100000</v>
      </c>
    </row>
    <row r="144" spans="2:30" ht="13.5" thickBot="1">
      <c r="B144" s="161"/>
      <c r="C144" s="162"/>
      <c r="D144" s="162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</row>
    <row r="145" spans="2:30">
      <c r="B145" s="144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</row>
    <row r="146" spans="2:30" ht="15" customHeight="1">
      <c r="B146" s="141" t="s">
        <v>168</v>
      </c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</row>
    <row r="147" spans="2:30" ht="15" customHeight="1">
      <c r="B147" s="130"/>
      <c r="C147" s="133"/>
      <c r="D147" s="133"/>
      <c r="E147" s="143">
        <v>1</v>
      </c>
      <c r="F147" s="143">
        <v>2</v>
      </c>
      <c r="G147" s="143">
        <v>3</v>
      </c>
      <c r="H147" s="143">
        <v>4</v>
      </c>
      <c r="I147" s="143">
        <v>5</v>
      </c>
      <c r="J147" s="143">
        <v>6</v>
      </c>
      <c r="K147" s="143">
        <v>7</v>
      </c>
      <c r="L147" s="143">
        <v>8</v>
      </c>
      <c r="M147" s="143">
        <v>9</v>
      </c>
      <c r="N147" s="143">
        <v>10</v>
      </c>
      <c r="O147" s="143">
        <v>11</v>
      </c>
      <c r="P147" s="143">
        <v>12</v>
      </c>
      <c r="Q147" s="143">
        <v>13</v>
      </c>
      <c r="R147" s="143">
        <v>14</v>
      </c>
      <c r="S147" s="143">
        <v>15</v>
      </c>
      <c r="T147" s="143">
        <v>16</v>
      </c>
      <c r="U147" s="143">
        <v>17</v>
      </c>
      <c r="V147" s="143">
        <v>18</v>
      </c>
      <c r="W147" s="143">
        <v>19</v>
      </c>
      <c r="X147" s="143">
        <v>20</v>
      </c>
      <c r="Y147" s="143">
        <v>21</v>
      </c>
      <c r="Z147" s="143">
        <v>22</v>
      </c>
      <c r="AA147" s="143">
        <v>23</v>
      </c>
      <c r="AB147" s="143">
        <v>24</v>
      </c>
      <c r="AC147" s="143">
        <v>25</v>
      </c>
      <c r="AD147" s="143">
        <v>26</v>
      </c>
    </row>
    <row r="148" spans="2:30" ht="15" customHeight="1">
      <c r="B148" s="144" t="s">
        <v>134</v>
      </c>
      <c r="C148" s="145" t="s">
        <v>135</v>
      </c>
      <c r="D148" s="145"/>
      <c r="E148" s="146">
        <v>0</v>
      </c>
      <c r="F148" s="146">
        <v>0</v>
      </c>
      <c r="G148" s="146">
        <v>0</v>
      </c>
      <c r="H148" s="146">
        <v>0</v>
      </c>
      <c r="I148" s="146">
        <v>0</v>
      </c>
      <c r="J148" s="146">
        <v>0</v>
      </c>
      <c r="K148" s="146">
        <v>0</v>
      </c>
      <c r="L148" s="146">
        <v>0</v>
      </c>
      <c r="M148" s="146">
        <v>0</v>
      </c>
      <c r="N148" s="146">
        <v>0</v>
      </c>
      <c r="O148" s="146">
        <v>0</v>
      </c>
      <c r="P148" s="146">
        <v>0</v>
      </c>
      <c r="Q148" s="146">
        <v>0</v>
      </c>
      <c r="R148" s="146">
        <v>0</v>
      </c>
      <c r="S148" s="146">
        <v>0</v>
      </c>
      <c r="T148" s="146">
        <v>0</v>
      </c>
      <c r="U148" s="146">
        <v>0</v>
      </c>
      <c r="V148" s="146">
        <v>0</v>
      </c>
      <c r="W148" s="146">
        <v>0</v>
      </c>
      <c r="X148" s="146">
        <v>0</v>
      </c>
      <c r="Y148" s="146">
        <v>0</v>
      </c>
      <c r="Z148" s="146">
        <v>0</v>
      </c>
      <c r="AA148" s="146">
        <v>0</v>
      </c>
      <c r="AB148" s="146">
        <v>0</v>
      </c>
      <c r="AC148" s="146">
        <v>0</v>
      </c>
      <c r="AD148" s="146">
        <v>0</v>
      </c>
    </row>
    <row r="149" spans="2:30" ht="15" customHeight="1">
      <c r="B149" s="147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</row>
    <row r="150" spans="2:30" ht="15" customHeight="1" outlineLevel="1">
      <c r="B150" s="147" t="s">
        <v>136</v>
      </c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</row>
    <row r="151" spans="2:30" ht="15" customHeight="1" outlineLevel="1">
      <c r="B151" s="147" t="s">
        <v>137</v>
      </c>
      <c r="C151" s="130">
        <v>1</v>
      </c>
      <c r="E151" s="148">
        <f>+IF($C151&gt;E$147,0,IF($C151=E$147,E$148,D151))</f>
        <v>0</v>
      </c>
      <c r="F151" s="148">
        <f t="shared" ref="F151:U166" si="35">+IF($C151&gt;F$147,0,IF($C151=F$147,F$148,E151))</f>
        <v>0</v>
      </c>
      <c r="G151" s="148">
        <f t="shared" si="35"/>
        <v>0</v>
      </c>
      <c r="H151" s="148">
        <f t="shared" si="35"/>
        <v>0</v>
      </c>
      <c r="I151" s="148">
        <f t="shared" si="35"/>
        <v>0</v>
      </c>
      <c r="J151" s="148">
        <f t="shared" si="35"/>
        <v>0</v>
      </c>
      <c r="K151" s="148">
        <f t="shared" si="35"/>
        <v>0</v>
      </c>
      <c r="L151" s="148">
        <f t="shared" si="35"/>
        <v>0</v>
      </c>
      <c r="M151" s="148">
        <f t="shared" si="35"/>
        <v>0</v>
      </c>
      <c r="N151" s="148">
        <f t="shared" si="35"/>
        <v>0</v>
      </c>
      <c r="O151" s="148">
        <f t="shared" si="35"/>
        <v>0</v>
      </c>
      <c r="P151" s="148">
        <f t="shared" si="35"/>
        <v>0</v>
      </c>
      <c r="Q151" s="148">
        <f t="shared" si="35"/>
        <v>0</v>
      </c>
      <c r="R151" s="148">
        <f t="shared" si="35"/>
        <v>0</v>
      </c>
      <c r="S151" s="148">
        <f t="shared" si="35"/>
        <v>0</v>
      </c>
      <c r="T151" s="148">
        <f t="shared" si="35"/>
        <v>0</v>
      </c>
      <c r="U151" s="148">
        <f t="shared" si="35"/>
        <v>0</v>
      </c>
      <c r="V151" s="148">
        <f t="shared" ref="V151:AD166" si="36">+IF($C151&gt;V$147,0,IF($C151=V$147,V$148,U151))</f>
        <v>0</v>
      </c>
      <c r="W151" s="148">
        <f t="shared" si="36"/>
        <v>0</v>
      </c>
      <c r="X151" s="148">
        <f t="shared" si="36"/>
        <v>0</v>
      </c>
      <c r="Y151" s="148">
        <f t="shared" si="36"/>
        <v>0</v>
      </c>
      <c r="Z151" s="148">
        <f t="shared" si="36"/>
        <v>0</v>
      </c>
      <c r="AA151" s="148">
        <f t="shared" si="36"/>
        <v>0</v>
      </c>
      <c r="AB151" s="148">
        <f t="shared" si="36"/>
        <v>0</v>
      </c>
      <c r="AC151" s="148">
        <f t="shared" si="36"/>
        <v>0</v>
      </c>
      <c r="AD151" s="148">
        <f t="shared" si="36"/>
        <v>0</v>
      </c>
    </row>
    <row r="152" spans="2:30" ht="15" customHeight="1" outlineLevel="1">
      <c r="B152" s="147" t="s">
        <v>138</v>
      </c>
      <c r="C152" s="130">
        <v>2</v>
      </c>
      <c r="E152" s="148">
        <f t="shared" ref="E152:T167" si="37">+IF($C152&gt;E$147,0,IF($C152=E$147,E$148,D152))</f>
        <v>0</v>
      </c>
      <c r="F152" s="148">
        <f t="shared" si="37"/>
        <v>0</v>
      </c>
      <c r="G152" s="148">
        <f t="shared" si="37"/>
        <v>0</v>
      </c>
      <c r="H152" s="148">
        <f t="shared" si="37"/>
        <v>0</v>
      </c>
      <c r="I152" s="148">
        <f t="shared" si="37"/>
        <v>0</v>
      </c>
      <c r="J152" s="148">
        <f t="shared" si="37"/>
        <v>0</v>
      </c>
      <c r="K152" s="148">
        <f t="shared" si="37"/>
        <v>0</v>
      </c>
      <c r="L152" s="148">
        <f t="shared" si="37"/>
        <v>0</v>
      </c>
      <c r="M152" s="148">
        <f t="shared" si="37"/>
        <v>0</v>
      </c>
      <c r="N152" s="148">
        <f t="shared" si="37"/>
        <v>0</v>
      </c>
      <c r="O152" s="148">
        <f t="shared" si="37"/>
        <v>0</v>
      </c>
      <c r="P152" s="148">
        <f t="shared" si="37"/>
        <v>0</v>
      </c>
      <c r="Q152" s="148">
        <f t="shared" si="37"/>
        <v>0</v>
      </c>
      <c r="R152" s="148">
        <f t="shared" si="37"/>
        <v>0</v>
      </c>
      <c r="S152" s="148">
        <f t="shared" si="37"/>
        <v>0</v>
      </c>
      <c r="T152" s="148">
        <f t="shared" si="37"/>
        <v>0</v>
      </c>
      <c r="U152" s="148">
        <f t="shared" si="35"/>
        <v>0</v>
      </c>
      <c r="V152" s="148">
        <f t="shared" si="36"/>
        <v>0</v>
      </c>
      <c r="W152" s="148">
        <f t="shared" si="36"/>
        <v>0</v>
      </c>
      <c r="X152" s="148">
        <f t="shared" si="36"/>
        <v>0</v>
      </c>
      <c r="Y152" s="148">
        <f t="shared" si="36"/>
        <v>0</v>
      </c>
      <c r="Z152" s="148">
        <f t="shared" si="36"/>
        <v>0</v>
      </c>
      <c r="AA152" s="148">
        <f t="shared" si="36"/>
        <v>0</v>
      </c>
      <c r="AB152" s="148">
        <f t="shared" si="36"/>
        <v>0</v>
      </c>
      <c r="AC152" s="148">
        <f t="shared" si="36"/>
        <v>0</v>
      </c>
      <c r="AD152" s="148">
        <f t="shared" si="36"/>
        <v>0</v>
      </c>
    </row>
    <row r="153" spans="2:30" ht="15" customHeight="1" outlineLevel="1">
      <c r="B153" s="147" t="s">
        <v>139</v>
      </c>
      <c r="C153" s="130">
        <v>3</v>
      </c>
      <c r="E153" s="148">
        <f t="shared" si="37"/>
        <v>0</v>
      </c>
      <c r="F153" s="148">
        <f t="shared" si="37"/>
        <v>0</v>
      </c>
      <c r="G153" s="148">
        <f t="shared" si="37"/>
        <v>0</v>
      </c>
      <c r="H153" s="148">
        <f t="shared" si="37"/>
        <v>0</v>
      </c>
      <c r="I153" s="148">
        <f t="shared" si="37"/>
        <v>0</v>
      </c>
      <c r="J153" s="148">
        <f t="shared" si="37"/>
        <v>0</v>
      </c>
      <c r="K153" s="148">
        <f t="shared" si="37"/>
        <v>0</v>
      </c>
      <c r="L153" s="148">
        <f t="shared" si="37"/>
        <v>0</v>
      </c>
      <c r="M153" s="148">
        <f t="shared" si="37"/>
        <v>0</v>
      </c>
      <c r="N153" s="148">
        <f t="shared" si="37"/>
        <v>0</v>
      </c>
      <c r="O153" s="148">
        <f t="shared" si="37"/>
        <v>0</v>
      </c>
      <c r="P153" s="148">
        <f t="shared" si="37"/>
        <v>0</v>
      </c>
      <c r="Q153" s="148">
        <f t="shared" si="37"/>
        <v>0</v>
      </c>
      <c r="R153" s="148">
        <f t="shared" si="37"/>
        <v>0</v>
      </c>
      <c r="S153" s="148">
        <f t="shared" si="37"/>
        <v>0</v>
      </c>
      <c r="T153" s="148">
        <f t="shared" si="37"/>
        <v>0</v>
      </c>
      <c r="U153" s="148">
        <f t="shared" si="35"/>
        <v>0</v>
      </c>
      <c r="V153" s="148">
        <f t="shared" si="36"/>
        <v>0</v>
      </c>
      <c r="W153" s="148">
        <f t="shared" si="36"/>
        <v>0</v>
      </c>
      <c r="X153" s="148">
        <f t="shared" si="36"/>
        <v>0</v>
      </c>
      <c r="Y153" s="148">
        <f t="shared" si="36"/>
        <v>0</v>
      </c>
      <c r="Z153" s="148">
        <f t="shared" si="36"/>
        <v>0</v>
      </c>
      <c r="AA153" s="148">
        <f t="shared" si="36"/>
        <v>0</v>
      </c>
      <c r="AB153" s="148">
        <f t="shared" si="36"/>
        <v>0</v>
      </c>
      <c r="AC153" s="148">
        <f t="shared" si="36"/>
        <v>0</v>
      </c>
      <c r="AD153" s="148">
        <f t="shared" si="36"/>
        <v>0</v>
      </c>
    </row>
    <row r="154" spans="2:30" ht="15" customHeight="1" outlineLevel="1">
      <c r="B154" s="147" t="s">
        <v>140</v>
      </c>
      <c r="C154" s="130">
        <v>4</v>
      </c>
      <c r="E154" s="148">
        <f t="shared" si="37"/>
        <v>0</v>
      </c>
      <c r="F154" s="148">
        <f t="shared" si="37"/>
        <v>0</v>
      </c>
      <c r="G154" s="148">
        <f t="shared" si="37"/>
        <v>0</v>
      </c>
      <c r="H154" s="148">
        <f t="shared" si="37"/>
        <v>0</v>
      </c>
      <c r="I154" s="148">
        <f t="shared" si="37"/>
        <v>0</v>
      </c>
      <c r="J154" s="148">
        <f t="shared" si="37"/>
        <v>0</v>
      </c>
      <c r="K154" s="148">
        <f t="shared" si="37"/>
        <v>0</v>
      </c>
      <c r="L154" s="148">
        <f t="shared" si="37"/>
        <v>0</v>
      </c>
      <c r="M154" s="148">
        <f t="shared" si="37"/>
        <v>0</v>
      </c>
      <c r="N154" s="148">
        <f t="shared" si="37"/>
        <v>0</v>
      </c>
      <c r="O154" s="148">
        <f t="shared" si="37"/>
        <v>0</v>
      </c>
      <c r="P154" s="148">
        <f t="shared" si="37"/>
        <v>0</v>
      </c>
      <c r="Q154" s="148">
        <f t="shared" si="37"/>
        <v>0</v>
      </c>
      <c r="R154" s="148">
        <f t="shared" si="37"/>
        <v>0</v>
      </c>
      <c r="S154" s="148">
        <f t="shared" si="37"/>
        <v>0</v>
      </c>
      <c r="T154" s="148">
        <f t="shared" si="37"/>
        <v>0</v>
      </c>
      <c r="U154" s="148">
        <f t="shared" si="35"/>
        <v>0</v>
      </c>
      <c r="V154" s="148">
        <f t="shared" si="36"/>
        <v>0</v>
      </c>
      <c r="W154" s="148">
        <f t="shared" si="36"/>
        <v>0</v>
      </c>
      <c r="X154" s="148">
        <f t="shared" si="36"/>
        <v>0</v>
      </c>
      <c r="Y154" s="148">
        <f t="shared" si="36"/>
        <v>0</v>
      </c>
      <c r="Z154" s="148">
        <f t="shared" si="36"/>
        <v>0</v>
      </c>
      <c r="AA154" s="148">
        <f t="shared" si="36"/>
        <v>0</v>
      </c>
      <c r="AB154" s="148">
        <f t="shared" si="36"/>
        <v>0</v>
      </c>
      <c r="AC154" s="148">
        <f t="shared" si="36"/>
        <v>0</v>
      </c>
      <c r="AD154" s="148">
        <f t="shared" si="36"/>
        <v>0</v>
      </c>
    </row>
    <row r="155" spans="2:30" ht="15" customHeight="1" outlineLevel="1">
      <c r="B155" s="147" t="s">
        <v>141</v>
      </c>
      <c r="C155" s="130">
        <v>5</v>
      </c>
      <c r="E155" s="148">
        <f t="shared" si="37"/>
        <v>0</v>
      </c>
      <c r="F155" s="148">
        <f t="shared" si="37"/>
        <v>0</v>
      </c>
      <c r="G155" s="148">
        <f t="shared" si="37"/>
        <v>0</v>
      </c>
      <c r="H155" s="148">
        <f t="shared" si="37"/>
        <v>0</v>
      </c>
      <c r="I155" s="148">
        <f t="shared" si="37"/>
        <v>0</v>
      </c>
      <c r="J155" s="148">
        <f t="shared" si="37"/>
        <v>0</v>
      </c>
      <c r="K155" s="148">
        <f t="shared" si="37"/>
        <v>0</v>
      </c>
      <c r="L155" s="148">
        <f t="shared" si="37"/>
        <v>0</v>
      </c>
      <c r="M155" s="148">
        <f t="shared" si="37"/>
        <v>0</v>
      </c>
      <c r="N155" s="148">
        <f t="shared" si="37"/>
        <v>0</v>
      </c>
      <c r="O155" s="148">
        <f t="shared" si="37"/>
        <v>0</v>
      </c>
      <c r="P155" s="148">
        <f t="shared" si="37"/>
        <v>0</v>
      </c>
      <c r="Q155" s="148">
        <f t="shared" si="37"/>
        <v>0</v>
      </c>
      <c r="R155" s="148">
        <f t="shared" si="37"/>
        <v>0</v>
      </c>
      <c r="S155" s="148">
        <f t="shared" si="37"/>
        <v>0</v>
      </c>
      <c r="T155" s="148">
        <f t="shared" si="37"/>
        <v>0</v>
      </c>
      <c r="U155" s="148">
        <f t="shared" si="35"/>
        <v>0</v>
      </c>
      <c r="V155" s="148">
        <f t="shared" si="36"/>
        <v>0</v>
      </c>
      <c r="W155" s="148">
        <f t="shared" si="36"/>
        <v>0</v>
      </c>
      <c r="X155" s="148">
        <f t="shared" si="36"/>
        <v>0</v>
      </c>
      <c r="Y155" s="148">
        <f t="shared" si="36"/>
        <v>0</v>
      </c>
      <c r="Z155" s="148">
        <f t="shared" si="36"/>
        <v>0</v>
      </c>
      <c r="AA155" s="148">
        <f t="shared" si="36"/>
        <v>0</v>
      </c>
      <c r="AB155" s="148">
        <f t="shared" si="36"/>
        <v>0</v>
      </c>
      <c r="AC155" s="148">
        <f t="shared" si="36"/>
        <v>0</v>
      </c>
      <c r="AD155" s="148">
        <f t="shared" si="36"/>
        <v>0</v>
      </c>
    </row>
    <row r="156" spans="2:30" ht="15" customHeight="1" outlineLevel="1">
      <c r="B156" s="147" t="s">
        <v>142</v>
      </c>
      <c r="C156" s="130">
        <v>6</v>
      </c>
      <c r="E156" s="148">
        <f t="shared" si="37"/>
        <v>0</v>
      </c>
      <c r="F156" s="148">
        <f t="shared" si="37"/>
        <v>0</v>
      </c>
      <c r="G156" s="148">
        <f t="shared" si="37"/>
        <v>0</v>
      </c>
      <c r="H156" s="148">
        <f t="shared" si="37"/>
        <v>0</v>
      </c>
      <c r="I156" s="148">
        <f t="shared" si="37"/>
        <v>0</v>
      </c>
      <c r="J156" s="148">
        <f t="shared" si="37"/>
        <v>0</v>
      </c>
      <c r="K156" s="148">
        <f t="shared" si="37"/>
        <v>0</v>
      </c>
      <c r="L156" s="148">
        <f t="shared" si="37"/>
        <v>0</v>
      </c>
      <c r="M156" s="148">
        <f t="shared" si="37"/>
        <v>0</v>
      </c>
      <c r="N156" s="148">
        <f t="shared" si="37"/>
        <v>0</v>
      </c>
      <c r="O156" s="148">
        <f t="shared" si="37"/>
        <v>0</v>
      </c>
      <c r="P156" s="148">
        <f t="shared" si="37"/>
        <v>0</v>
      </c>
      <c r="Q156" s="148">
        <f t="shared" si="37"/>
        <v>0</v>
      </c>
      <c r="R156" s="148">
        <f t="shared" si="37"/>
        <v>0</v>
      </c>
      <c r="S156" s="148">
        <f t="shared" si="37"/>
        <v>0</v>
      </c>
      <c r="T156" s="148">
        <f t="shared" si="37"/>
        <v>0</v>
      </c>
      <c r="U156" s="148">
        <f t="shared" si="35"/>
        <v>0</v>
      </c>
      <c r="V156" s="148">
        <f t="shared" si="36"/>
        <v>0</v>
      </c>
      <c r="W156" s="148">
        <f t="shared" si="36"/>
        <v>0</v>
      </c>
      <c r="X156" s="148">
        <f t="shared" si="36"/>
        <v>0</v>
      </c>
      <c r="Y156" s="148">
        <f t="shared" si="36"/>
        <v>0</v>
      </c>
      <c r="Z156" s="148">
        <f t="shared" si="36"/>
        <v>0</v>
      </c>
      <c r="AA156" s="148">
        <f t="shared" si="36"/>
        <v>0</v>
      </c>
      <c r="AB156" s="148">
        <f t="shared" si="36"/>
        <v>0</v>
      </c>
      <c r="AC156" s="148">
        <f t="shared" si="36"/>
        <v>0</v>
      </c>
      <c r="AD156" s="148">
        <f t="shared" si="36"/>
        <v>0</v>
      </c>
    </row>
    <row r="157" spans="2:30" ht="15" customHeight="1" outlineLevel="1">
      <c r="B157" s="147" t="s">
        <v>143</v>
      </c>
      <c r="C157" s="130">
        <v>7</v>
      </c>
      <c r="E157" s="148">
        <f t="shared" si="37"/>
        <v>0</v>
      </c>
      <c r="F157" s="148">
        <f t="shared" si="37"/>
        <v>0</v>
      </c>
      <c r="G157" s="148">
        <f t="shared" si="37"/>
        <v>0</v>
      </c>
      <c r="H157" s="148">
        <f t="shared" si="37"/>
        <v>0</v>
      </c>
      <c r="I157" s="148">
        <f t="shared" si="37"/>
        <v>0</v>
      </c>
      <c r="J157" s="148">
        <f t="shared" si="37"/>
        <v>0</v>
      </c>
      <c r="K157" s="148">
        <f t="shared" si="37"/>
        <v>0</v>
      </c>
      <c r="L157" s="148">
        <f t="shared" si="37"/>
        <v>0</v>
      </c>
      <c r="M157" s="148">
        <f t="shared" si="37"/>
        <v>0</v>
      </c>
      <c r="N157" s="148">
        <f t="shared" si="37"/>
        <v>0</v>
      </c>
      <c r="O157" s="148">
        <f t="shared" si="37"/>
        <v>0</v>
      </c>
      <c r="P157" s="148">
        <f t="shared" si="37"/>
        <v>0</v>
      </c>
      <c r="Q157" s="148">
        <f t="shared" si="37"/>
        <v>0</v>
      </c>
      <c r="R157" s="148">
        <f t="shared" si="37"/>
        <v>0</v>
      </c>
      <c r="S157" s="148">
        <f t="shared" si="37"/>
        <v>0</v>
      </c>
      <c r="T157" s="148">
        <f t="shared" si="37"/>
        <v>0</v>
      </c>
      <c r="U157" s="148">
        <f t="shared" si="35"/>
        <v>0</v>
      </c>
      <c r="V157" s="148">
        <f t="shared" si="36"/>
        <v>0</v>
      </c>
      <c r="W157" s="148">
        <f t="shared" si="36"/>
        <v>0</v>
      </c>
      <c r="X157" s="148">
        <f t="shared" si="36"/>
        <v>0</v>
      </c>
      <c r="Y157" s="148">
        <f t="shared" si="36"/>
        <v>0</v>
      </c>
      <c r="Z157" s="148">
        <f t="shared" si="36"/>
        <v>0</v>
      </c>
      <c r="AA157" s="148">
        <f t="shared" si="36"/>
        <v>0</v>
      </c>
      <c r="AB157" s="148">
        <f t="shared" si="36"/>
        <v>0</v>
      </c>
      <c r="AC157" s="148">
        <f t="shared" si="36"/>
        <v>0</v>
      </c>
      <c r="AD157" s="148">
        <f t="shared" si="36"/>
        <v>0</v>
      </c>
    </row>
    <row r="158" spans="2:30" ht="15" customHeight="1" outlineLevel="1">
      <c r="B158" s="147" t="s">
        <v>144</v>
      </c>
      <c r="C158" s="130">
        <v>8</v>
      </c>
      <c r="E158" s="148">
        <f t="shared" si="37"/>
        <v>0</v>
      </c>
      <c r="F158" s="148">
        <f t="shared" si="37"/>
        <v>0</v>
      </c>
      <c r="G158" s="148">
        <f t="shared" si="37"/>
        <v>0</v>
      </c>
      <c r="H158" s="148">
        <f t="shared" si="37"/>
        <v>0</v>
      </c>
      <c r="I158" s="148">
        <f t="shared" si="37"/>
        <v>0</v>
      </c>
      <c r="J158" s="148">
        <f t="shared" si="37"/>
        <v>0</v>
      </c>
      <c r="K158" s="148">
        <f t="shared" si="37"/>
        <v>0</v>
      </c>
      <c r="L158" s="148">
        <f t="shared" si="37"/>
        <v>0</v>
      </c>
      <c r="M158" s="148">
        <f t="shared" si="37"/>
        <v>0</v>
      </c>
      <c r="N158" s="148">
        <f t="shared" si="37"/>
        <v>0</v>
      </c>
      <c r="O158" s="148">
        <f t="shared" si="37"/>
        <v>0</v>
      </c>
      <c r="P158" s="148">
        <f t="shared" si="37"/>
        <v>0</v>
      </c>
      <c r="Q158" s="148">
        <f t="shared" si="37"/>
        <v>0</v>
      </c>
      <c r="R158" s="148">
        <f t="shared" si="37"/>
        <v>0</v>
      </c>
      <c r="S158" s="148">
        <f t="shared" si="37"/>
        <v>0</v>
      </c>
      <c r="T158" s="148">
        <f t="shared" si="37"/>
        <v>0</v>
      </c>
      <c r="U158" s="148">
        <f t="shared" si="35"/>
        <v>0</v>
      </c>
      <c r="V158" s="148">
        <f t="shared" si="36"/>
        <v>0</v>
      </c>
      <c r="W158" s="148">
        <f t="shared" si="36"/>
        <v>0</v>
      </c>
      <c r="X158" s="148">
        <f t="shared" si="36"/>
        <v>0</v>
      </c>
      <c r="Y158" s="148">
        <f t="shared" si="36"/>
        <v>0</v>
      </c>
      <c r="Z158" s="148">
        <f t="shared" si="36"/>
        <v>0</v>
      </c>
      <c r="AA158" s="148">
        <f t="shared" si="36"/>
        <v>0</v>
      </c>
      <c r="AB158" s="148">
        <f t="shared" si="36"/>
        <v>0</v>
      </c>
      <c r="AC158" s="148">
        <f t="shared" si="36"/>
        <v>0</v>
      </c>
      <c r="AD158" s="148">
        <f t="shared" si="36"/>
        <v>0</v>
      </c>
    </row>
    <row r="159" spans="2:30" ht="15" customHeight="1" outlineLevel="1">
      <c r="B159" s="147" t="s">
        <v>145</v>
      </c>
      <c r="C159" s="130">
        <v>9</v>
      </c>
      <c r="E159" s="148">
        <f t="shared" si="37"/>
        <v>0</v>
      </c>
      <c r="F159" s="148">
        <f t="shared" si="37"/>
        <v>0</v>
      </c>
      <c r="G159" s="148">
        <f t="shared" si="37"/>
        <v>0</v>
      </c>
      <c r="H159" s="148">
        <f t="shared" si="37"/>
        <v>0</v>
      </c>
      <c r="I159" s="148">
        <f t="shared" si="37"/>
        <v>0</v>
      </c>
      <c r="J159" s="148">
        <f t="shared" si="37"/>
        <v>0</v>
      </c>
      <c r="K159" s="148">
        <f t="shared" si="37"/>
        <v>0</v>
      </c>
      <c r="L159" s="148">
        <f t="shared" si="37"/>
        <v>0</v>
      </c>
      <c r="M159" s="148">
        <f t="shared" si="37"/>
        <v>0</v>
      </c>
      <c r="N159" s="148">
        <f t="shared" si="37"/>
        <v>0</v>
      </c>
      <c r="O159" s="148">
        <f t="shared" si="37"/>
        <v>0</v>
      </c>
      <c r="P159" s="148">
        <f t="shared" si="37"/>
        <v>0</v>
      </c>
      <c r="Q159" s="148">
        <f t="shared" si="37"/>
        <v>0</v>
      </c>
      <c r="R159" s="148">
        <f t="shared" si="37"/>
        <v>0</v>
      </c>
      <c r="S159" s="148">
        <f t="shared" si="37"/>
        <v>0</v>
      </c>
      <c r="T159" s="148">
        <f t="shared" si="37"/>
        <v>0</v>
      </c>
      <c r="U159" s="148">
        <f t="shared" si="35"/>
        <v>0</v>
      </c>
      <c r="V159" s="148">
        <f t="shared" si="36"/>
        <v>0</v>
      </c>
      <c r="W159" s="148">
        <f t="shared" si="36"/>
        <v>0</v>
      </c>
      <c r="X159" s="148">
        <f t="shared" si="36"/>
        <v>0</v>
      </c>
      <c r="Y159" s="148">
        <f t="shared" si="36"/>
        <v>0</v>
      </c>
      <c r="Z159" s="148">
        <f t="shared" si="36"/>
        <v>0</v>
      </c>
      <c r="AA159" s="148">
        <f t="shared" si="36"/>
        <v>0</v>
      </c>
      <c r="AB159" s="148">
        <f t="shared" si="36"/>
        <v>0</v>
      </c>
      <c r="AC159" s="148">
        <f t="shared" si="36"/>
        <v>0</v>
      </c>
      <c r="AD159" s="148">
        <f t="shared" si="36"/>
        <v>0</v>
      </c>
    </row>
    <row r="160" spans="2:30" ht="15" customHeight="1" outlineLevel="1">
      <c r="B160" s="147" t="s">
        <v>146</v>
      </c>
      <c r="C160" s="130">
        <v>10</v>
      </c>
      <c r="E160" s="148">
        <f t="shared" si="37"/>
        <v>0</v>
      </c>
      <c r="F160" s="148">
        <f t="shared" si="37"/>
        <v>0</v>
      </c>
      <c r="G160" s="148">
        <f t="shared" si="37"/>
        <v>0</v>
      </c>
      <c r="H160" s="148">
        <f t="shared" si="37"/>
        <v>0</v>
      </c>
      <c r="I160" s="148">
        <f t="shared" si="37"/>
        <v>0</v>
      </c>
      <c r="J160" s="148">
        <f t="shared" si="37"/>
        <v>0</v>
      </c>
      <c r="K160" s="148">
        <f t="shared" si="37"/>
        <v>0</v>
      </c>
      <c r="L160" s="148">
        <f t="shared" si="37"/>
        <v>0</v>
      </c>
      <c r="M160" s="148">
        <f t="shared" si="37"/>
        <v>0</v>
      </c>
      <c r="N160" s="148">
        <f t="shared" si="37"/>
        <v>0</v>
      </c>
      <c r="O160" s="148">
        <f t="shared" si="37"/>
        <v>0</v>
      </c>
      <c r="P160" s="148">
        <f t="shared" si="37"/>
        <v>0</v>
      </c>
      <c r="Q160" s="148">
        <f t="shared" si="37"/>
        <v>0</v>
      </c>
      <c r="R160" s="148">
        <f t="shared" si="37"/>
        <v>0</v>
      </c>
      <c r="S160" s="148">
        <f t="shared" si="37"/>
        <v>0</v>
      </c>
      <c r="T160" s="148">
        <f t="shared" si="37"/>
        <v>0</v>
      </c>
      <c r="U160" s="148">
        <f t="shared" si="35"/>
        <v>0</v>
      </c>
      <c r="V160" s="148">
        <f t="shared" si="36"/>
        <v>0</v>
      </c>
      <c r="W160" s="148">
        <f t="shared" si="36"/>
        <v>0</v>
      </c>
      <c r="X160" s="148">
        <f t="shared" si="36"/>
        <v>0</v>
      </c>
      <c r="Y160" s="148">
        <f t="shared" si="36"/>
        <v>0</v>
      </c>
      <c r="Z160" s="148">
        <f t="shared" si="36"/>
        <v>0</v>
      </c>
      <c r="AA160" s="148">
        <f t="shared" si="36"/>
        <v>0</v>
      </c>
      <c r="AB160" s="148">
        <f t="shared" si="36"/>
        <v>0</v>
      </c>
      <c r="AC160" s="148">
        <f t="shared" si="36"/>
        <v>0</v>
      </c>
      <c r="AD160" s="148">
        <f t="shared" si="36"/>
        <v>0</v>
      </c>
    </row>
    <row r="161" spans="2:30" ht="15" customHeight="1" outlineLevel="1">
      <c r="B161" s="147" t="s">
        <v>147</v>
      </c>
      <c r="C161" s="130">
        <v>11</v>
      </c>
      <c r="E161" s="148">
        <f t="shared" si="37"/>
        <v>0</v>
      </c>
      <c r="F161" s="148">
        <f t="shared" si="37"/>
        <v>0</v>
      </c>
      <c r="G161" s="148">
        <f t="shared" si="37"/>
        <v>0</v>
      </c>
      <c r="H161" s="148">
        <f t="shared" si="37"/>
        <v>0</v>
      </c>
      <c r="I161" s="148">
        <f t="shared" si="37"/>
        <v>0</v>
      </c>
      <c r="J161" s="148">
        <f t="shared" si="37"/>
        <v>0</v>
      </c>
      <c r="K161" s="148">
        <f t="shared" si="37"/>
        <v>0</v>
      </c>
      <c r="L161" s="148">
        <f t="shared" si="37"/>
        <v>0</v>
      </c>
      <c r="M161" s="148">
        <f t="shared" si="37"/>
        <v>0</v>
      </c>
      <c r="N161" s="148">
        <f t="shared" si="37"/>
        <v>0</v>
      </c>
      <c r="O161" s="148">
        <f t="shared" si="37"/>
        <v>0</v>
      </c>
      <c r="P161" s="148">
        <f t="shared" si="37"/>
        <v>0</v>
      </c>
      <c r="Q161" s="148">
        <f t="shared" si="37"/>
        <v>0</v>
      </c>
      <c r="R161" s="148">
        <f t="shared" si="37"/>
        <v>0</v>
      </c>
      <c r="S161" s="148">
        <f t="shared" si="37"/>
        <v>0</v>
      </c>
      <c r="T161" s="148">
        <f t="shared" si="37"/>
        <v>0</v>
      </c>
      <c r="U161" s="148">
        <f t="shared" si="35"/>
        <v>0</v>
      </c>
      <c r="V161" s="148">
        <f t="shared" si="36"/>
        <v>0</v>
      </c>
      <c r="W161" s="148">
        <f t="shared" si="36"/>
        <v>0</v>
      </c>
      <c r="X161" s="148">
        <f t="shared" si="36"/>
        <v>0</v>
      </c>
      <c r="Y161" s="148">
        <f t="shared" si="36"/>
        <v>0</v>
      </c>
      <c r="Z161" s="148">
        <f t="shared" si="36"/>
        <v>0</v>
      </c>
      <c r="AA161" s="148">
        <f t="shared" si="36"/>
        <v>0</v>
      </c>
      <c r="AB161" s="148">
        <f t="shared" si="36"/>
        <v>0</v>
      </c>
      <c r="AC161" s="148">
        <f t="shared" si="36"/>
        <v>0</v>
      </c>
      <c r="AD161" s="148">
        <f t="shared" si="36"/>
        <v>0</v>
      </c>
    </row>
    <row r="162" spans="2:30" ht="15" customHeight="1" outlineLevel="1">
      <c r="B162" s="147" t="s">
        <v>148</v>
      </c>
      <c r="C162" s="130">
        <v>12</v>
      </c>
      <c r="E162" s="148">
        <f t="shared" si="37"/>
        <v>0</v>
      </c>
      <c r="F162" s="148">
        <f t="shared" si="37"/>
        <v>0</v>
      </c>
      <c r="G162" s="148">
        <f t="shared" si="37"/>
        <v>0</v>
      </c>
      <c r="H162" s="148">
        <f t="shared" si="37"/>
        <v>0</v>
      </c>
      <c r="I162" s="148">
        <f t="shared" si="37"/>
        <v>0</v>
      </c>
      <c r="J162" s="148">
        <f t="shared" si="37"/>
        <v>0</v>
      </c>
      <c r="K162" s="148">
        <f t="shared" si="37"/>
        <v>0</v>
      </c>
      <c r="L162" s="148">
        <f t="shared" si="37"/>
        <v>0</v>
      </c>
      <c r="M162" s="148">
        <f t="shared" si="37"/>
        <v>0</v>
      </c>
      <c r="N162" s="148">
        <f t="shared" si="37"/>
        <v>0</v>
      </c>
      <c r="O162" s="148">
        <f t="shared" si="37"/>
        <v>0</v>
      </c>
      <c r="P162" s="148">
        <f t="shared" si="37"/>
        <v>0</v>
      </c>
      <c r="Q162" s="148">
        <f t="shared" si="37"/>
        <v>0</v>
      </c>
      <c r="R162" s="148">
        <f t="shared" si="37"/>
        <v>0</v>
      </c>
      <c r="S162" s="148">
        <f t="shared" si="37"/>
        <v>0</v>
      </c>
      <c r="T162" s="148">
        <f t="shared" si="37"/>
        <v>0</v>
      </c>
      <c r="U162" s="148">
        <f t="shared" si="35"/>
        <v>0</v>
      </c>
      <c r="V162" s="148">
        <f t="shared" si="36"/>
        <v>0</v>
      </c>
      <c r="W162" s="148">
        <f t="shared" si="36"/>
        <v>0</v>
      </c>
      <c r="X162" s="148">
        <f t="shared" si="36"/>
        <v>0</v>
      </c>
      <c r="Y162" s="148">
        <f t="shared" si="36"/>
        <v>0</v>
      </c>
      <c r="Z162" s="148">
        <f t="shared" si="36"/>
        <v>0</v>
      </c>
      <c r="AA162" s="148">
        <f t="shared" si="36"/>
        <v>0</v>
      </c>
      <c r="AB162" s="148">
        <f t="shared" si="36"/>
        <v>0</v>
      </c>
      <c r="AC162" s="148">
        <f t="shared" si="36"/>
        <v>0</v>
      </c>
      <c r="AD162" s="148">
        <f t="shared" si="36"/>
        <v>0</v>
      </c>
    </row>
    <row r="163" spans="2:30" ht="15" customHeight="1" outlineLevel="1">
      <c r="B163" s="147" t="s">
        <v>149</v>
      </c>
      <c r="C163" s="130">
        <v>13</v>
      </c>
      <c r="E163" s="148">
        <f t="shared" si="37"/>
        <v>0</v>
      </c>
      <c r="F163" s="148">
        <f t="shared" si="37"/>
        <v>0</v>
      </c>
      <c r="G163" s="148">
        <f t="shared" si="37"/>
        <v>0</v>
      </c>
      <c r="H163" s="148">
        <f t="shared" si="37"/>
        <v>0</v>
      </c>
      <c r="I163" s="148">
        <f t="shared" si="37"/>
        <v>0</v>
      </c>
      <c r="J163" s="148">
        <f t="shared" si="37"/>
        <v>0</v>
      </c>
      <c r="K163" s="148">
        <f t="shared" si="37"/>
        <v>0</v>
      </c>
      <c r="L163" s="148">
        <f t="shared" si="37"/>
        <v>0</v>
      </c>
      <c r="M163" s="148">
        <f t="shared" si="37"/>
        <v>0</v>
      </c>
      <c r="N163" s="148">
        <f t="shared" si="37"/>
        <v>0</v>
      </c>
      <c r="O163" s="148">
        <f t="shared" si="37"/>
        <v>0</v>
      </c>
      <c r="P163" s="148">
        <f t="shared" si="37"/>
        <v>0</v>
      </c>
      <c r="Q163" s="148">
        <f t="shared" si="37"/>
        <v>0</v>
      </c>
      <c r="R163" s="148">
        <f t="shared" si="37"/>
        <v>0</v>
      </c>
      <c r="S163" s="148">
        <f t="shared" si="37"/>
        <v>0</v>
      </c>
      <c r="T163" s="148">
        <f t="shared" si="37"/>
        <v>0</v>
      </c>
      <c r="U163" s="148">
        <f t="shared" si="35"/>
        <v>0</v>
      </c>
      <c r="V163" s="148">
        <f t="shared" si="36"/>
        <v>0</v>
      </c>
      <c r="W163" s="148">
        <f t="shared" si="36"/>
        <v>0</v>
      </c>
      <c r="X163" s="148">
        <f t="shared" si="36"/>
        <v>0</v>
      </c>
      <c r="Y163" s="148">
        <f t="shared" si="36"/>
        <v>0</v>
      </c>
      <c r="Z163" s="148">
        <f t="shared" si="36"/>
        <v>0</v>
      </c>
      <c r="AA163" s="148">
        <f t="shared" si="36"/>
        <v>0</v>
      </c>
      <c r="AB163" s="148">
        <f t="shared" si="36"/>
        <v>0</v>
      </c>
      <c r="AC163" s="148">
        <f t="shared" si="36"/>
        <v>0</v>
      </c>
      <c r="AD163" s="148">
        <f t="shared" si="36"/>
        <v>0</v>
      </c>
    </row>
    <row r="164" spans="2:30" ht="15" customHeight="1" outlineLevel="1">
      <c r="B164" s="147" t="s">
        <v>150</v>
      </c>
      <c r="C164" s="130">
        <v>14</v>
      </c>
      <c r="E164" s="148">
        <f t="shared" si="37"/>
        <v>0</v>
      </c>
      <c r="F164" s="148">
        <f t="shared" si="37"/>
        <v>0</v>
      </c>
      <c r="G164" s="148">
        <f t="shared" si="37"/>
        <v>0</v>
      </c>
      <c r="H164" s="148">
        <f t="shared" si="37"/>
        <v>0</v>
      </c>
      <c r="I164" s="148">
        <f t="shared" si="37"/>
        <v>0</v>
      </c>
      <c r="J164" s="148">
        <f t="shared" si="37"/>
        <v>0</v>
      </c>
      <c r="K164" s="148">
        <f t="shared" si="37"/>
        <v>0</v>
      </c>
      <c r="L164" s="148">
        <f t="shared" si="37"/>
        <v>0</v>
      </c>
      <c r="M164" s="148">
        <f t="shared" si="37"/>
        <v>0</v>
      </c>
      <c r="N164" s="148">
        <f t="shared" si="37"/>
        <v>0</v>
      </c>
      <c r="O164" s="148">
        <f t="shared" si="37"/>
        <v>0</v>
      </c>
      <c r="P164" s="148">
        <f t="shared" si="37"/>
        <v>0</v>
      </c>
      <c r="Q164" s="148">
        <f t="shared" si="37"/>
        <v>0</v>
      </c>
      <c r="R164" s="148">
        <f t="shared" si="37"/>
        <v>0</v>
      </c>
      <c r="S164" s="148">
        <f t="shared" si="37"/>
        <v>0</v>
      </c>
      <c r="T164" s="148">
        <f t="shared" si="37"/>
        <v>0</v>
      </c>
      <c r="U164" s="148">
        <f t="shared" si="35"/>
        <v>0</v>
      </c>
      <c r="V164" s="148">
        <f t="shared" si="36"/>
        <v>0</v>
      </c>
      <c r="W164" s="148">
        <f t="shared" si="36"/>
        <v>0</v>
      </c>
      <c r="X164" s="148">
        <f t="shared" si="36"/>
        <v>0</v>
      </c>
      <c r="Y164" s="148">
        <f t="shared" si="36"/>
        <v>0</v>
      </c>
      <c r="Z164" s="148">
        <f t="shared" si="36"/>
        <v>0</v>
      </c>
      <c r="AA164" s="148">
        <f t="shared" si="36"/>
        <v>0</v>
      </c>
      <c r="AB164" s="148">
        <f t="shared" si="36"/>
        <v>0</v>
      </c>
      <c r="AC164" s="148">
        <f t="shared" si="36"/>
        <v>0</v>
      </c>
      <c r="AD164" s="148">
        <f t="shared" si="36"/>
        <v>0</v>
      </c>
    </row>
    <row r="165" spans="2:30" ht="15" customHeight="1" outlineLevel="1">
      <c r="B165" s="147" t="s">
        <v>151</v>
      </c>
      <c r="C165" s="130">
        <v>15</v>
      </c>
      <c r="E165" s="148">
        <f t="shared" si="37"/>
        <v>0</v>
      </c>
      <c r="F165" s="148">
        <f t="shared" si="37"/>
        <v>0</v>
      </c>
      <c r="G165" s="148">
        <f t="shared" si="37"/>
        <v>0</v>
      </c>
      <c r="H165" s="148">
        <f t="shared" si="37"/>
        <v>0</v>
      </c>
      <c r="I165" s="148">
        <f t="shared" si="37"/>
        <v>0</v>
      </c>
      <c r="J165" s="148">
        <f t="shared" si="37"/>
        <v>0</v>
      </c>
      <c r="K165" s="148">
        <f t="shared" si="37"/>
        <v>0</v>
      </c>
      <c r="L165" s="148">
        <f t="shared" si="37"/>
        <v>0</v>
      </c>
      <c r="M165" s="148">
        <f t="shared" si="37"/>
        <v>0</v>
      </c>
      <c r="N165" s="148">
        <f t="shared" si="37"/>
        <v>0</v>
      </c>
      <c r="O165" s="148">
        <f t="shared" si="37"/>
        <v>0</v>
      </c>
      <c r="P165" s="148">
        <f t="shared" si="37"/>
        <v>0</v>
      </c>
      <c r="Q165" s="148">
        <f t="shared" si="37"/>
        <v>0</v>
      </c>
      <c r="R165" s="148">
        <f t="shared" si="37"/>
        <v>0</v>
      </c>
      <c r="S165" s="148">
        <f t="shared" si="37"/>
        <v>0</v>
      </c>
      <c r="T165" s="148">
        <f t="shared" si="37"/>
        <v>0</v>
      </c>
      <c r="U165" s="148">
        <f t="shared" si="35"/>
        <v>0</v>
      </c>
      <c r="V165" s="148">
        <f t="shared" si="36"/>
        <v>0</v>
      </c>
      <c r="W165" s="148">
        <f t="shared" si="36"/>
        <v>0</v>
      </c>
      <c r="X165" s="148">
        <f t="shared" si="36"/>
        <v>0</v>
      </c>
      <c r="Y165" s="148">
        <f t="shared" si="36"/>
        <v>0</v>
      </c>
      <c r="Z165" s="148">
        <f t="shared" si="36"/>
        <v>0</v>
      </c>
      <c r="AA165" s="148">
        <f t="shared" si="36"/>
        <v>0</v>
      </c>
      <c r="AB165" s="148">
        <f t="shared" si="36"/>
        <v>0</v>
      </c>
      <c r="AC165" s="148">
        <f t="shared" si="36"/>
        <v>0</v>
      </c>
      <c r="AD165" s="148">
        <f t="shared" si="36"/>
        <v>0</v>
      </c>
    </row>
    <row r="166" spans="2:30" ht="15" customHeight="1" outlineLevel="1">
      <c r="B166" s="147" t="s">
        <v>152</v>
      </c>
      <c r="C166" s="130">
        <v>16</v>
      </c>
      <c r="E166" s="148">
        <f t="shared" si="37"/>
        <v>0</v>
      </c>
      <c r="F166" s="148">
        <f t="shared" si="37"/>
        <v>0</v>
      </c>
      <c r="G166" s="148">
        <f t="shared" si="37"/>
        <v>0</v>
      </c>
      <c r="H166" s="148">
        <f t="shared" si="37"/>
        <v>0</v>
      </c>
      <c r="I166" s="148">
        <f t="shared" si="37"/>
        <v>0</v>
      </c>
      <c r="J166" s="148">
        <f t="shared" si="37"/>
        <v>0</v>
      </c>
      <c r="K166" s="148">
        <f t="shared" si="37"/>
        <v>0</v>
      </c>
      <c r="L166" s="148">
        <f t="shared" si="37"/>
        <v>0</v>
      </c>
      <c r="M166" s="148">
        <f t="shared" si="37"/>
        <v>0</v>
      </c>
      <c r="N166" s="148">
        <f t="shared" si="37"/>
        <v>0</v>
      </c>
      <c r="O166" s="148">
        <f t="shared" si="37"/>
        <v>0</v>
      </c>
      <c r="P166" s="148">
        <f t="shared" si="37"/>
        <v>0</v>
      </c>
      <c r="Q166" s="148">
        <f t="shared" si="37"/>
        <v>0</v>
      </c>
      <c r="R166" s="148">
        <f t="shared" si="37"/>
        <v>0</v>
      </c>
      <c r="S166" s="148">
        <f t="shared" si="37"/>
        <v>0</v>
      </c>
      <c r="T166" s="148">
        <f t="shared" si="37"/>
        <v>0</v>
      </c>
      <c r="U166" s="148">
        <f t="shared" si="35"/>
        <v>0</v>
      </c>
      <c r="V166" s="148">
        <f t="shared" si="36"/>
        <v>0</v>
      </c>
      <c r="W166" s="148">
        <f t="shared" si="36"/>
        <v>0</v>
      </c>
      <c r="X166" s="148">
        <f t="shared" si="36"/>
        <v>0</v>
      </c>
      <c r="Y166" s="148">
        <f t="shared" si="36"/>
        <v>0</v>
      </c>
      <c r="Z166" s="148">
        <f t="shared" si="36"/>
        <v>0</v>
      </c>
      <c r="AA166" s="148">
        <f t="shared" si="36"/>
        <v>0</v>
      </c>
      <c r="AB166" s="148">
        <f t="shared" si="36"/>
        <v>0</v>
      </c>
      <c r="AC166" s="148">
        <f t="shared" si="36"/>
        <v>0</v>
      </c>
      <c r="AD166" s="148">
        <f t="shared" si="36"/>
        <v>0</v>
      </c>
    </row>
    <row r="167" spans="2:30" ht="15" customHeight="1" outlineLevel="1">
      <c r="B167" s="147" t="s">
        <v>153</v>
      </c>
      <c r="C167" s="130">
        <v>17</v>
      </c>
      <c r="E167" s="148">
        <f t="shared" si="37"/>
        <v>0</v>
      </c>
      <c r="F167" s="148">
        <f t="shared" si="37"/>
        <v>0</v>
      </c>
      <c r="G167" s="148">
        <f t="shared" si="37"/>
        <v>0</v>
      </c>
      <c r="H167" s="148">
        <f t="shared" si="37"/>
        <v>0</v>
      </c>
      <c r="I167" s="148">
        <f t="shared" si="37"/>
        <v>0</v>
      </c>
      <c r="J167" s="148">
        <f t="shared" si="37"/>
        <v>0</v>
      </c>
      <c r="K167" s="148">
        <f t="shared" si="37"/>
        <v>0</v>
      </c>
      <c r="L167" s="148">
        <f t="shared" si="37"/>
        <v>0</v>
      </c>
      <c r="M167" s="148">
        <f t="shared" si="37"/>
        <v>0</v>
      </c>
      <c r="N167" s="148">
        <f t="shared" si="37"/>
        <v>0</v>
      </c>
      <c r="O167" s="148">
        <f t="shared" si="37"/>
        <v>0</v>
      </c>
      <c r="P167" s="148">
        <f t="shared" si="37"/>
        <v>0</v>
      </c>
      <c r="Q167" s="148">
        <f t="shared" si="37"/>
        <v>0</v>
      </c>
      <c r="R167" s="148">
        <f t="shared" si="37"/>
        <v>0</v>
      </c>
      <c r="S167" s="148">
        <f t="shared" si="37"/>
        <v>0</v>
      </c>
      <c r="T167" s="148">
        <f t="shared" ref="T167:AD175" si="38">+IF($C167&gt;T$147,0,IF($C167=T$147,T$148,S167))</f>
        <v>0</v>
      </c>
      <c r="U167" s="148">
        <f t="shared" si="38"/>
        <v>0</v>
      </c>
      <c r="V167" s="148">
        <f t="shared" si="38"/>
        <v>0</v>
      </c>
      <c r="W167" s="148">
        <f t="shared" si="38"/>
        <v>0</v>
      </c>
      <c r="X167" s="148">
        <f t="shared" si="38"/>
        <v>0</v>
      </c>
      <c r="Y167" s="148">
        <f t="shared" si="38"/>
        <v>0</v>
      </c>
      <c r="Z167" s="148">
        <f t="shared" si="38"/>
        <v>0</v>
      </c>
      <c r="AA167" s="148">
        <f t="shared" si="38"/>
        <v>0</v>
      </c>
      <c r="AB167" s="148">
        <f t="shared" si="38"/>
        <v>0</v>
      </c>
      <c r="AC167" s="148">
        <f t="shared" si="38"/>
        <v>0</v>
      </c>
      <c r="AD167" s="148">
        <f t="shared" si="38"/>
        <v>0</v>
      </c>
    </row>
    <row r="168" spans="2:30" ht="15" customHeight="1" outlineLevel="1">
      <c r="B168" s="147" t="s">
        <v>154</v>
      </c>
      <c r="C168" s="130">
        <v>18</v>
      </c>
      <c r="E168" s="148">
        <f t="shared" ref="E168:T175" si="39">+IF($C168&gt;E$147,0,IF($C168=E$147,E$148,D168))</f>
        <v>0</v>
      </c>
      <c r="F168" s="148">
        <f t="shared" si="39"/>
        <v>0</v>
      </c>
      <c r="G168" s="148">
        <f t="shared" si="39"/>
        <v>0</v>
      </c>
      <c r="H168" s="148">
        <f t="shared" si="39"/>
        <v>0</v>
      </c>
      <c r="I168" s="148">
        <f t="shared" si="39"/>
        <v>0</v>
      </c>
      <c r="J168" s="148">
        <f t="shared" si="39"/>
        <v>0</v>
      </c>
      <c r="K168" s="148">
        <f t="shared" si="39"/>
        <v>0</v>
      </c>
      <c r="L168" s="148">
        <f t="shared" si="39"/>
        <v>0</v>
      </c>
      <c r="M168" s="148">
        <f t="shared" si="39"/>
        <v>0</v>
      </c>
      <c r="N168" s="148">
        <f t="shared" si="39"/>
        <v>0</v>
      </c>
      <c r="O168" s="148">
        <f t="shared" si="39"/>
        <v>0</v>
      </c>
      <c r="P168" s="148">
        <f t="shared" si="39"/>
        <v>0</v>
      </c>
      <c r="Q168" s="148">
        <f t="shared" si="39"/>
        <v>0</v>
      </c>
      <c r="R168" s="148">
        <f t="shared" si="39"/>
        <v>0</v>
      </c>
      <c r="S168" s="148">
        <f t="shared" si="39"/>
        <v>0</v>
      </c>
      <c r="T168" s="148">
        <f t="shared" si="39"/>
        <v>0</v>
      </c>
      <c r="U168" s="148">
        <f t="shared" si="38"/>
        <v>0</v>
      </c>
      <c r="V168" s="148">
        <f t="shared" si="38"/>
        <v>0</v>
      </c>
      <c r="W168" s="148">
        <f t="shared" si="38"/>
        <v>0</v>
      </c>
      <c r="X168" s="148">
        <f t="shared" si="38"/>
        <v>0</v>
      </c>
      <c r="Y168" s="148">
        <f t="shared" si="38"/>
        <v>0</v>
      </c>
      <c r="Z168" s="148">
        <f t="shared" si="38"/>
        <v>0</v>
      </c>
      <c r="AA168" s="148">
        <f t="shared" si="38"/>
        <v>0</v>
      </c>
      <c r="AB168" s="148">
        <f t="shared" si="38"/>
        <v>0</v>
      </c>
      <c r="AC168" s="148">
        <f t="shared" si="38"/>
        <v>0</v>
      </c>
      <c r="AD168" s="148">
        <f t="shared" si="38"/>
        <v>0</v>
      </c>
    </row>
    <row r="169" spans="2:30" ht="15" customHeight="1" outlineLevel="1">
      <c r="B169" s="147" t="s">
        <v>155</v>
      </c>
      <c r="C169" s="130">
        <v>19</v>
      </c>
      <c r="E169" s="148">
        <f t="shared" si="39"/>
        <v>0</v>
      </c>
      <c r="F169" s="148">
        <f t="shared" si="39"/>
        <v>0</v>
      </c>
      <c r="G169" s="148">
        <f t="shared" si="39"/>
        <v>0</v>
      </c>
      <c r="H169" s="148">
        <f t="shared" si="39"/>
        <v>0</v>
      </c>
      <c r="I169" s="148">
        <f t="shared" si="39"/>
        <v>0</v>
      </c>
      <c r="J169" s="148">
        <f t="shared" si="39"/>
        <v>0</v>
      </c>
      <c r="K169" s="148">
        <f t="shared" si="39"/>
        <v>0</v>
      </c>
      <c r="L169" s="148">
        <f t="shared" si="39"/>
        <v>0</v>
      </c>
      <c r="M169" s="148">
        <f t="shared" si="39"/>
        <v>0</v>
      </c>
      <c r="N169" s="148">
        <f t="shared" si="39"/>
        <v>0</v>
      </c>
      <c r="O169" s="148">
        <f t="shared" si="39"/>
        <v>0</v>
      </c>
      <c r="P169" s="148">
        <f t="shared" si="39"/>
        <v>0</v>
      </c>
      <c r="Q169" s="148">
        <f t="shared" si="39"/>
        <v>0</v>
      </c>
      <c r="R169" s="148">
        <f t="shared" si="39"/>
        <v>0</v>
      </c>
      <c r="S169" s="148">
        <f t="shared" si="39"/>
        <v>0</v>
      </c>
      <c r="T169" s="148">
        <f t="shared" si="39"/>
        <v>0</v>
      </c>
      <c r="U169" s="148">
        <f t="shared" si="38"/>
        <v>0</v>
      </c>
      <c r="V169" s="148">
        <f t="shared" si="38"/>
        <v>0</v>
      </c>
      <c r="W169" s="148">
        <f t="shared" si="38"/>
        <v>0</v>
      </c>
      <c r="X169" s="148">
        <f t="shared" si="38"/>
        <v>0</v>
      </c>
      <c r="Y169" s="148">
        <f t="shared" si="38"/>
        <v>0</v>
      </c>
      <c r="Z169" s="148">
        <f t="shared" si="38"/>
        <v>0</v>
      </c>
      <c r="AA169" s="148">
        <f t="shared" si="38"/>
        <v>0</v>
      </c>
      <c r="AB169" s="148">
        <f t="shared" si="38"/>
        <v>0</v>
      </c>
      <c r="AC169" s="148">
        <f t="shared" si="38"/>
        <v>0</v>
      </c>
      <c r="AD169" s="148">
        <f t="shared" si="38"/>
        <v>0</v>
      </c>
    </row>
    <row r="170" spans="2:30" ht="15" customHeight="1" outlineLevel="1">
      <c r="B170" s="147" t="s">
        <v>156</v>
      </c>
      <c r="C170" s="130">
        <v>20</v>
      </c>
      <c r="E170" s="148">
        <f t="shared" si="39"/>
        <v>0</v>
      </c>
      <c r="F170" s="148">
        <f t="shared" si="39"/>
        <v>0</v>
      </c>
      <c r="G170" s="148">
        <f t="shared" si="39"/>
        <v>0</v>
      </c>
      <c r="H170" s="148">
        <f t="shared" si="39"/>
        <v>0</v>
      </c>
      <c r="I170" s="148">
        <f t="shared" si="39"/>
        <v>0</v>
      </c>
      <c r="J170" s="148">
        <f t="shared" si="39"/>
        <v>0</v>
      </c>
      <c r="K170" s="148">
        <f t="shared" si="39"/>
        <v>0</v>
      </c>
      <c r="L170" s="148">
        <f t="shared" si="39"/>
        <v>0</v>
      </c>
      <c r="M170" s="148">
        <f t="shared" si="39"/>
        <v>0</v>
      </c>
      <c r="N170" s="148">
        <f t="shared" si="39"/>
        <v>0</v>
      </c>
      <c r="O170" s="148">
        <f t="shared" si="39"/>
        <v>0</v>
      </c>
      <c r="P170" s="148">
        <f t="shared" si="39"/>
        <v>0</v>
      </c>
      <c r="Q170" s="148">
        <f t="shared" si="39"/>
        <v>0</v>
      </c>
      <c r="R170" s="148">
        <f t="shared" si="39"/>
        <v>0</v>
      </c>
      <c r="S170" s="148">
        <f t="shared" si="39"/>
        <v>0</v>
      </c>
      <c r="T170" s="148">
        <f t="shared" si="39"/>
        <v>0</v>
      </c>
      <c r="U170" s="148">
        <f t="shared" si="38"/>
        <v>0</v>
      </c>
      <c r="V170" s="148">
        <f t="shared" si="38"/>
        <v>0</v>
      </c>
      <c r="W170" s="148">
        <f t="shared" si="38"/>
        <v>0</v>
      </c>
      <c r="X170" s="148">
        <f t="shared" si="38"/>
        <v>0</v>
      </c>
      <c r="Y170" s="148">
        <f t="shared" si="38"/>
        <v>0</v>
      </c>
      <c r="Z170" s="148">
        <f t="shared" si="38"/>
        <v>0</v>
      </c>
      <c r="AA170" s="148">
        <f t="shared" si="38"/>
        <v>0</v>
      </c>
      <c r="AB170" s="148">
        <f t="shared" si="38"/>
        <v>0</v>
      </c>
      <c r="AC170" s="148">
        <f t="shared" si="38"/>
        <v>0</v>
      </c>
      <c r="AD170" s="148">
        <f t="shared" si="38"/>
        <v>0</v>
      </c>
    </row>
    <row r="171" spans="2:30" ht="15" customHeight="1" outlineLevel="1">
      <c r="B171" s="147" t="s">
        <v>157</v>
      </c>
      <c r="C171" s="130">
        <v>21</v>
      </c>
      <c r="E171" s="148">
        <f t="shared" si="39"/>
        <v>0</v>
      </c>
      <c r="F171" s="148">
        <f t="shared" si="39"/>
        <v>0</v>
      </c>
      <c r="G171" s="148">
        <f t="shared" si="39"/>
        <v>0</v>
      </c>
      <c r="H171" s="148">
        <f t="shared" si="39"/>
        <v>0</v>
      </c>
      <c r="I171" s="148">
        <f t="shared" si="39"/>
        <v>0</v>
      </c>
      <c r="J171" s="148">
        <f t="shared" si="39"/>
        <v>0</v>
      </c>
      <c r="K171" s="148">
        <f t="shared" si="39"/>
        <v>0</v>
      </c>
      <c r="L171" s="148">
        <f t="shared" si="39"/>
        <v>0</v>
      </c>
      <c r="M171" s="148">
        <f t="shared" si="39"/>
        <v>0</v>
      </c>
      <c r="N171" s="148">
        <f t="shared" si="39"/>
        <v>0</v>
      </c>
      <c r="O171" s="148">
        <f t="shared" si="39"/>
        <v>0</v>
      </c>
      <c r="P171" s="148">
        <f t="shared" si="39"/>
        <v>0</v>
      </c>
      <c r="Q171" s="148">
        <f t="shared" si="39"/>
        <v>0</v>
      </c>
      <c r="R171" s="148">
        <f t="shared" si="39"/>
        <v>0</v>
      </c>
      <c r="S171" s="148">
        <f t="shared" si="39"/>
        <v>0</v>
      </c>
      <c r="T171" s="148">
        <f t="shared" si="39"/>
        <v>0</v>
      </c>
      <c r="U171" s="148">
        <f t="shared" si="38"/>
        <v>0</v>
      </c>
      <c r="V171" s="148">
        <f t="shared" si="38"/>
        <v>0</v>
      </c>
      <c r="W171" s="148">
        <f t="shared" si="38"/>
        <v>0</v>
      </c>
      <c r="X171" s="148">
        <f t="shared" si="38"/>
        <v>0</v>
      </c>
      <c r="Y171" s="148">
        <f t="shared" si="38"/>
        <v>0</v>
      </c>
      <c r="Z171" s="148">
        <f t="shared" si="38"/>
        <v>0</v>
      </c>
      <c r="AA171" s="148">
        <f t="shared" si="38"/>
        <v>0</v>
      </c>
      <c r="AB171" s="148">
        <f t="shared" si="38"/>
        <v>0</v>
      </c>
      <c r="AC171" s="148">
        <f t="shared" si="38"/>
        <v>0</v>
      </c>
      <c r="AD171" s="148">
        <f t="shared" si="38"/>
        <v>0</v>
      </c>
    </row>
    <row r="172" spans="2:30" ht="15" customHeight="1" outlineLevel="1">
      <c r="B172" s="147" t="s">
        <v>158</v>
      </c>
      <c r="C172" s="130">
        <v>22</v>
      </c>
      <c r="E172" s="148">
        <f t="shared" si="39"/>
        <v>0</v>
      </c>
      <c r="F172" s="148">
        <f t="shared" si="39"/>
        <v>0</v>
      </c>
      <c r="G172" s="148">
        <f t="shared" si="39"/>
        <v>0</v>
      </c>
      <c r="H172" s="148">
        <f t="shared" si="39"/>
        <v>0</v>
      </c>
      <c r="I172" s="148">
        <f t="shared" si="39"/>
        <v>0</v>
      </c>
      <c r="J172" s="148">
        <f t="shared" si="39"/>
        <v>0</v>
      </c>
      <c r="K172" s="148">
        <f t="shared" si="39"/>
        <v>0</v>
      </c>
      <c r="L172" s="148">
        <f t="shared" si="39"/>
        <v>0</v>
      </c>
      <c r="M172" s="148">
        <f t="shared" si="39"/>
        <v>0</v>
      </c>
      <c r="N172" s="148">
        <f t="shared" si="39"/>
        <v>0</v>
      </c>
      <c r="O172" s="148">
        <f t="shared" si="39"/>
        <v>0</v>
      </c>
      <c r="P172" s="148">
        <f t="shared" si="39"/>
        <v>0</v>
      </c>
      <c r="Q172" s="148">
        <f t="shared" si="39"/>
        <v>0</v>
      </c>
      <c r="R172" s="148">
        <f t="shared" si="39"/>
        <v>0</v>
      </c>
      <c r="S172" s="148">
        <f t="shared" si="39"/>
        <v>0</v>
      </c>
      <c r="T172" s="148">
        <f t="shared" si="39"/>
        <v>0</v>
      </c>
      <c r="U172" s="148">
        <f t="shared" si="38"/>
        <v>0</v>
      </c>
      <c r="V172" s="148">
        <f t="shared" si="38"/>
        <v>0</v>
      </c>
      <c r="W172" s="148">
        <f t="shared" si="38"/>
        <v>0</v>
      </c>
      <c r="X172" s="148">
        <f t="shared" si="38"/>
        <v>0</v>
      </c>
      <c r="Y172" s="148">
        <f t="shared" si="38"/>
        <v>0</v>
      </c>
      <c r="Z172" s="148">
        <f t="shared" si="38"/>
        <v>0</v>
      </c>
      <c r="AA172" s="148">
        <f t="shared" si="38"/>
        <v>0</v>
      </c>
      <c r="AB172" s="148">
        <f t="shared" si="38"/>
        <v>0</v>
      </c>
      <c r="AC172" s="148">
        <f t="shared" si="38"/>
        <v>0</v>
      </c>
      <c r="AD172" s="148">
        <f t="shared" si="38"/>
        <v>0</v>
      </c>
    </row>
    <row r="173" spans="2:30" ht="15" customHeight="1" outlineLevel="1">
      <c r="B173" s="147" t="s">
        <v>159</v>
      </c>
      <c r="C173" s="130">
        <v>23</v>
      </c>
      <c r="E173" s="148">
        <f t="shared" si="39"/>
        <v>0</v>
      </c>
      <c r="F173" s="148">
        <f t="shared" si="39"/>
        <v>0</v>
      </c>
      <c r="G173" s="148">
        <f t="shared" si="39"/>
        <v>0</v>
      </c>
      <c r="H173" s="148">
        <f t="shared" si="39"/>
        <v>0</v>
      </c>
      <c r="I173" s="148">
        <f t="shared" si="39"/>
        <v>0</v>
      </c>
      <c r="J173" s="148">
        <f t="shared" si="39"/>
        <v>0</v>
      </c>
      <c r="K173" s="148">
        <f t="shared" si="39"/>
        <v>0</v>
      </c>
      <c r="L173" s="148">
        <f t="shared" si="39"/>
        <v>0</v>
      </c>
      <c r="M173" s="148">
        <f t="shared" si="39"/>
        <v>0</v>
      </c>
      <c r="N173" s="148">
        <f t="shared" si="39"/>
        <v>0</v>
      </c>
      <c r="O173" s="148">
        <f t="shared" si="39"/>
        <v>0</v>
      </c>
      <c r="P173" s="148">
        <f t="shared" si="39"/>
        <v>0</v>
      </c>
      <c r="Q173" s="148">
        <f t="shared" si="39"/>
        <v>0</v>
      </c>
      <c r="R173" s="148">
        <f t="shared" si="39"/>
        <v>0</v>
      </c>
      <c r="S173" s="148">
        <f t="shared" si="39"/>
        <v>0</v>
      </c>
      <c r="T173" s="148">
        <f t="shared" si="39"/>
        <v>0</v>
      </c>
      <c r="U173" s="148">
        <f t="shared" si="38"/>
        <v>0</v>
      </c>
      <c r="V173" s="148">
        <f t="shared" si="38"/>
        <v>0</v>
      </c>
      <c r="W173" s="148">
        <f t="shared" si="38"/>
        <v>0</v>
      </c>
      <c r="X173" s="148">
        <f t="shared" si="38"/>
        <v>0</v>
      </c>
      <c r="Y173" s="148">
        <f t="shared" si="38"/>
        <v>0</v>
      </c>
      <c r="Z173" s="148">
        <f t="shared" si="38"/>
        <v>0</v>
      </c>
      <c r="AA173" s="148">
        <f t="shared" si="38"/>
        <v>0</v>
      </c>
      <c r="AB173" s="148">
        <f t="shared" si="38"/>
        <v>0</v>
      </c>
      <c r="AC173" s="148">
        <f t="shared" si="38"/>
        <v>0</v>
      </c>
      <c r="AD173" s="148">
        <f t="shared" si="38"/>
        <v>0</v>
      </c>
    </row>
    <row r="174" spans="2:30" ht="15" customHeight="1" outlineLevel="1">
      <c r="B174" s="147" t="s">
        <v>160</v>
      </c>
      <c r="C174" s="130">
        <v>24</v>
      </c>
      <c r="E174" s="148">
        <f t="shared" si="39"/>
        <v>0</v>
      </c>
      <c r="F174" s="148">
        <f t="shared" si="39"/>
        <v>0</v>
      </c>
      <c r="G174" s="148">
        <f t="shared" si="39"/>
        <v>0</v>
      </c>
      <c r="H174" s="148">
        <f t="shared" si="39"/>
        <v>0</v>
      </c>
      <c r="I174" s="148">
        <f t="shared" si="39"/>
        <v>0</v>
      </c>
      <c r="J174" s="148">
        <f t="shared" si="39"/>
        <v>0</v>
      </c>
      <c r="K174" s="148">
        <f t="shared" si="39"/>
        <v>0</v>
      </c>
      <c r="L174" s="148">
        <f t="shared" si="39"/>
        <v>0</v>
      </c>
      <c r="M174" s="148">
        <f t="shared" si="39"/>
        <v>0</v>
      </c>
      <c r="N174" s="148">
        <f t="shared" si="39"/>
        <v>0</v>
      </c>
      <c r="O174" s="148">
        <f t="shared" si="39"/>
        <v>0</v>
      </c>
      <c r="P174" s="148">
        <f t="shared" si="39"/>
        <v>0</v>
      </c>
      <c r="Q174" s="148">
        <f t="shared" si="39"/>
        <v>0</v>
      </c>
      <c r="R174" s="148">
        <f t="shared" si="39"/>
        <v>0</v>
      </c>
      <c r="S174" s="148">
        <f t="shared" si="39"/>
        <v>0</v>
      </c>
      <c r="T174" s="148">
        <f t="shared" si="39"/>
        <v>0</v>
      </c>
      <c r="U174" s="148">
        <f t="shared" si="38"/>
        <v>0</v>
      </c>
      <c r="V174" s="148">
        <f t="shared" si="38"/>
        <v>0</v>
      </c>
      <c r="W174" s="148">
        <f t="shared" si="38"/>
        <v>0</v>
      </c>
      <c r="X174" s="148">
        <f t="shared" si="38"/>
        <v>0</v>
      </c>
      <c r="Y174" s="148">
        <f t="shared" si="38"/>
        <v>0</v>
      </c>
      <c r="Z174" s="148">
        <f t="shared" si="38"/>
        <v>0</v>
      </c>
      <c r="AA174" s="148">
        <f t="shared" si="38"/>
        <v>0</v>
      </c>
      <c r="AB174" s="148">
        <f t="shared" si="38"/>
        <v>0</v>
      </c>
      <c r="AC174" s="148">
        <f t="shared" si="38"/>
        <v>0</v>
      </c>
      <c r="AD174" s="148">
        <f t="shared" si="38"/>
        <v>0</v>
      </c>
    </row>
    <row r="175" spans="2:30" ht="15" customHeight="1" outlineLevel="1">
      <c r="B175" s="149" t="s">
        <v>161</v>
      </c>
      <c r="C175" s="150">
        <v>25</v>
      </c>
      <c r="D175" s="150"/>
      <c r="E175" s="151">
        <f t="shared" si="39"/>
        <v>0</v>
      </c>
      <c r="F175" s="151">
        <f t="shared" si="39"/>
        <v>0</v>
      </c>
      <c r="G175" s="151">
        <f t="shared" si="39"/>
        <v>0</v>
      </c>
      <c r="H175" s="151">
        <f t="shared" si="39"/>
        <v>0</v>
      </c>
      <c r="I175" s="151">
        <f t="shared" si="39"/>
        <v>0</v>
      </c>
      <c r="J175" s="151">
        <f t="shared" si="39"/>
        <v>0</v>
      </c>
      <c r="K175" s="151">
        <f t="shared" si="39"/>
        <v>0</v>
      </c>
      <c r="L175" s="151">
        <f t="shared" si="39"/>
        <v>0</v>
      </c>
      <c r="M175" s="151">
        <f t="shared" si="39"/>
        <v>0</v>
      </c>
      <c r="N175" s="151">
        <f t="shared" si="39"/>
        <v>0</v>
      </c>
      <c r="O175" s="151">
        <f t="shared" si="39"/>
        <v>0</v>
      </c>
      <c r="P175" s="151">
        <f t="shared" si="39"/>
        <v>0</v>
      </c>
      <c r="Q175" s="151">
        <f t="shared" si="39"/>
        <v>0</v>
      </c>
      <c r="R175" s="151">
        <f t="shared" si="39"/>
        <v>0</v>
      </c>
      <c r="S175" s="151">
        <f t="shared" si="39"/>
        <v>0</v>
      </c>
      <c r="T175" s="151">
        <f t="shared" si="39"/>
        <v>0</v>
      </c>
      <c r="U175" s="151">
        <f t="shared" si="38"/>
        <v>0</v>
      </c>
      <c r="V175" s="151">
        <f t="shared" si="38"/>
        <v>0</v>
      </c>
      <c r="W175" s="151">
        <f t="shared" si="38"/>
        <v>0</v>
      </c>
      <c r="X175" s="151">
        <f t="shared" si="38"/>
        <v>0</v>
      </c>
      <c r="Y175" s="151">
        <f t="shared" si="38"/>
        <v>0</v>
      </c>
      <c r="Z175" s="151">
        <f t="shared" si="38"/>
        <v>0</v>
      </c>
      <c r="AA175" s="151">
        <f t="shared" si="38"/>
        <v>0</v>
      </c>
      <c r="AB175" s="151">
        <f t="shared" si="38"/>
        <v>0</v>
      </c>
      <c r="AC175" s="151">
        <f t="shared" si="38"/>
        <v>0</v>
      </c>
      <c r="AD175" s="151">
        <f t="shared" si="38"/>
        <v>0</v>
      </c>
    </row>
    <row r="176" spans="2:30" ht="15" customHeight="1">
      <c r="B176" s="147" t="s">
        <v>167</v>
      </c>
      <c r="E176" s="148">
        <f>+SUM(E151:E175)</f>
        <v>0</v>
      </c>
      <c r="F176" s="148">
        <f>+SUM(F151:F175)</f>
        <v>0</v>
      </c>
      <c r="G176" s="148">
        <f t="shared" ref="G176:AD176" si="40">+SUM(G151:G175)</f>
        <v>0</v>
      </c>
      <c r="H176" s="148">
        <f t="shared" si="40"/>
        <v>0</v>
      </c>
      <c r="I176" s="148">
        <f t="shared" si="40"/>
        <v>0</v>
      </c>
      <c r="J176" s="148">
        <f t="shared" si="40"/>
        <v>0</v>
      </c>
      <c r="K176" s="148">
        <f t="shared" si="40"/>
        <v>0</v>
      </c>
      <c r="L176" s="148">
        <f t="shared" si="40"/>
        <v>0</v>
      </c>
      <c r="M176" s="148">
        <f t="shared" si="40"/>
        <v>0</v>
      </c>
      <c r="N176" s="148">
        <f t="shared" si="40"/>
        <v>0</v>
      </c>
      <c r="O176" s="148">
        <f t="shared" si="40"/>
        <v>0</v>
      </c>
      <c r="P176" s="148">
        <f t="shared" si="40"/>
        <v>0</v>
      </c>
      <c r="Q176" s="148">
        <f t="shared" si="40"/>
        <v>0</v>
      </c>
      <c r="R176" s="148">
        <f t="shared" si="40"/>
        <v>0</v>
      </c>
      <c r="S176" s="148">
        <f t="shared" si="40"/>
        <v>0</v>
      </c>
      <c r="T176" s="148">
        <f t="shared" si="40"/>
        <v>0</v>
      </c>
      <c r="U176" s="148">
        <f t="shared" si="40"/>
        <v>0</v>
      </c>
      <c r="V176" s="148">
        <f t="shared" si="40"/>
        <v>0</v>
      </c>
      <c r="W176" s="148">
        <f t="shared" si="40"/>
        <v>0</v>
      </c>
      <c r="X176" s="148">
        <f t="shared" si="40"/>
        <v>0</v>
      </c>
      <c r="Y176" s="148">
        <f t="shared" si="40"/>
        <v>0</v>
      </c>
      <c r="Z176" s="148">
        <f t="shared" si="40"/>
        <v>0</v>
      </c>
      <c r="AA176" s="148">
        <f t="shared" si="40"/>
        <v>0</v>
      </c>
      <c r="AB176" s="148">
        <f t="shared" si="40"/>
        <v>0</v>
      </c>
      <c r="AC176" s="148">
        <f t="shared" si="40"/>
        <v>0</v>
      </c>
      <c r="AD176" s="148">
        <f t="shared" si="40"/>
        <v>0</v>
      </c>
    </row>
    <row r="177" spans="2:30" ht="15" customHeight="1">
      <c r="B177" s="130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</row>
    <row r="178" spans="2:30" ht="15" customHeight="1">
      <c r="B178" s="144" t="s">
        <v>163</v>
      </c>
      <c r="C178" s="152">
        <v>5</v>
      </c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</row>
    <row r="179" spans="2:30" ht="15" customHeight="1">
      <c r="B179" s="147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</row>
    <row r="180" spans="2:30" ht="15" customHeight="1" outlineLevel="1">
      <c r="B180" s="147" t="s">
        <v>137</v>
      </c>
      <c r="C180" s="130">
        <v>1</v>
      </c>
      <c r="E180" s="148">
        <f>+IF($C180+$C$178&gt;E$147,E151/$C$178,0)</f>
        <v>0</v>
      </c>
      <c r="F180" s="148">
        <f t="shared" ref="F180:AD195" si="41">+IF($C180+$C$178&gt;F$147,F151/$C$178,0)</f>
        <v>0</v>
      </c>
      <c r="G180" s="148">
        <f t="shared" si="41"/>
        <v>0</v>
      </c>
      <c r="H180" s="148">
        <f t="shared" si="41"/>
        <v>0</v>
      </c>
      <c r="I180" s="148">
        <f t="shared" si="41"/>
        <v>0</v>
      </c>
      <c r="J180" s="148">
        <f t="shared" si="41"/>
        <v>0</v>
      </c>
      <c r="K180" s="148">
        <f t="shared" si="41"/>
        <v>0</v>
      </c>
      <c r="L180" s="148">
        <f t="shared" si="41"/>
        <v>0</v>
      </c>
      <c r="M180" s="148">
        <f t="shared" si="41"/>
        <v>0</v>
      </c>
      <c r="N180" s="148">
        <f t="shared" si="41"/>
        <v>0</v>
      </c>
      <c r="O180" s="148">
        <f t="shared" si="41"/>
        <v>0</v>
      </c>
      <c r="P180" s="148">
        <f t="shared" si="41"/>
        <v>0</v>
      </c>
      <c r="Q180" s="148">
        <f t="shared" si="41"/>
        <v>0</v>
      </c>
      <c r="R180" s="148">
        <f t="shared" si="41"/>
        <v>0</v>
      </c>
      <c r="S180" s="148">
        <f t="shared" si="41"/>
        <v>0</v>
      </c>
      <c r="T180" s="148">
        <f t="shared" si="41"/>
        <v>0</v>
      </c>
      <c r="U180" s="148">
        <f t="shared" si="41"/>
        <v>0</v>
      </c>
      <c r="V180" s="148">
        <f t="shared" si="41"/>
        <v>0</v>
      </c>
      <c r="W180" s="148">
        <f t="shared" si="41"/>
        <v>0</v>
      </c>
      <c r="X180" s="148">
        <f t="shared" si="41"/>
        <v>0</v>
      </c>
      <c r="Y180" s="148">
        <f t="shared" si="41"/>
        <v>0</v>
      </c>
      <c r="Z180" s="148">
        <f t="shared" si="41"/>
        <v>0</v>
      </c>
      <c r="AA180" s="148">
        <f t="shared" si="41"/>
        <v>0</v>
      </c>
      <c r="AB180" s="148">
        <f t="shared" si="41"/>
        <v>0</v>
      </c>
      <c r="AC180" s="148">
        <f t="shared" si="41"/>
        <v>0</v>
      </c>
      <c r="AD180" s="148">
        <f t="shared" si="41"/>
        <v>0</v>
      </c>
    </row>
    <row r="181" spans="2:30" ht="15" customHeight="1" outlineLevel="1">
      <c r="B181" s="147" t="s">
        <v>138</v>
      </c>
      <c r="C181" s="130">
        <v>2</v>
      </c>
      <c r="E181" s="148">
        <f t="shared" ref="E181:AC191" si="42">+IF($C181+$C$178&gt;E$147,E152/$C$178,0)</f>
        <v>0</v>
      </c>
      <c r="F181" s="148">
        <f t="shared" si="42"/>
        <v>0</v>
      </c>
      <c r="G181" s="148">
        <f t="shared" si="42"/>
        <v>0</v>
      </c>
      <c r="H181" s="148">
        <f t="shared" si="42"/>
        <v>0</v>
      </c>
      <c r="I181" s="148">
        <f t="shared" si="42"/>
        <v>0</v>
      </c>
      <c r="J181" s="148">
        <f t="shared" si="42"/>
        <v>0</v>
      </c>
      <c r="K181" s="148">
        <f t="shared" si="42"/>
        <v>0</v>
      </c>
      <c r="L181" s="148">
        <f t="shared" si="42"/>
        <v>0</v>
      </c>
      <c r="M181" s="148">
        <f t="shared" si="42"/>
        <v>0</v>
      </c>
      <c r="N181" s="148">
        <f t="shared" si="42"/>
        <v>0</v>
      </c>
      <c r="O181" s="148">
        <f t="shared" si="42"/>
        <v>0</v>
      </c>
      <c r="P181" s="148">
        <f t="shared" si="42"/>
        <v>0</v>
      </c>
      <c r="Q181" s="148">
        <f t="shared" si="42"/>
        <v>0</v>
      </c>
      <c r="R181" s="148">
        <f t="shared" si="42"/>
        <v>0</v>
      </c>
      <c r="S181" s="148">
        <f t="shared" si="42"/>
        <v>0</v>
      </c>
      <c r="T181" s="148">
        <f t="shared" si="42"/>
        <v>0</v>
      </c>
      <c r="U181" s="148">
        <f t="shared" si="42"/>
        <v>0</v>
      </c>
      <c r="V181" s="148">
        <f t="shared" si="42"/>
        <v>0</v>
      </c>
      <c r="W181" s="148">
        <f t="shared" si="42"/>
        <v>0</v>
      </c>
      <c r="X181" s="148">
        <f t="shared" si="42"/>
        <v>0</v>
      </c>
      <c r="Y181" s="148">
        <f t="shared" si="42"/>
        <v>0</v>
      </c>
      <c r="Z181" s="148">
        <f t="shared" si="42"/>
        <v>0</v>
      </c>
      <c r="AA181" s="148">
        <f t="shared" si="42"/>
        <v>0</v>
      </c>
      <c r="AB181" s="148">
        <f t="shared" si="42"/>
        <v>0</v>
      </c>
      <c r="AC181" s="148">
        <f t="shared" si="42"/>
        <v>0</v>
      </c>
      <c r="AD181" s="148">
        <f t="shared" si="41"/>
        <v>0</v>
      </c>
    </row>
    <row r="182" spans="2:30" ht="15" customHeight="1" outlineLevel="1">
      <c r="B182" s="147" t="s">
        <v>139</v>
      </c>
      <c r="C182" s="130">
        <v>3</v>
      </c>
      <c r="E182" s="148">
        <f t="shared" si="42"/>
        <v>0</v>
      </c>
      <c r="F182" s="148">
        <f t="shared" si="42"/>
        <v>0</v>
      </c>
      <c r="G182" s="148">
        <f t="shared" si="42"/>
        <v>0</v>
      </c>
      <c r="H182" s="148">
        <f t="shared" si="42"/>
        <v>0</v>
      </c>
      <c r="I182" s="148">
        <f t="shared" si="42"/>
        <v>0</v>
      </c>
      <c r="J182" s="148">
        <f t="shared" si="42"/>
        <v>0</v>
      </c>
      <c r="K182" s="148">
        <f t="shared" si="42"/>
        <v>0</v>
      </c>
      <c r="L182" s="148">
        <f t="shared" si="42"/>
        <v>0</v>
      </c>
      <c r="M182" s="148">
        <f t="shared" si="42"/>
        <v>0</v>
      </c>
      <c r="N182" s="148">
        <f t="shared" si="42"/>
        <v>0</v>
      </c>
      <c r="O182" s="148">
        <f t="shared" si="42"/>
        <v>0</v>
      </c>
      <c r="P182" s="148">
        <f t="shared" si="42"/>
        <v>0</v>
      </c>
      <c r="Q182" s="148">
        <f t="shared" si="42"/>
        <v>0</v>
      </c>
      <c r="R182" s="148">
        <f t="shared" si="42"/>
        <v>0</v>
      </c>
      <c r="S182" s="148">
        <f t="shared" si="42"/>
        <v>0</v>
      </c>
      <c r="T182" s="148">
        <f t="shared" si="42"/>
        <v>0</v>
      </c>
      <c r="U182" s="148">
        <f t="shared" si="42"/>
        <v>0</v>
      </c>
      <c r="V182" s="148">
        <f t="shared" si="42"/>
        <v>0</v>
      </c>
      <c r="W182" s="148">
        <f t="shared" si="42"/>
        <v>0</v>
      </c>
      <c r="X182" s="148">
        <f t="shared" si="42"/>
        <v>0</v>
      </c>
      <c r="Y182" s="148">
        <f t="shared" si="42"/>
        <v>0</v>
      </c>
      <c r="Z182" s="148">
        <f t="shared" si="42"/>
        <v>0</v>
      </c>
      <c r="AA182" s="148">
        <f t="shared" si="42"/>
        <v>0</v>
      </c>
      <c r="AB182" s="148">
        <f t="shared" si="42"/>
        <v>0</v>
      </c>
      <c r="AC182" s="148">
        <f t="shared" si="42"/>
        <v>0</v>
      </c>
      <c r="AD182" s="148">
        <f t="shared" si="41"/>
        <v>0</v>
      </c>
    </row>
    <row r="183" spans="2:30" ht="15" customHeight="1" outlineLevel="1">
      <c r="B183" s="147" t="s">
        <v>140</v>
      </c>
      <c r="C183" s="130">
        <v>4</v>
      </c>
      <c r="E183" s="148">
        <f t="shared" si="42"/>
        <v>0</v>
      </c>
      <c r="F183" s="148">
        <f t="shared" si="42"/>
        <v>0</v>
      </c>
      <c r="G183" s="148">
        <f t="shared" si="42"/>
        <v>0</v>
      </c>
      <c r="H183" s="148">
        <f t="shared" si="42"/>
        <v>0</v>
      </c>
      <c r="I183" s="148">
        <f t="shared" si="42"/>
        <v>0</v>
      </c>
      <c r="J183" s="148">
        <f t="shared" si="42"/>
        <v>0</v>
      </c>
      <c r="K183" s="148">
        <f t="shared" si="42"/>
        <v>0</v>
      </c>
      <c r="L183" s="148">
        <f t="shared" si="42"/>
        <v>0</v>
      </c>
      <c r="M183" s="148">
        <f t="shared" si="42"/>
        <v>0</v>
      </c>
      <c r="N183" s="148">
        <f t="shared" si="42"/>
        <v>0</v>
      </c>
      <c r="O183" s="148">
        <f t="shared" si="42"/>
        <v>0</v>
      </c>
      <c r="P183" s="148">
        <f t="shared" si="42"/>
        <v>0</v>
      </c>
      <c r="Q183" s="148">
        <f t="shared" si="42"/>
        <v>0</v>
      </c>
      <c r="R183" s="148">
        <f t="shared" si="42"/>
        <v>0</v>
      </c>
      <c r="S183" s="148">
        <f t="shared" si="42"/>
        <v>0</v>
      </c>
      <c r="T183" s="148">
        <f t="shared" si="42"/>
        <v>0</v>
      </c>
      <c r="U183" s="148">
        <f t="shared" si="42"/>
        <v>0</v>
      </c>
      <c r="V183" s="148">
        <f t="shared" si="42"/>
        <v>0</v>
      </c>
      <c r="W183" s="148">
        <f t="shared" si="42"/>
        <v>0</v>
      </c>
      <c r="X183" s="148">
        <f t="shared" si="42"/>
        <v>0</v>
      </c>
      <c r="Y183" s="148">
        <f t="shared" si="42"/>
        <v>0</v>
      </c>
      <c r="Z183" s="148">
        <f t="shared" si="42"/>
        <v>0</v>
      </c>
      <c r="AA183" s="148">
        <f t="shared" si="42"/>
        <v>0</v>
      </c>
      <c r="AB183" s="148">
        <f t="shared" si="42"/>
        <v>0</v>
      </c>
      <c r="AC183" s="148">
        <f t="shared" si="42"/>
        <v>0</v>
      </c>
      <c r="AD183" s="148">
        <f t="shared" si="41"/>
        <v>0</v>
      </c>
    </row>
    <row r="184" spans="2:30" ht="15" customHeight="1" outlineLevel="1">
      <c r="B184" s="147" t="s">
        <v>141</v>
      </c>
      <c r="C184" s="130">
        <v>5</v>
      </c>
      <c r="E184" s="148">
        <f t="shared" si="42"/>
        <v>0</v>
      </c>
      <c r="F184" s="148">
        <f t="shared" si="42"/>
        <v>0</v>
      </c>
      <c r="G184" s="148">
        <f t="shared" si="42"/>
        <v>0</v>
      </c>
      <c r="H184" s="148">
        <f t="shared" si="42"/>
        <v>0</v>
      </c>
      <c r="I184" s="148">
        <f t="shared" si="42"/>
        <v>0</v>
      </c>
      <c r="J184" s="148">
        <f t="shared" si="42"/>
        <v>0</v>
      </c>
      <c r="K184" s="148">
        <f t="shared" si="42"/>
        <v>0</v>
      </c>
      <c r="L184" s="148">
        <f t="shared" si="42"/>
        <v>0</v>
      </c>
      <c r="M184" s="148">
        <f t="shared" si="42"/>
        <v>0</v>
      </c>
      <c r="N184" s="148">
        <f t="shared" si="42"/>
        <v>0</v>
      </c>
      <c r="O184" s="148">
        <f t="shared" si="42"/>
        <v>0</v>
      </c>
      <c r="P184" s="148">
        <f t="shared" si="42"/>
        <v>0</v>
      </c>
      <c r="Q184" s="148">
        <f t="shared" si="42"/>
        <v>0</v>
      </c>
      <c r="R184" s="148">
        <f t="shared" si="42"/>
        <v>0</v>
      </c>
      <c r="S184" s="148">
        <f t="shared" si="42"/>
        <v>0</v>
      </c>
      <c r="T184" s="148">
        <f t="shared" si="42"/>
        <v>0</v>
      </c>
      <c r="U184" s="148">
        <f t="shared" si="42"/>
        <v>0</v>
      </c>
      <c r="V184" s="148">
        <f t="shared" si="42"/>
        <v>0</v>
      </c>
      <c r="W184" s="148">
        <f t="shared" si="42"/>
        <v>0</v>
      </c>
      <c r="X184" s="148">
        <f t="shared" si="42"/>
        <v>0</v>
      </c>
      <c r="Y184" s="148">
        <f t="shared" si="42"/>
        <v>0</v>
      </c>
      <c r="Z184" s="148">
        <f t="shared" si="42"/>
        <v>0</v>
      </c>
      <c r="AA184" s="148">
        <f t="shared" si="42"/>
        <v>0</v>
      </c>
      <c r="AB184" s="148">
        <f t="shared" si="42"/>
        <v>0</v>
      </c>
      <c r="AC184" s="148">
        <f t="shared" si="42"/>
        <v>0</v>
      </c>
      <c r="AD184" s="148">
        <f t="shared" si="41"/>
        <v>0</v>
      </c>
    </row>
    <row r="185" spans="2:30" ht="15" customHeight="1" outlineLevel="1">
      <c r="B185" s="147" t="s">
        <v>142</v>
      </c>
      <c r="C185" s="130">
        <v>6</v>
      </c>
      <c r="E185" s="148">
        <f t="shared" si="42"/>
        <v>0</v>
      </c>
      <c r="F185" s="148">
        <f t="shared" si="42"/>
        <v>0</v>
      </c>
      <c r="G185" s="148">
        <f t="shared" si="42"/>
        <v>0</v>
      </c>
      <c r="H185" s="148">
        <f t="shared" si="42"/>
        <v>0</v>
      </c>
      <c r="I185" s="148">
        <f t="shared" si="42"/>
        <v>0</v>
      </c>
      <c r="J185" s="148">
        <f t="shared" si="42"/>
        <v>0</v>
      </c>
      <c r="K185" s="148">
        <f t="shared" si="42"/>
        <v>0</v>
      </c>
      <c r="L185" s="148">
        <f t="shared" si="42"/>
        <v>0</v>
      </c>
      <c r="M185" s="148">
        <f t="shared" si="42"/>
        <v>0</v>
      </c>
      <c r="N185" s="148">
        <f t="shared" si="42"/>
        <v>0</v>
      </c>
      <c r="O185" s="148">
        <f t="shared" si="42"/>
        <v>0</v>
      </c>
      <c r="P185" s="148">
        <f t="shared" si="42"/>
        <v>0</v>
      </c>
      <c r="Q185" s="148">
        <f t="shared" si="42"/>
        <v>0</v>
      </c>
      <c r="R185" s="148">
        <f t="shared" si="42"/>
        <v>0</v>
      </c>
      <c r="S185" s="148">
        <f t="shared" si="42"/>
        <v>0</v>
      </c>
      <c r="T185" s="148">
        <f t="shared" si="42"/>
        <v>0</v>
      </c>
      <c r="U185" s="148">
        <f t="shared" si="42"/>
        <v>0</v>
      </c>
      <c r="V185" s="148">
        <f t="shared" si="42"/>
        <v>0</v>
      </c>
      <c r="W185" s="148">
        <f t="shared" si="42"/>
        <v>0</v>
      </c>
      <c r="X185" s="148">
        <f t="shared" si="42"/>
        <v>0</v>
      </c>
      <c r="Y185" s="148">
        <f t="shared" si="42"/>
        <v>0</v>
      </c>
      <c r="Z185" s="148">
        <f t="shared" si="42"/>
        <v>0</v>
      </c>
      <c r="AA185" s="148">
        <f t="shared" si="42"/>
        <v>0</v>
      </c>
      <c r="AB185" s="148">
        <f t="shared" si="42"/>
        <v>0</v>
      </c>
      <c r="AC185" s="148">
        <f t="shared" si="42"/>
        <v>0</v>
      </c>
      <c r="AD185" s="148">
        <f t="shared" si="41"/>
        <v>0</v>
      </c>
    </row>
    <row r="186" spans="2:30" ht="15" customHeight="1" outlineLevel="1">
      <c r="B186" s="147" t="s">
        <v>143</v>
      </c>
      <c r="C186" s="130">
        <v>7</v>
      </c>
      <c r="E186" s="148">
        <f t="shared" si="42"/>
        <v>0</v>
      </c>
      <c r="F186" s="148">
        <f t="shared" si="42"/>
        <v>0</v>
      </c>
      <c r="G186" s="148">
        <f t="shared" si="42"/>
        <v>0</v>
      </c>
      <c r="H186" s="148">
        <f t="shared" si="42"/>
        <v>0</v>
      </c>
      <c r="I186" s="148">
        <f t="shared" si="42"/>
        <v>0</v>
      </c>
      <c r="J186" s="148">
        <f t="shared" si="42"/>
        <v>0</v>
      </c>
      <c r="K186" s="148">
        <f t="shared" si="42"/>
        <v>0</v>
      </c>
      <c r="L186" s="148">
        <f t="shared" si="42"/>
        <v>0</v>
      </c>
      <c r="M186" s="148">
        <f t="shared" si="42"/>
        <v>0</v>
      </c>
      <c r="N186" s="148">
        <f t="shared" si="42"/>
        <v>0</v>
      </c>
      <c r="O186" s="148">
        <f t="shared" si="42"/>
        <v>0</v>
      </c>
      <c r="P186" s="148">
        <f t="shared" si="42"/>
        <v>0</v>
      </c>
      <c r="Q186" s="148">
        <f t="shared" si="42"/>
        <v>0</v>
      </c>
      <c r="R186" s="148">
        <f t="shared" si="42"/>
        <v>0</v>
      </c>
      <c r="S186" s="148">
        <f t="shared" si="42"/>
        <v>0</v>
      </c>
      <c r="T186" s="148">
        <f t="shared" si="42"/>
        <v>0</v>
      </c>
      <c r="U186" s="148">
        <f t="shared" si="42"/>
        <v>0</v>
      </c>
      <c r="V186" s="148">
        <f t="shared" si="42"/>
        <v>0</v>
      </c>
      <c r="W186" s="148">
        <f t="shared" si="42"/>
        <v>0</v>
      </c>
      <c r="X186" s="148">
        <f t="shared" si="42"/>
        <v>0</v>
      </c>
      <c r="Y186" s="148">
        <f t="shared" si="42"/>
        <v>0</v>
      </c>
      <c r="Z186" s="148">
        <f t="shared" si="42"/>
        <v>0</v>
      </c>
      <c r="AA186" s="148">
        <f t="shared" si="42"/>
        <v>0</v>
      </c>
      <c r="AB186" s="148">
        <f t="shared" si="42"/>
        <v>0</v>
      </c>
      <c r="AC186" s="148">
        <f t="shared" si="42"/>
        <v>0</v>
      </c>
      <c r="AD186" s="148">
        <f t="shared" si="41"/>
        <v>0</v>
      </c>
    </row>
    <row r="187" spans="2:30" ht="15" customHeight="1" outlineLevel="1">
      <c r="B187" s="147" t="s">
        <v>144</v>
      </c>
      <c r="C187" s="130">
        <v>8</v>
      </c>
      <c r="E187" s="148">
        <f t="shared" si="42"/>
        <v>0</v>
      </c>
      <c r="F187" s="148">
        <f t="shared" si="42"/>
        <v>0</v>
      </c>
      <c r="G187" s="148">
        <f t="shared" si="42"/>
        <v>0</v>
      </c>
      <c r="H187" s="148">
        <f t="shared" si="42"/>
        <v>0</v>
      </c>
      <c r="I187" s="148">
        <f t="shared" si="42"/>
        <v>0</v>
      </c>
      <c r="J187" s="148">
        <f t="shared" si="42"/>
        <v>0</v>
      </c>
      <c r="K187" s="148">
        <f t="shared" si="42"/>
        <v>0</v>
      </c>
      <c r="L187" s="148">
        <f t="shared" si="42"/>
        <v>0</v>
      </c>
      <c r="M187" s="148">
        <f t="shared" si="42"/>
        <v>0</v>
      </c>
      <c r="N187" s="148">
        <f t="shared" si="42"/>
        <v>0</v>
      </c>
      <c r="O187" s="148">
        <f t="shared" si="42"/>
        <v>0</v>
      </c>
      <c r="P187" s="148">
        <f t="shared" si="42"/>
        <v>0</v>
      </c>
      <c r="Q187" s="148">
        <f t="shared" si="42"/>
        <v>0</v>
      </c>
      <c r="R187" s="148">
        <f t="shared" si="42"/>
        <v>0</v>
      </c>
      <c r="S187" s="148">
        <f t="shared" si="42"/>
        <v>0</v>
      </c>
      <c r="T187" s="148">
        <f t="shared" si="42"/>
        <v>0</v>
      </c>
      <c r="U187" s="148">
        <f t="shared" si="42"/>
        <v>0</v>
      </c>
      <c r="V187" s="148">
        <f t="shared" si="42"/>
        <v>0</v>
      </c>
      <c r="W187" s="148">
        <f t="shared" si="42"/>
        <v>0</v>
      </c>
      <c r="X187" s="148">
        <f t="shared" si="42"/>
        <v>0</v>
      </c>
      <c r="Y187" s="148">
        <f t="shared" si="42"/>
        <v>0</v>
      </c>
      <c r="Z187" s="148">
        <f t="shared" si="42"/>
        <v>0</v>
      </c>
      <c r="AA187" s="148">
        <f t="shared" si="42"/>
        <v>0</v>
      </c>
      <c r="AB187" s="148">
        <f t="shared" si="42"/>
        <v>0</v>
      </c>
      <c r="AC187" s="148">
        <f t="shared" si="42"/>
        <v>0</v>
      </c>
      <c r="AD187" s="148">
        <f t="shared" si="41"/>
        <v>0</v>
      </c>
    </row>
    <row r="188" spans="2:30" ht="15" customHeight="1" outlineLevel="1">
      <c r="B188" s="147" t="s">
        <v>145</v>
      </c>
      <c r="C188" s="130">
        <v>9</v>
      </c>
      <c r="E188" s="148">
        <f t="shared" si="42"/>
        <v>0</v>
      </c>
      <c r="F188" s="148">
        <f t="shared" si="42"/>
        <v>0</v>
      </c>
      <c r="G188" s="148">
        <f t="shared" si="42"/>
        <v>0</v>
      </c>
      <c r="H188" s="148">
        <f t="shared" si="42"/>
        <v>0</v>
      </c>
      <c r="I188" s="148">
        <f t="shared" si="42"/>
        <v>0</v>
      </c>
      <c r="J188" s="148">
        <f t="shared" si="42"/>
        <v>0</v>
      </c>
      <c r="K188" s="148">
        <f t="shared" si="42"/>
        <v>0</v>
      </c>
      <c r="L188" s="148">
        <f t="shared" si="42"/>
        <v>0</v>
      </c>
      <c r="M188" s="148">
        <f t="shared" si="42"/>
        <v>0</v>
      </c>
      <c r="N188" s="148">
        <f t="shared" si="42"/>
        <v>0</v>
      </c>
      <c r="O188" s="148">
        <f t="shared" si="42"/>
        <v>0</v>
      </c>
      <c r="P188" s="148">
        <f t="shared" si="42"/>
        <v>0</v>
      </c>
      <c r="Q188" s="148">
        <f t="shared" si="42"/>
        <v>0</v>
      </c>
      <c r="R188" s="148">
        <f t="shared" si="42"/>
        <v>0</v>
      </c>
      <c r="S188" s="148">
        <f t="shared" si="42"/>
        <v>0</v>
      </c>
      <c r="T188" s="148">
        <f t="shared" si="42"/>
        <v>0</v>
      </c>
      <c r="U188" s="148">
        <f t="shared" si="42"/>
        <v>0</v>
      </c>
      <c r="V188" s="148">
        <f t="shared" si="42"/>
        <v>0</v>
      </c>
      <c r="W188" s="148">
        <f t="shared" si="42"/>
        <v>0</v>
      </c>
      <c r="X188" s="148">
        <f t="shared" si="42"/>
        <v>0</v>
      </c>
      <c r="Y188" s="148">
        <f t="shared" si="42"/>
        <v>0</v>
      </c>
      <c r="Z188" s="148">
        <f t="shared" si="42"/>
        <v>0</v>
      </c>
      <c r="AA188" s="148">
        <f t="shared" si="42"/>
        <v>0</v>
      </c>
      <c r="AB188" s="148">
        <f t="shared" si="42"/>
        <v>0</v>
      </c>
      <c r="AC188" s="148">
        <f t="shared" si="42"/>
        <v>0</v>
      </c>
      <c r="AD188" s="148">
        <f t="shared" si="41"/>
        <v>0</v>
      </c>
    </row>
    <row r="189" spans="2:30" ht="15" customHeight="1" outlineLevel="1">
      <c r="B189" s="147" t="s">
        <v>146</v>
      </c>
      <c r="C189" s="130">
        <v>10</v>
      </c>
      <c r="E189" s="148">
        <f t="shared" si="42"/>
        <v>0</v>
      </c>
      <c r="F189" s="148">
        <f t="shared" si="42"/>
        <v>0</v>
      </c>
      <c r="G189" s="148">
        <f t="shared" si="42"/>
        <v>0</v>
      </c>
      <c r="H189" s="148">
        <f t="shared" si="42"/>
        <v>0</v>
      </c>
      <c r="I189" s="148">
        <f t="shared" si="42"/>
        <v>0</v>
      </c>
      <c r="J189" s="148">
        <f t="shared" si="42"/>
        <v>0</v>
      </c>
      <c r="K189" s="148">
        <f t="shared" si="42"/>
        <v>0</v>
      </c>
      <c r="L189" s="148">
        <f t="shared" si="42"/>
        <v>0</v>
      </c>
      <c r="M189" s="148">
        <f t="shared" si="42"/>
        <v>0</v>
      </c>
      <c r="N189" s="148">
        <f t="shared" si="42"/>
        <v>0</v>
      </c>
      <c r="O189" s="148">
        <f t="shared" si="42"/>
        <v>0</v>
      </c>
      <c r="P189" s="148">
        <f t="shared" si="42"/>
        <v>0</v>
      </c>
      <c r="Q189" s="148">
        <f t="shared" si="42"/>
        <v>0</v>
      </c>
      <c r="R189" s="148">
        <f t="shared" si="42"/>
        <v>0</v>
      </c>
      <c r="S189" s="148">
        <f t="shared" si="42"/>
        <v>0</v>
      </c>
      <c r="T189" s="148">
        <f t="shared" si="42"/>
        <v>0</v>
      </c>
      <c r="U189" s="148">
        <f t="shared" si="42"/>
        <v>0</v>
      </c>
      <c r="V189" s="148">
        <f t="shared" si="42"/>
        <v>0</v>
      </c>
      <c r="W189" s="148">
        <f t="shared" si="42"/>
        <v>0</v>
      </c>
      <c r="X189" s="148">
        <f t="shared" si="42"/>
        <v>0</v>
      </c>
      <c r="Y189" s="148">
        <f t="shared" si="42"/>
        <v>0</v>
      </c>
      <c r="Z189" s="148">
        <f t="shared" si="42"/>
        <v>0</v>
      </c>
      <c r="AA189" s="148">
        <f t="shared" si="42"/>
        <v>0</v>
      </c>
      <c r="AB189" s="148">
        <f t="shared" si="42"/>
        <v>0</v>
      </c>
      <c r="AC189" s="148">
        <f t="shared" si="42"/>
        <v>0</v>
      </c>
      <c r="AD189" s="148">
        <f t="shared" si="41"/>
        <v>0</v>
      </c>
    </row>
    <row r="190" spans="2:30" ht="15" customHeight="1" outlineLevel="1">
      <c r="B190" s="147" t="s">
        <v>147</v>
      </c>
      <c r="C190" s="130">
        <v>11</v>
      </c>
      <c r="E190" s="148">
        <f t="shared" si="42"/>
        <v>0</v>
      </c>
      <c r="F190" s="148">
        <f t="shared" si="42"/>
        <v>0</v>
      </c>
      <c r="G190" s="148">
        <f t="shared" si="42"/>
        <v>0</v>
      </c>
      <c r="H190" s="148">
        <f t="shared" si="42"/>
        <v>0</v>
      </c>
      <c r="I190" s="148">
        <f t="shared" si="42"/>
        <v>0</v>
      </c>
      <c r="J190" s="148">
        <f t="shared" si="42"/>
        <v>0</v>
      </c>
      <c r="K190" s="148">
        <f t="shared" si="42"/>
        <v>0</v>
      </c>
      <c r="L190" s="148">
        <f t="shared" si="42"/>
        <v>0</v>
      </c>
      <c r="M190" s="148">
        <f t="shared" si="42"/>
        <v>0</v>
      </c>
      <c r="N190" s="148">
        <f t="shared" si="42"/>
        <v>0</v>
      </c>
      <c r="O190" s="148">
        <f t="shared" si="42"/>
        <v>0</v>
      </c>
      <c r="P190" s="148">
        <f t="shared" si="42"/>
        <v>0</v>
      </c>
      <c r="Q190" s="148">
        <f t="shared" si="42"/>
        <v>0</v>
      </c>
      <c r="R190" s="148">
        <f t="shared" si="42"/>
        <v>0</v>
      </c>
      <c r="S190" s="148">
        <f t="shared" si="42"/>
        <v>0</v>
      </c>
      <c r="T190" s="148">
        <f t="shared" si="42"/>
        <v>0</v>
      </c>
      <c r="U190" s="148">
        <f t="shared" si="42"/>
        <v>0</v>
      </c>
      <c r="V190" s="148">
        <f t="shared" si="42"/>
        <v>0</v>
      </c>
      <c r="W190" s="148">
        <f t="shared" si="42"/>
        <v>0</v>
      </c>
      <c r="X190" s="148">
        <f t="shared" si="42"/>
        <v>0</v>
      </c>
      <c r="Y190" s="148">
        <f t="shared" si="42"/>
        <v>0</v>
      </c>
      <c r="Z190" s="148">
        <f t="shared" si="42"/>
        <v>0</v>
      </c>
      <c r="AA190" s="148">
        <f t="shared" si="42"/>
        <v>0</v>
      </c>
      <c r="AB190" s="148">
        <f t="shared" si="42"/>
        <v>0</v>
      </c>
      <c r="AC190" s="148">
        <f t="shared" si="42"/>
        <v>0</v>
      </c>
      <c r="AD190" s="148">
        <f t="shared" si="41"/>
        <v>0</v>
      </c>
    </row>
    <row r="191" spans="2:30" ht="15" customHeight="1" outlineLevel="1">
      <c r="B191" s="147" t="s">
        <v>148</v>
      </c>
      <c r="C191" s="130">
        <v>12</v>
      </c>
      <c r="E191" s="148">
        <f t="shared" si="42"/>
        <v>0</v>
      </c>
      <c r="F191" s="148">
        <f t="shared" si="42"/>
        <v>0</v>
      </c>
      <c r="G191" s="148">
        <f t="shared" si="42"/>
        <v>0</v>
      </c>
      <c r="H191" s="148">
        <f t="shared" si="42"/>
        <v>0</v>
      </c>
      <c r="I191" s="148">
        <f t="shared" si="42"/>
        <v>0</v>
      </c>
      <c r="J191" s="148">
        <f t="shared" ref="J191:AC191" si="43">+IF($C191+$C$178&gt;J$147,J162/$C$178,0)</f>
        <v>0</v>
      </c>
      <c r="K191" s="148">
        <f t="shared" si="43"/>
        <v>0</v>
      </c>
      <c r="L191" s="148">
        <f t="shared" si="43"/>
        <v>0</v>
      </c>
      <c r="M191" s="148">
        <f t="shared" si="43"/>
        <v>0</v>
      </c>
      <c r="N191" s="148">
        <f t="shared" si="43"/>
        <v>0</v>
      </c>
      <c r="O191" s="148">
        <f t="shared" si="43"/>
        <v>0</v>
      </c>
      <c r="P191" s="148">
        <f t="shared" si="43"/>
        <v>0</v>
      </c>
      <c r="Q191" s="148">
        <f t="shared" si="43"/>
        <v>0</v>
      </c>
      <c r="R191" s="148">
        <f t="shared" si="43"/>
        <v>0</v>
      </c>
      <c r="S191" s="148">
        <f t="shared" si="43"/>
        <v>0</v>
      </c>
      <c r="T191" s="148">
        <f t="shared" si="43"/>
        <v>0</v>
      </c>
      <c r="U191" s="148">
        <f t="shared" si="43"/>
        <v>0</v>
      </c>
      <c r="V191" s="148">
        <f t="shared" si="43"/>
        <v>0</v>
      </c>
      <c r="W191" s="148">
        <f t="shared" si="43"/>
        <v>0</v>
      </c>
      <c r="X191" s="148">
        <f t="shared" si="43"/>
        <v>0</v>
      </c>
      <c r="Y191" s="148">
        <f t="shared" si="43"/>
        <v>0</v>
      </c>
      <c r="Z191" s="148">
        <f t="shared" si="43"/>
        <v>0</v>
      </c>
      <c r="AA191" s="148">
        <f t="shared" si="43"/>
        <v>0</v>
      </c>
      <c r="AB191" s="148">
        <f t="shared" si="43"/>
        <v>0</v>
      </c>
      <c r="AC191" s="148">
        <f t="shared" si="43"/>
        <v>0</v>
      </c>
      <c r="AD191" s="148">
        <f t="shared" si="41"/>
        <v>0</v>
      </c>
    </row>
    <row r="192" spans="2:30" ht="15" customHeight="1" outlineLevel="1">
      <c r="B192" s="147" t="s">
        <v>149</v>
      </c>
      <c r="C192" s="130">
        <v>13</v>
      </c>
      <c r="E192" s="148">
        <f t="shared" ref="E192:AC202" si="44">+IF($C192+$C$178&gt;E$147,E163/$C$178,0)</f>
        <v>0</v>
      </c>
      <c r="F192" s="148">
        <f t="shared" si="44"/>
        <v>0</v>
      </c>
      <c r="G192" s="148">
        <f t="shared" si="44"/>
        <v>0</v>
      </c>
      <c r="H192" s="148">
        <f t="shared" si="44"/>
        <v>0</v>
      </c>
      <c r="I192" s="148">
        <f t="shared" si="44"/>
        <v>0</v>
      </c>
      <c r="J192" s="148">
        <f t="shared" si="44"/>
        <v>0</v>
      </c>
      <c r="K192" s="148">
        <f t="shared" si="44"/>
        <v>0</v>
      </c>
      <c r="L192" s="148">
        <f t="shared" si="44"/>
        <v>0</v>
      </c>
      <c r="M192" s="148">
        <f t="shared" si="44"/>
        <v>0</v>
      </c>
      <c r="N192" s="148">
        <f t="shared" si="44"/>
        <v>0</v>
      </c>
      <c r="O192" s="148">
        <f t="shared" si="44"/>
        <v>0</v>
      </c>
      <c r="P192" s="148">
        <f t="shared" si="44"/>
        <v>0</v>
      </c>
      <c r="Q192" s="148">
        <f t="shared" si="44"/>
        <v>0</v>
      </c>
      <c r="R192" s="148">
        <f t="shared" si="44"/>
        <v>0</v>
      </c>
      <c r="S192" s="148">
        <f t="shared" si="44"/>
        <v>0</v>
      </c>
      <c r="T192" s="148">
        <f t="shared" si="44"/>
        <v>0</v>
      </c>
      <c r="U192" s="148">
        <f t="shared" si="44"/>
        <v>0</v>
      </c>
      <c r="V192" s="148">
        <f t="shared" si="44"/>
        <v>0</v>
      </c>
      <c r="W192" s="148">
        <f t="shared" si="44"/>
        <v>0</v>
      </c>
      <c r="X192" s="148">
        <f t="shared" si="44"/>
        <v>0</v>
      </c>
      <c r="Y192" s="148">
        <f t="shared" si="44"/>
        <v>0</v>
      </c>
      <c r="Z192" s="148">
        <f t="shared" si="44"/>
        <v>0</v>
      </c>
      <c r="AA192" s="148">
        <f t="shared" si="44"/>
        <v>0</v>
      </c>
      <c r="AB192" s="148">
        <f t="shared" si="44"/>
        <v>0</v>
      </c>
      <c r="AC192" s="148">
        <f t="shared" si="44"/>
        <v>0</v>
      </c>
      <c r="AD192" s="148">
        <f t="shared" si="41"/>
        <v>0</v>
      </c>
    </row>
    <row r="193" spans="2:30" ht="15" customHeight="1" outlineLevel="1">
      <c r="B193" s="147" t="s">
        <v>150</v>
      </c>
      <c r="C193" s="130">
        <v>14</v>
      </c>
      <c r="E193" s="148">
        <f t="shared" si="44"/>
        <v>0</v>
      </c>
      <c r="F193" s="148">
        <f t="shared" si="44"/>
        <v>0</v>
      </c>
      <c r="G193" s="148">
        <f t="shared" si="44"/>
        <v>0</v>
      </c>
      <c r="H193" s="148">
        <f t="shared" si="44"/>
        <v>0</v>
      </c>
      <c r="I193" s="148">
        <f t="shared" si="44"/>
        <v>0</v>
      </c>
      <c r="J193" s="148">
        <f t="shared" si="44"/>
        <v>0</v>
      </c>
      <c r="K193" s="148">
        <f t="shared" si="44"/>
        <v>0</v>
      </c>
      <c r="L193" s="148">
        <f t="shared" si="44"/>
        <v>0</v>
      </c>
      <c r="M193" s="148">
        <f t="shared" si="44"/>
        <v>0</v>
      </c>
      <c r="N193" s="148">
        <f t="shared" si="44"/>
        <v>0</v>
      </c>
      <c r="O193" s="148">
        <f t="shared" si="44"/>
        <v>0</v>
      </c>
      <c r="P193" s="148">
        <f t="shared" si="44"/>
        <v>0</v>
      </c>
      <c r="Q193" s="148">
        <f t="shared" si="44"/>
        <v>0</v>
      </c>
      <c r="R193" s="148">
        <f t="shared" si="44"/>
        <v>0</v>
      </c>
      <c r="S193" s="148">
        <f t="shared" si="44"/>
        <v>0</v>
      </c>
      <c r="T193" s="148">
        <f t="shared" si="44"/>
        <v>0</v>
      </c>
      <c r="U193" s="148">
        <f t="shared" si="44"/>
        <v>0</v>
      </c>
      <c r="V193" s="148">
        <f t="shared" si="44"/>
        <v>0</v>
      </c>
      <c r="W193" s="148">
        <f t="shared" si="44"/>
        <v>0</v>
      </c>
      <c r="X193" s="148">
        <f t="shared" si="44"/>
        <v>0</v>
      </c>
      <c r="Y193" s="148">
        <f t="shared" si="44"/>
        <v>0</v>
      </c>
      <c r="Z193" s="148">
        <f t="shared" si="44"/>
        <v>0</v>
      </c>
      <c r="AA193" s="148">
        <f t="shared" si="44"/>
        <v>0</v>
      </c>
      <c r="AB193" s="148">
        <f t="shared" si="44"/>
        <v>0</v>
      </c>
      <c r="AC193" s="148">
        <f t="shared" si="44"/>
        <v>0</v>
      </c>
      <c r="AD193" s="148">
        <f t="shared" si="41"/>
        <v>0</v>
      </c>
    </row>
    <row r="194" spans="2:30" ht="15" customHeight="1" outlineLevel="1">
      <c r="B194" s="147" t="s">
        <v>151</v>
      </c>
      <c r="C194" s="130">
        <v>15</v>
      </c>
      <c r="E194" s="148">
        <f t="shared" si="44"/>
        <v>0</v>
      </c>
      <c r="F194" s="148">
        <f t="shared" si="44"/>
        <v>0</v>
      </c>
      <c r="G194" s="148">
        <f t="shared" si="44"/>
        <v>0</v>
      </c>
      <c r="H194" s="148">
        <f t="shared" si="44"/>
        <v>0</v>
      </c>
      <c r="I194" s="148">
        <f t="shared" si="44"/>
        <v>0</v>
      </c>
      <c r="J194" s="148">
        <f t="shared" si="44"/>
        <v>0</v>
      </c>
      <c r="K194" s="148">
        <f t="shared" si="44"/>
        <v>0</v>
      </c>
      <c r="L194" s="148">
        <f t="shared" si="44"/>
        <v>0</v>
      </c>
      <c r="M194" s="148">
        <f t="shared" si="44"/>
        <v>0</v>
      </c>
      <c r="N194" s="148">
        <f t="shared" si="44"/>
        <v>0</v>
      </c>
      <c r="O194" s="148">
        <f t="shared" si="44"/>
        <v>0</v>
      </c>
      <c r="P194" s="148">
        <f t="shared" si="44"/>
        <v>0</v>
      </c>
      <c r="Q194" s="148">
        <f t="shared" si="44"/>
        <v>0</v>
      </c>
      <c r="R194" s="148">
        <f t="shared" si="44"/>
        <v>0</v>
      </c>
      <c r="S194" s="148">
        <f t="shared" si="44"/>
        <v>0</v>
      </c>
      <c r="T194" s="148">
        <f t="shared" si="44"/>
        <v>0</v>
      </c>
      <c r="U194" s="148">
        <f t="shared" si="44"/>
        <v>0</v>
      </c>
      <c r="V194" s="148">
        <f t="shared" si="44"/>
        <v>0</v>
      </c>
      <c r="W194" s="148">
        <f t="shared" si="44"/>
        <v>0</v>
      </c>
      <c r="X194" s="148">
        <f t="shared" si="44"/>
        <v>0</v>
      </c>
      <c r="Y194" s="148">
        <f t="shared" si="44"/>
        <v>0</v>
      </c>
      <c r="Z194" s="148">
        <f t="shared" si="44"/>
        <v>0</v>
      </c>
      <c r="AA194" s="148">
        <f t="shared" si="44"/>
        <v>0</v>
      </c>
      <c r="AB194" s="148">
        <f t="shared" si="44"/>
        <v>0</v>
      </c>
      <c r="AC194" s="148">
        <f t="shared" si="44"/>
        <v>0</v>
      </c>
      <c r="AD194" s="148">
        <f t="shared" si="41"/>
        <v>0</v>
      </c>
    </row>
    <row r="195" spans="2:30" ht="15" customHeight="1" outlineLevel="1">
      <c r="B195" s="147" t="s">
        <v>152</v>
      </c>
      <c r="C195" s="130">
        <v>16</v>
      </c>
      <c r="E195" s="148">
        <f t="shared" si="44"/>
        <v>0</v>
      </c>
      <c r="F195" s="148">
        <f t="shared" si="44"/>
        <v>0</v>
      </c>
      <c r="G195" s="148">
        <f t="shared" si="44"/>
        <v>0</v>
      </c>
      <c r="H195" s="148">
        <f t="shared" si="44"/>
        <v>0</v>
      </c>
      <c r="I195" s="148">
        <f t="shared" si="44"/>
        <v>0</v>
      </c>
      <c r="J195" s="148">
        <f t="shared" si="44"/>
        <v>0</v>
      </c>
      <c r="K195" s="148">
        <f t="shared" si="44"/>
        <v>0</v>
      </c>
      <c r="L195" s="148">
        <f t="shared" si="44"/>
        <v>0</v>
      </c>
      <c r="M195" s="148">
        <f t="shared" si="44"/>
        <v>0</v>
      </c>
      <c r="N195" s="148">
        <f t="shared" si="44"/>
        <v>0</v>
      </c>
      <c r="O195" s="148">
        <f t="shared" si="44"/>
        <v>0</v>
      </c>
      <c r="P195" s="148">
        <f t="shared" si="44"/>
        <v>0</v>
      </c>
      <c r="Q195" s="148">
        <f t="shared" si="44"/>
        <v>0</v>
      </c>
      <c r="R195" s="148">
        <f t="shared" si="44"/>
        <v>0</v>
      </c>
      <c r="S195" s="148">
        <f t="shared" si="44"/>
        <v>0</v>
      </c>
      <c r="T195" s="148">
        <f t="shared" si="44"/>
        <v>0</v>
      </c>
      <c r="U195" s="148">
        <f t="shared" si="44"/>
        <v>0</v>
      </c>
      <c r="V195" s="148">
        <f t="shared" si="44"/>
        <v>0</v>
      </c>
      <c r="W195" s="148">
        <f t="shared" si="44"/>
        <v>0</v>
      </c>
      <c r="X195" s="148">
        <f t="shared" si="44"/>
        <v>0</v>
      </c>
      <c r="Y195" s="148">
        <f t="shared" si="44"/>
        <v>0</v>
      </c>
      <c r="Z195" s="148">
        <f t="shared" si="44"/>
        <v>0</v>
      </c>
      <c r="AA195" s="148">
        <f t="shared" si="44"/>
        <v>0</v>
      </c>
      <c r="AB195" s="148">
        <f t="shared" si="44"/>
        <v>0</v>
      </c>
      <c r="AC195" s="148">
        <f t="shared" si="44"/>
        <v>0</v>
      </c>
      <c r="AD195" s="148">
        <f t="shared" si="41"/>
        <v>0</v>
      </c>
    </row>
    <row r="196" spans="2:30" ht="15" customHeight="1" outlineLevel="1">
      <c r="B196" s="147" t="s">
        <v>153</v>
      </c>
      <c r="C196" s="130">
        <v>17</v>
      </c>
      <c r="E196" s="148">
        <f t="shared" si="44"/>
        <v>0</v>
      </c>
      <c r="F196" s="148">
        <f t="shared" si="44"/>
        <v>0</v>
      </c>
      <c r="G196" s="148">
        <f t="shared" si="44"/>
        <v>0</v>
      </c>
      <c r="H196" s="148">
        <f t="shared" si="44"/>
        <v>0</v>
      </c>
      <c r="I196" s="148">
        <f t="shared" si="44"/>
        <v>0</v>
      </c>
      <c r="J196" s="148">
        <f t="shared" si="44"/>
        <v>0</v>
      </c>
      <c r="K196" s="148">
        <f t="shared" si="44"/>
        <v>0</v>
      </c>
      <c r="L196" s="148">
        <f t="shared" si="44"/>
        <v>0</v>
      </c>
      <c r="M196" s="148">
        <f t="shared" si="44"/>
        <v>0</v>
      </c>
      <c r="N196" s="148">
        <f t="shared" si="44"/>
        <v>0</v>
      </c>
      <c r="O196" s="148">
        <f t="shared" si="44"/>
        <v>0</v>
      </c>
      <c r="P196" s="148">
        <f t="shared" si="44"/>
        <v>0</v>
      </c>
      <c r="Q196" s="148">
        <f t="shared" si="44"/>
        <v>0</v>
      </c>
      <c r="R196" s="148">
        <f t="shared" si="44"/>
        <v>0</v>
      </c>
      <c r="S196" s="148">
        <f t="shared" si="44"/>
        <v>0</v>
      </c>
      <c r="T196" s="148">
        <f t="shared" si="44"/>
        <v>0</v>
      </c>
      <c r="U196" s="148">
        <f t="shared" si="44"/>
        <v>0</v>
      </c>
      <c r="V196" s="148">
        <f t="shared" si="44"/>
        <v>0</v>
      </c>
      <c r="W196" s="148">
        <f t="shared" si="44"/>
        <v>0</v>
      </c>
      <c r="X196" s="148">
        <f t="shared" si="44"/>
        <v>0</v>
      </c>
      <c r="Y196" s="148">
        <f t="shared" si="44"/>
        <v>0</v>
      </c>
      <c r="Z196" s="148">
        <f t="shared" si="44"/>
        <v>0</v>
      </c>
      <c r="AA196" s="148">
        <f t="shared" si="44"/>
        <v>0</v>
      </c>
      <c r="AB196" s="148">
        <f t="shared" si="44"/>
        <v>0</v>
      </c>
      <c r="AC196" s="148">
        <f t="shared" si="44"/>
        <v>0</v>
      </c>
      <c r="AD196" s="148">
        <f t="shared" ref="AD196:AD204" si="45">+IF($C196+$C$178&gt;AD$147,AD167/$C$178,0)</f>
        <v>0</v>
      </c>
    </row>
    <row r="197" spans="2:30" ht="15" customHeight="1" outlineLevel="1">
      <c r="B197" s="147" t="s">
        <v>154</v>
      </c>
      <c r="C197" s="130">
        <v>18</v>
      </c>
      <c r="E197" s="148">
        <f t="shared" si="44"/>
        <v>0</v>
      </c>
      <c r="F197" s="148">
        <f t="shared" si="44"/>
        <v>0</v>
      </c>
      <c r="G197" s="148">
        <f t="shared" si="44"/>
        <v>0</v>
      </c>
      <c r="H197" s="148">
        <f t="shared" si="44"/>
        <v>0</v>
      </c>
      <c r="I197" s="148">
        <f t="shared" si="44"/>
        <v>0</v>
      </c>
      <c r="J197" s="148">
        <f t="shared" si="44"/>
        <v>0</v>
      </c>
      <c r="K197" s="148">
        <f t="shared" si="44"/>
        <v>0</v>
      </c>
      <c r="L197" s="148">
        <f t="shared" si="44"/>
        <v>0</v>
      </c>
      <c r="M197" s="148">
        <f t="shared" si="44"/>
        <v>0</v>
      </c>
      <c r="N197" s="148">
        <f t="shared" si="44"/>
        <v>0</v>
      </c>
      <c r="O197" s="148">
        <f t="shared" si="44"/>
        <v>0</v>
      </c>
      <c r="P197" s="148">
        <f t="shared" si="44"/>
        <v>0</v>
      </c>
      <c r="Q197" s="148">
        <f t="shared" si="44"/>
        <v>0</v>
      </c>
      <c r="R197" s="148">
        <f t="shared" si="44"/>
        <v>0</v>
      </c>
      <c r="S197" s="148">
        <f t="shared" si="44"/>
        <v>0</v>
      </c>
      <c r="T197" s="148">
        <f t="shared" si="44"/>
        <v>0</v>
      </c>
      <c r="U197" s="148">
        <f t="shared" si="44"/>
        <v>0</v>
      </c>
      <c r="V197" s="148">
        <f t="shared" si="44"/>
        <v>0</v>
      </c>
      <c r="W197" s="148">
        <f t="shared" si="44"/>
        <v>0</v>
      </c>
      <c r="X197" s="148">
        <f t="shared" si="44"/>
        <v>0</v>
      </c>
      <c r="Y197" s="148">
        <f t="shared" si="44"/>
        <v>0</v>
      </c>
      <c r="Z197" s="148">
        <f t="shared" si="44"/>
        <v>0</v>
      </c>
      <c r="AA197" s="148">
        <f t="shared" si="44"/>
        <v>0</v>
      </c>
      <c r="AB197" s="148">
        <f t="shared" si="44"/>
        <v>0</v>
      </c>
      <c r="AC197" s="148">
        <f t="shared" si="44"/>
        <v>0</v>
      </c>
      <c r="AD197" s="148">
        <f t="shared" si="45"/>
        <v>0</v>
      </c>
    </row>
    <row r="198" spans="2:30" ht="15" customHeight="1" outlineLevel="1">
      <c r="B198" s="147" t="s">
        <v>155</v>
      </c>
      <c r="C198" s="130">
        <v>19</v>
      </c>
      <c r="E198" s="148">
        <f t="shared" si="44"/>
        <v>0</v>
      </c>
      <c r="F198" s="148">
        <f t="shared" si="44"/>
        <v>0</v>
      </c>
      <c r="G198" s="148">
        <f t="shared" si="44"/>
        <v>0</v>
      </c>
      <c r="H198" s="148">
        <f t="shared" si="44"/>
        <v>0</v>
      </c>
      <c r="I198" s="148">
        <f t="shared" si="44"/>
        <v>0</v>
      </c>
      <c r="J198" s="148">
        <f t="shared" si="44"/>
        <v>0</v>
      </c>
      <c r="K198" s="148">
        <f t="shared" si="44"/>
        <v>0</v>
      </c>
      <c r="L198" s="148">
        <f t="shared" si="44"/>
        <v>0</v>
      </c>
      <c r="M198" s="148">
        <f t="shared" si="44"/>
        <v>0</v>
      </c>
      <c r="N198" s="148">
        <f t="shared" si="44"/>
        <v>0</v>
      </c>
      <c r="O198" s="148">
        <f t="shared" si="44"/>
        <v>0</v>
      </c>
      <c r="P198" s="148">
        <f t="shared" si="44"/>
        <v>0</v>
      </c>
      <c r="Q198" s="148">
        <f t="shared" si="44"/>
        <v>0</v>
      </c>
      <c r="R198" s="148">
        <f t="shared" si="44"/>
        <v>0</v>
      </c>
      <c r="S198" s="148">
        <f t="shared" si="44"/>
        <v>0</v>
      </c>
      <c r="T198" s="148">
        <f t="shared" si="44"/>
        <v>0</v>
      </c>
      <c r="U198" s="148">
        <f t="shared" si="44"/>
        <v>0</v>
      </c>
      <c r="V198" s="148">
        <f t="shared" si="44"/>
        <v>0</v>
      </c>
      <c r="W198" s="148">
        <f t="shared" si="44"/>
        <v>0</v>
      </c>
      <c r="X198" s="148">
        <f t="shared" si="44"/>
        <v>0</v>
      </c>
      <c r="Y198" s="148">
        <f t="shared" si="44"/>
        <v>0</v>
      </c>
      <c r="Z198" s="148">
        <f t="shared" si="44"/>
        <v>0</v>
      </c>
      <c r="AA198" s="148">
        <f t="shared" si="44"/>
        <v>0</v>
      </c>
      <c r="AB198" s="148">
        <f t="shared" si="44"/>
        <v>0</v>
      </c>
      <c r="AC198" s="148">
        <f t="shared" si="44"/>
        <v>0</v>
      </c>
      <c r="AD198" s="148">
        <f t="shared" si="45"/>
        <v>0</v>
      </c>
    </row>
    <row r="199" spans="2:30" ht="15" customHeight="1" outlineLevel="1">
      <c r="B199" s="147" t="s">
        <v>156</v>
      </c>
      <c r="C199" s="130">
        <v>20</v>
      </c>
      <c r="E199" s="148">
        <f t="shared" si="44"/>
        <v>0</v>
      </c>
      <c r="F199" s="148">
        <f t="shared" si="44"/>
        <v>0</v>
      </c>
      <c r="G199" s="148">
        <f t="shared" si="44"/>
        <v>0</v>
      </c>
      <c r="H199" s="148">
        <f t="shared" si="44"/>
        <v>0</v>
      </c>
      <c r="I199" s="148">
        <f t="shared" si="44"/>
        <v>0</v>
      </c>
      <c r="J199" s="148">
        <f t="shared" si="44"/>
        <v>0</v>
      </c>
      <c r="K199" s="148">
        <f t="shared" si="44"/>
        <v>0</v>
      </c>
      <c r="L199" s="148">
        <f t="shared" si="44"/>
        <v>0</v>
      </c>
      <c r="M199" s="148">
        <f t="shared" si="44"/>
        <v>0</v>
      </c>
      <c r="N199" s="148">
        <f t="shared" si="44"/>
        <v>0</v>
      </c>
      <c r="O199" s="148">
        <f t="shared" si="44"/>
        <v>0</v>
      </c>
      <c r="P199" s="148">
        <f t="shared" si="44"/>
        <v>0</v>
      </c>
      <c r="Q199" s="148">
        <f t="shared" si="44"/>
        <v>0</v>
      </c>
      <c r="R199" s="148">
        <f t="shared" si="44"/>
        <v>0</v>
      </c>
      <c r="S199" s="148">
        <f t="shared" si="44"/>
        <v>0</v>
      </c>
      <c r="T199" s="148">
        <f t="shared" si="44"/>
        <v>0</v>
      </c>
      <c r="U199" s="148">
        <f t="shared" si="44"/>
        <v>0</v>
      </c>
      <c r="V199" s="148">
        <f t="shared" si="44"/>
        <v>0</v>
      </c>
      <c r="W199" s="148">
        <f t="shared" si="44"/>
        <v>0</v>
      </c>
      <c r="X199" s="148">
        <f t="shared" si="44"/>
        <v>0</v>
      </c>
      <c r="Y199" s="148">
        <f t="shared" si="44"/>
        <v>0</v>
      </c>
      <c r="Z199" s="148">
        <f t="shared" si="44"/>
        <v>0</v>
      </c>
      <c r="AA199" s="148">
        <f t="shared" si="44"/>
        <v>0</v>
      </c>
      <c r="AB199" s="148">
        <f t="shared" si="44"/>
        <v>0</v>
      </c>
      <c r="AC199" s="148">
        <f t="shared" si="44"/>
        <v>0</v>
      </c>
      <c r="AD199" s="148">
        <f t="shared" si="45"/>
        <v>0</v>
      </c>
    </row>
    <row r="200" spans="2:30" ht="15" customHeight="1" outlineLevel="1">
      <c r="B200" s="147" t="s">
        <v>157</v>
      </c>
      <c r="C200" s="130">
        <v>21</v>
      </c>
      <c r="E200" s="148">
        <f t="shared" si="44"/>
        <v>0</v>
      </c>
      <c r="F200" s="148">
        <f t="shared" si="44"/>
        <v>0</v>
      </c>
      <c r="G200" s="148">
        <f t="shared" si="44"/>
        <v>0</v>
      </c>
      <c r="H200" s="148">
        <f t="shared" si="44"/>
        <v>0</v>
      </c>
      <c r="I200" s="148">
        <f t="shared" si="44"/>
        <v>0</v>
      </c>
      <c r="J200" s="148">
        <f t="shared" si="44"/>
        <v>0</v>
      </c>
      <c r="K200" s="148">
        <f t="shared" si="44"/>
        <v>0</v>
      </c>
      <c r="L200" s="148">
        <f t="shared" si="44"/>
        <v>0</v>
      </c>
      <c r="M200" s="148">
        <f t="shared" si="44"/>
        <v>0</v>
      </c>
      <c r="N200" s="148">
        <f t="shared" si="44"/>
        <v>0</v>
      </c>
      <c r="O200" s="148">
        <f t="shared" si="44"/>
        <v>0</v>
      </c>
      <c r="P200" s="148">
        <f t="shared" si="44"/>
        <v>0</v>
      </c>
      <c r="Q200" s="148">
        <f t="shared" si="44"/>
        <v>0</v>
      </c>
      <c r="R200" s="148">
        <f t="shared" si="44"/>
        <v>0</v>
      </c>
      <c r="S200" s="148">
        <f t="shared" si="44"/>
        <v>0</v>
      </c>
      <c r="T200" s="148">
        <f t="shared" si="44"/>
        <v>0</v>
      </c>
      <c r="U200" s="148">
        <f t="shared" si="44"/>
        <v>0</v>
      </c>
      <c r="V200" s="148">
        <f t="shared" si="44"/>
        <v>0</v>
      </c>
      <c r="W200" s="148">
        <f t="shared" si="44"/>
        <v>0</v>
      </c>
      <c r="X200" s="148">
        <f t="shared" si="44"/>
        <v>0</v>
      </c>
      <c r="Y200" s="148">
        <f t="shared" si="44"/>
        <v>0</v>
      </c>
      <c r="Z200" s="148">
        <f t="shared" si="44"/>
        <v>0</v>
      </c>
      <c r="AA200" s="148">
        <f t="shared" si="44"/>
        <v>0</v>
      </c>
      <c r="AB200" s="148">
        <f t="shared" si="44"/>
        <v>0</v>
      </c>
      <c r="AC200" s="148">
        <f t="shared" si="44"/>
        <v>0</v>
      </c>
      <c r="AD200" s="148">
        <f t="shared" si="45"/>
        <v>0</v>
      </c>
    </row>
    <row r="201" spans="2:30" ht="15" customHeight="1" outlineLevel="1">
      <c r="B201" s="147" t="s">
        <v>158</v>
      </c>
      <c r="C201" s="130">
        <v>22</v>
      </c>
      <c r="E201" s="148">
        <f t="shared" si="44"/>
        <v>0</v>
      </c>
      <c r="F201" s="148">
        <f t="shared" si="44"/>
        <v>0</v>
      </c>
      <c r="G201" s="148">
        <f t="shared" si="44"/>
        <v>0</v>
      </c>
      <c r="H201" s="148">
        <f t="shared" si="44"/>
        <v>0</v>
      </c>
      <c r="I201" s="148">
        <f t="shared" si="44"/>
        <v>0</v>
      </c>
      <c r="J201" s="148">
        <f t="shared" si="44"/>
        <v>0</v>
      </c>
      <c r="K201" s="148">
        <f t="shared" si="44"/>
        <v>0</v>
      </c>
      <c r="L201" s="148">
        <f t="shared" si="44"/>
        <v>0</v>
      </c>
      <c r="M201" s="148">
        <f t="shared" si="44"/>
        <v>0</v>
      </c>
      <c r="N201" s="148">
        <f t="shared" si="44"/>
        <v>0</v>
      </c>
      <c r="O201" s="148">
        <f t="shared" si="44"/>
        <v>0</v>
      </c>
      <c r="P201" s="148">
        <f t="shared" si="44"/>
        <v>0</v>
      </c>
      <c r="Q201" s="148">
        <f t="shared" si="44"/>
        <v>0</v>
      </c>
      <c r="R201" s="148">
        <f t="shared" si="44"/>
        <v>0</v>
      </c>
      <c r="S201" s="148">
        <f t="shared" si="44"/>
        <v>0</v>
      </c>
      <c r="T201" s="148">
        <f t="shared" si="44"/>
        <v>0</v>
      </c>
      <c r="U201" s="148">
        <f t="shared" si="44"/>
        <v>0</v>
      </c>
      <c r="V201" s="148">
        <f t="shared" si="44"/>
        <v>0</v>
      </c>
      <c r="W201" s="148">
        <f t="shared" si="44"/>
        <v>0</v>
      </c>
      <c r="X201" s="148">
        <f t="shared" si="44"/>
        <v>0</v>
      </c>
      <c r="Y201" s="148">
        <f t="shared" si="44"/>
        <v>0</v>
      </c>
      <c r="Z201" s="148">
        <f t="shared" si="44"/>
        <v>0</v>
      </c>
      <c r="AA201" s="148">
        <f t="shared" si="44"/>
        <v>0</v>
      </c>
      <c r="AB201" s="148">
        <f t="shared" si="44"/>
        <v>0</v>
      </c>
      <c r="AC201" s="148">
        <f t="shared" si="44"/>
        <v>0</v>
      </c>
      <c r="AD201" s="148">
        <f t="shared" si="45"/>
        <v>0</v>
      </c>
    </row>
    <row r="202" spans="2:30" ht="15" customHeight="1" outlineLevel="1">
      <c r="B202" s="147" t="s">
        <v>159</v>
      </c>
      <c r="C202" s="130">
        <v>23</v>
      </c>
      <c r="E202" s="148">
        <f t="shared" si="44"/>
        <v>0</v>
      </c>
      <c r="F202" s="148">
        <f t="shared" si="44"/>
        <v>0</v>
      </c>
      <c r="G202" s="148">
        <f t="shared" si="44"/>
        <v>0</v>
      </c>
      <c r="H202" s="148">
        <f t="shared" si="44"/>
        <v>0</v>
      </c>
      <c r="I202" s="148">
        <f t="shared" si="44"/>
        <v>0</v>
      </c>
      <c r="J202" s="148">
        <f t="shared" ref="J202:AC202" si="46">+IF($C202+$C$178&gt;J$147,J173/$C$178,0)</f>
        <v>0</v>
      </c>
      <c r="K202" s="148">
        <f t="shared" si="46"/>
        <v>0</v>
      </c>
      <c r="L202" s="148">
        <f t="shared" si="46"/>
        <v>0</v>
      </c>
      <c r="M202" s="148">
        <f t="shared" si="46"/>
        <v>0</v>
      </c>
      <c r="N202" s="148">
        <f t="shared" si="46"/>
        <v>0</v>
      </c>
      <c r="O202" s="148">
        <f t="shared" si="46"/>
        <v>0</v>
      </c>
      <c r="P202" s="148">
        <f t="shared" si="46"/>
        <v>0</v>
      </c>
      <c r="Q202" s="148">
        <f t="shared" si="46"/>
        <v>0</v>
      </c>
      <c r="R202" s="148">
        <f t="shared" si="46"/>
        <v>0</v>
      </c>
      <c r="S202" s="148">
        <f t="shared" si="46"/>
        <v>0</v>
      </c>
      <c r="T202" s="148">
        <f t="shared" si="46"/>
        <v>0</v>
      </c>
      <c r="U202" s="148">
        <f t="shared" si="46"/>
        <v>0</v>
      </c>
      <c r="V202" s="148">
        <f t="shared" si="46"/>
        <v>0</v>
      </c>
      <c r="W202" s="148">
        <f t="shared" si="46"/>
        <v>0</v>
      </c>
      <c r="X202" s="148">
        <f t="shared" si="46"/>
        <v>0</v>
      </c>
      <c r="Y202" s="148">
        <f t="shared" si="46"/>
        <v>0</v>
      </c>
      <c r="Z202" s="148">
        <f t="shared" si="46"/>
        <v>0</v>
      </c>
      <c r="AA202" s="148">
        <f t="shared" si="46"/>
        <v>0</v>
      </c>
      <c r="AB202" s="148">
        <f t="shared" si="46"/>
        <v>0</v>
      </c>
      <c r="AC202" s="148">
        <f t="shared" si="46"/>
        <v>0</v>
      </c>
      <c r="AD202" s="148">
        <f t="shared" si="45"/>
        <v>0</v>
      </c>
    </row>
    <row r="203" spans="2:30" ht="15" customHeight="1" outlineLevel="1">
      <c r="B203" s="147" t="s">
        <v>160</v>
      </c>
      <c r="C203" s="130">
        <v>24</v>
      </c>
      <c r="E203" s="148">
        <f t="shared" ref="E203:AC204" si="47">+IF($C203+$C$178&gt;E$147,E174/$C$178,0)</f>
        <v>0</v>
      </c>
      <c r="F203" s="148">
        <f t="shared" si="47"/>
        <v>0</v>
      </c>
      <c r="G203" s="148">
        <f t="shared" si="47"/>
        <v>0</v>
      </c>
      <c r="H203" s="148">
        <f t="shared" si="47"/>
        <v>0</v>
      </c>
      <c r="I203" s="148">
        <f t="shared" si="47"/>
        <v>0</v>
      </c>
      <c r="J203" s="148">
        <f t="shared" si="47"/>
        <v>0</v>
      </c>
      <c r="K203" s="148">
        <f t="shared" si="47"/>
        <v>0</v>
      </c>
      <c r="L203" s="148">
        <f t="shared" si="47"/>
        <v>0</v>
      </c>
      <c r="M203" s="148">
        <f t="shared" si="47"/>
        <v>0</v>
      </c>
      <c r="N203" s="148">
        <f t="shared" si="47"/>
        <v>0</v>
      </c>
      <c r="O203" s="148">
        <f t="shared" si="47"/>
        <v>0</v>
      </c>
      <c r="P203" s="148">
        <f t="shared" si="47"/>
        <v>0</v>
      </c>
      <c r="Q203" s="148">
        <f t="shared" si="47"/>
        <v>0</v>
      </c>
      <c r="R203" s="148">
        <f t="shared" si="47"/>
        <v>0</v>
      </c>
      <c r="S203" s="148">
        <f t="shared" si="47"/>
        <v>0</v>
      </c>
      <c r="T203" s="148">
        <f t="shared" si="47"/>
        <v>0</v>
      </c>
      <c r="U203" s="148">
        <f t="shared" si="47"/>
        <v>0</v>
      </c>
      <c r="V203" s="148">
        <f t="shared" si="47"/>
        <v>0</v>
      </c>
      <c r="W203" s="148">
        <f t="shared" si="47"/>
        <v>0</v>
      </c>
      <c r="X203" s="148">
        <f t="shared" si="47"/>
        <v>0</v>
      </c>
      <c r="Y203" s="148">
        <f t="shared" si="47"/>
        <v>0</v>
      </c>
      <c r="Z203" s="148">
        <f t="shared" si="47"/>
        <v>0</v>
      </c>
      <c r="AA203" s="148">
        <f t="shared" si="47"/>
        <v>0</v>
      </c>
      <c r="AB203" s="148">
        <f t="shared" si="47"/>
        <v>0</v>
      </c>
      <c r="AC203" s="148">
        <f t="shared" si="47"/>
        <v>0</v>
      </c>
      <c r="AD203" s="148">
        <f t="shared" si="45"/>
        <v>0</v>
      </c>
    </row>
    <row r="204" spans="2:30" ht="15" customHeight="1" outlineLevel="1">
      <c r="B204" s="149" t="s">
        <v>161</v>
      </c>
      <c r="C204" s="150">
        <v>25</v>
      </c>
      <c r="D204" s="150"/>
      <c r="E204" s="151">
        <f t="shared" si="47"/>
        <v>0</v>
      </c>
      <c r="F204" s="151">
        <f t="shared" si="47"/>
        <v>0</v>
      </c>
      <c r="G204" s="151">
        <f t="shared" si="47"/>
        <v>0</v>
      </c>
      <c r="H204" s="151">
        <f t="shared" si="47"/>
        <v>0</v>
      </c>
      <c r="I204" s="151">
        <f t="shared" si="47"/>
        <v>0</v>
      </c>
      <c r="J204" s="151">
        <f t="shared" si="47"/>
        <v>0</v>
      </c>
      <c r="K204" s="151">
        <f t="shared" si="47"/>
        <v>0</v>
      </c>
      <c r="L204" s="151">
        <f t="shared" si="47"/>
        <v>0</v>
      </c>
      <c r="M204" s="151">
        <f t="shared" si="47"/>
        <v>0</v>
      </c>
      <c r="N204" s="151">
        <f t="shared" si="47"/>
        <v>0</v>
      </c>
      <c r="O204" s="151">
        <f t="shared" si="47"/>
        <v>0</v>
      </c>
      <c r="P204" s="151">
        <f t="shared" si="47"/>
        <v>0</v>
      </c>
      <c r="Q204" s="151">
        <f t="shared" si="47"/>
        <v>0</v>
      </c>
      <c r="R204" s="151">
        <f t="shared" si="47"/>
        <v>0</v>
      </c>
      <c r="S204" s="151">
        <f t="shared" si="47"/>
        <v>0</v>
      </c>
      <c r="T204" s="151">
        <f t="shared" si="47"/>
        <v>0</v>
      </c>
      <c r="U204" s="151">
        <f t="shared" si="47"/>
        <v>0</v>
      </c>
      <c r="V204" s="151">
        <f t="shared" si="47"/>
        <v>0</v>
      </c>
      <c r="W204" s="151">
        <f t="shared" si="47"/>
        <v>0</v>
      </c>
      <c r="X204" s="151">
        <f t="shared" si="47"/>
        <v>0</v>
      </c>
      <c r="Y204" s="151">
        <f t="shared" si="47"/>
        <v>0</v>
      </c>
      <c r="Z204" s="151">
        <f t="shared" si="47"/>
        <v>0</v>
      </c>
      <c r="AA204" s="151">
        <f t="shared" si="47"/>
        <v>0</v>
      </c>
      <c r="AB204" s="151">
        <f t="shared" si="47"/>
        <v>0</v>
      </c>
      <c r="AC204" s="151">
        <f t="shared" si="47"/>
        <v>0</v>
      </c>
      <c r="AD204" s="151">
        <f t="shared" si="45"/>
        <v>0</v>
      </c>
    </row>
    <row r="205" spans="2:30" ht="15" customHeight="1">
      <c r="B205" s="164" t="s">
        <v>164</v>
      </c>
      <c r="C205" s="165"/>
      <c r="D205" s="165"/>
      <c r="E205" s="166">
        <f>+SUM(E180:E204)</f>
        <v>0</v>
      </c>
      <c r="F205" s="166">
        <f t="shared" ref="F205:AC205" si="48">+SUM(F180:F204)</f>
        <v>0</v>
      </c>
      <c r="G205" s="166">
        <f t="shared" si="48"/>
        <v>0</v>
      </c>
      <c r="H205" s="166">
        <f t="shared" si="48"/>
        <v>0</v>
      </c>
      <c r="I205" s="166">
        <f t="shared" si="48"/>
        <v>0</v>
      </c>
      <c r="J205" s="166">
        <f t="shared" si="48"/>
        <v>0</v>
      </c>
      <c r="K205" s="166">
        <f t="shared" si="48"/>
        <v>0</v>
      </c>
      <c r="L205" s="166">
        <f t="shared" si="48"/>
        <v>0</v>
      </c>
      <c r="M205" s="166">
        <f t="shared" si="48"/>
        <v>0</v>
      </c>
      <c r="N205" s="166">
        <f t="shared" si="48"/>
        <v>0</v>
      </c>
      <c r="O205" s="166">
        <f t="shared" si="48"/>
        <v>0</v>
      </c>
      <c r="P205" s="166">
        <f t="shared" si="48"/>
        <v>0</v>
      </c>
      <c r="Q205" s="166">
        <f t="shared" si="48"/>
        <v>0</v>
      </c>
      <c r="R205" s="166">
        <f t="shared" si="48"/>
        <v>0</v>
      </c>
      <c r="S205" s="166">
        <f t="shared" si="48"/>
        <v>0</v>
      </c>
      <c r="T205" s="166">
        <f t="shared" si="48"/>
        <v>0</v>
      </c>
      <c r="U205" s="166">
        <f t="shared" si="48"/>
        <v>0</v>
      </c>
      <c r="V205" s="166">
        <f t="shared" si="48"/>
        <v>0</v>
      </c>
      <c r="W205" s="166">
        <f t="shared" si="48"/>
        <v>0</v>
      </c>
      <c r="X205" s="166">
        <f t="shared" si="48"/>
        <v>0</v>
      </c>
      <c r="Y205" s="166">
        <f t="shared" si="48"/>
        <v>0</v>
      </c>
      <c r="Z205" s="166">
        <f t="shared" si="48"/>
        <v>0</v>
      </c>
      <c r="AA205" s="166">
        <f t="shared" si="48"/>
        <v>0</v>
      </c>
      <c r="AB205" s="166">
        <f t="shared" si="48"/>
        <v>0</v>
      </c>
      <c r="AC205" s="166">
        <f t="shared" si="48"/>
        <v>0</v>
      </c>
      <c r="AD205" s="166">
        <f t="shared" ref="AD205" si="49">+SUM(AD180:AD204)</f>
        <v>0</v>
      </c>
    </row>
    <row r="206" spans="2:30" ht="15" customHeight="1">
      <c r="B206" s="147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</row>
    <row r="207" spans="2:30" ht="15" customHeight="1">
      <c r="B207" s="147" t="s">
        <v>19</v>
      </c>
      <c r="E207" s="148">
        <f t="shared" ref="E207:AD207" si="50">+D207+E205</f>
        <v>0</v>
      </c>
      <c r="F207" s="148">
        <f t="shared" si="50"/>
        <v>0</v>
      </c>
      <c r="G207" s="148">
        <f t="shared" si="50"/>
        <v>0</v>
      </c>
      <c r="H207" s="148">
        <f t="shared" si="50"/>
        <v>0</v>
      </c>
      <c r="I207" s="148">
        <f t="shared" si="50"/>
        <v>0</v>
      </c>
      <c r="J207" s="148">
        <f t="shared" si="50"/>
        <v>0</v>
      </c>
      <c r="K207" s="148">
        <f t="shared" si="50"/>
        <v>0</v>
      </c>
      <c r="L207" s="148">
        <f t="shared" si="50"/>
        <v>0</v>
      </c>
      <c r="M207" s="148">
        <f t="shared" si="50"/>
        <v>0</v>
      </c>
      <c r="N207" s="148">
        <f t="shared" si="50"/>
        <v>0</v>
      </c>
      <c r="O207" s="148">
        <f t="shared" si="50"/>
        <v>0</v>
      </c>
      <c r="P207" s="148">
        <f t="shared" si="50"/>
        <v>0</v>
      </c>
      <c r="Q207" s="148">
        <f t="shared" si="50"/>
        <v>0</v>
      </c>
      <c r="R207" s="148">
        <f t="shared" si="50"/>
        <v>0</v>
      </c>
      <c r="S207" s="148">
        <f t="shared" si="50"/>
        <v>0</v>
      </c>
      <c r="T207" s="148">
        <f t="shared" si="50"/>
        <v>0</v>
      </c>
      <c r="U207" s="148">
        <f t="shared" si="50"/>
        <v>0</v>
      </c>
      <c r="V207" s="148">
        <f t="shared" si="50"/>
        <v>0</v>
      </c>
      <c r="W207" s="148">
        <f t="shared" si="50"/>
        <v>0</v>
      </c>
      <c r="X207" s="148">
        <f t="shared" si="50"/>
        <v>0</v>
      </c>
      <c r="Y207" s="148">
        <f t="shared" si="50"/>
        <v>0</v>
      </c>
      <c r="Z207" s="148">
        <f t="shared" si="50"/>
        <v>0</v>
      </c>
      <c r="AA207" s="148">
        <f t="shared" si="50"/>
        <v>0</v>
      </c>
      <c r="AB207" s="148">
        <f t="shared" si="50"/>
        <v>0</v>
      </c>
      <c r="AC207" s="148">
        <f t="shared" si="50"/>
        <v>0</v>
      </c>
      <c r="AD207" s="148">
        <f t="shared" si="50"/>
        <v>0</v>
      </c>
    </row>
    <row r="208" spans="2:30" ht="15" customHeight="1">
      <c r="B208" s="147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</row>
    <row r="209" spans="2:30" s="139" customFormat="1" ht="15" customHeight="1">
      <c r="B209" s="157" t="s">
        <v>165</v>
      </c>
      <c r="C209" s="158"/>
      <c r="D209" s="158"/>
      <c r="E209" s="159">
        <f>+E176-E207</f>
        <v>0</v>
      </c>
      <c r="F209" s="159">
        <f t="shared" ref="F209:AD209" si="51">+F176-F207</f>
        <v>0</v>
      </c>
      <c r="G209" s="159">
        <f t="shared" si="51"/>
        <v>0</v>
      </c>
      <c r="H209" s="159">
        <f t="shared" si="51"/>
        <v>0</v>
      </c>
      <c r="I209" s="159">
        <f t="shared" si="51"/>
        <v>0</v>
      </c>
      <c r="J209" s="159">
        <f t="shared" si="51"/>
        <v>0</v>
      </c>
      <c r="K209" s="159">
        <f t="shared" si="51"/>
        <v>0</v>
      </c>
      <c r="L209" s="159">
        <f t="shared" si="51"/>
        <v>0</v>
      </c>
      <c r="M209" s="159">
        <f t="shared" si="51"/>
        <v>0</v>
      </c>
      <c r="N209" s="159">
        <f t="shared" si="51"/>
        <v>0</v>
      </c>
      <c r="O209" s="159">
        <f t="shared" si="51"/>
        <v>0</v>
      </c>
      <c r="P209" s="159">
        <f t="shared" si="51"/>
        <v>0</v>
      </c>
      <c r="Q209" s="159">
        <f t="shared" si="51"/>
        <v>0</v>
      </c>
      <c r="R209" s="159">
        <f t="shared" si="51"/>
        <v>0</v>
      </c>
      <c r="S209" s="159">
        <f t="shared" si="51"/>
        <v>0</v>
      </c>
      <c r="T209" s="159">
        <f t="shared" si="51"/>
        <v>0</v>
      </c>
      <c r="U209" s="159">
        <f t="shared" si="51"/>
        <v>0</v>
      </c>
      <c r="V209" s="159">
        <f t="shared" si="51"/>
        <v>0</v>
      </c>
      <c r="W209" s="159">
        <f t="shared" si="51"/>
        <v>0</v>
      </c>
      <c r="X209" s="159">
        <f t="shared" si="51"/>
        <v>0</v>
      </c>
      <c r="Y209" s="159">
        <f t="shared" si="51"/>
        <v>0</v>
      </c>
      <c r="Z209" s="159">
        <f t="shared" si="51"/>
        <v>0</v>
      </c>
      <c r="AA209" s="159">
        <f t="shared" si="51"/>
        <v>0</v>
      </c>
      <c r="AB209" s="159">
        <f t="shared" si="51"/>
        <v>0</v>
      </c>
      <c r="AC209" s="159">
        <f t="shared" si="51"/>
        <v>0</v>
      </c>
      <c r="AD209" s="159">
        <f t="shared" si="51"/>
        <v>0</v>
      </c>
    </row>
    <row r="210" spans="2:30" ht="15" customHeight="1">
      <c r="B210" s="144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</row>
    <row r="211" spans="2:30" s="139" customFormat="1" ht="15" customHeight="1">
      <c r="B211" s="157" t="s">
        <v>168</v>
      </c>
      <c r="C211" s="158"/>
      <c r="D211" s="158"/>
      <c r="E211" s="159">
        <f>+E148</f>
        <v>0</v>
      </c>
      <c r="F211" s="159">
        <f t="shared" ref="F211:AD211" si="52">+F148</f>
        <v>0</v>
      </c>
      <c r="G211" s="159">
        <f t="shared" si="52"/>
        <v>0</v>
      </c>
      <c r="H211" s="159">
        <f t="shared" si="52"/>
        <v>0</v>
      </c>
      <c r="I211" s="159">
        <f t="shared" si="52"/>
        <v>0</v>
      </c>
      <c r="J211" s="159">
        <f t="shared" si="52"/>
        <v>0</v>
      </c>
      <c r="K211" s="159">
        <f t="shared" si="52"/>
        <v>0</v>
      </c>
      <c r="L211" s="159">
        <f t="shared" si="52"/>
        <v>0</v>
      </c>
      <c r="M211" s="159">
        <f t="shared" si="52"/>
        <v>0</v>
      </c>
      <c r="N211" s="159">
        <f t="shared" si="52"/>
        <v>0</v>
      </c>
      <c r="O211" s="159">
        <f t="shared" si="52"/>
        <v>0</v>
      </c>
      <c r="P211" s="159">
        <f t="shared" si="52"/>
        <v>0</v>
      </c>
      <c r="Q211" s="159">
        <f t="shared" si="52"/>
        <v>0</v>
      </c>
      <c r="R211" s="159">
        <f t="shared" si="52"/>
        <v>0</v>
      </c>
      <c r="S211" s="159">
        <f t="shared" si="52"/>
        <v>0</v>
      </c>
      <c r="T211" s="159">
        <f t="shared" si="52"/>
        <v>0</v>
      </c>
      <c r="U211" s="159">
        <f t="shared" si="52"/>
        <v>0</v>
      </c>
      <c r="V211" s="159">
        <f t="shared" si="52"/>
        <v>0</v>
      </c>
      <c r="W211" s="159">
        <f t="shared" si="52"/>
        <v>0</v>
      </c>
      <c r="X211" s="159">
        <f t="shared" si="52"/>
        <v>0</v>
      </c>
      <c r="Y211" s="159">
        <f t="shared" si="52"/>
        <v>0</v>
      </c>
      <c r="Z211" s="159">
        <f t="shared" si="52"/>
        <v>0</v>
      </c>
      <c r="AA211" s="159">
        <f t="shared" si="52"/>
        <v>0</v>
      </c>
      <c r="AB211" s="159">
        <f t="shared" si="52"/>
        <v>0</v>
      </c>
      <c r="AC211" s="159">
        <f t="shared" si="52"/>
        <v>0</v>
      </c>
      <c r="AD211" s="159">
        <f t="shared" si="52"/>
        <v>0</v>
      </c>
    </row>
    <row r="212" spans="2:30" ht="13.5" thickBot="1">
      <c r="B212" s="161"/>
      <c r="C212" s="162"/>
      <c r="D212" s="162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</row>
    <row r="213" spans="2:30">
      <c r="B213" s="144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</row>
    <row r="214" spans="2:30">
      <c r="B214" s="141" t="s">
        <v>169</v>
      </c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</row>
    <row r="215" spans="2:30">
      <c r="B215" s="130"/>
      <c r="C215" s="133"/>
      <c r="D215" s="133"/>
      <c r="E215" s="143">
        <v>1</v>
      </c>
      <c r="F215" s="143">
        <v>2</v>
      </c>
      <c r="G215" s="143">
        <v>3</v>
      </c>
      <c r="H215" s="143">
        <v>4</v>
      </c>
      <c r="I215" s="143">
        <v>5</v>
      </c>
      <c r="J215" s="143">
        <v>6</v>
      </c>
      <c r="K215" s="143">
        <v>7</v>
      </c>
      <c r="L215" s="143">
        <v>8</v>
      </c>
      <c r="M215" s="143">
        <v>9</v>
      </c>
      <c r="N215" s="143">
        <v>10</v>
      </c>
      <c r="O215" s="143">
        <v>11</v>
      </c>
      <c r="P215" s="143">
        <v>12</v>
      </c>
      <c r="Q215" s="143">
        <v>13</v>
      </c>
      <c r="R215" s="143">
        <v>14</v>
      </c>
      <c r="S215" s="143">
        <v>15</v>
      </c>
      <c r="T215" s="143">
        <v>16</v>
      </c>
      <c r="U215" s="143">
        <v>17</v>
      </c>
      <c r="V215" s="143">
        <v>18</v>
      </c>
      <c r="W215" s="143">
        <v>19</v>
      </c>
      <c r="X215" s="143">
        <v>20</v>
      </c>
      <c r="Y215" s="143">
        <v>21</v>
      </c>
      <c r="Z215" s="143">
        <v>22</v>
      </c>
      <c r="AA215" s="143">
        <v>23</v>
      </c>
      <c r="AB215" s="143">
        <v>24</v>
      </c>
      <c r="AC215" s="143">
        <v>25</v>
      </c>
      <c r="AD215" s="143">
        <v>26</v>
      </c>
    </row>
    <row r="216" spans="2:30">
      <c r="B216" s="144" t="s">
        <v>134</v>
      </c>
      <c r="C216" s="145" t="s">
        <v>135</v>
      </c>
      <c r="D216" s="145"/>
      <c r="E216" s="146">
        <v>0</v>
      </c>
      <c r="F216" s="146">
        <v>0</v>
      </c>
      <c r="G216" s="146">
        <v>0</v>
      </c>
      <c r="H216" s="146">
        <v>0</v>
      </c>
      <c r="I216" s="146">
        <v>0</v>
      </c>
      <c r="J216" s="146">
        <v>0</v>
      </c>
      <c r="K216" s="146">
        <v>0</v>
      </c>
      <c r="L216" s="146">
        <v>0</v>
      </c>
      <c r="M216" s="146">
        <v>0</v>
      </c>
      <c r="N216" s="146">
        <v>0</v>
      </c>
      <c r="O216" s="146">
        <v>0</v>
      </c>
      <c r="P216" s="146">
        <v>0</v>
      </c>
      <c r="Q216" s="146">
        <v>0</v>
      </c>
      <c r="R216" s="146">
        <v>0</v>
      </c>
      <c r="S216" s="146">
        <v>0</v>
      </c>
      <c r="T216" s="146">
        <v>0</v>
      </c>
      <c r="U216" s="146">
        <v>0</v>
      </c>
      <c r="V216" s="146">
        <v>0</v>
      </c>
      <c r="W216" s="146">
        <v>0</v>
      </c>
      <c r="X216" s="146">
        <v>0</v>
      </c>
      <c r="Y216" s="146">
        <v>0</v>
      </c>
      <c r="Z216" s="146">
        <v>0</v>
      </c>
      <c r="AA216" s="146">
        <v>0</v>
      </c>
      <c r="AB216" s="146">
        <v>0</v>
      </c>
      <c r="AC216" s="146">
        <v>0</v>
      </c>
      <c r="AD216" s="146">
        <v>0</v>
      </c>
    </row>
    <row r="217" spans="2:30">
      <c r="B217" s="147"/>
      <c r="E217" s="148"/>
      <c r="F217" s="148"/>
      <c r="G217" s="148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  <c r="AA217" s="148"/>
      <c r="AB217" s="148"/>
      <c r="AC217" s="148"/>
      <c r="AD217" s="148"/>
    </row>
    <row r="218" spans="2:30" outlineLevel="1">
      <c r="B218" s="147" t="s">
        <v>136</v>
      </c>
      <c r="E218" s="148"/>
      <c r="F218" s="148"/>
      <c r="G218" s="148"/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</row>
    <row r="219" spans="2:30" outlineLevel="1">
      <c r="B219" s="147" t="s">
        <v>137</v>
      </c>
      <c r="C219" s="130">
        <v>1</v>
      </c>
      <c r="E219" s="148">
        <f>+IF($C219&gt;E$215,0,IF($C219=E$215,E$216,D219))</f>
        <v>0</v>
      </c>
      <c r="F219" s="148">
        <f t="shared" ref="F219:U234" si="53">+IF($C219&gt;F$215,0,IF($C219=F$215,F$216,E219))</f>
        <v>0</v>
      </c>
      <c r="G219" s="148">
        <f t="shared" si="53"/>
        <v>0</v>
      </c>
      <c r="H219" s="148">
        <f t="shared" si="53"/>
        <v>0</v>
      </c>
      <c r="I219" s="148">
        <f t="shared" si="53"/>
        <v>0</v>
      </c>
      <c r="J219" s="148">
        <f t="shared" si="53"/>
        <v>0</v>
      </c>
      <c r="K219" s="148">
        <f t="shared" si="53"/>
        <v>0</v>
      </c>
      <c r="L219" s="148">
        <f t="shared" si="53"/>
        <v>0</v>
      </c>
      <c r="M219" s="148">
        <f t="shared" si="53"/>
        <v>0</v>
      </c>
      <c r="N219" s="148">
        <f t="shared" si="53"/>
        <v>0</v>
      </c>
      <c r="O219" s="148">
        <f t="shared" si="53"/>
        <v>0</v>
      </c>
      <c r="P219" s="148">
        <f t="shared" si="53"/>
        <v>0</v>
      </c>
      <c r="Q219" s="148">
        <f t="shared" si="53"/>
        <v>0</v>
      </c>
      <c r="R219" s="148">
        <f t="shared" si="53"/>
        <v>0</v>
      </c>
      <c r="S219" s="148">
        <f t="shared" si="53"/>
        <v>0</v>
      </c>
      <c r="T219" s="148">
        <f t="shared" si="53"/>
        <v>0</v>
      </c>
      <c r="U219" s="148">
        <f t="shared" si="53"/>
        <v>0</v>
      </c>
      <c r="V219" s="148">
        <f t="shared" ref="V219:AD234" si="54">+IF($C219&gt;V$215,0,IF($C219=V$215,V$216,U219))</f>
        <v>0</v>
      </c>
      <c r="W219" s="148">
        <f t="shared" si="54"/>
        <v>0</v>
      </c>
      <c r="X219" s="148">
        <f t="shared" si="54"/>
        <v>0</v>
      </c>
      <c r="Y219" s="148">
        <f t="shared" si="54"/>
        <v>0</v>
      </c>
      <c r="Z219" s="148">
        <f t="shared" si="54"/>
        <v>0</v>
      </c>
      <c r="AA219" s="148">
        <f t="shared" si="54"/>
        <v>0</v>
      </c>
      <c r="AB219" s="148">
        <f t="shared" si="54"/>
        <v>0</v>
      </c>
      <c r="AC219" s="148">
        <f t="shared" si="54"/>
        <v>0</v>
      </c>
      <c r="AD219" s="148">
        <f t="shared" si="54"/>
        <v>0</v>
      </c>
    </row>
    <row r="220" spans="2:30" outlineLevel="1">
      <c r="B220" s="147" t="s">
        <v>138</v>
      </c>
      <c r="C220" s="130">
        <v>2</v>
      </c>
      <c r="E220" s="148">
        <f t="shared" ref="E220:T235" si="55">+IF($C220&gt;E$215,0,IF($C220=E$215,E$216,D220))</f>
        <v>0</v>
      </c>
      <c r="F220" s="148">
        <f t="shared" si="55"/>
        <v>0</v>
      </c>
      <c r="G220" s="148">
        <f t="shared" si="55"/>
        <v>0</v>
      </c>
      <c r="H220" s="148">
        <f t="shared" si="55"/>
        <v>0</v>
      </c>
      <c r="I220" s="148">
        <f t="shared" si="55"/>
        <v>0</v>
      </c>
      <c r="J220" s="148">
        <f t="shared" si="55"/>
        <v>0</v>
      </c>
      <c r="K220" s="148">
        <f t="shared" si="55"/>
        <v>0</v>
      </c>
      <c r="L220" s="148">
        <f t="shared" si="55"/>
        <v>0</v>
      </c>
      <c r="M220" s="148">
        <f t="shared" si="55"/>
        <v>0</v>
      </c>
      <c r="N220" s="148">
        <f t="shared" si="55"/>
        <v>0</v>
      </c>
      <c r="O220" s="148">
        <f t="shared" si="55"/>
        <v>0</v>
      </c>
      <c r="P220" s="148">
        <f t="shared" si="55"/>
        <v>0</v>
      </c>
      <c r="Q220" s="148">
        <f t="shared" si="55"/>
        <v>0</v>
      </c>
      <c r="R220" s="148">
        <f t="shared" si="55"/>
        <v>0</v>
      </c>
      <c r="S220" s="148">
        <f t="shared" si="55"/>
        <v>0</v>
      </c>
      <c r="T220" s="148">
        <f t="shared" si="55"/>
        <v>0</v>
      </c>
      <c r="U220" s="148">
        <f t="shared" si="53"/>
        <v>0</v>
      </c>
      <c r="V220" s="148">
        <f t="shared" si="54"/>
        <v>0</v>
      </c>
      <c r="W220" s="148">
        <f t="shared" si="54"/>
        <v>0</v>
      </c>
      <c r="X220" s="148">
        <f t="shared" si="54"/>
        <v>0</v>
      </c>
      <c r="Y220" s="148">
        <f t="shared" si="54"/>
        <v>0</v>
      </c>
      <c r="Z220" s="148">
        <f t="shared" si="54"/>
        <v>0</v>
      </c>
      <c r="AA220" s="148">
        <f t="shared" si="54"/>
        <v>0</v>
      </c>
      <c r="AB220" s="148">
        <f t="shared" si="54"/>
        <v>0</v>
      </c>
      <c r="AC220" s="148">
        <f t="shared" si="54"/>
        <v>0</v>
      </c>
      <c r="AD220" s="148">
        <f t="shared" si="54"/>
        <v>0</v>
      </c>
    </row>
    <row r="221" spans="2:30" outlineLevel="1">
      <c r="B221" s="147" t="s">
        <v>139</v>
      </c>
      <c r="C221" s="130">
        <v>3</v>
      </c>
      <c r="E221" s="148">
        <f t="shared" si="55"/>
        <v>0</v>
      </c>
      <c r="F221" s="148">
        <f t="shared" si="55"/>
        <v>0</v>
      </c>
      <c r="G221" s="148">
        <f t="shared" si="55"/>
        <v>0</v>
      </c>
      <c r="H221" s="148">
        <f t="shared" si="55"/>
        <v>0</v>
      </c>
      <c r="I221" s="148">
        <f t="shared" si="55"/>
        <v>0</v>
      </c>
      <c r="J221" s="148">
        <f t="shared" si="55"/>
        <v>0</v>
      </c>
      <c r="K221" s="148">
        <f t="shared" si="55"/>
        <v>0</v>
      </c>
      <c r="L221" s="148">
        <f t="shared" si="55"/>
        <v>0</v>
      </c>
      <c r="M221" s="148">
        <f t="shared" si="55"/>
        <v>0</v>
      </c>
      <c r="N221" s="148">
        <f t="shared" si="55"/>
        <v>0</v>
      </c>
      <c r="O221" s="148">
        <f t="shared" si="55"/>
        <v>0</v>
      </c>
      <c r="P221" s="148">
        <f t="shared" si="55"/>
        <v>0</v>
      </c>
      <c r="Q221" s="148">
        <f t="shared" si="55"/>
        <v>0</v>
      </c>
      <c r="R221" s="148">
        <f t="shared" si="55"/>
        <v>0</v>
      </c>
      <c r="S221" s="148">
        <f t="shared" si="55"/>
        <v>0</v>
      </c>
      <c r="T221" s="148">
        <f t="shared" si="55"/>
        <v>0</v>
      </c>
      <c r="U221" s="148">
        <f t="shared" si="53"/>
        <v>0</v>
      </c>
      <c r="V221" s="148">
        <f t="shared" si="54"/>
        <v>0</v>
      </c>
      <c r="W221" s="148">
        <f t="shared" si="54"/>
        <v>0</v>
      </c>
      <c r="X221" s="148">
        <f t="shared" si="54"/>
        <v>0</v>
      </c>
      <c r="Y221" s="148">
        <f t="shared" si="54"/>
        <v>0</v>
      </c>
      <c r="Z221" s="148">
        <f t="shared" si="54"/>
        <v>0</v>
      </c>
      <c r="AA221" s="148">
        <f t="shared" si="54"/>
        <v>0</v>
      </c>
      <c r="AB221" s="148">
        <f t="shared" si="54"/>
        <v>0</v>
      </c>
      <c r="AC221" s="148">
        <f t="shared" si="54"/>
        <v>0</v>
      </c>
      <c r="AD221" s="148">
        <f t="shared" si="54"/>
        <v>0</v>
      </c>
    </row>
    <row r="222" spans="2:30" outlineLevel="1">
      <c r="B222" s="147" t="s">
        <v>140</v>
      </c>
      <c r="C222" s="130">
        <v>4</v>
      </c>
      <c r="E222" s="148">
        <f t="shared" si="55"/>
        <v>0</v>
      </c>
      <c r="F222" s="148">
        <f t="shared" si="55"/>
        <v>0</v>
      </c>
      <c r="G222" s="148">
        <f t="shared" si="55"/>
        <v>0</v>
      </c>
      <c r="H222" s="148">
        <f t="shared" si="55"/>
        <v>0</v>
      </c>
      <c r="I222" s="148">
        <f t="shared" si="55"/>
        <v>0</v>
      </c>
      <c r="J222" s="148">
        <f t="shared" si="55"/>
        <v>0</v>
      </c>
      <c r="K222" s="148">
        <f t="shared" si="55"/>
        <v>0</v>
      </c>
      <c r="L222" s="148">
        <f t="shared" si="55"/>
        <v>0</v>
      </c>
      <c r="M222" s="148">
        <f t="shared" si="55"/>
        <v>0</v>
      </c>
      <c r="N222" s="148">
        <f t="shared" si="55"/>
        <v>0</v>
      </c>
      <c r="O222" s="148">
        <f t="shared" si="55"/>
        <v>0</v>
      </c>
      <c r="P222" s="148">
        <f t="shared" si="55"/>
        <v>0</v>
      </c>
      <c r="Q222" s="148">
        <f t="shared" si="55"/>
        <v>0</v>
      </c>
      <c r="R222" s="148">
        <f t="shared" si="55"/>
        <v>0</v>
      </c>
      <c r="S222" s="148">
        <f t="shared" si="55"/>
        <v>0</v>
      </c>
      <c r="T222" s="148">
        <f t="shared" si="55"/>
        <v>0</v>
      </c>
      <c r="U222" s="148">
        <f t="shared" si="53"/>
        <v>0</v>
      </c>
      <c r="V222" s="148">
        <f t="shared" si="54"/>
        <v>0</v>
      </c>
      <c r="W222" s="148">
        <f t="shared" si="54"/>
        <v>0</v>
      </c>
      <c r="X222" s="148">
        <f t="shared" si="54"/>
        <v>0</v>
      </c>
      <c r="Y222" s="148">
        <f t="shared" si="54"/>
        <v>0</v>
      </c>
      <c r="Z222" s="148">
        <f t="shared" si="54"/>
        <v>0</v>
      </c>
      <c r="AA222" s="148">
        <f t="shared" si="54"/>
        <v>0</v>
      </c>
      <c r="AB222" s="148">
        <f t="shared" si="54"/>
        <v>0</v>
      </c>
      <c r="AC222" s="148">
        <f t="shared" si="54"/>
        <v>0</v>
      </c>
      <c r="AD222" s="148">
        <f t="shared" si="54"/>
        <v>0</v>
      </c>
    </row>
    <row r="223" spans="2:30" outlineLevel="1">
      <c r="B223" s="147" t="s">
        <v>141</v>
      </c>
      <c r="C223" s="130">
        <v>5</v>
      </c>
      <c r="E223" s="148">
        <f t="shared" si="55"/>
        <v>0</v>
      </c>
      <c r="F223" s="148">
        <f t="shared" si="55"/>
        <v>0</v>
      </c>
      <c r="G223" s="148">
        <f t="shared" si="55"/>
        <v>0</v>
      </c>
      <c r="H223" s="148">
        <f t="shared" si="55"/>
        <v>0</v>
      </c>
      <c r="I223" s="148">
        <f t="shared" si="55"/>
        <v>0</v>
      </c>
      <c r="J223" s="148">
        <f t="shared" si="55"/>
        <v>0</v>
      </c>
      <c r="K223" s="148">
        <f t="shared" si="55"/>
        <v>0</v>
      </c>
      <c r="L223" s="148">
        <f t="shared" si="55"/>
        <v>0</v>
      </c>
      <c r="M223" s="148">
        <f t="shared" si="55"/>
        <v>0</v>
      </c>
      <c r="N223" s="148">
        <f t="shared" si="55"/>
        <v>0</v>
      </c>
      <c r="O223" s="148">
        <f t="shared" si="55"/>
        <v>0</v>
      </c>
      <c r="P223" s="148">
        <f t="shared" si="55"/>
        <v>0</v>
      </c>
      <c r="Q223" s="148">
        <f t="shared" si="55"/>
        <v>0</v>
      </c>
      <c r="R223" s="148">
        <f t="shared" si="55"/>
        <v>0</v>
      </c>
      <c r="S223" s="148">
        <f t="shared" si="55"/>
        <v>0</v>
      </c>
      <c r="T223" s="148">
        <f t="shared" si="55"/>
        <v>0</v>
      </c>
      <c r="U223" s="148">
        <f t="shared" si="53"/>
        <v>0</v>
      </c>
      <c r="V223" s="148">
        <f t="shared" si="54"/>
        <v>0</v>
      </c>
      <c r="W223" s="148">
        <f t="shared" si="54"/>
        <v>0</v>
      </c>
      <c r="X223" s="148">
        <f t="shared" si="54"/>
        <v>0</v>
      </c>
      <c r="Y223" s="148">
        <f t="shared" si="54"/>
        <v>0</v>
      </c>
      <c r="Z223" s="148">
        <f t="shared" si="54"/>
        <v>0</v>
      </c>
      <c r="AA223" s="148">
        <f t="shared" si="54"/>
        <v>0</v>
      </c>
      <c r="AB223" s="148">
        <f t="shared" si="54"/>
        <v>0</v>
      </c>
      <c r="AC223" s="148">
        <f t="shared" si="54"/>
        <v>0</v>
      </c>
      <c r="AD223" s="148">
        <f t="shared" si="54"/>
        <v>0</v>
      </c>
    </row>
    <row r="224" spans="2:30" outlineLevel="1">
      <c r="B224" s="147" t="s">
        <v>142</v>
      </c>
      <c r="C224" s="130">
        <v>6</v>
      </c>
      <c r="E224" s="148">
        <f t="shared" si="55"/>
        <v>0</v>
      </c>
      <c r="F224" s="148">
        <f t="shared" si="55"/>
        <v>0</v>
      </c>
      <c r="G224" s="148">
        <f t="shared" si="55"/>
        <v>0</v>
      </c>
      <c r="H224" s="148">
        <f t="shared" si="55"/>
        <v>0</v>
      </c>
      <c r="I224" s="148">
        <f t="shared" si="55"/>
        <v>0</v>
      </c>
      <c r="J224" s="148">
        <f t="shared" si="55"/>
        <v>0</v>
      </c>
      <c r="K224" s="148">
        <f t="shared" si="55"/>
        <v>0</v>
      </c>
      <c r="L224" s="148">
        <f t="shared" si="55"/>
        <v>0</v>
      </c>
      <c r="M224" s="148">
        <f t="shared" si="55"/>
        <v>0</v>
      </c>
      <c r="N224" s="148">
        <f t="shared" si="55"/>
        <v>0</v>
      </c>
      <c r="O224" s="148">
        <f t="shared" si="55"/>
        <v>0</v>
      </c>
      <c r="P224" s="148">
        <f t="shared" si="55"/>
        <v>0</v>
      </c>
      <c r="Q224" s="148">
        <f t="shared" si="55"/>
        <v>0</v>
      </c>
      <c r="R224" s="148">
        <f t="shared" si="55"/>
        <v>0</v>
      </c>
      <c r="S224" s="148">
        <f t="shared" si="55"/>
        <v>0</v>
      </c>
      <c r="T224" s="148">
        <f t="shared" si="55"/>
        <v>0</v>
      </c>
      <c r="U224" s="148">
        <f t="shared" si="53"/>
        <v>0</v>
      </c>
      <c r="V224" s="148">
        <f t="shared" si="54"/>
        <v>0</v>
      </c>
      <c r="W224" s="148">
        <f t="shared" si="54"/>
        <v>0</v>
      </c>
      <c r="X224" s="148">
        <f t="shared" si="54"/>
        <v>0</v>
      </c>
      <c r="Y224" s="148">
        <f t="shared" si="54"/>
        <v>0</v>
      </c>
      <c r="Z224" s="148">
        <f t="shared" si="54"/>
        <v>0</v>
      </c>
      <c r="AA224" s="148">
        <f t="shared" si="54"/>
        <v>0</v>
      </c>
      <c r="AB224" s="148">
        <f t="shared" si="54"/>
        <v>0</v>
      </c>
      <c r="AC224" s="148">
        <f t="shared" si="54"/>
        <v>0</v>
      </c>
      <c r="AD224" s="148">
        <f t="shared" si="54"/>
        <v>0</v>
      </c>
    </row>
    <row r="225" spans="2:30" outlineLevel="1">
      <c r="B225" s="147" t="s">
        <v>143</v>
      </c>
      <c r="C225" s="130">
        <v>7</v>
      </c>
      <c r="E225" s="148">
        <f t="shared" si="55"/>
        <v>0</v>
      </c>
      <c r="F225" s="148">
        <f t="shared" si="55"/>
        <v>0</v>
      </c>
      <c r="G225" s="148">
        <f t="shared" si="55"/>
        <v>0</v>
      </c>
      <c r="H225" s="148">
        <f t="shared" si="55"/>
        <v>0</v>
      </c>
      <c r="I225" s="148">
        <f t="shared" si="55"/>
        <v>0</v>
      </c>
      <c r="J225" s="148">
        <f t="shared" si="55"/>
        <v>0</v>
      </c>
      <c r="K225" s="148">
        <f t="shared" si="55"/>
        <v>0</v>
      </c>
      <c r="L225" s="148">
        <f t="shared" si="55"/>
        <v>0</v>
      </c>
      <c r="M225" s="148">
        <f t="shared" si="55"/>
        <v>0</v>
      </c>
      <c r="N225" s="148">
        <f t="shared" si="55"/>
        <v>0</v>
      </c>
      <c r="O225" s="148">
        <f t="shared" si="55"/>
        <v>0</v>
      </c>
      <c r="P225" s="148">
        <f t="shared" si="55"/>
        <v>0</v>
      </c>
      <c r="Q225" s="148">
        <f t="shared" si="55"/>
        <v>0</v>
      </c>
      <c r="R225" s="148">
        <f t="shared" si="55"/>
        <v>0</v>
      </c>
      <c r="S225" s="148">
        <f t="shared" si="55"/>
        <v>0</v>
      </c>
      <c r="T225" s="148">
        <f t="shared" si="55"/>
        <v>0</v>
      </c>
      <c r="U225" s="148">
        <f t="shared" si="53"/>
        <v>0</v>
      </c>
      <c r="V225" s="148">
        <f t="shared" si="54"/>
        <v>0</v>
      </c>
      <c r="W225" s="148">
        <f t="shared" si="54"/>
        <v>0</v>
      </c>
      <c r="X225" s="148">
        <f t="shared" si="54"/>
        <v>0</v>
      </c>
      <c r="Y225" s="148">
        <f t="shared" si="54"/>
        <v>0</v>
      </c>
      <c r="Z225" s="148">
        <f t="shared" si="54"/>
        <v>0</v>
      </c>
      <c r="AA225" s="148">
        <f t="shared" si="54"/>
        <v>0</v>
      </c>
      <c r="AB225" s="148">
        <f t="shared" si="54"/>
        <v>0</v>
      </c>
      <c r="AC225" s="148">
        <f t="shared" si="54"/>
        <v>0</v>
      </c>
      <c r="AD225" s="148">
        <f t="shared" si="54"/>
        <v>0</v>
      </c>
    </row>
    <row r="226" spans="2:30" outlineLevel="1">
      <c r="B226" s="147" t="s">
        <v>144</v>
      </c>
      <c r="C226" s="130">
        <v>8</v>
      </c>
      <c r="E226" s="148">
        <f t="shared" si="55"/>
        <v>0</v>
      </c>
      <c r="F226" s="148">
        <f t="shared" si="55"/>
        <v>0</v>
      </c>
      <c r="G226" s="148">
        <f t="shared" si="55"/>
        <v>0</v>
      </c>
      <c r="H226" s="148">
        <f t="shared" si="55"/>
        <v>0</v>
      </c>
      <c r="I226" s="148">
        <f t="shared" si="55"/>
        <v>0</v>
      </c>
      <c r="J226" s="148">
        <f t="shared" si="55"/>
        <v>0</v>
      </c>
      <c r="K226" s="148">
        <f t="shared" si="55"/>
        <v>0</v>
      </c>
      <c r="L226" s="148">
        <f t="shared" si="55"/>
        <v>0</v>
      </c>
      <c r="M226" s="148">
        <f t="shared" si="55"/>
        <v>0</v>
      </c>
      <c r="N226" s="148">
        <f t="shared" si="55"/>
        <v>0</v>
      </c>
      <c r="O226" s="148">
        <f t="shared" si="55"/>
        <v>0</v>
      </c>
      <c r="P226" s="148">
        <f t="shared" si="55"/>
        <v>0</v>
      </c>
      <c r="Q226" s="148">
        <f t="shared" si="55"/>
        <v>0</v>
      </c>
      <c r="R226" s="148">
        <f t="shared" si="55"/>
        <v>0</v>
      </c>
      <c r="S226" s="148">
        <f t="shared" si="55"/>
        <v>0</v>
      </c>
      <c r="T226" s="148">
        <f t="shared" si="55"/>
        <v>0</v>
      </c>
      <c r="U226" s="148">
        <f t="shared" si="53"/>
        <v>0</v>
      </c>
      <c r="V226" s="148">
        <f t="shared" si="54"/>
        <v>0</v>
      </c>
      <c r="W226" s="148">
        <f t="shared" si="54"/>
        <v>0</v>
      </c>
      <c r="X226" s="148">
        <f t="shared" si="54"/>
        <v>0</v>
      </c>
      <c r="Y226" s="148">
        <f t="shared" si="54"/>
        <v>0</v>
      </c>
      <c r="Z226" s="148">
        <f t="shared" si="54"/>
        <v>0</v>
      </c>
      <c r="AA226" s="148">
        <f t="shared" si="54"/>
        <v>0</v>
      </c>
      <c r="AB226" s="148">
        <f t="shared" si="54"/>
        <v>0</v>
      </c>
      <c r="AC226" s="148">
        <f t="shared" si="54"/>
        <v>0</v>
      </c>
      <c r="AD226" s="148">
        <f t="shared" si="54"/>
        <v>0</v>
      </c>
    </row>
    <row r="227" spans="2:30" outlineLevel="1">
      <c r="B227" s="147" t="s">
        <v>145</v>
      </c>
      <c r="C227" s="130">
        <v>9</v>
      </c>
      <c r="E227" s="148">
        <f t="shared" si="55"/>
        <v>0</v>
      </c>
      <c r="F227" s="148">
        <f t="shared" si="55"/>
        <v>0</v>
      </c>
      <c r="G227" s="148">
        <f t="shared" si="55"/>
        <v>0</v>
      </c>
      <c r="H227" s="148">
        <f t="shared" si="55"/>
        <v>0</v>
      </c>
      <c r="I227" s="148">
        <f t="shared" si="55"/>
        <v>0</v>
      </c>
      <c r="J227" s="148">
        <f t="shared" si="55"/>
        <v>0</v>
      </c>
      <c r="K227" s="148">
        <f t="shared" si="55"/>
        <v>0</v>
      </c>
      <c r="L227" s="148">
        <f t="shared" si="55"/>
        <v>0</v>
      </c>
      <c r="M227" s="148">
        <f t="shared" si="55"/>
        <v>0</v>
      </c>
      <c r="N227" s="148">
        <f t="shared" si="55"/>
        <v>0</v>
      </c>
      <c r="O227" s="148">
        <f t="shared" si="55"/>
        <v>0</v>
      </c>
      <c r="P227" s="148">
        <f t="shared" si="55"/>
        <v>0</v>
      </c>
      <c r="Q227" s="148">
        <f t="shared" si="55"/>
        <v>0</v>
      </c>
      <c r="R227" s="148">
        <f t="shared" si="55"/>
        <v>0</v>
      </c>
      <c r="S227" s="148">
        <f t="shared" si="55"/>
        <v>0</v>
      </c>
      <c r="T227" s="148">
        <f t="shared" si="55"/>
        <v>0</v>
      </c>
      <c r="U227" s="148">
        <f t="shared" si="53"/>
        <v>0</v>
      </c>
      <c r="V227" s="148">
        <f t="shared" si="54"/>
        <v>0</v>
      </c>
      <c r="W227" s="148">
        <f t="shared" si="54"/>
        <v>0</v>
      </c>
      <c r="X227" s="148">
        <f t="shared" si="54"/>
        <v>0</v>
      </c>
      <c r="Y227" s="148">
        <f t="shared" si="54"/>
        <v>0</v>
      </c>
      <c r="Z227" s="148">
        <f t="shared" si="54"/>
        <v>0</v>
      </c>
      <c r="AA227" s="148">
        <f t="shared" si="54"/>
        <v>0</v>
      </c>
      <c r="AB227" s="148">
        <f t="shared" si="54"/>
        <v>0</v>
      </c>
      <c r="AC227" s="148">
        <f t="shared" si="54"/>
        <v>0</v>
      </c>
      <c r="AD227" s="148">
        <f t="shared" si="54"/>
        <v>0</v>
      </c>
    </row>
    <row r="228" spans="2:30" outlineLevel="1">
      <c r="B228" s="147" t="s">
        <v>146</v>
      </c>
      <c r="C228" s="130">
        <v>10</v>
      </c>
      <c r="E228" s="148">
        <f t="shared" si="55"/>
        <v>0</v>
      </c>
      <c r="F228" s="148">
        <f t="shared" si="55"/>
        <v>0</v>
      </c>
      <c r="G228" s="148">
        <f t="shared" si="55"/>
        <v>0</v>
      </c>
      <c r="H228" s="148">
        <f t="shared" si="55"/>
        <v>0</v>
      </c>
      <c r="I228" s="148">
        <f t="shared" si="55"/>
        <v>0</v>
      </c>
      <c r="J228" s="148">
        <f t="shared" si="55"/>
        <v>0</v>
      </c>
      <c r="K228" s="148">
        <f t="shared" si="55"/>
        <v>0</v>
      </c>
      <c r="L228" s="148">
        <f t="shared" si="55"/>
        <v>0</v>
      </c>
      <c r="M228" s="148">
        <f t="shared" si="55"/>
        <v>0</v>
      </c>
      <c r="N228" s="148">
        <f t="shared" si="55"/>
        <v>0</v>
      </c>
      <c r="O228" s="148">
        <f t="shared" si="55"/>
        <v>0</v>
      </c>
      <c r="P228" s="148">
        <f t="shared" si="55"/>
        <v>0</v>
      </c>
      <c r="Q228" s="148">
        <f t="shared" si="55"/>
        <v>0</v>
      </c>
      <c r="R228" s="148">
        <f t="shared" si="55"/>
        <v>0</v>
      </c>
      <c r="S228" s="148">
        <f t="shared" si="55"/>
        <v>0</v>
      </c>
      <c r="T228" s="148">
        <f t="shared" si="55"/>
        <v>0</v>
      </c>
      <c r="U228" s="148">
        <f t="shared" si="53"/>
        <v>0</v>
      </c>
      <c r="V228" s="148">
        <f t="shared" si="54"/>
        <v>0</v>
      </c>
      <c r="W228" s="148">
        <f t="shared" si="54"/>
        <v>0</v>
      </c>
      <c r="X228" s="148">
        <f t="shared" si="54"/>
        <v>0</v>
      </c>
      <c r="Y228" s="148">
        <f t="shared" si="54"/>
        <v>0</v>
      </c>
      <c r="Z228" s="148">
        <f t="shared" si="54"/>
        <v>0</v>
      </c>
      <c r="AA228" s="148">
        <f t="shared" si="54"/>
        <v>0</v>
      </c>
      <c r="AB228" s="148">
        <f t="shared" si="54"/>
        <v>0</v>
      </c>
      <c r="AC228" s="148">
        <f t="shared" si="54"/>
        <v>0</v>
      </c>
      <c r="AD228" s="148">
        <f t="shared" si="54"/>
        <v>0</v>
      </c>
    </row>
    <row r="229" spans="2:30" outlineLevel="1">
      <c r="B229" s="147" t="s">
        <v>147</v>
      </c>
      <c r="C229" s="130">
        <v>11</v>
      </c>
      <c r="E229" s="148">
        <f t="shared" si="55"/>
        <v>0</v>
      </c>
      <c r="F229" s="148">
        <f t="shared" si="55"/>
        <v>0</v>
      </c>
      <c r="G229" s="148">
        <f t="shared" si="55"/>
        <v>0</v>
      </c>
      <c r="H229" s="148">
        <f t="shared" si="55"/>
        <v>0</v>
      </c>
      <c r="I229" s="148">
        <f t="shared" si="55"/>
        <v>0</v>
      </c>
      <c r="J229" s="148">
        <f t="shared" si="55"/>
        <v>0</v>
      </c>
      <c r="K229" s="148">
        <f t="shared" si="55"/>
        <v>0</v>
      </c>
      <c r="L229" s="148">
        <f t="shared" si="55"/>
        <v>0</v>
      </c>
      <c r="M229" s="148">
        <f t="shared" si="55"/>
        <v>0</v>
      </c>
      <c r="N229" s="148">
        <f t="shared" si="55"/>
        <v>0</v>
      </c>
      <c r="O229" s="148">
        <f t="shared" si="55"/>
        <v>0</v>
      </c>
      <c r="P229" s="148">
        <f t="shared" si="55"/>
        <v>0</v>
      </c>
      <c r="Q229" s="148">
        <f t="shared" si="55"/>
        <v>0</v>
      </c>
      <c r="R229" s="148">
        <f t="shared" si="55"/>
        <v>0</v>
      </c>
      <c r="S229" s="148">
        <f t="shared" si="55"/>
        <v>0</v>
      </c>
      <c r="T229" s="148">
        <f t="shared" si="55"/>
        <v>0</v>
      </c>
      <c r="U229" s="148">
        <f t="shared" si="53"/>
        <v>0</v>
      </c>
      <c r="V229" s="148">
        <f t="shared" si="54"/>
        <v>0</v>
      </c>
      <c r="W229" s="148">
        <f t="shared" si="54"/>
        <v>0</v>
      </c>
      <c r="X229" s="148">
        <f t="shared" si="54"/>
        <v>0</v>
      </c>
      <c r="Y229" s="148">
        <f t="shared" si="54"/>
        <v>0</v>
      </c>
      <c r="Z229" s="148">
        <f t="shared" si="54"/>
        <v>0</v>
      </c>
      <c r="AA229" s="148">
        <f t="shared" si="54"/>
        <v>0</v>
      </c>
      <c r="AB229" s="148">
        <f t="shared" si="54"/>
        <v>0</v>
      </c>
      <c r="AC229" s="148">
        <f t="shared" si="54"/>
        <v>0</v>
      </c>
      <c r="AD229" s="148">
        <f t="shared" si="54"/>
        <v>0</v>
      </c>
    </row>
    <row r="230" spans="2:30" outlineLevel="1">
      <c r="B230" s="147" t="s">
        <v>148</v>
      </c>
      <c r="C230" s="130">
        <v>12</v>
      </c>
      <c r="E230" s="148">
        <f t="shared" si="55"/>
        <v>0</v>
      </c>
      <c r="F230" s="148">
        <f t="shared" si="55"/>
        <v>0</v>
      </c>
      <c r="G230" s="148">
        <f t="shared" si="55"/>
        <v>0</v>
      </c>
      <c r="H230" s="148">
        <f t="shared" si="55"/>
        <v>0</v>
      </c>
      <c r="I230" s="148">
        <f t="shared" si="55"/>
        <v>0</v>
      </c>
      <c r="J230" s="148">
        <f t="shared" si="55"/>
        <v>0</v>
      </c>
      <c r="K230" s="148">
        <f t="shared" si="55"/>
        <v>0</v>
      </c>
      <c r="L230" s="148">
        <f t="shared" si="55"/>
        <v>0</v>
      </c>
      <c r="M230" s="148">
        <f t="shared" si="55"/>
        <v>0</v>
      </c>
      <c r="N230" s="148">
        <f t="shared" si="55"/>
        <v>0</v>
      </c>
      <c r="O230" s="148">
        <f t="shared" si="55"/>
        <v>0</v>
      </c>
      <c r="P230" s="148">
        <f t="shared" si="55"/>
        <v>0</v>
      </c>
      <c r="Q230" s="148">
        <f t="shared" si="55"/>
        <v>0</v>
      </c>
      <c r="R230" s="148">
        <f t="shared" si="55"/>
        <v>0</v>
      </c>
      <c r="S230" s="148">
        <f t="shared" si="55"/>
        <v>0</v>
      </c>
      <c r="T230" s="148">
        <f t="shared" si="55"/>
        <v>0</v>
      </c>
      <c r="U230" s="148">
        <f t="shared" si="53"/>
        <v>0</v>
      </c>
      <c r="V230" s="148">
        <f t="shared" si="54"/>
        <v>0</v>
      </c>
      <c r="W230" s="148">
        <f t="shared" si="54"/>
        <v>0</v>
      </c>
      <c r="X230" s="148">
        <f t="shared" si="54"/>
        <v>0</v>
      </c>
      <c r="Y230" s="148">
        <f t="shared" si="54"/>
        <v>0</v>
      </c>
      <c r="Z230" s="148">
        <f t="shared" si="54"/>
        <v>0</v>
      </c>
      <c r="AA230" s="148">
        <f t="shared" si="54"/>
        <v>0</v>
      </c>
      <c r="AB230" s="148">
        <f t="shared" si="54"/>
        <v>0</v>
      </c>
      <c r="AC230" s="148">
        <f t="shared" si="54"/>
        <v>0</v>
      </c>
      <c r="AD230" s="148">
        <f t="shared" si="54"/>
        <v>0</v>
      </c>
    </row>
    <row r="231" spans="2:30" outlineLevel="1">
      <c r="B231" s="147" t="s">
        <v>149</v>
      </c>
      <c r="C231" s="130">
        <v>13</v>
      </c>
      <c r="E231" s="148">
        <f t="shared" si="55"/>
        <v>0</v>
      </c>
      <c r="F231" s="148">
        <f t="shared" si="55"/>
        <v>0</v>
      </c>
      <c r="G231" s="148">
        <f t="shared" si="55"/>
        <v>0</v>
      </c>
      <c r="H231" s="148">
        <f t="shared" si="55"/>
        <v>0</v>
      </c>
      <c r="I231" s="148">
        <f t="shared" si="55"/>
        <v>0</v>
      </c>
      <c r="J231" s="148">
        <f t="shared" si="55"/>
        <v>0</v>
      </c>
      <c r="K231" s="148">
        <f t="shared" si="55"/>
        <v>0</v>
      </c>
      <c r="L231" s="148">
        <f t="shared" si="55"/>
        <v>0</v>
      </c>
      <c r="M231" s="148">
        <f t="shared" si="55"/>
        <v>0</v>
      </c>
      <c r="N231" s="148">
        <f t="shared" si="55"/>
        <v>0</v>
      </c>
      <c r="O231" s="148">
        <f t="shared" si="55"/>
        <v>0</v>
      </c>
      <c r="P231" s="148">
        <f t="shared" si="55"/>
        <v>0</v>
      </c>
      <c r="Q231" s="148">
        <f t="shared" si="55"/>
        <v>0</v>
      </c>
      <c r="R231" s="148">
        <f t="shared" si="55"/>
        <v>0</v>
      </c>
      <c r="S231" s="148">
        <f t="shared" si="55"/>
        <v>0</v>
      </c>
      <c r="T231" s="148">
        <f t="shared" si="55"/>
        <v>0</v>
      </c>
      <c r="U231" s="148">
        <f t="shared" si="53"/>
        <v>0</v>
      </c>
      <c r="V231" s="148">
        <f t="shared" si="54"/>
        <v>0</v>
      </c>
      <c r="W231" s="148">
        <f t="shared" si="54"/>
        <v>0</v>
      </c>
      <c r="X231" s="148">
        <f t="shared" si="54"/>
        <v>0</v>
      </c>
      <c r="Y231" s="148">
        <f t="shared" si="54"/>
        <v>0</v>
      </c>
      <c r="Z231" s="148">
        <f t="shared" si="54"/>
        <v>0</v>
      </c>
      <c r="AA231" s="148">
        <f t="shared" si="54"/>
        <v>0</v>
      </c>
      <c r="AB231" s="148">
        <f t="shared" si="54"/>
        <v>0</v>
      </c>
      <c r="AC231" s="148">
        <f t="shared" si="54"/>
        <v>0</v>
      </c>
      <c r="AD231" s="148">
        <f t="shared" si="54"/>
        <v>0</v>
      </c>
    </row>
    <row r="232" spans="2:30" outlineLevel="1">
      <c r="B232" s="147" t="s">
        <v>150</v>
      </c>
      <c r="C232" s="130">
        <v>14</v>
      </c>
      <c r="E232" s="148">
        <f t="shared" si="55"/>
        <v>0</v>
      </c>
      <c r="F232" s="148">
        <f t="shared" si="55"/>
        <v>0</v>
      </c>
      <c r="G232" s="148">
        <f t="shared" si="55"/>
        <v>0</v>
      </c>
      <c r="H232" s="148">
        <f t="shared" si="55"/>
        <v>0</v>
      </c>
      <c r="I232" s="148">
        <f t="shared" si="55"/>
        <v>0</v>
      </c>
      <c r="J232" s="148">
        <f t="shared" si="55"/>
        <v>0</v>
      </c>
      <c r="K232" s="148">
        <f t="shared" si="55"/>
        <v>0</v>
      </c>
      <c r="L232" s="148">
        <f t="shared" si="55"/>
        <v>0</v>
      </c>
      <c r="M232" s="148">
        <f t="shared" si="55"/>
        <v>0</v>
      </c>
      <c r="N232" s="148">
        <f t="shared" si="55"/>
        <v>0</v>
      </c>
      <c r="O232" s="148">
        <f t="shared" si="55"/>
        <v>0</v>
      </c>
      <c r="P232" s="148">
        <f t="shared" si="55"/>
        <v>0</v>
      </c>
      <c r="Q232" s="148">
        <f t="shared" si="55"/>
        <v>0</v>
      </c>
      <c r="R232" s="148">
        <f t="shared" si="55"/>
        <v>0</v>
      </c>
      <c r="S232" s="148">
        <f t="shared" si="55"/>
        <v>0</v>
      </c>
      <c r="T232" s="148">
        <f t="shared" si="55"/>
        <v>0</v>
      </c>
      <c r="U232" s="148">
        <f t="shared" si="53"/>
        <v>0</v>
      </c>
      <c r="V232" s="148">
        <f t="shared" si="54"/>
        <v>0</v>
      </c>
      <c r="W232" s="148">
        <f t="shared" si="54"/>
        <v>0</v>
      </c>
      <c r="X232" s="148">
        <f t="shared" si="54"/>
        <v>0</v>
      </c>
      <c r="Y232" s="148">
        <f t="shared" si="54"/>
        <v>0</v>
      </c>
      <c r="Z232" s="148">
        <f t="shared" si="54"/>
        <v>0</v>
      </c>
      <c r="AA232" s="148">
        <f t="shared" si="54"/>
        <v>0</v>
      </c>
      <c r="AB232" s="148">
        <f t="shared" si="54"/>
        <v>0</v>
      </c>
      <c r="AC232" s="148">
        <f t="shared" si="54"/>
        <v>0</v>
      </c>
      <c r="AD232" s="148">
        <f t="shared" si="54"/>
        <v>0</v>
      </c>
    </row>
    <row r="233" spans="2:30" outlineLevel="1">
      <c r="B233" s="147" t="s">
        <v>151</v>
      </c>
      <c r="C233" s="130">
        <v>15</v>
      </c>
      <c r="E233" s="148">
        <f t="shared" si="55"/>
        <v>0</v>
      </c>
      <c r="F233" s="148">
        <f t="shared" si="55"/>
        <v>0</v>
      </c>
      <c r="G233" s="148">
        <f t="shared" si="55"/>
        <v>0</v>
      </c>
      <c r="H233" s="148">
        <f t="shared" si="55"/>
        <v>0</v>
      </c>
      <c r="I233" s="148">
        <f t="shared" si="55"/>
        <v>0</v>
      </c>
      <c r="J233" s="148">
        <f t="shared" si="55"/>
        <v>0</v>
      </c>
      <c r="K233" s="148">
        <f t="shared" si="55"/>
        <v>0</v>
      </c>
      <c r="L233" s="148">
        <f t="shared" si="55"/>
        <v>0</v>
      </c>
      <c r="M233" s="148">
        <f t="shared" si="55"/>
        <v>0</v>
      </c>
      <c r="N233" s="148">
        <f t="shared" si="55"/>
        <v>0</v>
      </c>
      <c r="O233" s="148">
        <f t="shared" si="55"/>
        <v>0</v>
      </c>
      <c r="P233" s="148">
        <f t="shared" si="55"/>
        <v>0</v>
      </c>
      <c r="Q233" s="148">
        <f t="shared" si="55"/>
        <v>0</v>
      </c>
      <c r="R233" s="148">
        <f t="shared" si="55"/>
        <v>0</v>
      </c>
      <c r="S233" s="148">
        <f t="shared" si="55"/>
        <v>0</v>
      </c>
      <c r="T233" s="148">
        <f t="shared" si="55"/>
        <v>0</v>
      </c>
      <c r="U233" s="148">
        <f t="shared" si="53"/>
        <v>0</v>
      </c>
      <c r="V233" s="148">
        <f t="shared" si="54"/>
        <v>0</v>
      </c>
      <c r="W233" s="148">
        <f t="shared" si="54"/>
        <v>0</v>
      </c>
      <c r="X233" s="148">
        <f t="shared" si="54"/>
        <v>0</v>
      </c>
      <c r="Y233" s="148">
        <f t="shared" si="54"/>
        <v>0</v>
      </c>
      <c r="Z233" s="148">
        <f t="shared" si="54"/>
        <v>0</v>
      </c>
      <c r="AA233" s="148">
        <f t="shared" si="54"/>
        <v>0</v>
      </c>
      <c r="AB233" s="148">
        <f t="shared" si="54"/>
        <v>0</v>
      </c>
      <c r="AC233" s="148">
        <f t="shared" si="54"/>
        <v>0</v>
      </c>
      <c r="AD233" s="148">
        <f t="shared" si="54"/>
        <v>0</v>
      </c>
    </row>
    <row r="234" spans="2:30" outlineLevel="1">
      <c r="B234" s="147" t="s">
        <v>152</v>
      </c>
      <c r="C234" s="130">
        <v>16</v>
      </c>
      <c r="E234" s="148">
        <f t="shared" si="55"/>
        <v>0</v>
      </c>
      <c r="F234" s="148">
        <f t="shared" si="55"/>
        <v>0</v>
      </c>
      <c r="G234" s="148">
        <f t="shared" si="55"/>
        <v>0</v>
      </c>
      <c r="H234" s="148">
        <f t="shared" si="55"/>
        <v>0</v>
      </c>
      <c r="I234" s="148">
        <f t="shared" si="55"/>
        <v>0</v>
      </c>
      <c r="J234" s="148">
        <f t="shared" si="55"/>
        <v>0</v>
      </c>
      <c r="K234" s="148">
        <f t="shared" si="55"/>
        <v>0</v>
      </c>
      <c r="L234" s="148">
        <f t="shared" si="55"/>
        <v>0</v>
      </c>
      <c r="M234" s="148">
        <f t="shared" si="55"/>
        <v>0</v>
      </c>
      <c r="N234" s="148">
        <f t="shared" si="55"/>
        <v>0</v>
      </c>
      <c r="O234" s="148">
        <f t="shared" si="55"/>
        <v>0</v>
      </c>
      <c r="P234" s="148">
        <f t="shared" si="55"/>
        <v>0</v>
      </c>
      <c r="Q234" s="148">
        <f t="shared" si="55"/>
        <v>0</v>
      </c>
      <c r="R234" s="148">
        <f t="shared" si="55"/>
        <v>0</v>
      </c>
      <c r="S234" s="148">
        <f t="shared" si="55"/>
        <v>0</v>
      </c>
      <c r="T234" s="148">
        <f t="shared" si="55"/>
        <v>0</v>
      </c>
      <c r="U234" s="148">
        <f t="shared" si="53"/>
        <v>0</v>
      </c>
      <c r="V234" s="148">
        <f t="shared" si="54"/>
        <v>0</v>
      </c>
      <c r="W234" s="148">
        <f t="shared" si="54"/>
        <v>0</v>
      </c>
      <c r="X234" s="148">
        <f t="shared" si="54"/>
        <v>0</v>
      </c>
      <c r="Y234" s="148">
        <f t="shared" si="54"/>
        <v>0</v>
      </c>
      <c r="Z234" s="148">
        <f t="shared" si="54"/>
        <v>0</v>
      </c>
      <c r="AA234" s="148">
        <f t="shared" si="54"/>
        <v>0</v>
      </c>
      <c r="AB234" s="148">
        <f t="shared" si="54"/>
        <v>0</v>
      </c>
      <c r="AC234" s="148">
        <f t="shared" si="54"/>
        <v>0</v>
      </c>
      <c r="AD234" s="148">
        <f t="shared" si="54"/>
        <v>0</v>
      </c>
    </row>
    <row r="235" spans="2:30" outlineLevel="1">
      <c r="B235" s="147" t="s">
        <v>153</v>
      </c>
      <c r="C235" s="130">
        <v>17</v>
      </c>
      <c r="E235" s="148">
        <f t="shared" si="55"/>
        <v>0</v>
      </c>
      <c r="F235" s="148">
        <f t="shared" si="55"/>
        <v>0</v>
      </c>
      <c r="G235" s="148">
        <f t="shared" si="55"/>
        <v>0</v>
      </c>
      <c r="H235" s="148">
        <f t="shared" si="55"/>
        <v>0</v>
      </c>
      <c r="I235" s="148">
        <f t="shared" si="55"/>
        <v>0</v>
      </c>
      <c r="J235" s="148">
        <f t="shared" si="55"/>
        <v>0</v>
      </c>
      <c r="K235" s="148">
        <f t="shared" si="55"/>
        <v>0</v>
      </c>
      <c r="L235" s="148">
        <f t="shared" si="55"/>
        <v>0</v>
      </c>
      <c r="M235" s="148">
        <f t="shared" si="55"/>
        <v>0</v>
      </c>
      <c r="N235" s="148">
        <f t="shared" si="55"/>
        <v>0</v>
      </c>
      <c r="O235" s="148">
        <f t="shared" si="55"/>
        <v>0</v>
      </c>
      <c r="P235" s="148">
        <f t="shared" si="55"/>
        <v>0</v>
      </c>
      <c r="Q235" s="148">
        <f t="shared" si="55"/>
        <v>0</v>
      </c>
      <c r="R235" s="148">
        <f t="shared" si="55"/>
        <v>0</v>
      </c>
      <c r="S235" s="148">
        <f t="shared" si="55"/>
        <v>0</v>
      </c>
      <c r="T235" s="148">
        <f t="shared" ref="T235:AD243" si="56">+IF($C235&gt;T$215,0,IF($C235=T$215,T$216,S235))</f>
        <v>0</v>
      </c>
      <c r="U235" s="148">
        <f t="shared" si="56"/>
        <v>0</v>
      </c>
      <c r="V235" s="148">
        <f t="shared" si="56"/>
        <v>0</v>
      </c>
      <c r="W235" s="148">
        <f t="shared" si="56"/>
        <v>0</v>
      </c>
      <c r="X235" s="148">
        <f t="shared" si="56"/>
        <v>0</v>
      </c>
      <c r="Y235" s="148">
        <f t="shared" si="56"/>
        <v>0</v>
      </c>
      <c r="Z235" s="148">
        <f t="shared" si="56"/>
        <v>0</v>
      </c>
      <c r="AA235" s="148">
        <f t="shared" si="56"/>
        <v>0</v>
      </c>
      <c r="AB235" s="148">
        <f t="shared" si="56"/>
        <v>0</v>
      </c>
      <c r="AC235" s="148">
        <f t="shared" si="56"/>
        <v>0</v>
      </c>
      <c r="AD235" s="148">
        <f t="shared" si="56"/>
        <v>0</v>
      </c>
    </row>
    <row r="236" spans="2:30" outlineLevel="1">
      <c r="B236" s="147" t="s">
        <v>154</v>
      </c>
      <c r="C236" s="130">
        <v>18</v>
      </c>
      <c r="E236" s="148">
        <f t="shared" ref="E236:T243" si="57">+IF($C236&gt;E$215,0,IF($C236=E$215,E$216,D236))</f>
        <v>0</v>
      </c>
      <c r="F236" s="148">
        <f t="shared" si="57"/>
        <v>0</v>
      </c>
      <c r="G236" s="148">
        <f t="shared" si="57"/>
        <v>0</v>
      </c>
      <c r="H236" s="148">
        <f t="shared" si="57"/>
        <v>0</v>
      </c>
      <c r="I236" s="148">
        <f t="shared" si="57"/>
        <v>0</v>
      </c>
      <c r="J236" s="148">
        <f t="shared" si="57"/>
        <v>0</v>
      </c>
      <c r="K236" s="148">
        <f t="shared" si="57"/>
        <v>0</v>
      </c>
      <c r="L236" s="148">
        <f t="shared" si="57"/>
        <v>0</v>
      </c>
      <c r="M236" s="148">
        <f t="shared" si="57"/>
        <v>0</v>
      </c>
      <c r="N236" s="148">
        <f t="shared" si="57"/>
        <v>0</v>
      </c>
      <c r="O236" s="148">
        <f t="shared" si="57"/>
        <v>0</v>
      </c>
      <c r="P236" s="148">
        <f t="shared" si="57"/>
        <v>0</v>
      </c>
      <c r="Q236" s="148">
        <f t="shared" si="57"/>
        <v>0</v>
      </c>
      <c r="R236" s="148">
        <f t="shared" si="57"/>
        <v>0</v>
      </c>
      <c r="S236" s="148">
        <f t="shared" si="57"/>
        <v>0</v>
      </c>
      <c r="T236" s="148">
        <f t="shared" si="57"/>
        <v>0</v>
      </c>
      <c r="U236" s="148">
        <f t="shared" si="56"/>
        <v>0</v>
      </c>
      <c r="V236" s="148">
        <f t="shared" si="56"/>
        <v>0</v>
      </c>
      <c r="W236" s="148">
        <f t="shared" si="56"/>
        <v>0</v>
      </c>
      <c r="X236" s="148">
        <f t="shared" si="56"/>
        <v>0</v>
      </c>
      <c r="Y236" s="148">
        <f t="shared" si="56"/>
        <v>0</v>
      </c>
      <c r="Z236" s="148">
        <f t="shared" si="56"/>
        <v>0</v>
      </c>
      <c r="AA236" s="148">
        <f t="shared" si="56"/>
        <v>0</v>
      </c>
      <c r="AB236" s="148">
        <f t="shared" si="56"/>
        <v>0</v>
      </c>
      <c r="AC236" s="148">
        <f t="shared" si="56"/>
        <v>0</v>
      </c>
      <c r="AD236" s="148">
        <f t="shared" si="56"/>
        <v>0</v>
      </c>
    </row>
    <row r="237" spans="2:30" outlineLevel="1">
      <c r="B237" s="147" t="s">
        <v>155</v>
      </c>
      <c r="C237" s="130">
        <v>19</v>
      </c>
      <c r="E237" s="148">
        <f t="shared" si="57"/>
        <v>0</v>
      </c>
      <c r="F237" s="148">
        <f t="shared" si="57"/>
        <v>0</v>
      </c>
      <c r="G237" s="148">
        <f t="shared" si="57"/>
        <v>0</v>
      </c>
      <c r="H237" s="148">
        <f t="shared" si="57"/>
        <v>0</v>
      </c>
      <c r="I237" s="148">
        <f t="shared" si="57"/>
        <v>0</v>
      </c>
      <c r="J237" s="148">
        <f t="shared" si="57"/>
        <v>0</v>
      </c>
      <c r="K237" s="148">
        <f t="shared" si="57"/>
        <v>0</v>
      </c>
      <c r="L237" s="148">
        <f t="shared" si="57"/>
        <v>0</v>
      </c>
      <c r="M237" s="148">
        <f t="shared" si="57"/>
        <v>0</v>
      </c>
      <c r="N237" s="148">
        <f t="shared" si="57"/>
        <v>0</v>
      </c>
      <c r="O237" s="148">
        <f t="shared" si="57"/>
        <v>0</v>
      </c>
      <c r="P237" s="148">
        <f t="shared" si="57"/>
        <v>0</v>
      </c>
      <c r="Q237" s="148">
        <f t="shared" si="57"/>
        <v>0</v>
      </c>
      <c r="R237" s="148">
        <f t="shared" si="57"/>
        <v>0</v>
      </c>
      <c r="S237" s="148">
        <f t="shared" si="57"/>
        <v>0</v>
      </c>
      <c r="T237" s="148">
        <f t="shared" si="57"/>
        <v>0</v>
      </c>
      <c r="U237" s="148">
        <f t="shared" si="56"/>
        <v>0</v>
      </c>
      <c r="V237" s="148">
        <f t="shared" si="56"/>
        <v>0</v>
      </c>
      <c r="W237" s="148">
        <f t="shared" si="56"/>
        <v>0</v>
      </c>
      <c r="X237" s="148">
        <f t="shared" si="56"/>
        <v>0</v>
      </c>
      <c r="Y237" s="148">
        <f t="shared" si="56"/>
        <v>0</v>
      </c>
      <c r="Z237" s="148">
        <f t="shared" si="56"/>
        <v>0</v>
      </c>
      <c r="AA237" s="148">
        <f t="shared" si="56"/>
        <v>0</v>
      </c>
      <c r="AB237" s="148">
        <f t="shared" si="56"/>
        <v>0</v>
      </c>
      <c r="AC237" s="148">
        <f t="shared" si="56"/>
        <v>0</v>
      </c>
      <c r="AD237" s="148">
        <f t="shared" si="56"/>
        <v>0</v>
      </c>
    </row>
    <row r="238" spans="2:30" outlineLevel="1">
      <c r="B238" s="147" t="s">
        <v>156</v>
      </c>
      <c r="C238" s="130">
        <v>20</v>
      </c>
      <c r="E238" s="148">
        <f t="shared" si="57"/>
        <v>0</v>
      </c>
      <c r="F238" s="148">
        <f t="shared" si="57"/>
        <v>0</v>
      </c>
      <c r="G238" s="148">
        <f t="shared" si="57"/>
        <v>0</v>
      </c>
      <c r="H238" s="148">
        <f t="shared" si="57"/>
        <v>0</v>
      </c>
      <c r="I238" s="148">
        <f t="shared" si="57"/>
        <v>0</v>
      </c>
      <c r="J238" s="148">
        <f t="shared" si="57"/>
        <v>0</v>
      </c>
      <c r="K238" s="148">
        <f t="shared" si="57"/>
        <v>0</v>
      </c>
      <c r="L238" s="148">
        <f t="shared" si="57"/>
        <v>0</v>
      </c>
      <c r="M238" s="148">
        <f t="shared" si="57"/>
        <v>0</v>
      </c>
      <c r="N238" s="148">
        <f t="shared" si="57"/>
        <v>0</v>
      </c>
      <c r="O238" s="148">
        <f t="shared" si="57"/>
        <v>0</v>
      </c>
      <c r="P238" s="148">
        <f t="shared" si="57"/>
        <v>0</v>
      </c>
      <c r="Q238" s="148">
        <f t="shared" si="57"/>
        <v>0</v>
      </c>
      <c r="R238" s="148">
        <f t="shared" si="57"/>
        <v>0</v>
      </c>
      <c r="S238" s="148">
        <f t="shared" si="57"/>
        <v>0</v>
      </c>
      <c r="T238" s="148">
        <f t="shared" si="57"/>
        <v>0</v>
      </c>
      <c r="U238" s="148">
        <f t="shared" si="56"/>
        <v>0</v>
      </c>
      <c r="V238" s="148">
        <f t="shared" si="56"/>
        <v>0</v>
      </c>
      <c r="W238" s="148">
        <f t="shared" si="56"/>
        <v>0</v>
      </c>
      <c r="X238" s="148">
        <f t="shared" si="56"/>
        <v>0</v>
      </c>
      <c r="Y238" s="148">
        <f t="shared" si="56"/>
        <v>0</v>
      </c>
      <c r="Z238" s="148">
        <f t="shared" si="56"/>
        <v>0</v>
      </c>
      <c r="AA238" s="148">
        <f t="shared" si="56"/>
        <v>0</v>
      </c>
      <c r="AB238" s="148">
        <f t="shared" si="56"/>
        <v>0</v>
      </c>
      <c r="AC238" s="148">
        <f t="shared" si="56"/>
        <v>0</v>
      </c>
      <c r="AD238" s="148">
        <f t="shared" si="56"/>
        <v>0</v>
      </c>
    </row>
    <row r="239" spans="2:30" outlineLevel="1">
      <c r="B239" s="147" t="s">
        <v>157</v>
      </c>
      <c r="C239" s="130">
        <v>21</v>
      </c>
      <c r="E239" s="148">
        <f t="shared" si="57"/>
        <v>0</v>
      </c>
      <c r="F239" s="148">
        <f t="shared" si="57"/>
        <v>0</v>
      </c>
      <c r="G239" s="148">
        <f t="shared" si="57"/>
        <v>0</v>
      </c>
      <c r="H239" s="148">
        <f t="shared" si="57"/>
        <v>0</v>
      </c>
      <c r="I239" s="148">
        <f t="shared" si="57"/>
        <v>0</v>
      </c>
      <c r="J239" s="148">
        <f t="shared" si="57"/>
        <v>0</v>
      </c>
      <c r="K239" s="148">
        <f t="shared" si="57"/>
        <v>0</v>
      </c>
      <c r="L239" s="148">
        <f t="shared" si="57"/>
        <v>0</v>
      </c>
      <c r="M239" s="148">
        <f t="shared" si="57"/>
        <v>0</v>
      </c>
      <c r="N239" s="148">
        <f t="shared" si="57"/>
        <v>0</v>
      </c>
      <c r="O239" s="148">
        <f t="shared" si="57"/>
        <v>0</v>
      </c>
      <c r="P239" s="148">
        <f t="shared" si="57"/>
        <v>0</v>
      </c>
      <c r="Q239" s="148">
        <f t="shared" si="57"/>
        <v>0</v>
      </c>
      <c r="R239" s="148">
        <f t="shared" si="57"/>
        <v>0</v>
      </c>
      <c r="S239" s="148">
        <f t="shared" si="57"/>
        <v>0</v>
      </c>
      <c r="T239" s="148">
        <f t="shared" si="57"/>
        <v>0</v>
      </c>
      <c r="U239" s="148">
        <f t="shared" si="56"/>
        <v>0</v>
      </c>
      <c r="V239" s="148">
        <f t="shared" si="56"/>
        <v>0</v>
      </c>
      <c r="W239" s="148">
        <f t="shared" si="56"/>
        <v>0</v>
      </c>
      <c r="X239" s="148">
        <f t="shared" si="56"/>
        <v>0</v>
      </c>
      <c r="Y239" s="148">
        <f t="shared" si="56"/>
        <v>0</v>
      </c>
      <c r="Z239" s="148">
        <f t="shared" si="56"/>
        <v>0</v>
      </c>
      <c r="AA239" s="148">
        <f t="shared" si="56"/>
        <v>0</v>
      </c>
      <c r="AB239" s="148">
        <f t="shared" si="56"/>
        <v>0</v>
      </c>
      <c r="AC239" s="148">
        <f t="shared" si="56"/>
        <v>0</v>
      </c>
      <c r="AD239" s="148">
        <f t="shared" si="56"/>
        <v>0</v>
      </c>
    </row>
    <row r="240" spans="2:30" outlineLevel="1">
      <c r="B240" s="147" t="s">
        <v>158</v>
      </c>
      <c r="C240" s="130">
        <v>22</v>
      </c>
      <c r="E240" s="148">
        <f t="shared" si="57"/>
        <v>0</v>
      </c>
      <c r="F240" s="148">
        <f t="shared" si="57"/>
        <v>0</v>
      </c>
      <c r="G240" s="148">
        <f t="shared" si="57"/>
        <v>0</v>
      </c>
      <c r="H240" s="148">
        <f t="shared" si="57"/>
        <v>0</v>
      </c>
      <c r="I240" s="148">
        <f t="shared" si="57"/>
        <v>0</v>
      </c>
      <c r="J240" s="148">
        <f t="shared" si="57"/>
        <v>0</v>
      </c>
      <c r="K240" s="148">
        <f t="shared" si="57"/>
        <v>0</v>
      </c>
      <c r="L240" s="148">
        <f t="shared" si="57"/>
        <v>0</v>
      </c>
      <c r="M240" s="148">
        <f t="shared" si="57"/>
        <v>0</v>
      </c>
      <c r="N240" s="148">
        <f t="shared" si="57"/>
        <v>0</v>
      </c>
      <c r="O240" s="148">
        <f t="shared" si="57"/>
        <v>0</v>
      </c>
      <c r="P240" s="148">
        <f t="shared" si="57"/>
        <v>0</v>
      </c>
      <c r="Q240" s="148">
        <f t="shared" si="57"/>
        <v>0</v>
      </c>
      <c r="R240" s="148">
        <f t="shared" si="57"/>
        <v>0</v>
      </c>
      <c r="S240" s="148">
        <f t="shared" si="57"/>
        <v>0</v>
      </c>
      <c r="T240" s="148">
        <f t="shared" si="57"/>
        <v>0</v>
      </c>
      <c r="U240" s="148">
        <f t="shared" si="56"/>
        <v>0</v>
      </c>
      <c r="V240" s="148">
        <f t="shared" si="56"/>
        <v>0</v>
      </c>
      <c r="W240" s="148">
        <f t="shared" si="56"/>
        <v>0</v>
      </c>
      <c r="X240" s="148">
        <f t="shared" si="56"/>
        <v>0</v>
      </c>
      <c r="Y240" s="148">
        <f t="shared" si="56"/>
        <v>0</v>
      </c>
      <c r="Z240" s="148">
        <f t="shared" si="56"/>
        <v>0</v>
      </c>
      <c r="AA240" s="148">
        <f t="shared" si="56"/>
        <v>0</v>
      </c>
      <c r="AB240" s="148">
        <f t="shared" si="56"/>
        <v>0</v>
      </c>
      <c r="AC240" s="148">
        <f t="shared" si="56"/>
        <v>0</v>
      </c>
      <c r="AD240" s="148">
        <f t="shared" si="56"/>
        <v>0</v>
      </c>
    </row>
    <row r="241" spans="2:30" outlineLevel="1">
      <c r="B241" s="147" t="s">
        <v>159</v>
      </c>
      <c r="C241" s="130">
        <v>23</v>
      </c>
      <c r="E241" s="148">
        <f t="shared" si="57"/>
        <v>0</v>
      </c>
      <c r="F241" s="148">
        <f t="shared" si="57"/>
        <v>0</v>
      </c>
      <c r="G241" s="148">
        <f t="shared" si="57"/>
        <v>0</v>
      </c>
      <c r="H241" s="148">
        <f t="shared" si="57"/>
        <v>0</v>
      </c>
      <c r="I241" s="148">
        <f t="shared" si="57"/>
        <v>0</v>
      </c>
      <c r="J241" s="148">
        <f t="shared" si="57"/>
        <v>0</v>
      </c>
      <c r="K241" s="148">
        <f t="shared" si="57"/>
        <v>0</v>
      </c>
      <c r="L241" s="148">
        <f t="shared" si="57"/>
        <v>0</v>
      </c>
      <c r="M241" s="148">
        <f t="shared" si="57"/>
        <v>0</v>
      </c>
      <c r="N241" s="148">
        <f t="shared" si="57"/>
        <v>0</v>
      </c>
      <c r="O241" s="148">
        <f t="shared" si="57"/>
        <v>0</v>
      </c>
      <c r="P241" s="148">
        <f t="shared" si="57"/>
        <v>0</v>
      </c>
      <c r="Q241" s="148">
        <f t="shared" si="57"/>
        <v>0</v>
      </c>
      <c r="R241" s="148">
        <f t="shared" si="57"/>
        <v>0</v>
      </c>
      <c r="S241" s="148">
        <f t="shared" si="57"/>
        <v>0</v>
      </c>
      <c r="T241" s="148">
        <f t="shared" si="57"/>
        <v>0</v>
      </c>
      <c r="U241" s="148">
        <f t="shared" si="56"/>
        <v>0</v>
      </c>
      <c r="V241" s="148">
        <f t="shared" si="56"/>
        <v>0</v>
      </c>
      <c r="W241" s="148">
        <f t="shared" si="56"/>
        <v>0</v>
      </c>
      <c r="X241" s="148">
        <f t="shared" si="56"/>
        <v>0</v>
      </c>
      <c r="Y241" s="148">
        <f t="shared" si="56"/>
        <v>0</v>
      </c>
      <c r="Z241" s="148">
        <f t="shared" si="56"/>
        <v>0</v>
      </c>
      <c r="AA241" s="148">
        <f t="shared" si="56"/>
        <v>0</v>
      </c>
      <c r="AB241" s="148">
        <f t="shared" si="56"/>
        <v>0</v>
      </c>
      <c r="AC241" s="148">
        <f t="shared" si="56"/>
        <v>0</v>
      </c>
      <c r="AD241" s="148">
        <f t="shared" si="56"/>
        <v>0</v>
      </c>
    </row>
    <row r="242" spans="2:30" outlineLevel="1">
      <c r="B242" s="147" t="s">
        <v>160</v>
      </c>
      <c r="C242" s="130">
        <v>24</v>
      </c>
      <c r="E242" s="148">
        <f t="shared" si="57"/>
        <v>0</v>
      </c>
      <c r="F242" s="148">
        <f t="shared" si="57"/>
        <v>0</v>
      </c>
      <c r="G242" s="148">
        <f t="shared" si="57"/>
        <v>0</v>
      </c>
      <c r="H242" s="148">
        <f t="shared" si="57"/>
        <v>0</v>
      </c>
      <c r="I242" s="148">
        <f t="shared" si="57"/>
        <v>0</v>
      </c>
      <c r="J242" s="148">
        <f t="shared" si="57"/>
        <v>0</v>
      </c>
      <c r="K242" s="148">
        <f t="shared" si="57"/>
        <v>0</v>
      </c>
      <c r="L242" s="148">
        <f t="shared" si="57"/>
        <v>0</v>
      </c>
      <c r="M242" s="148">
        <f t="shared" si="57"/>
        <v>0</v>
      </c>
      <c r="N242" s="148">
        <f t="shared" si="57"/>
        <v>0</v>
      </c>
      <c r="O242" s="148">
        <f t="shared" si="57"/>
        <v>0</v>
      </c>
      <c r="P242" s="148">
        <f t="shared" si="57"/>
        <v>0</v>
      </c>
      <c r="Q242" s="148">
        <f t="shared" si="57"/>
        <v>0</v>
      </c>
      <c r="R242" s="148">
        <f t="shared" si="57"/>
        <v>0</v>
      </c>
      <c r="S242" s="148">
        <f t="shared" si="57"/>
        <v>0</v>
      </c>
      <c r="T242" s="148">
        <f t="shared" si="57"/>
        <v>0</v>
      </c>
      <c r="U242" s="148">
        <f t="shared" si="56"/>
        <v>0</v>
      </c>
      <c r="V242" s="148">
        <f t="shared" si="56"/>
        <v>0</v>
      </c>
      <c r="W242" s="148">
        <f t="shared" si="56"/>
        <v>0</v>
      </c>
      <c r="X242" s="148">
        <f t="shared" si="56"/>
        <v>0</v>
      </c>
      <c r="Y242" s="148">
        <f t="shared" si="56"/>
        <v>0</v>
      </c>
      <c r="Z242" s="148">
        <f t="shared" si="56"/>
        <v>0</v>
      </c>
      <c r="AA242" s="148">
        <f t="shared" si="56"/>
        <v>0</v>
      </c>
      <c r="AB242" s="148">
        <f t="shared" si="56"/>
        <v>0</v>
      </c>
      <c r="AC242" s="148">
        <f t="shared" si="56"/>
        <v>0</v>
      </c>
      <c r="AD242" s="148">
        <f t="shared" si="56"/>
        <v>0</v>
      </c>
    </row>
    <row r="243" spans="2:30" outlineLevel="1">
      <c r="B243" s="149" t="s">
        <v>161</v>
      </c>
      <c r="C243" s="150">
        <v>25</v>
      </c>
      <c r="D243" s="150"/>
      <c r="E243" s="151">
        <f t="shared" si="57"/>
        <v>0</v>
      </c>
      <c r="F243" s="151">
        <f t="shared" si="57"/>
        <v>0</v>
      </c>
      <c r="G243" s="151">
        <f t="shared" si="57"/>
        <v>0</v>
      </c>
      <c r="H243" s="151">
        <f t="shared" si="57"/>
        <v>0</v>
      </c>
      <c r="I243" s="151">
        <f t="shared" si="57"/>
        <v>0</v>
      </c>
      <c r="J243" s="151">
        <f t="shared" si="57"/>
        <v>0</v>
      </c>
      <c r="K243" s="151">
        <f t="shared" si="57"/>
        <v>0</v>
      </c>
      <c r="L243" s="151">
        <f t="shared" si="57"/>
        <v>0</v>
      </c>
      <c r="M243" s="151">
        <f t="shared" si="57"/>
        <v>0</v>
      </c>
      <c r="N243" s="151">
        <f t="shared" si="57"/>
        <v>0</v>
      </c>
      <c r="O243" s="151">
        <f t="shared" si="57"/>
        <v>0</v>
      </c>
      <c r="P243" s="151">
        <f t="shared" si="57"/>
        <v>0</v>
      </c>
      <c r="Q243" s="151">
        <f t="shared" si="57"/>
        <v>0</v>
      </c>
      <c r="R243" s="151">
        <f t="shared" si="57"/>
        <v>0</v>
      </c>
      <c r="S243" s="151">
        <f t="shared" si="57"/>
        <v>0</v>
      </c>
      <c r="T243" s="151">
        <f t="shared" si="57"/>
        <v>0</v>
      </c>
      <c r="U243" s="151">
        <f t="shared" si="56"/>
        <v>0</v>
      </c>
      <c r="V243" s="151">
        <f t="shared" si="56"/>
        <v>0</v>
      </c>
      <c r="W243" s="151">
        <f t="shared" si="56"/>
        <v>0</v>
      </c>
      <c r="X243" s="151">
        <f t="shared" si="56"/>
        <v>0</v>
      </c>
      <c r="Y243" s="151">
        <f t="shared" si="56"/>
        <v>0</v>
      </c>
      <c r="Z243" s="151">
        <f t="shared" si="56"/>
        <v>0</v>
      </c>
      <c r="AA243" s="151">
        <f t="shared" si="56"/>
        <v>0</v>
      </c>
      <c r="AB243" s="151">
        <f t="shared" si="56"/>
        <v>0</v>
      </c>
      <c r="AC243" s="151">
        <f t="shared" si="56"/>
        <v>0</v>
      </c>
      <c r="AD243" s="151">
        <f t="shared" si="56"/>
        <v>0</v>
      </c>
    </row>
    <row r="244" spans="2:30">
      <c r="B244" s="147" t="s">
        <v>167</v>
      </c>
      <c r="E244" s="148">
        <f>+SUM(E219:E243)</f>
        <v>0</v>
      </c>
      <c r="F244" s="148">
        <f>+SUM(F219:F243)</f>
        <v>0</v>
      </c>
      <c r="G244" s="148">
        <f t="shared" ref="G244:AD244" si="58">+SUM(G219:G243)</f>
        <v>0</v>
      </c>
      <c r="H244" s="148">
        <f t="shared" si="58"/>
        <v>0</v>
      </c>
      <c r="I244" s="148">
        <f t="shared" si="58"/>
        <v>0</v>
      </c>
      <c r="J244" s="148">
        <f t="shared" si="58"/>
        <v>0</v>
      </c>
      <c r="K244" s="148">
        <f t="shared" si="58"/>
        <v>0</v>
      </c>
      <c r="L244" s="148">
        <f t="shared" si="58"/>
        <v>0</v>
      </c>
      <c r="M244" s="148">
        <f t="shared" si="58"/>
        <v>0</v>
      </c>
      <c r="N244" s="148">
        <f t="shared" si="58"/>
        <v>0</v>
      </c>
      <c r="O244" s="148">
        <f t="shared" si="58"/>
        <v>0</v>
      </c>
      <c r="P244" s="148">
        <f t="shared" si="58"/>
        <v>0</v>
      </c>
      <c r="Q244" s="148">
        <f t="shared" si="58"/>
        <v>0</v>
      </c>
      <c r="R244" s="148">
        <f t="shared" si="58"/>
        <v>0</v>
      </c>
      <c r="S244" s="148">
        <f t="shared" si="58"/>
        <v>0</v>
      </c>
      <c r="T244" s="148">
        <f t="shared" si="58"/>
        <v>0</v>
      </c>
      <c r="U244" s="148">
        <f t="shared" si="58"/>
        <v>0</v>
      </c>
      <c r="V244" s="148">
        <f t="shared" si="58"/>
        <v>0</v>
      </c>
      <c r="W244" s="148">
        <f t="shared" si="58"/>
        <v>0</v>
      </c>
      <c r="X244" s="148">
        <f t="shared" si="58"/>
        <v>0</v>
      </c>
      <c r="Y244" s="148">
        <f t="shared" si="58"/>
        <v>0</v>
      </c>
      <c r="Z244" s="148">
        <f t="shared" si="58"/>
        <v>0</v>
      </c>
      <c r="AA244" s="148">
        <f t="shared" si="58"/>
        <v>0</v>
      </c>
      <c r="AB244" s="148">
        <f t="shared" si="58"/>
        <v>0</v>
      </c>
      <c r="AC244" s="148">
        <f t="shared" si="58"/>
        <v>0</v>
      </c>
      <c r="AD244" s="148">
        <f t="shared" si="58"/>
        <v>0</v>
      </c>
    </row>
    <row r="245" spans="2:30">
      <c r="B245" s="130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</row>
    <row r="246" spans="2:30">
      <c r="B246" s="144" t="s">
        <v>163</v>
      </c>
      <c r="C246" s="152">
        <v>10</v>
      </c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</row>
    <row r="247" spans="2:30">
      <c r="B247" s="147"/>
      <c r="E247" s="148"/>
      <c r="F247" s="148"/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</row>
    <row r="248" spans="2:30" outlineLevel="1">
      <c r="B248" s="147" t="s">
        <v>137</v>
      </c>
      <c r="C248" s="130">
        <v>1</v>
      </c>
      <c r="E248" s="148">
        <f>+IF($C248+$C$246&gt;E$215,E219/$C$246,0)</f>
        <v>0</v>
      </c>
      <c r="F248" s="148">
        <f t="shared" ref="F248:AD263" si="59">+IF($C248+$C$246&gt;F$215,F219/$C$246,0)</f>
        <v>0</v>
      </c>
      <c r="G248" s="148">
        <f t="shared" si="59"/>
        <v>0</v>
      </c>
      <c r="H248" s="148">
        <f t="shared" si="59"/>
        <v>0</v>
      </c>
      <c r="I248" s="148">
        <f t="shared" si="59"/>
        <v>0</v>
      </c>
      <c r="J248" s="148">
        <f t="shared" si="59"/>
        <v>0</v>
      </c>
      <c r="K248" s="148">
        <f t="shared" si="59"/>
        <v>0</v>
      </c>
      <c r="L248" s="148">
        <f t="shared" si="59"/>
        <v>0</v>
      </c>
      <c r="M248" s="148">
        <f t="shared" si="59"/>
        <v>0</v>
      </c>
      <c r="N248" s="148">
        <f t="shared" si="59"/>
        <v>0</v>
      </c>
      <c r="O248" s="148">
        <f t="shared" si="59"/>
        <v>0</v>
      </c>
      <c r="P248" s="148">
        <f t="shared" si="59"/>
        <v>0</v>
      </c>
      <c r="Q248" s="148">
        <f t="shared" si="59"/>
        <v>0</v>
      </c>
      <c r="R248" s="148">
        <f t="shared" si="59"/>
        <v>0</v>
      </c>
      <c r="S248" s="148">
        <f t="shared" si="59"/>
        <v>0</v>
      </c>
      <c r="T248" s="148">
        <f t="shared" si="59"/>
        <v>0</v>
      </c>
      <c r="U248" s="148">
        <f t="shared" si="59"/>
        <v>0</v>
      </c>
      <c r="V248" s="148">
        <f t="shared" si="59"/>
        <v>0</v>
      </c>
      <c r="W248" s="148">
        <f t="shared" si="59"/>
        <v>0</v>
      </c>
      <c r="X248" s="148">
        <f t="shared" si="59"/>
        <v>0</v>
      </c>
      <c r="Y248" s="148">
        <f t="shared" si="59"/>
        <v>0</v>
      </c>
      <c r="Z248" s="148">
        <f t="shared" si="59"/>
        <v>0</v>
      </c>
      <c r="AA248" s="148">
        <f t="shared" si="59"/>
        <v>0</v>
      </c>
      <c r="AB248" s="148">
        <f t="shared" si="59"/>
        <v>0</v>
      </c>
      <c r="AC248" s="148">
        <f t="shared" si="59"/>
        <v>0</v>
      </c>
      <c r="AD248" s="148">
        <f t="shared" si="59"/>
        <v>0</v>
      </c>
    </row>
    <row r="249" spans="2:30" outlineLevel="1">
      <c r="B249" s="147" t="s">
        <v>138</v>
      </c>
      <c r="C249" s="130">
        <v>2</v>
      </c>
      <c r="E249" s="148">
        <f t="shared" ref="E249:AC259" si="60">+IF($C249+$C$246&gt;E$215,E220/$C$246,0)</f>
        <v>0</v>
      </c>
      <c r="F249" s="148">
        <f t="shared" si="60"/>
        <v>0</v>
      </c>
      <c r="G249" s="148">
        <f t="shared" si="60"/>
        <v>0</v>
      </c>
      <c r="H249" s="148">
        <f t="shared" si="60"/>
        <v>0</v>
      </c>
      <c r="I249" s="148">
        <f t="shared" si="60"/>
        <v>0</v>
      </c>
      <c r="J249" s="148">
        <f t="shared" si="60"/>
        <v>0</v>
      </c>
      <c r="K249" s="148">
        <f t="shared" si="60"/>
        <v>0</v>
      </c>
      <c r="L249" s="148">
        <f t="shared" si="60"/>
        <v>0</v>
      </c>
      <c r="M249" s="148">
        <f t="shared" si="60"/>
        <v>0</v>
      </c>
      <c r="N249" s="148">
        <f t="shared" si="60"/>
        <v>0</v>
      </c>
      <c r="O249" s="148">
        <f t="shared" si="60"/>
        <v>0</v>
      </c>
      <c r="P249" s="148">
        <f t="shared" si="60"/>
        <v>0</v>
      </c>
      <c r="Q249" s="148">
        <f t="shared" si="60"/>
        <v>0</v>
      </c>
      <c r="R249" s="148">
        <f t="shared" si="60"/>
        <v>0</v>
      </c>
      <c r="S249" s="148">
        <f t="shared" si="60"/>
        <v>0</v>
      </c>
      <c r="T249" s="148">
        <f t="shared" si="60"/>
        <v>0</v>
      </c>
      <c r="U249" s="148">
        <f t="shared" si="60"/>
        <v>0</v>
      </c>
      <c r="V249" s="148">
        <f t="shared" si="60"/>
        <v>0</v>
      </c>
      <c r="W249" s="148">
        <f t="shared" si="60"/>
        <v>0</v>
      </c>
      <c r="X249" s="148">
        <f t="shared" si="60"/>
        <v>0</v>
      </c>
      <c r="Y249" s="148">
        <f t="shared" si="60"/>
        <v>0</v>
      </c>
      <c r="Z249" s="148">
        <f t="shared" si="60"/>
        <v>0</v>
      </c>
      <c r="AA249" s="148">
        <f t="shared" si="60"/>
        <v>0</v>
      </c>
      <c r="AB249" s="148">
        <f t="shared" si="60"/>
        <v>0</v>
      </c>
      <c r="AC249" s="148">
        <f t="shared" si="60"/>
        <v>0</v>
      </c>
      <c r="AD249" s="148">
        <f t="shared" si="59"/>
        <v>0</v>
      </c>
    </row>
    <row r="250" spans="2:30" outlineLevel="1">
      <c r="B250" s="147" t="s">
        <v>139</v>
      </c>
      <c r="C250" s="130">
        <v>3</v>
      </c>
      <c r="E250" s="148">
        <f t="shared" si="60"/>
        <v>0</v>
      </c>
      <c r="F250" s="148">
        <f t="shared" si="60"/>
        <v>0</v>
      </c>
      <c r="G250" s="148">
        <f t="shared" si="60"/>
        <v>0</v>
      </c>
      <c r="H250" s="148">
        <f t="shared" si="60"/>
        <v>0</v>
      </c>
      <c r="I250" s="148">
        <f t="shared" si="60"/>
        <v>0</v>
      </c>
      <c r="J250" s="148">
        <f t="shared" si="60"/>
        <v>0</v>
      </c>
      <c r="K250" s="148">
        <f t="shared" si="60"/>
        <v>0</v>
      </c>
      <c r="L250" s="148">
        <f t="shared" si="60"/>
        <v>0</v>
      </c>
      <c r="M250" s="148">
        <f t="shared" si="60"/>
        <v>0</v>
      </c>
      <c r="N250" s="148">
        <f t="shared" si="60"/>
        <v>0</v>
      </c>
      <c r="O250" s="148">
        <f t="shared" si="60"/>
        <v>0</v>
      </c>
      <c r="P250" s="148">
        <f t="shared" si="60"/>
        <v>0</v>
      </c>
      <c r="Q250" s="148">
        <f t="shared" si="60"/>
        <v>0</v>
      </c>
      <c r="R250" s="148">
        <f t="shared" si="60"/>
        <v>0</v>
      </c>
      <c r="S250" s="148">
        <f t="shared" si="60"/>
        <v>0</v>
      </c>
      <c r="T250" s="148">
        <f t="shared" si="60"/>
        <v>0</v>
      </c>
      <c r="U250" s="148">
        <f t="shared" si="60"/>
        <v>0</v>
      </c>
      <c r="V250" s="148">
        <f t="shared" si="60"/>
        <v>0</v>
      </c>
      <c r="W250" s="148">
        <f t="shared" si="60"/>
        <v>0</v>
      </c>
      <c r="X250" s="148">
        <f t="shared" si="60"/>
        <v>0</v>
      </c>
      <c r="Y250" s="148">
        <f t="shared" si="60"/>
        <v>0</v>
      </c>
      <c r="Z250" s="148">
        <f t="shared" si="60"/>
        <v>0</v>
      </c>
      <c r="AA250" s="148">
        <f t="shared" si="60"/>
        <v>0</v>
      </c>
      <c r="AB250" s="148">
        <f t="shared" si="60"/>
        <v>0</v>
      </c>
      <c r="AC250" s="148">
        <f t="shared" si="60"/>
        <v>0</v>
      </c>
      <c r="AD250" s="148">
        <f t="shared" si="59"/>
        <v>0</v>
      </c>
    </row>
    <row r="251" spans="2:30" outlineLevel="1">
      <c r="B251" s="147" t="s">
        <v>140</v>
      </c>
      <c r="C251" s="130">
        <v>4</v>
      </c>
      <c r="E251" s="148">
        <f t="shared" si="60"/>
        <v>0</v>
      </c>
      <c r="F251" s="148">
        <f t="shared" si="60"/>
        <v>0</v>
      </c>
      <c r="G251" s="148">
        <f t="shared" si="60"/>
        <v>0</v>
      </c>
      <c r="H251" s="148">
        <f t="shared" si="60"/>
        <v>0</v>
      </c>
      <c r="I251" s="148">
        <f t="shared" si="60"/>
        <v>0</v>
      </c>
      <c r="J251" s="148">
        <f t="shared" si="60"/>
        <v>0</v>
      </c>
      <c r="K251" s="148">
        <f t="shared" si="60"/>
        <v>0</v>
      </c>
      <c r="L251" s="148">
        <f t="shared" si="60"/>
        <v>0</v>
      </c>
      <c r="M251" s="148">
        <f t="shared" si="60"/>
        <v>0</v>
      </c>
      <c r="N251" s="148">
        <f t="shared" si="60"/>
        <v>0</v>
      </c>
      <c r="O251" s="148">
        <f t="shared" si="60"/>
        <v>0</v>
      </c>
      <c r="P251" s="148">
        <f t="shared" si="60"/>
        <v>0</v>
      </c>
      <c r="Q251" s="148">
        <f t="shared" si="60"/>
        <v>0</v>
      </c>
      <c r="R251" s="148">
        <f t="shared" si="60"/>
        <v>0</v>
      </c>
      <c r="S251" s="148">
        <f t="shared" si="60"/>
        <v>0</v>
      </c>
      <c r="T251" s="148">
        <f t="shared" si="60"/>
        <v>0</v>
      </c>
      <c r="U251" s="148">
        <f t="shared" si="60"/>
        <v>0</v>
      </c>
      <c r="V251" s="148">
        <f t="shared" si="60"/>
        <v>0</v>
      </c>
      <c r="W251" s="148">
        <f t="shared" si="60"/>
        <v>0</v>
      </c>
      <c r="X251" s="148">
        <f t="shared" si="60"/>
        <v>0</v>
      </c>
      <c r="Y251" s="148">
        <f t="shared" si="60"/>
        <v>0</v>
      </c>
      <c r="Z251" s="148">
        <f t="shared" si="60"/>
        <v>0</v>
      </c>
      <c r="AA251" s="148">
        <f t="shared" si="60"/>
        <v>0</v>
      </c>
      <c r="AB251" s="148">
        <f t="shared" si="60"/>
        <v>0</v>
      </c>
      <c r="AC251" s="148">
        <f t="shared" si="60"/>
        <v>0</v>
      </c>
      <c r="AD251" s="148">
        <f t="shared" si="59"/>
        <v>0</v>
      </c>
    </row>
    <row r="252" spans="2:30" outlineLevel="1">
      <c r="B252" s="147" t="s">
        <v>141</v>
      </c>
      <c r="C252" s="130">
        <v>5</v>
      </c>
      <c r="E252" s="148">
        <f t="shared" si="60"/>
        <v>0</v>
      </c>
      <c r="F252" s="148">
        <f t="shared" si="60"/>
        <v>0</v>
      </c>
      <c r="G252" s="148">
        <f t="shared" si="60"/>
        <v>0</v>
      </c>
      <c r="H252" s="148">
        <f t="shared" si="60"/>
        <v>0</v>
      </c>
      <c r="I252" s="148">
        <f t="shared" si="60"/>
        <v>0</v>
      </c>
      <c r="J252" s="148">
        <f t="shared" si="60"/>
        <v>0</v>
      </c>
      <c r="K252" s="148">
        <f t="shared" si="60"/>
        <v>0</v>
      </c>
      <c r="L252" s="148">
        <f t="shared" si="60"/>
        <v>0</v>
      </c>
      <c r="M252" s="148">
        <f t="shared" si="60"/>
        <v>0</v>
      </c>
      <c r="N252" s="148">
        <f t="shared" si="60"/>
        <v>0</v>
      </c>
      <c r="O252" s="148">
        <f t="shared" si="60"/>
        <v>0</v>
      </c>
      <c r="P252" s="148">
        <f t="shared" si="60"/>
        <v>0</v>
      </c>
      <c r="Q252" s="148">
        <f t="shared" si="60"/>
        <v>0</v>
      </c>
      <c r="R252" s="148">
        <f t="shared" si="60"/>
        <v>0</v>
      </c>
      <c r="S252" s="148">
        <f t="shared" si="60"/>
        <v>0</v>
      </c>
      <c r="T252" s="148">
        <f t="shared" si="60"/>
        <v>0</v>
      </c>
      <c r="U252" s="148">
        <f t="shared" si="60"/>
        <v>0</v>
      </c>
      <c r="V252" s="148">
        <f t="shared" si="60"/>
        <v>0</v>
      </c>
      <c r="W252" s="148">
        <f t="shared" si="60"/>
        <v>0</v>
      </c>
      <c r="X252" s="148">
        <f t="shared" si="60"/>
        <v>0</v>
      </c>
      <c r="Y252" s="148">
        <f t="shared" si="60"/>
        <v>0</v>
      </c>
      <c r="Z252" s="148">
        <f t="shared" si="60"/>
        <v>0</v>
      </c>
      <c r="AA252" s="148">
        <f t="shared" si="60"/>
        <v>0</v>
      </c>
      <c r="AB252" s="148">
        <f t="shared" si="60"/>
        <v>0</v>
      </c>
      <c r="AC252" s="148">
        <f t="shared" si="60"/>
        <v>0</v>
      </c>
      <c r="AD252" s="148">
        <f t="shared" si="59"/>
        <v>0</v>
      </c>
    </row>
    <row r="253" spans="2:30" outlineLevel="1">
      <c r="B253" s="147" t="s">
        <v>142</v>
      </c>
      <c r="C253" s="130">
        <v>6</v>
      </c>
      <c r="E253" s="148">
        <f t="shared" si="60"/>
        <v>0</v>
      </c>
      <c r="F253" s="148">
        <f t="shared" si="60"/>
        <v>0</v>
      </c>
      <c r="G253" s="148">
        <f t="shared" si="60"/>
        <v>0</v>
      </c>
      <c r="H253" s="148">
        <f t="shared" si="60"/>
        <v>0</v>
      </c>
      <c r="I253" s="148">
        <f t="shared" si="60"/>
        <v>0</v>
      </c>
      <c r="J253" s="148">
        <f t="shared" si="60"/>
        <v>0</v>
      </c>
      <c r="K253" s="148">
        <f t="shared" si="60"/>
        <v>0</v>
      </c>
      <c r="L253" s="148">
        <f t="shared" si="60"/>
        <v>0</v>
      </c>
      <c r="M253" s="148">
        <f t="shared" si="60"/>
        <v>0</v>
      </c>
      <c r="N253" s="148">
        <f t="shared" si="60"/>
        <v>0</v>
      </c>
      <c r="O253" s="148">
        <f t="shared" si="60"/>
        <v>0</v>
      </c>
      <c r="P253" s="148">
        <f t="shared" si="60"/>
        <v>0</v>
      </c>
      <c r="Q253" s="148">
        <f t="shared" si="60"/>
        <v>0</v>
      </c>
      <c r="R253" s="148">
        <f t="shared" si="60"/>
        <v>0</v>
      </c>
      <c r="S253" s="148">
        <f t="shared" si="60"/>
        <v>0</v>
      </c>
      <c r="T253" s="148">
        <f t="shared" si="60"/>
        <v>0</v>
      </c>
      <c r="U253" s="148">
        <f t="shared" si="60"/>
        <v>0</v>
      </c>
      <c r="V253" s="148">
        <f t="shared" si="60"/>
        <v>0</v>
      </c>
      <c r="W253" s="148">
        <f t="shared" si="60"/>
        <v>0</v>
      </c>
      <c r="X253" s="148">
        <f t="shared" si="60"/>
        <v>0</v>
      </c>
      <c r="Y253" s="148">
        <f t="shared" si="60"/>
        <v>0</v>
      </c>
      <c r="Z253" s="148">
        <f t="shared" si="60"/>
        <v>0</v>
      </c>
      <c r="AA253" s="148">
        <f t="shared" si="60"/>
        <v>0</v>
      </c>
      <c r="AB253" s="148">
        <f t="shared" si="60"/>
        <v>0</v>
      </c>
      <c r="AC253" s="148">
        <f t="shared" si="60"/>
        <v>0</v>
      </c>
      <c r="AD253" s="148">
        <f t="shared" si="59"/>
        <v>0</v>
      </c>
    </row>
    <row r="254" spans="2:30" outlineLevel="1">
      <c r="B254" s="147" t="s">
        <v>143</v>
      </c>
      <c r="C254" s="130">
        <v>7</v>
      </c>
      <c r="E254" s="148">
        <f t="shared" si="60"/>
        <v>0</v>
      </c>
      <c r="F254" s="148">
        <f t="shared" si="60"/>
        <v>0</v>
      </c>
      <c r="G254" s="148">
        <f t="shared" si="60"/>
        <v>0</v>
      </c>
      <c r="H254" s="148">
        <f t="shared" si="60"/>
        <v>0</v>
      </c>
      <c r="I254" s="148">
        <f t="shared" si="60"/>
        <v>0</v>
      </c>
      <c r="J254" s="148">
        <f t="shared" si="60"/>
        <v>0</v>
      </c>
      <c r="K254" s="148">
        <f t="shared" si="60"/>
        <v>0</v>
      </c>
      <c r="L254" s="148">
        <f t="shared" si="60"/>
        <v>0</v>
      </c>
      <c r="M254" s="148">
        <f t="shared" si="60"/>
        <v>0</v>
      </c>
      <c r="N254" s="148">
        <f t="shared" si="60"/>
        <v>0</v>
      </c>
      <c r="O254" s="148">
        <f t="shared" si="60"/>
        <v>0</v>
      </c>
      <c r="P254" s="148">
        <f t="shared" si="60"/>
        <v>0</v>
      </c>
      <c r="Q254" s="148">
        <f t="shared" si="60"/>
        <v>0</v>
      </c>
      <c r="R254" s="148">
        <f t="shared" si="60"/>
        <v>0</v>
      </c>
      <c r="S254" s="148">
        <f t="shared" si="60"/>
        <v>0</v>
      </c>
      <c r="T254" s="148">
        <f t="shared" si="60"/>
        <v>0</v>
      </c>
      <c r="U254" s="148">
        <f t="shared" si="60"/>
        <v>0</v>
      </c>
      <c r="V254" s="148">
        <f t="shared" si="60"/>
        <v>0</v>
      </c>
      <c r="W254" s="148">
        <f t="shared" si="60"/>
        <v>0</v>
      </c>
      <c r="X254" s="148">
        <f t="shared" si="60"/>
        <v>0</v>
      </c>
      <c r="Y254" s="148">
        <f t="shared" si="60"/>
        <v>0</v>
      </c>
      <c r="Z254" s="148">
        <f t="shared" si="60"/>
        <v>0</v>
      </c>
      <c r="AA254" s="148">
        <f t="shared" si="60"/>
        <v>0</v>
      </c>
      <c r="AB254" s="148">
        <f t="shared" si="60"/>
        <v>0</v>
      </c>
      <c r="AC254" s="148">
        <f t="shared" si="60"/>
        <v>0</v>
      </c>
      <c r="AD254" s="148">
        <f t="shared" si="59"/>
        <v>0</v>
      </c>
    </row>
    <row r="255" spans="2:30" outlineLevel="1">
      <c r="B255" s="147" t="s">
        <v>144</v>
      </c>
      <c r="C255" s="130">
        <v>8</v>
      </c>
      <c r="E255" s="148">
        <f t="shared" si="60"/>
        <v>0</v>
      </c>
      <c r="F255" s="148">
        <f t="shared" si="60"/>
        <v>0</v>
      </c>
      <c r="G255" s="148">
        <f t="shared" si="60"/>
        <v>0</v>
      </c>
      <c r="H255" s="148">
        <f t="shared" si="60"/>
        <v>0</v>
      </c>
      <c r="I255" s="148">
        <f t="shared" si="60"/>
        <v>0</v>
      </c>
      <c r="J255" s="148">
        <f t="shared" si="60"/>
        <v>0</v>
      </c>
      <c r="K255" s="148">
        <f t="shared" si="60"/>
        <v>0</v>
      </c>
      <c r="L255" s="148">
        <f t="shared" si="60"/>
        <v>0</v>
      </c>
      <c r="M255" s="148">
        <f t="shared" si="60"/>
        <v>0</v>
      </c>
      <c r="N255" s="148">
        <f t="shared" si="60"/>
        <v>0</v>
      </c>
      <c r="O255" s="148">
        <f t="shared" si="60"/>
        <v>0</v>
      </c>
      <c r="P255" s="148">
        <f t="shared" si="60"/>
        <v>0</v>
      </c>
      <c r="Q255" s="148">
        <f t="shared" si="60"/>
        <v>0</v>
      </c>
      <c r="R255" s="148">
        <f t="shared" si="60"/>
        <v>0</v>
      </c>
      <c r="S255" s="148">
        <f t="shared" si="60"/>
        <v>0</v>
      </c>
      <c r="T255" s="148">
        <f t="shared" si="60"/>
        <v>0</v>
      </c>
      <c r="U255" s="148">
        <f t="shared" si="60"/>
        <v>0</v>
      </c>
      <c r="V255" s="148">
        <f t="shared" si="60"/>
        <v>0</v>
      </c>
      <c r="W255" s="148">
        <f t="shared" si="60"/>
        <v>0</v>
      </c>
      <c r="X255" s="148">
        <f t="shared" si="60"/>
        <v>0</v>
      </c>
      <c r="Y255" s="148">
        <f t="shared" si="60"/>
        <v>0</v>
      </c>
      <c r="Z255" s="148">
        <f t="shared" si="60"/>
        <v>0</v>
      </c>
      <c r="AA255" s="148">
        <f t="shared" si="60"/>
        <v>0</v>
      </c>
      <c r="AB255" s="148">
        <f t="shared" si="60"/>
        <v>0</v>
      </c>
      <c r="AC255" s="148">
        <f t="shared" si="60"/>
        <v>0</v>
      </c>
      <c r="AD255" s="148">
        <f t="shared" si="59"/>
        <v>0</v>
      </c>
    </row>
    <row r="256" spans="2:30" outlineLevel="1">
      <c r="B256" s="147" t="s">
        <v>145</v>
      </c>
      <c r="C256" s="130">
        <v>9</v>
      </c>
      <c r="E256" s="148">
        <f t="shared" si="60"/>
        <v>0</v>
      </c>
      <c r="F256" s="148">
        <f t="shared" si="60"/>
        <v>0</v>
      </c>
      <c r="G256" s="148">
        <f t="shared" si="60"/>
        <v>0</v>
      </c>
      <c r="H256" s="148">
        <f t="shared" si="60"/>
        <v>0</v>
      </c>
      <c r="I256" s="148">
        <f t="shared" si="60"/>
        <v>0</v>
      </c>
      <c r="J256" s="148">
        <f t="shared" si="60"/>
        <v>0</v>
      </c>
      <c r="K256" s="148">
        <f t="shared" si="60"/>
        <v>0</v>
      </c>
      <c r="L256" s="148">
        <f t="shared" si="60"/>
        <v>0</v>
      </c>
      <c r="M256" s="148">
        <f t="shared" si="60"/>
        <v>0</v>
      </c>
      <c r="N256" s="148">
        <f t="shared" si="60"/>
        <v>0</v>
      </c>
      <c r="O256" s="148">
        <f t="shared" si="60"/>
        <v>0</v>
      </c>
      <c r="P256" s="148">
        <f t="shared" si="60"/>
        <v>0</v>
      </c>
      <c r="Q256" s="148">
        <f t="shared" si="60"/>
        <v>0</v>
      </c>
      <c r="R256" s="148">
        <f t="shared" si="60"/>
        <v>0</v>
      </c>
      <c r="S256" s="148">
        <f t="shared" si="60"/>
        <v>0</v>
      </c>
      <c r="T256" s="148">
        <f t="shared" si="60"/>
        <v>0</v>
      </c>
      <c r="U256" s="148">
        <f t="shared" si="60"/>
        <v>0</v>
      </c>
      <c r="V256" s="148">
        <f t="shared" si="60"/>
        <v>0</v>
      </c>
      <c r="W256" s="148">
        <f t="shared" si="60"/>
        <v>0</v>
      </c>
      <c r="X256" s="148">
        <f t="shared" si="60"/>
        <v>0</v>
      </c>
      <c r="Y256" s="148">
        <f t="shared" si="60"/>
        <v>0</v>
      </c>
      <c r="Z256" s="148">
        <f t="shared" si="60"/>
        <v>0</v>
      </c>
      <c r="AA256" s="148">
        <f t="shared" si="60"/>
        <v>0</v>
      </c>
      <c r="AB256" s="148">
        <f t="shared" si="60"/>
        <v>0</v>
      </c>
      <c r="AC256" s="148">
        <f t="shared" si="60"/>
        <v>0</v>
      </c>
      <c r="AD256" s="148">
        <f t="shared" si="59"/>
        <v>0</v>
      </c>
    </row>
    <row r="257" spans="2:30" outlineLevel="1">
      <c r="B257" s="147" t="s">
        <v>146</v>
      </c>
      <c r="C257" s="130">
        <v>10</v>
      </c>
      <c r="E257" s="148">
        <f t="shared" si="60"/>
        <v>0</v>
      </c>
      <c r="F257" s="148">
        <f t="shared" si="60"/>
        <v>0</v>
      </c>
      <c r="G257" s="148">
        <f t="shared" si="60"/>
        <v>0</v>
      </c>
      <c r="H257" s="148">
        <f t="shared" si="60"/>
        <v>0</v>
      </c>
      <c r="I257" s="148">
        <f t="shared" si="60"/>
        <v>0</v>
      </c>
      <c r="J257" s="148">
        <f t="shared" si="60"/>
        <v>0</v>
      </c>
      <c r="K257" s="148">
        <f t="shared" si="60"/>
        <v>0</v>
      </c>
      <c r="L257" s="148">
        <f t="shared" si="60"/>
        <v>0</v>
      </c>
      <c r="M257" s="148">
        <f t="shared" si="60"/>
        <v>0</v>
      </c>
      <c r="N257" s="148">
        <f t="shared" si="60"/>
        <v>0</v>
      </c>
      <c r="O257" s="148">
        <f t="shared" si="60"/>
        <v>0</v>
      </c>
      <c r="P257" s="148">
        <f t="shared" si="60"/>
        <v>0</v>
      </c>
      <c r="Q257" s="148">
        <f t="shared" si="60"/>
        <v>0</v>
      </c>
      <c r="R257" s="148">
        <f t="shared" si="60"/>
        <v>0</v>
      </c>
      <c r="S257" s="148">
        <f t="shared" si="60"/>
        <v>0</v>
      </c>
      <c r="T257" s="148">
        <f t="shared" si="60"/>
        <v>0</v>
      </c>
      <c r="U257" s="148">
        <f t="shared" si="60"/>
        <v>0</v>
      </c>
      <c r="V257" s="148">
        <f t="shared" si="60"/>
        <v>0</v>
      </c>
      <c r="W257" s="148">
        <f t="shared" si="60"/>
        <v>0</v>
      </c>
      <c r="X257" s="148">
        <f t="shared" si="60"/>
        <v>0</v>
      </c>
      <c r="Y257" s="148">
        <f t="shared" si="60"/>
        <v>0</v>
      </c>
      <c r="Z257" s="148">
        <f t="shared" si="60"/>
        <v>0</v>
      </c>
      <c r="AA257" s="148">
        <f t="shared" si="60"/>
        <v>0</v>
      </c>
      <c r="AB257" s="148">
        <f t="shared" si="60"/>
        <v>0</v>
      </c>
      <c r="AC257" s="148">
        <f t="shared" si="60"/>
        <v>0</v>
      </c>
      <c r="AD257" s="148">
        <f t="shared" si="59"/>
        <v>0</v>
      </c>
    </row>
    <row r="258" spans="2:30" outlineLevel="1">
      <c r="B258" s="147" t="s">
        <v>147</v>
      </c>
      <c r="C258" s="130">
        <v>11</v>
      </c>
      <c r="E258" s="148">
        <f t="shared" si="60"/>
        <v>0</v>
      </c>
      <c r="F258" s="148">
        <f t="shared" si="60"/>
        <v>0</v>
      </c>
      <c r="G258" s="148">
        <f t="shared" si="60"/>
        <v>0</v>
      </c>
      <c r="H258" s="148">
        <f t="shared" si="60"/>
        <v>0</v>
      </c>
      <c r="I258" s="148">
        <f t="shared" si="60"/>
        <v>0</v>
      </c>
      <c r="J258" s="148">
        <f t="shared" si="60"/>
        <v>0</v>
      </c>
      <c r="K258" s="148">
        <f t="shared" si="60"/>
        <v>0</v>
      </c>
      <c r="L258" s="148">
        <f t="shared" si="60"/>
        <v>0</v>
      </c>
      <c r="M258" s="148">
        <f t="shared" si="60"/>
        <v>0</v>
      </c>
      <c r="N258" s="148">
        <f t="shared" si="60"/>
        <v>0</v>
      </c>
      <c r="O258" s="148">
        <f t="shared" si="60"/>
        <v>0</v>
      </c>
      <c r="P258" s="148">
        <f t="shared" si="60"/>
        <v>0</v>
      </c>
      <c r="Q258" s="148">
        <f t="shared" si="60"/>
        <v>0</v>
      </c>
      <c r="R258" s="148">
        <f t="shared" si="60"/>
        <v>0</v>
      </c>
      <c r="S258" s="148">
        <f t="shared" si="60"/>
        <v>0</v>
      </c>
      <c r="T258" s="148">
        <f t="shared" si="60"/>
        <v>0</v>
      </c>
      <c r="U258" s="148">
        <f t="shared" si="60"/>
        <v>0</v>
      </c>
      <c r="V258" s="148">
        <f t="shared" si="60"/>
        <v>0</v>
      </c>
      <c r="W258" s="148">
        <f t="shared" si="60"/>
        <v>0</v>
      </c>
      <c r="X258" s="148">
        <f t="shared" si="60"/>
        <v>0</v>
      </c>
      <c r="Y258" s="148">
        <f t="shared" si="60"/>
        <v>0</v>
      </c>
      <c r="Z258" s="148">
        <f t="shared" si="60"/>
        <v>0</v>
      </c>
      <c r="AA258" s="148">
        <f t="shared" si="60"/>
        <v>0</v>
      </c>
      <c r="AB258" s="148">
        <f t="shared" si="60"/>
        <v>0</v>
      </c>
      <c r="AC258" s="148">
        <f t="shared" si="60"/>
        <v>0</v>
      </c>
      <c r="AD258" s="148">
        <f t="shared" si="59"/>
        <v>0</v>
      </c>
    </row>
    <row r="259" spans="2:30" outlineLevel="1">
      <c r="B259" s="147" t="s">
        <v>148</v>
      </c>
      <c r="C259" s="130">
        <v>12</v>
      </c>
      <c r="E259" s="148">
        <f t="shared" si="60"/>
        <v>0</v>
      </c>
      <c r="F259" s="148">
        <f t="shared" si="60"/>
        <v>0</v>
      </c>
      <c r="G259" s="148">
        <f t="shared" si="60"/>
        <v>0</v>
      </c>
      <c r="H259" s="148">
        <f t="shared" si="60"/>
        <v>0</v>
      </c>
      <c r="I259" s="148">
        <f t="shared" si="60"/>
        <v>0</v>
      </c>
      <c r="J259" s="148">
        <f t="shared" ref="J259:AC259" si="61">+IF($C259+$C$246&gt;J$215,J230/$C$246,0)</f>
        <v>0</v>
      </c>
      <c r="K259" s="148">
        <f t="shared" si="61"/>
        <v>0</v>
      </c>
      <c r="L259" s="148">
        <f t="shared" si="61"/>
        <v>0</v>
      </c>
      <c r="M259" s="148">
        <f t="shared" si="61"/>
        <v>0</v>
      </c>
      <c r="N259" s="148">
        <f t="shared" si="61"/>
        <v>0</v>
      </c>
      <c r="O259" s="148">
        <f t="shared" si="61"/>
        <v>0</v>
      </c>
      <c r="P259" s="148">
        <f t="shared" si="61"/>
        <v>0</v>
      </c>
      <c r="Q259" s="148">
        <f t="shared" si="61"/>
        <v>0</v>
      </c>
      <c r="R259" s="148">
        <f t="shared" si="61"/>
        <v>0</v>
      </c>
      <c r="S259" s="148">
        <f t="shared" si="61"/>
        <v>0</v>
      </c>
      <c r="T259" s="148">
        <f t="shared" si="61"/>
        <v>0</v>
      </c>
      <c r="U259" s="148">
        <f t="shared" si="61"/>
        <v>0</v>
      </c>
      <c r="V259" s="148">
        <f t="shared" si="61"/>
        <v>0</v>
      </c>
      <c r="W259" s="148">
        <f t="shared" si="61"/>
        <v>0</v>
      </c>
      <c r="X259" s="148">
        <f t="shared" si="61"/>
        <v>0</v>
      </c>
      <c r="Y259" s="148">
        <f t="shared" si="61"/>
        <v>0</v>
      </c>
      <c r="Z259" s="148">
        <f t="shared" si="61"/>
        <v>0</v>
      </c>
      <c r="AA259" s="148">
        <f t="shared" si="61"/>
        <v>0</v>
      </c>
      <c r="AB259" s="148">
        <f t="shared" si="61"/>
        <v>0</v>
      </c>
      <c r="AC259" s="148">
        <f t="shared" si="61"/>
        <v>0</v>
      </c>
      <c r="AD259" s="148">
        <f t="shared" si="59"/>
        <v>0</v>
      </c>
    </row>
    <row r="260" spans="2:30" outlineLevel="1">
      <c r="B260" s="147" t="s">
        <v>149</v>
      </c>
      <c r="C260" s="130">
        <v>13</v>
      </c>
      <c r="E260" s="148">
        <f t="shared" ref="E260:AC270" si="62">+IF($C260+$C$246&gt;E$215,E231/$C$246,0)</f>
        <v>0</v>
      </c>
      <c r="F260" s="148">
        <f t="shared" si="62"/>
        <v>0</v>
      </c>
      <c r="G260" s="148">
        <f t="shared" si="62"/>
        <v>0</v>
      </c>
      <c r="H260" s="148">
        <f t="shared" si="62"/>
        <v>0</v>
      </c>
      <c r="I260" s="148">
        <f t="shared" si="62"/>
        <v>0</v>
      </c>
      <c r="J260" s="148">
        <f t="shared" si="62"/>
        <v>0</v>
      </c>
      <c r="K260" s="148">
        <f t="shared" si="62"/>
        <v>0</v>
      </c>
      <c r="L260" s="148">
        <f t="shared" si="62"/>
        <v>0</v>
      </c>
      <c r="M260" s="148">
        <f t="shared" si="62"/>
        <v>0</v>
      </c>
      <c r="N260" s="148">
        <f t="shared" si="62"/>
        <v>0</v>
      </c>
      <c r="O260" s="148">
        <f t="shared" si="62"/>
        <v>0</v>
      </c>
      <c r="P260" s="148">
        <f t="shared" si="62"/>
        <v>0</v>
      </c>
      <c r="Q260" s="148">
        <f t="shared" si="62"/>
        <v>0</v>
      </c>
      <c r="R260" s="148">
        <f t="shared" si="62"/>
        <v>0</v>
      </c>
      <c r="S260" s="148">
        <f t="shared" si="62"/>
        <v>0</v>
      </c>
      <c r="T260" s="148">
        <f t="shared" si="62"/>
        <v>0</v>
      </c>
      <c r="U260" s="148">
        <f t="shared" si="62"/>
        <v>0</v>
      </c>
      <c r="V260" s="148">
        <f t="shared" si="62"/>
        <v>0</v>
      </c>
      <c r="W260" s="148">
        <f t="shared" si="62"/>
        <v>0</v>
      </c>
      <c r="X260" s="148">
        <f t="shared" si="62"/>
        <v>0</v>
      </c>
      <c r="Y260" s="148">
        <f t="shared" si="62"/>
        <v>0</v>
      </c>
      <c r="Z260" s="148">
        <f t="shared" si="62"/>
        <v>0</v>
      </c>
      <c r="AA260" s="148">
        <f t="shared" si="62"/>
        <v>0</v>
      </c>
      <c r="AB260" s="148">
        <f t="shared" si="62"/>
        <v>0</v>
      </c>
      <c r="AC260" s="148">
        <f t="shared" si="62"/>
        <v>0</v>
      </c>
      <c r="AD260" s="148">
        <f t="shared" si="59"/>
        <v>0</v>
      </c>
    </row>
    <row r="261" spans="2:30" outlineLevel="1">
      <c r="B261" s="147" t="s">
        <v>150</v>
      </c>
      <c r="C261" s="130">
        <v>14</v>
      </c>
      <c r="E261" s="148">
        <f t="shared" si="62"/>
        <v>0</v>
      </c>
      <c r="F261" s="148">
        <f t="shared" si="62"/>
        <v>0</v>
      </c>
      <c r="G261" s="148">
        <f t="shared" si="62"/>
        <v>0</v>
      </c>
      <c r="H261" s="148">
        <f t="shared" si="62"/>
        <v>0</v>
      </c>
      <c r="I261" s="148">
        <f t="shared" si="62"/>
        <v>0</v>
      </c>
      <c r="J261" s="148">
        <f t="shared" si="62"/>
        <v>0</v>
      </c>
      <c r="K261" s="148">
        <f t="shared" si="62"/>
        <v>0</v>
      </c>
      <c r="L261" s="148">
        <f t="shared" si="62"/>
        <v>0</v>
      </c>
      <c r="M261" s="148">
        <f t="shared" si="62"/>
        <v>0</v>
      </c>
      <c r="N261" s="148">
        <f t="shared" si="62"/>
        <v>0</v>
      </c>
      <c r="O261" s="148">
        <f t="shared" si="62"/>
        <v>0</v>
      </c>
      <c r="P261" s="148">
        <f t="shared" si="62"/>
        <v>0</v>
      </c>
      <c r="Q261" s="148">
        <f t="shared" si="62"/>
        <v>0</v>
      </c>
      <c r="R261" s="148">
        <f t="shared" si="62"/>
        <v>0</v>
      </c>
      <c r="S261" s="148">
        <f t="shared" si="62"/>
        <v>0</v>
      </c>
      <c r="T261" s="148">
        <f t="shared" si="62"/>
        <v>0</v>
      </c>
      <c r="U261" s="148">
        <f t="shared" si="62"/>
        <v>0</v>
      </c>
      <c r="V261" s="148">
        <f t="shared" si="62"/>
        <v>0</v>
      </c>
      <c r="W261" s="148">
        <f t="shared" si="62"/>
        <v>0</v>
      </c>
      <c r="X261" s="148">
        <f t="shared" si="62"/>
        <v>0</v>
      </c>
      <c r="Y261" s="148">
        <f t="shared" si="62"/>
        <v>0</v>
      </c>
      <c r="Z261" s="148">
        <f t="shared" si="62"/>
        <v>0</v>
      </c>
      <c r="AA261" s="148">
        <f t="shared" si="62"/>
        <v>0</v>
      </c>
      <c r="AB261" s="148">
        <f t="shared" si="62"/>
        <v>0</v>
      </c>
      <c r="AC261" s="148">
        <f t="shared" si="62"/>
        <v>0</v>
      </c>
      <c r="AD261" s="148">
        <f t="shared" si="59"/>
        <v>0</v>
      </c>
    </row>
    <row r="262" spans="2:30" outlineLevel="1">
      <c r="B262" s="147" t="s">
        <v>151</v>
      </c>
      <c r="C262" s="130">
        <v>15</v>
      </c>
      <c r="E262" s="148">
        <f t="shared" si="62"/>
        <v>0</v>
      </c>
      <c r="F262" s="148">
        <f t="shared" si="62"/>
        <v>0</v>
      </c>
      <c r="G262" s="148">
        <f t="shared" si="62"/>
        <v>0</v>
      </c>
      <c r="H262" s="148">
        <f t="shared" si="62"/>
        <v>0</v>
      </c>
      <c r="I262" s="148">
        <f t="shared" si="62"/>
        <v>0</v>
      </c>
      <c r="J262" s="148">
        <f t="shared" si="62"/>
        <v>0</v>
      </c>
      <c r="K262" s="148">
        <f t="shared" si="62"/>
        <v>0</v>
      </c>
      <c r="L262" s="148">
        <f t="shared" si="62"/>
        <v>0</v>
      </c>
      <c r="M262" s="148">
        <f t="shared" si="62"/>
        <v>0</v>
      </c>
      <c r="N262" s="148">
        <f t="shared" si="62"/>
        <v>0</v>
      </c>
      <c r="O262" s="148">
        <f t="shared" si="62"/>
        <v>0</v>
      </c>
      <c r="P262" s="148">
        <f t="shared" si="62"/>
        <v>0</v>
      </c>
      <c r="Q262" s="148">
        <f t="shared" si="62"/>
        <v>0</v>
      </c>
      <c r="R262" s="148">
        <f t="shared" si="62"/>
        <v>0</v>
      </c>
      <c r="S262" s="148">
        <f t="shared" si="62"/>
        <v>0</v>
      </c>
      <c r="T262" s="148">
        <f t="shared" si="62"/>
        <v>0</v>
      </c>
      <c r="U262" s="148">
        <f t="shared" si="62"/>
        <v>0</v>
      </c>
      <c r="V262" s="148">
        <f t="shared" si="62"/>
        <v>0</v>
      </c>
      <c r="W262" s="148">
        <f t="shared" si="62"/>
        <v>0</v>
      </c>
      <c r="X262" s="148">
        <f t="shared" si="62"/>
        <v>0</v>
      </c>
      <c r="Y262" s="148">
        <f t="shared" si="62"/>
        <v>0</v>
      </c>
      <c r="Z262" s="148">
        <f t="shared" si="62"/>
        <v>0</v>
      </c>
      <c r="AA262" s="148">
        <f t="shared" si="62"/>
        <v>0</v>
      </c>
      <c r="AB262" s="148">
        <f t="shared" si="62"/>
        <v>0</v>
      </c>
      <c r="AC262" s="148">
        <f t="shared" si="62"/>
        <v>0</v>
      </c>
      <c r="AD262" s="148">
        <f t="shared" si="59"/>
        <v>0</v>
      </c>
    </row>
    <row r="263" spans="2:30" outlineLevel="1">
      <c r="B263" s="147" t="s">
        <v>152</v>
      </c>
      <c r="C263" s="130">
        <v>16</v>
      </c>
      <c r="E263" s="148">
        <f t="shared" si="62"/>
        <v>0</v>
      </c>
      <c r="F263" s="148">
        <f t="shared" si="62"/>
        <v>0</v>
      </c>
      <c r="G263" s="148">
        <f t="shared" si="62"/>
        <v>0</v>
      </c>
      <c r="H263" s="148">
        <f t="shared" si="62"/>
        <v>0</v>
      </c>
      <c r="I263" s="148">
        <f t="shared" si="62"/>
        <v>0</v>
      </c>
      <c r="J263" s="148">
        <f t="shared" si="62"/>
        <v>0</v>
      </c>
      <c r="K263" s="148">
        <f t="shared" si="62"/>
        <v>0</v>
      </c>
      <c r="L263" s="148">
        <f t="shared" si="62"/>
        <v>0</v>
      </c>
      <c r="M263" s="148">
        <f t="shared" si="62"/>
        <v>0</v>
      </c>
      <c r="N263" s="148">
        <f t="shared" si="62"/>
        <v>0</v>
      </c>
      <c r="O263" s="148">
        <f t="shared" si="62"/>
        <v>0</v>
      </c>
      <c r="P263" s="148">
        <f t="shared" si="62"/>
        <v>0</v>
      </c>
      <c r="Q263" s="148">
        <f t="shared" si="62"/>
        <v>0</v>
      </c>
      <c r="R263" s="148">
        <f t="shared" si="62"/>
        <v>0</v>
      </c>
      <c r="S263" s="148">
        <f t="shared" si="62"/>
        <v>0</v>
      </c>
      <c r="T263" s="148">
        <f t="shared" si="62"/>
        <v>0</v>
      </c>
      <c r="U263" s="148">
        <f t="shared" si="62"/>
        <v>0</v>
      </c>
      <c r="V263" s="148">
        <f t="shared" si="62"/>
        <v>0</v>
      </c>
      <c r="W263" s="148">
        <f t="shared" si="62"/>
        <v>0</v>
      </c>
      <c r="X263" s="148">
        <f t="shared" si="62"/>
        <v>0</v>
      </c>
      <c r="Y263" s="148">
        <f t="shared" si="62"/>
        <v>0</v>
      </c>
      <c r="Z263" s="148">
        <f t="shared" si="62"/>
        <v>0</v>
      </c>
      <c r="AA263" s="148">
        <f t="shared" si="62"/>
        <v>0</v>
      </c>
      <c r="AB263" s="148">
        <f t="shared" si="62"/>
        <v>0</v>
      </c>
      <c r="AC263" s="148">
        <f t="shared" si="62"/>
        <v>0</v>
      </c>
      <c r="AD263" s="148">
        <f t="shared" si="59"/>
        <v>0</v>
      </c>
    </row>
    <row r="264" spans="2:30" outlineLevel="1">
      <c r="B264" s="147" t="s">
        <v>153</v>
      </c>
      <c r="C264" s="130">
        <v>17</v>
      </c>
      <c r="E264" s="148">
        <f t="shared" si="62"/>
        <v>0</v>
      </c>
      <c r="F264" s="148">
        <f t="shared" si="62"/>
        <v>0</v>
      </c>
      <c r="G264" s="148">
        <f t="shared" si="62"/>
        <v>0</v>
      </c>
      <c r="H264" s="148">
        <f t="shared" si="62"/>
        <v>0</v>
      </c>
      <c r="I264" s="148">
        <f t="shared" si="62"/>
        <v>0</v>
      </c>
      <c r="J264" s="148">
        <f t="shared" si="62"/>
        <v>0</v>
      </c>
      <c r="K264" s="148">
        <f t="shared" si="62"/>
        <v>0</v>
      </c>
      <c r="L264" s="148">
        <f t="shared" si="62"/>
        <v>0</v>
      </c>
      <c r="M264" s="148">
        <f t="shared" si="62"/>
        <v>0</v>
      </c>
      <c r="N264" s="148">
        <f t="shared" si="62"/>
        <v>0</v>
      </c>
      <c r="O264" s="148">
        <f t="shared" si="62"/>
        <v>0</v>
      </c>
      <c r="P264" s="148">
        <f t="shared" si="62"/>
        <v>0</v>
      </c>
      <c r="Q264" s="148">
        <f t="shared" si="62"/>
        <v>0</v>
      </c>
      <c r="R264" s="148">
        <f t="shared" si="62"/>
        <v>0</v>
      </c>
      <c r="S264" s="148">
        <f t="shared" si="62"/>
        <v>0</v>
      </c>
      <c r="T264" s="148">
        <f t="shared" si="62"/>
        <v>0</v>
      </c>
      <c r="U264" s="148">
        <f t="shared" si="62"/>
        <v>0</v>
      </c>
      <c r="V264" s="148">
        <f t="shared" si="62"/>
        <v>0</v>
      </c>
      <c r="W264" s="148">
        <f t="shared" si="62"/>
        <v>0</v>
      </c>
      <c r="X264" s="148">
        <f t="shared" si="62"/>
        <v>0</v>
      </c>
      <c r="Y264" s="148">
        <f t="shared" si="62"/>
        <v>0</v>
      </c>
      <c r="Z264" s="148">
        <f t="shared" si="62"/>
        <v>0</v>
      </c>
      <c r="AA264" s="148">
        <f t="shared" si="62"/>
        <v>0</v>
      </c>
      <c r="AB264" s="148">
        <f t="shared" si="62"/>
        <v>0</v>
      </c>
      <c r="AC264" s="148">
        <f t="shared" si="62"/>
        <v>0</v>
      </c>
      <c r="AD264" s="148">
        <f t="shared" ref="AD264:AD272" si="63">+IF($C264+$C$246&gt;AD$215,AD235/$C$246,0)</f>
        <v>0</v>
      </c>
    </row>
    <row r="265" spans="2:30" outlineLevel="1">
      <c r="B265" s="147" t="s">
        <v>154</v>
      </c>
      <c r="C265" s="130">
        <v>18</v>
      </c>
      <c r="E265" s="148">
        <f t="shared" si="62"/>
        <v>0</v>
      </c>
      <c r="F265" s="148">
        <f t="shared" si="62"/>
        <v>0</v>
      </c>
      <c r="G265" s="148">
        <f t="shared" si="62"/>
        <v>0</v>
      </c>
      <c r="H265" s="148">
        <f t="shared" si="62"/>
        <v>0</v>
      </c>
      <c r="I265" s="148">
        <f t="shared" si="62"/>
        <v>0</v>
      </c>
      <c r="J265" s="148">
        <f t="shared" si="62"/>
        <v>0</v>
      </c>
      <c r="K265" s="148">
        <f t="shared" si="62"/>
        <v>0</v>
      </c>
      <c r="L265" s="148">
        <f t="shared" si="62"/>
        <v>0</v>
      </c>
      <c r="M265" s="148">
        <f t="shared" si="62"/>
        <v>0</v>
      </c>
      <c r="N265" s="148">
        <f t="shared" si="62"/>
        <v>0</v>
      </c>
      <c r="O265" s="148">
        <f t="shared" si="62"/>
        <v>0</v>
      </c>
      <c r="P265" s="148">
        <f t="shared" si="62"/>
        <v>0</v>
      </c>
      <c r="Q265" s="148">
        <f t="shared" si="62"/>
        <v>0</v>
      </c>
      <c r="R265" s="148">
        <f t="shared" si="62"/>
        <v>0</v>
      </c>
      <c r="S265" s="148">
        <f t="shared" si="62"/>
        <v>0</v>
      </c>
      <c r="T265" s="148">
        <f t="shared" si="62"/>
        <v>0</v>
      </c>
      <c r="U265" s="148">
        <f t="shared" si="62"/>
        <v>0</v>
      </c>
      <c r="V265" s="148">
        <f t="shared" si="62"/>
        <v>0</v>
      </c>
      <c r="W265" s="148">
        <f t="shared" si="62"/>
        <v>0</v>
      </c>
      <c r="X265" s="148">
        <f t="shared" si="62"/>
        <v>0</v>
      </c>
      <c r="Y265" s="148">
        <f t="shared" si="62"/>
        <v>0</v>
      </c>
      <c r="Z265" s="148">
        <f t="shared" si="62"/>
        <v>0</v>
      </c>
      <c r="AA265" s="148">
        <f t="shared" si="62"/>
        <v>0</v>
      </c>
      <c r="AB265" s="148">
        <f t="shared" si="62"/>
        <v>0</v>
      </c>
      <c r="AC265" s="148">
        <f t="shared" si="62"/>
        <v>0</v>
      </c>
      <c r="AD265" s="148">
        <f t="shared" si="63"/>
        <v>0</v>
      </c>
    </row>
    <row r="266" spans="2:30" outlineLevel="1">
      <c r="B266" s="147" t="s">
        <v>155</v>
      </c>
      <c r="C266" s="130">
        <v>19</v>
      </c>
      <c r="E266" s="148">
        <f t="shared" si="62"/>
        <v>0</v>
      </c>
      <c r="F266" s="148">
        <f t="shared" si="62"/>
        <v>0</v>
      </c>
      <c r="G266" s="148">
        <f t="shared" si="62"/>
        <v>0</v>
      </c>
      <c r="H266" s="148">
        <f t="shared" si="62"/>
        <v>0</v>
      </c>
      <c r="I266" s="148">
        <f t="shared" si="62"/>
        <v>0</v>
      </c>
      <c r="J266" s="148">
        <f t="shared" si="62"/>
        <v>0</v>
      </c>
      <c r="K266" s="148">
        <f t="shared" si="62"/>
        <v>0</v>
      </c>
      <c r="L266" s="148">
        <f t="shared" si="62"/>
        <v>0</v>
      </c>
      <c r="M266" s="148">
        <f t="shared" si="62"/>
        <v>0</v>
      </c>
      <c r="N266" s="148">
        <f t="shared" si="62"/>
        <v>0</v>
      </c>
      <c r="O266" s="148">
        <f t="shared" si="62"/>
        <v>0</v>
      </c>
      <c r="P266" s="148">
        <f t="shared" si="62"/>
        <v>0</v>
      </c>
      <c r="Q266" s="148">
        <f t="shared" si="62"/>
        <v>0</v>
      </c>
      <c r="R266" s="148">
        <f t="shared" si="62"/>
        <v>0</v>
      </c>
      <c r="S266" s="148">
        <f t="shared" si="62"/>
        <v>0</v>
      </c>
      <c r="T266" s="148">
        <f t="shared" si="62"/>
        <v>0</v>
      </c>
      <c r="U266" s="148">
        <f t="shared" si="62"/>
        <v>0</v>
      </c>
      <c r="V266" s="148">
        <f t="shared" si="62"/>
        <v>0</v>
      </c>
      <c r="W266" s="148">
        <f t="shared" si="62"/>
        <v>0</v>
      </c>
      <c r="X266" s="148">
        <f t="shared" si="62"/>
        <v>0</v>
      </c>
      <c r="Y266" s="148">
        <f t="shared" si="62"/>
        <v>0</v>
      </c>
      <c r="Z266" s="148">
        <f t="shared" si="62"/>
        <v>0</v>
      </c>
      <c r="AA266" s="148">
        <f t="shared" si="62"/>
        <v>0</v>
      </c>
      <c r="AB266" s="148">
        <f t="shared" si="62"/>
        <v>0</v>
      </c>
      <c r="AC266" s="148">
        <f t="shared" si="62"/>
        <v>0</v>
      </c>
      <c r="AD266" s="148">
        <f t="shared" si="63"/>
        <v>0</v>
      </c>
    </row>
    <row r="267" spans="2:30" outlineLevel="1">
      <c r="B267" s="147" t="s">
        <v>156</v>
      </c>
      <c r="C267" s="130">
        <v>20</v>
      </c>
      <c r="E267" s="148">
        <f t="shared" si="62"/>
        <v>0</v>
      </c>
      <c r="F267" s="148">
        <f t="shared" si="62"/>
        <v>0</v>
      </c>
      <c r="G267" s="148">
        <f t="shared" si="62"/>
        <v>0</v>
      </c>
      <c r="H267" s="148">
        <f t="shared" si="62"/>
        <v>0</v>
      </c>
      <c r="I267" s="148">
        <f t="shared" si="62"/>
        <v>0</v>
      </c>
      <c r="J267" s="148">
        <f t="shared" si="62"/>
        <v>0</v>
      </c>
      <c r="K267" s="148">
        <f t="shared" si="62"/>
        <v>0</v>
      </c>
      <c r="L267" s="148">
        <f t="shared" si="62"/>
        <v>0</v>
      </c>
      <c r="M267" s="148">
        <f t="shared" si="62"/>
        <v>0</v>
      </c>
      <c r="N267" s="148">
        <f t="shared" si="62"/>
        <v>0</v>
      </c>
      <c r="O267" s="148">
        <f t="shared" si="62"/>
        <v>0</v>
      </c>
      <c r="P267" s="148">
        <f t="shared" si="62"/>
        <v>0</v>
      </c>
      <c r="Q267" s="148">
        <f t="shared" si="62"/>
        <v>0</v>
      </c>
      <c r="R267" s="148">
        <f t="shared" si="62"/>
        <v>0</v>
      </c>
      <c r="S267" s="148">
        <f t="shared" si="62"/>
        <v>0</v>
      </c>
      <c r="T267" s="148">
        <f t="shared" si="62"/>
        <v>0</v>
      </c>
      <c r="U267" s="148">
        <f t="shared" si="62"/>
        <v>0</v>
      </c>
      <c r="V267" s="148">
        <f t="shared" si="62"/>
        <v>0</v>
      </c>
      <c r="W267" s="148">
        <f t="shared" si="62"/>
        <v>0</v>
      </c>
      <c r="X267" s="148">
        <f t="shared" si="62"/>
        <v>0</v>
      </c>
      <c r="Y267" s="148">
        <f t="shared" si="62"/>
        <v>0</v>
      </c>
      <c r="Z267" s="148">
        <f t="shared" si="62"/>
        <v>0</v>
      </c>
      <c r="AA267" s="148">
        <f t="shared" si="62"/>
        <v>0</v>
      </c>
      <c r="AB267" s="148">
        <f t="shared" si="62"/>
        <v>0</v>
      </c>
      <c r="AC267" s="148">
        <f t="shared" si="62"/>
        <v>0</v>
      </c>
      <c r="AD267" s="148">
        <f t="shared" si="63"/>
        <v>0</v>
      </c>
    </row>
    <row r="268" spans="2:30" outlineLevel="1">
      <c r="B268" s="147" t="s">
        <v>157</v>
      </c>
      <c r="C268" s="130">
        <v>21</v>
      </c>
      <c r="E268" s="148">
        <f t="shared" si="62"/>
        <v>0</v>
      </c>
      <c r="F268" s="148">
        <f t="shared" si="62"/>
        <v>0</v>
      </c>
      <c r="G268" s="148">
        <f t="shared" si="62"/>
        <v>0</v>
      </c>
      <c r="H268" s="148">
        <f t="shared" si="62"/>
        <v>0</v>
      </c>
      <c r="I268" s="148">
        <f t="shared" si="62"/>
        <v>0</v>
      </c>
      <c r="J268" s="148">
        <f t="shared" si="62"/>
        <v>0</v>
      </c>
      <c r="K268" s="148">
        <f t="shared" si="62"/>
        <v>0</v>
      </c>
      <c r="L268" s="148">
        <f t="shared" si="62"/>
        <v>0</v>
      </c>
      <c r="M268" s="148">
        <f t="shared" si="62"/>
        <v>0</v>
      </c>
      <c r="N268" s="148">
        <f t="shared" si="62"/>
        <v>0</v>
      </c>
      <c r="O268" s="148">
        <f t="shared" si="62"/>
        <v>0</v>
      </c>
      <c r="P268" s="148">
        <f t="shared" si="62"/>
        <v>0</v>
      </c>
      <c r="Q268" s="148">
        <f t="shared" si="62"/>
        <v>0</v>
      </c>
      <c r="R268" s="148">
        <f t="shared" si="62"/>
        <v>0</v>
      </c>
      <c r="S268" s="148">
        <f t="shared" si="62"/>
        <v>0</v>
      </c>
      <c r="T268" s="148">
        <f t="shared" si="62"/>
        <v>0</v>
      </c>
      <c r="U268" s="148">
        <f t="shared" si="62"/>
        <v>0</v>
      </c>
      <c r="V268" s="148">
        <f t="shared" si="62"/>
        <v>0</v>
      </c>
      <c r="W268" s="148">
        <f t="shared" si="62"/>
        <v>0</v>
      </c>
      <c r="X268" s="148">
        <f t="shared" si="62"/>
        <v>0</v>
      </c>
      <c r="Y268" s="148">
        <f t="shared" si="62"/>
        <v>0</v>
      </c>
      <c r="Z268" s="148">
        <f t="shared" si="62"/>
        <v>0</v>
      </c>
      <c r="AA268" s="148">
        <f t="shared" si="62"/>
        <v>0</v>
      </c>
      <c r="AB268" s="148">
        <f t="shared" si="62"/>
        <v>0</v>
      </c>
      <c r="AC268" s="148">
        <f t="shared" si="62"/>
        <v>0</v>
      </c>
      <c r="AD268" s="148">
        <f t="shared" si="63"/>
        <v>0</v>
      </c>
    </row>
    <row r="269" spans="2:30" outlineLevel="1">
      <c r="B269" s="147" t="s">
        <v>158</v>
      </c>
      <c r="C269" s="130">
        <v>22</v>
      </c>
      <c r="E269" s="148">
        <f t="shared" si="62"/>
        <v>0</v>
      </c>
      <c r="F269" s="148">
        <f t="shared" si="62"/>
        <v>0</v>
      </c>
      <c r="G269" s="148">
        <f t="shared" si="62"/>
        <v>0</v>
      </c>
      <c r="H269" s="148">
        <f t="shared" si="62"/>
        <v>0</v>
      </c>
      <c r="I269" s="148">
        <f t="shared" si="62"/>
        <v>0</v>
      </c>
      <c r="J269" s="148">
        <f t="shared" si="62"/>
        <v>0</v>
      </c>
      <c r="K269" s="148">
        <f t="shared" si="62"/>
        <v>0</v>
      </c>
      <c r="L269" s="148">
        <f t="shared" si="62"/>
        <v>0</v>
      </c>
      <c r="M269" s="148">
        <f t="shared" si="62"/>
        <v>0</v>
      </c>
      <c r="N269" s="148">
        <f t="shared" si="62"/>
        <v>0</v>
      </c>
      <c r="O269" s="148">
        <f t="shared" si="62"/>
        <v>0</v>
      </c>
      <c r="P269" s="148">
        <f t="shared" si="62"/>
        <v>0</v>
      </c>
      <c r="Q269" s="148">
        <f t="shared" si="62"/>
        <v>0</v>
      </c>
      <c r="R269" s="148">
        <f t="shared" si="62"/>
        <v>0</v>
      </c>
      <c r="S269" s="148">
        <f t="shared" si="62"/>
        <v>0</v>
      </c>
      <c r="T269" s="148">
        <f t="shared" si="62"/>
        <v>0</v>
      </c>
      <c r="U269" s="148">
        <f t="shared" si="62"/>
        <v>0</v>
      </c>
      <c r="V269" s="148">
        <f t="shared" si="62"/>
        <v>0</v>
      </c>
      <c r="W269" s="148">
        <f t="shared" si="62"/>
        <v>0</v>
      </c>
      <c r="X269" s="148">
        <f t="shared" si="62"/>
        <v>0</v>
      </c>
      <c r="Y269" s="148">
        <f t="shared" si="62"/>
        <v>0</v>
      </c>
      <c r="Z269" s="148">
        <f t="shared" si="62"/>
        <v>0</v>
      </c>
      <c r="AA269" s="148">
        <f t="shared" si="62"/>
        <v>0</v>
      </c>
      <c r="AB269" s="148">
        <f t="shared" si="62"/>
        <v>0</v>
      </c>
      <c r="AC269" s="148">
        <f t="shared" si="62"/>
        <v>0</v>
      </c>
      <c r="AD269" s="148">
        <f t="shared" si="63"/>
        <v>0</v>
      </c>
    </row>
    <row r="270" spans="2:30" outlineLevel="1">
      <c r="B270" s="147" t="s">
        <v>159</v>
      </c>
      <c r="C270" s="130">
        <v>23</v>
      </c>
      <c r="E270" s="148">
        <f t="shared" si="62"/>
        <v>0</v>
      </c>
      <c r="F270" s="148">
        <f t="shared" si="62"/>
        <v>0</v>
      </c>
      <c r="G270" s="148">
        <f t="shared" si="62"/>
        <v>0</v>
      </c>
      <c r="H270" s="148">
        <f t="shared" si="62"/>
        <v>0</v>
      </c>
      <c r="I270" s="148">
        <f t="shared" si="62"/>
        <v>0</v>
      </c>
      <c r="J270" s="148">
        <f t="shared" ref="J270:AC270" si="64">+IF($C270+$C$246&gt;J$215,J241/$C$246,0)</f>
        <v>0</v>
      </c>
      <c r="K270" s="148">
        <f t="shared" si="64"/>
        <v>0</v>
      </c>
      <c r="L270" s="148">
        <f t="shared" si="64"/>
        <v>0</v>
      </c>
      <c r="M270" s="148">
        <f t="shared" si="64"/>
        <v>0</v>
      </c>
      <c r="N270" s="148">
        <f t="shared" si="64"/>
        <v>0</v>
      </c>
      <c r="O270" s="148">
        <f t="shared" si="64"/>
        <v>0</v>
      </c>
      <c r="P270" s="148">
        <f t="shared" si="64"/>
        <v>0</v>
      </c>
      <c r="Q270" s="148">
        <f t="shared" si="64"/>
        <v>0</v>
      </c>
      <c r="R270" s="148">
        <f t="shared" si="64"/>
        <v>0</v>
      </c>
      <c r="S270" s="148">
        <f t="shared" si="64"/>
        <v>0</v>
      </c>
      <c r="T270" s="148">
        <f t="shared" si="64"/>
        <v>0</v>
      </c>
      <c r="U270" s="148">
        <f t="shared" si="64"/>
        <v>0</v>
      </c>
      <c r="V270" s="148">
        <f t="shared" si="64"/>
        <v>0</v>
      </c>
      <c r="W270" s="148">
        <f t="shared" si="64"/>
        <v>0</v>
      </c>
      <c r="X270" s="148">
        <f t="shared" si="64"/>
        <v>0</v>
      </c>
      <c r="Y270" s="148">
        <f t="shared" si="64"/>
        <v>0</v>
      </c>
      <c r="Z270" s="148">
        <f t="shared" si="64"/>
        <v>0</v>
      </c>
      <c r="AA270" s="148">
        <f t="shared" si="64"/>
        <v>0</v>
      </c>
      <c r="AB270" s="148">
        <f t="shared" si="64"/>
        <v>0</v>
      </c>
      <c r="AC270" s="148">
        <f t="shared" si="64"/>
        <v>0</v>
      </c>
      <c r="AD270" s="148">
        <f t="shared" si="63"/>
        <v>0</v>
      </c>
    </row>
    <row r="271" spans="2:30" outlineLevel="1">
      <c r="B271" s="147" t="s">
        <v>160</v>
      </c>
      <c r="C271" s="130">
        <v>24</v>
      </c>
      <c r="E271" s="148">
        <f t="shared" ref="E271:AC272" si="65">+IF($C271+$C$246&gt;E$215,E242/$C$246,0)</f>
        <v>0</v>
      </c>
      <c r="F271" s="148">
        <f t="shared" si="65"/>
        <v>0</v>
      </c>
      <c r="G271" s="148">
        <f t="shared" si="65"/>
        <v>0</v>
      </c>
      <c r="H271" s="148">
        <f t="shared" si="65"/>
        <v>0</v>
      </c>
      <c r="I271" s="148">
        <f t="shared" si="65"/>
        <v>0</v>
      </c>
      <c r="J271" s="148">
        <f t="shared" si="65"/>
        <v>0</v>
      </c>
      <c r="K271" s="148">
        <f t="shared" si="65"/>
        <v>0</v>
      </c>
      <c r="L271" s="148">
        <f t="shared" si="65"/>
        <v>0</v>
      </c>
      <c r="M271" s="148">
        <f t="shared" si="65"/>
        <v>0</v>
      </c>
      <c r="N271" s="148">
        <f t="shared" si="65"/>
        <v>0</v>
      </c>
      <c r="O271" s="148">
        <f t="shared" si="65"/>
        <v>0</v>
      </c>
      <c r="P271" s="148">
        <f t="shared" si="65"/>
        <v>0</v>
      </c>
      <c r="Q271" s="148">
        <f t="shared" si="65"/>
        <v>0</v>
      </c>
      <c r="R271" s="148">
        <f t="shared" si="65"/>
        <v>0</v>
      </c>
      <c r="S271" s="148">
        <f t="shared" si="65"/>
        <v>0</v>
      </c>
      <c r="T271" s="148">
        <f t="shared" si="65"/>
        <v>0</v>
      </c>
      <c r="U271" s="148">
        <f t="shared" si="65"/>
        <v>0</v>
      </c>
      <c r="V271" s="148">
        <f t="shared" si="65"/>
        <v>0</v>
      </c>
      <c r="W271" s="148">
        <f t="shared" si="65"/>
        <v>0</v>
      </c>
      <c r="X271" s="148">
        <f t="shared" si="65"/>
        <v>0</v>
      </c>
      <c r="Y271" s="148">
        <f t="shared" si="65"/>
        <v>0</v>
      </c>
      <c r="Z271" s="148">
        <f t="shared" si="65"/>
        <v>0</v>
      </c>
      <c r="AA271" s="148">
        <f t="shared" si="65"/>
        <v>0</v>
      </c>
      <c r="AB271" s="148">
        <f t="shared" si="65"/>
        <v>0</v>
      </c>
      <c r="AC271" s="148">
        <f t="shared" si="65"/>
        <v>0</v>
      </c>
      <c r="AD271" s="148">
        <f t="shared" si="63"/>
        <v>0</v>
      </c>
    </row>
    <row r="272" spans="2:30" outlineLevel="1">
      <c r="B272" s="149" t="s">
        <v>161</v>
      </c>
      <c r="C272" s="150">
        <v>25</v>
      </c>
      <c r="D272" s="150"/>
      <c r="E272" s="151">
        <f t="shared" si="65"/>
        <v>0</v>
      </c>
      <c r="F272" s="151">
        <f t="shared" si="65"/>
        <v>0</v>
      </c>
      <c r="G272" s="151">
        <f t="shared" si="65"/>
        <v>0</v>
      </c>
      <c r="H272" s="151">
        <f t="shared" si="65"/>
        <v>0</v>
      </c>
      <c r="I272" s="151">
        <f t="shared" si="65"/>
        <v>0</v>
      </c>
      <c r="J272" s="151">
        <f t="shared" si="65"/>
        <v>0</v>
      </c>
      <c r="K272" s="151">
        <f t="shared" si="65"/>
        <v>0</v>
      </c>
      <c r="L272" s="151">
        <f t="shared" si="65"/>
        <v>0</v>
      </c>
      <c r="M272" s="151">
        <f t="shared" si="65"/>
        <v>0</v>
      </c>
      <c r="N272" s="151">
        <f t="shared" si="65"/>
        <v>0</v>
      </c>
      <c r="O272" s="151">
        <f t="shared" si="65"/>
        <v>0</v>
      </c>
      <c r="P272" s="151">
        <f t="shared" si="65"/>
        <v>0</v>
      </c>
      <c r="Q272" s="151">
        <f t="shared" si="65"/>
        <v>0</v>
      </c>
      <c r="R272" s="151">
        <f t="shared" si="65"/>
        <v>0</v>
      </c>
      <c r="S272" s="151">
        <f t="shared" si="65"/>
        <v>0</v>
      </c>
      <c r="T272" s="151">
        <f t="shared" si="65"/>
        <v>0</v>
      </c>
      <c r="U272" s="151">
        <f t="shared" si="65"/>
        <v>0</v>
      </c>
      <c r="V272" s="151">
        <f t="shared" si="65"/>
        <v>0</v>
      </c>
      <c r="W272" s="151">
        <f t="shared" si="65"/>
        <v>0</v>
      </c>
      <c r="X272" s="151">
        <f t="shared" si="65"/>
        <v>0</v>
      </c>
      <c r="Y272" s="151">
        <f t="shared" si="65"/>
        <v>0</v>
      </c>
      <c r="Z272" s="151">
        <f t="shared" si="65"/>
        <v>0</v>
      </c>
      <c r="AA272" s="151">
        <f t="shared" si="65"/>
        <v>0</v>
      </c>
      <c r="AB272" s="151">
        <f t="shared" si="65"/>
        <v>0</v>
      </c>
      <c r="AC272" s="151">
        <f t="shared" si="65"/>
        <v>0</v>
      </c>
      <c r="AD272" s="151">
        <f t="shared" si="63"/>
        <v>0</v>
      </c>
    </row>
    <row r="273" spans="2:30">
      <c r="B273" s="164" t="s">
        <v>164</v>
      </c>
      <c r="C273" s="165"/>
      <c r="D273" s="165"/>
      <c r="E273" s="166">
        <f>+SUM(E248:E272)</f>
        <v>0</v>
      </c>
      <c r="F273" s="166">
        <f t="shared" ref="F273:AC273" si="66">+SUM(F248:F272)</f>
        <v>0</v>
      </c>
      <c r="G273" s="166">
        <f t="shared" si="66"/>
        <v>0</v>
      </c>
      <c r="H273" s="166">
        <f t="shared" si="66"/>
        <v>0</v>
      </c>
      <c r="I273" s="166">
        <f t="shared" si="66"/>
        <v>0</v>
      </c>
      <c r="J273" s="166">
        <f t="shared" si="66"/>
        <v>0</v>
      </c>
      <c r="K273" s="166">
        <f t="shared" si="66"/>
        <v>0</v>
      </c>
      <c r="L273" s="166">
        <f t="shared" si="66"/>
        <v>0</v>
      </c>
      <c r="M273" s="166">
        <f t="shared" si="66"/>
        <v>0</v>
      </c>
      <c r="N273" s="166">
        <f t="shared" si="66"/>
        <v>0</v>
      </c>
      <c r="O273" s="166">
        <f t="shared" si="66"/>
        <v>0</v>
      </c>
      <c r="P273" s="166">
        <f t="shared" si="66"/>
        <v>0</v>
      </c>
      <c r="Q273" s="166">
        <f t="shared" si="66"/>
        <v>0</v>
      </c>
      <c r="R273" s="166">
        <f t="shared" si="66"/>
        <v>0</v>
      </c>
      <c r="S273" s="166">
        <f t="shared" si="66"/>
        <v>0</v>
      </c>
      <c r="T273" s="166">
        <f t="shared" si="66"/>
        <v>0</v>
      </c>
      <c r="U273" s="166">
        <f t="shared" si="66"/>
        <v>0</v>
      </c>
      <c r="V273" s="166">
        <f t="shared" si="66"/>
        <v>0</v>
      </c>
      <c r="W273" s="166">
        <f t="shared" si="66"/>
        <v>0</v>
      </c>
      <c r="X273" s="166">
        <f t="shared" si="66"/>
        <v>0</v>
      </c>
      <c r="Y273" s="166">
        <f t="shared" si="66"/>
        <v>0</v>
      </c>
      <c r="Z273" s="166">
        <f t="shared" si="66"/>
        <v>0</v>
      </c>
      <c r="AA273" s="166">
        <f t="shared" si="66"/>
        <v>0</v>
      </c>
      <c r="AB273" s="166">
        <f t="shared" si="66"/>
        <v>0</v>
      </c>
      <c r="AC273" s="166">
        <f t="shared" si="66"/>
        <v>0</v>
      </c>
      <c r="AD273" s="166">
        <f t="shared" ref="AD273" si="67">+SUM(AD248:AD272)</f>
        <v>0</v>
      </c>
    </row>
    <row r="274" spans="2:30">
      <c r="B274" s="147"/>
      <c r="E274" s="148"/>
      <c r="F274" s="148"/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  <c r="AA274" s="148"/>
      <c r="AB274" s="148"/>
      <c r="AC274" s="148"/>
      <c r="AD274" s="148"/>
    </row>
    <row r="275" spans="2:30">
      <c r="B275" s="147" t="s">
        <v>19</v>
      </c>
      <c r="E275" s="148">
        <f t="shared" ref="E275:AD275" si="68">+D275+E273</f>
        <v>0</v>
      </c>
      <c r="F275" s="148">
        <f t="shared" si="68"/>
        <v>0</v>
      </c>
      <c r="G275" s="148">
        <f t="shared" si="68"/>
        <v>0</v>
      </c>
      <c r="H275" s="148">
        <f t="shared" si="68"/>
        <v>0</v>
      </c>
      <c r="I275" s="148">
        <f t="shared" si="68"/>
        <v>0</v>
      </c>
      <c r="J275" s="148">
        <f t="shared" si="68"/>
        <v>0</v>
      </c>
      <c r="K275" s="148">
        <f t="shared" si="68"/>
        <v>0</v>
      </c>
      <c r="L275" s="148">
        <f t="shared" si="68"/>
        <v>0</v>
      </c>
      <c r="M275" s="148">
        <f t="shared" si="68"/>
        <v>0</v>
      </c>
      <c r="N275" s="148">
        <f t="shared" si="68"/>
        <v>0</v>
      </c>
      <c r="O275" s="148">
        <f t="shared" si="68"/>
        <v>0</v>
      </c>
      <c r="P275" s="148">
        <f t="shared" si="68"/>
        <v>0</v>
      </c>
      <c r="Q275" s="148">
        <f t="shared" si="68"/>
        <v>0</v>
      </c>
      <c r="R275" s="148">
        <f t="shared" si="68"/>
        <v>0</v>
      </c>
      <c r="S275" s="148">
        <f t="shared" si="68"/>
        <v>0</v>
      </c>
      <c r="T275" s="148">
        <f t="shared" si="68"/>
        <v>0</v>
      </c>
      <c r="U275" s="148">
        <f t="shared" si="68"/>
        <v>0</v>
      </c>
      <c r="V275" s="148">
        <f t="shared" si="68"/>
        <v>0</v>
      </c>
      <c r="W275" s="148">
        <f t="shared" si="68"/>
        <v>0</v>
      </c>
      <c r="X275" s="148">
        <f t="shared" si="68"/>
        <v>0</v>
      </c>
      <c r="Y275" s="148">
        <f t="shared" si="68"/>
        <v>0</v>
      </c>
      <c r="Z275" s="148">
        <f t="shared" si="68"/>
        <v>0</v>
      </c>
      <c r="AA275" s="148">
        <f t="shared" si="68"/>
        <v>0</v>
      </c>
      <c r="AB275" s="148">
        <f t="shared" si="68"/>
        <v>0</v>
      </c>
      <c r="AC275" s="148">
        <f t="shared" si="68"/>
        <v>0</v>
      </c>
      <c r="AD275" s="148">
        <f t="shared" si="68"/>
        <v>0</v>
      </c>
    </row>
    <row r="276" spans="2:30">
      <c r="B276" s="147"/>
      <c r="E276" s="148"/>
      <c r="F276" s="148"/>
      <c r="G276" s="148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  <c r="AA276" s="148"/>
      <c r="AB276" s="148"/>
      <c r="AC276" s="148"/>
      <c r="AD276" s="148"/>
    </row>
    <row r="277" spans="2:30">
      <c r="B277" s="157" t="s">
        <v>165</v>
      </c>
      <c r="C277" s="158"/>
      <c r="D277" s="158"/>
      <c r="E277" s="159">
        <f>+E244-E275</f>
        <v>0</v>
      </c>
      <c r="F277" s="159">
        <f t="shared" ref="F277:AD277" si="69">+F244-F275</f>
        <v>0</v>
      </c>
      <c r="G277" s="159">
        <f t="shared" si="69"/>
        <v>0</v>
      </c>
      <c r="H277" s="159">
        <f t="shared" si="69"/>
        <v>0</v>
      </c>
      <c r="I277" s="159">
        <f t="shared" si="69"/>
        <v>0</v>
      </c>
      <c r="J277" s="159">
        <f t="shared" si="69"/>
        <v>0</v>
      </c>
      <c r="K277" s="159">
        <f t="shared" si="69"/>
        <v>0</v>
      </c>
      <c r="L277" s="159">
        <f t="shared" si="69"/>
        <v>0</v>
      </c>
      <c r="M277" s="159">
        <f t="shared" si="69"/>
        <v>0</v>
      </c>
      <c r="N277" s="159">
        <f t="shared" si="69"/>
        <v>0</v>
      </c>
      <c r="O277" s="159">
        <f t="shared" si="69"/>
        <v>0</v>
      </c>
      <c r="P277" s="159">
        <f t="shared" si="69"/>
        <v>0</v>
      </c>
      <c r="Q277" s="159">
        <f t="shared" si="69"/>
        <v>0</v>
      </c>
      <c r="R277" s="159">
        <f t="shared" si="69"/>
        <v>0</v>
      </c>
      <c r="S277" s="159">
        <f t="shared" si="69"/>
        <v>0</v>
      </c>
      <c r="T277" s="159">
        <f t="shared" si="69"/>
        <v>0</v>
      </c>
      <c r="U277" s="159">
        <f t="shared" si="69"/>
        <v>0</v>
      </c>
      <c r="V277" s="159">
        <f t="shared" si="69"/>
        <v>0</v>
      </c>
      <c r="W277" s="159">
        <f t="shared" si="69"/>
        <v>0</v>
      </c>
      <c r="X277" s="159">
        <f t="shared" si="69"/>
        <v>0</v>
      </c>
      <c r="Y277" s="159">
        <f t="shared" si="69"/>
        <v>0</v>
      </c>
      <c r="Z277" s="159">
        <f t="shared" si="69"/>
        <v>0</v>
      </c>
      <c r="AA277" s="159">
        <f t="shared" si="69"/>
        <v>0</v>
      </c>
      <c r="AB277" s="159">
        <f t="shared" si="69"/>
        <v>0</v>
      </c>
      <c r="AC277" s="159">
        <f t="shared" si="69"/>
        <v>0</v>
      </c>
      <c r="AD277" s="159">
        <f t="shared" si="69"/>
        <v>0</v>
      </c>
    </row>
    <row r="278" spans="2:30">
      <c r="B278" s="144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</row>
    <row r="279" spans="2:30">
      <c r="B279" s="157" t="s">
        <v>168</v>
      </c>
      <c r="C279" s="158"/>
      <c r="D279" s="158"/>
      <c r="E279" s="159">
        <f>+E216</f>
        <v>0</v>
      </c>
      <c r="F279" s="159">
        <f t="shared" ref="F279:AD279" si="70">+F216</f>
        <v>0</v>
      </c>
      <c r="G279" s="159">
        <f t="shared" si="70"/>
        <v>0</v>
      </c>
      <c r="H279" s="159">
        <f t="shared" si="70"/>
        <v>0</v>
      </c>
      <c r="I279" s="159">
        <f t="shared" si="70"/>
        <v>0</v>
      </c>
      <c r="J279" s="159">
        <f t="shared" si="70"/>
        <v>0</v>
      </c>
      <c r="K279" s="159">
        <f t="shared" si="70"/>
        <v>0</v>
      </c>
      <c r="L279" s="159">
        <f t="shared" si="70"/>
        <v>0</v>
      </c>
      <c r="M279" s="159">
        <f t="shared" si="70"/>
        <v>0</v>
      </c>
      <c r="N279" s="159">
        <f t="shared" si="70"/>
        <v>0</v>
      </c>
      <c r="O279" s="159">
        <f t="shared" si="70"/>
        <v>0</v>
      </c>
      <c r="P279" s="159">
        <f t="shared" si="70"/>
        <v>0</v>
      </c>
      <c r="Q279" s="159">
        <f t="shared" si="70"/>
        <v>0</v>
      </c>
      <c r="R279" s="159">
        <f t="shared" si="70"/>
        <v>0</v>
      </c>
      <c r="S279" s="159">
        <f t="shared" si="70"/>
        <v>0</v>
      </c>
      <c r="T279" s="159">
        <f t="shared" si="70"/>
        <v>0</v>
      </c>
      <c r="U279" s="159">
        <f t="shared" si="70"/>
        <v>0</v>
      </c>
      <c r="V279" s="159">
        <f t="shared" si="70"/>
        <v>0</v>
      </c>
      <c r="W279" s="159">
        <f t="shared" si="70"/>
        <v>0</v>
      </c>
      <c r="X279" s="159">
        <f t="shared" si="70"/>
        <v>0</v>
      </c>
      <c r="Y279" s="159">
        <f t="shared" si="70"/>
        <v>0</v>
      </c>
      <c r="Z279" s="159">
        <f t="shared" si="70"/>
        <v>0</v>
      </c>
      <c r="AA279" s="159">
        <f t="shared" si="70"/>
        <v>0</v>
      </c>
      <c r="AB279" s="159">
        <f t="shared" si="70"/>
        <v>0</v>
      </c>
      <c r="AC279" s="159">
        <f t="shared" si="70"/>
        <v>0</v>
      </c>
      <c r="AD279" s="159">
        <f t="shared" si="70"/>
        <v>0</v>
      </c>
    </row>
  </sheetData>
  <phoneticPr fontId="3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1194-C136-46FC-ABB3-6E59B98B576C}">
  <sheetPr codeName="Hoja7">
    <pageSetUpPr autoPageBreaks="0"/>
  </sheetPr>
  <dimension ref="A1:O151"/>
  <sheetViews>
    <sheetView showGridLines="0" tabSelected="1" zoomScale="80" zoomScaleNormal="80" workbookViewId="0">
      <pane xSplit="4" ySplit="1" topLeftCell="E2" activePane="bottomRight" state="frozen"/>
      <selection activeCell="L12" sqref="L12"/>
      <selection pane="topRight" activeCell="L12" sqref="L12"/>
      <selection pane="bottomLeft" activeCell="L12" sqref="L12"/>
      <selection pane="bottomRight" activeCell="G15" sqref="G15"/>
    </sheetView>
  </sheetViews>
  <sheetFormatPr baseColWidth="10" defaultColWidth="11.42578125" defaultRowHeight="15" outlineLevelRow="1"/>
  <cols>
    <col min="1" max="1" width="4.28515625" style="6" bestFit="1" customWidth="1"/>
    <col min="2" max="2" width="47.5703125" style="4" customWidth="1"/>
    <col min="3" max="3" width="12.42578125" style="5" bestFit="1" customWidth="1"/>
    <col min="4" max="4" width="13.5703125" style="5" bestFit="1" customWidth="1"/>
    <col min="5" max="13" width="14.42578125" style="6" customWidth="1"/>
    <col min="14" max="14" width="15.28515625" style="6" customWidth="1"/>
    <col min="15" max="15" width="15.140625" style="6" customWidth="1"/>
    <col min="16" max="16" width="14.85546875" style="4" customWidth="1"/>
    <col min="17" max="17" width="17.5703125" style="4" customWidth="1"/>
    <col min="18" max="16384" width="11.42578125" style="4"/>
  </cols>
  <sheetData>
    <row r="1" spans="1:15">
      <c r="B1" s="1"/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>
      <c r="F2" s="7"/>
      <c r="G2" s="8"/>
    </row>
    <row r="3" spans="1:15">
      <c r="B3" s="4" t="s">
        <v>13</v>
      </c>
      <c r="E3" s="54">
        <v>0.04</v>
      </c>
      <c r="F3" s="9">
        <f>+E3</f>
        <v>0.04</v>
      </c>
      <c r="G3" s="9">
        <f t="shared" ref="G3:O6" si="0">+F3</f>
        <v>0.04</v>
      </c>
      <c r="H3" s="9">
        <f t="shared" si="0"/>
        <v>0.04</v>
      </c>
      <c r="I3" s="9">
        <f t="shared" si="0"/>
        <v>0.04</v>
      </c>
      <c r="J3" s="9">
        <f t="shared" si="0"/>
        <v>0.04</v>
      </c>
      <c r="K3" s="9">
        <f t="shared" si="0"/>
        <v>0.04</v>
      </c>
      <c r="L3" s="9">
        <f t="shared" si="0"/>
        <v>0.04</v>
      </c>
      <c r="M3" s="9">
        <f t="shared" si="0"/>
        <v>0.04</v>
      </c>
      <c r="N3" s="9">
        <f t="shared" si="0"/>
        <v>0.04</v>
      </c>
      <c r="O3" s="9">
        <f t="shared" si="0"/>
        <v>0.04</v>
      </c>
    </row>
    <row r="4" spans="1:15">
      <c r="B4" s="4" t="s">
        <v>14</v>
      </c>
      <c r="E4" s="54">
        <v>0.35</v>
      </c>
      <c r="F4" s="9">
        <f>+E4</f>
        <v>0.35</v>
      </c>
      <c r="G4" s="9">
        <f t="shared" si="0"/>
        <v>0.35</v>
      </c>
      <c r="H4" s="9">
        <f t="shared" si="0"/>
        <v>0.35</v>
      </c>
      <c r="I4" s="9">
        <f t="shared" si="0"/>
        <v>0.35</v>
      </c>
      <c r="J4" s="9">
        <f t="shared" si="0"/>
        <v>0.35</v>
      </c>
      <c r="K4" s="9">
        <f t="shared" si="0"/>
        <v>0.35</v>
      </c>
      <c r="L4" s="9">
        <f t="shared" si="0"/>
        <v>0.35</v>
      </c>
      <c r="M4" s="9">
        <f t="shared" si="0"/>
        <v>0.35</v>
      </c>
      <c r="N4" s="9">
        <f t="shared" si="0"/>
        <v>0.35</v>
      </c>
      <c r="O4" s="9">
        <f t="shared" si="0"/>
        <v>0.35</v>
      </c>
    </row>
    <row r="5" spans="1:15">
      <c r="B5" s="4" t="s">
        <v>190</v>
      </c>
      <c r="E5" s="54">
        <v>3.5000000000000003E-2</v>
      </c>
      <c r="F5" s="9">
        <f>+E5</f>
        <v>3.5000000000000003E-2</v>
      </c>
      <c r="G5" s="9">
        <f>+F5</f>
        <v>3.5000000000000003E-2</v>
      </c>
      <c r="H5" s="9">
        <f>+G5</f>
        <v>3.5000000000000003E-2</v>
      </c>
      <c r="I5" s="9">
        <f t="shared" si="0"/>
        <v>3.5000000000000003E-2</v>
      </c>
      <c r="J5" s="9">
        <f t="shared" si="0"/>
        <v>3.5000000000000003E-2</v>
      </c>
      <c r="K5" s="9">
        <f t="shared" si="0"/>
        <v>3.5000000000000003E-2</v>
      </c>
      <c r="L5" s="9">
        <f t="shared" si="0"/>
        <v>3.5000000000000003E-2</v>
      </c>
      <c r="M5" s="9">
        <f t="shared" si="0"/>
        <v>3.5000000000000003E-2</v>
      </c>
      <c r="N5" s="9">
        <f t="shared" si="0"/>
        <v>3.5000000000000003E-2</v>
      </c>
      <c r="O5" s="9">
        <f t="shared" si="0"/>
        <v>3.5000000000000003E-2</v>
      </c>
    </row>
    <row r="6" spans="1:15">
      <c r="B6" s="4" t="s">
        <v>230</v>
      </c>
      <c r="E6" s="174"/>
      <c r="F6" s="9"/>
      <c r="G6" s="9"/>
      <c r="H6" s="9"/>
      <c r="I6" s="9">
        <v>0.1</v>
      </c>
      <c r="J6" s="9">
        <v>0.06</v>
      </c>
      <c r="K6" s="9">
        <v>0.04</v>
      </c>
      <c r="L6" s="9">
        <v>0.02</v>
      </c>
      <c r="M6" s="9">
        <f>+L6</f>
        <v>0.02</v>
      </c>
      <c r="N6" s="9">
        <f t="shared" si="0"/>
        <v>0.02</v>
      </c>
      <c r="O6" s="9">
        <f t="shared" si="0"/>
        <v>0.02</v>
      </c>
    </row>
    <row r="7" spans="1:15">
      <c r="F7" s="7"/>
      <c r="G7" s="8"/>
    </row>
    <row r="8" spans="1:15" s="15" customFormat="1">
      <c r="A8" s="52"/>
      <c r="B8" s="10" t="s">
        <v>15</v>
      </c>
      <c r="C8" s="11"/>
      <c r="D8" s="11" t="s">
        <v>191</v>
      </c>
      <c r="E8" s="55">
        <v>28000000</v>
      </c>
      <c r="F8" s="12"/>
      <c r="G8" s="13"/>
      <c r="H8" s="14"/>
      <c r="I8" s="14"/>
      <c r="J8" s="14"/>
      <c r="K8" s="14"/>
      <c r="L8" s="14"/>
      <c r="M8" s="14"/>
      <c r="N8" s="14"/>
      <c r="O8" s="14"/>
    </row>
    <row r="9" spans="1:15">
      <c r="E9" s="16"/>
      <c r="F9" s="17"/>
      <c r="G9" s="18"/>
      <c r="H9" s="16"/>
      <c r="I9" s="16"/>
      <c r="J9" s="16"/>
      <c r="K9" s="16"/>
      <c r="L9" s="16"/>
      <c r="M9" s="16"/>
      <c r="N9" s="16"/>
      <c r="O9" s="16"/>
    </row>
    <row r="10" spans="1:15" s="15" customFormat="1">
      <c r="A10" s="52"/>
      <c r="B10" s="15" t="s">
        <v>17</v>
      </c>
      <c r="C10" s="19"/>
      <c r="D10" s="20" t="s">
        <v>191</v>
      </c>
      <c r="E10" s="21">
        <f>+$E$8</f>
        <v>28000000</v>
      </c>
      <c r="F10" s="21">
        <f t="shared" ref="F10:O10" si="1">+$E$8</f>
        <v>28000000</v>
      </c>
      <c r="G10" s="21">
        <f t="shared" si="1"/>
        <v>28000000</v>
      </c>
      <c r="H10" s="21">
        <f t="shared" si="1"/>
        <v>28000000</v>
      </c>
      <c r="I10" s="21">
        <f t="shared" si="1"/>
        <v>28000000</v>
      </c>
      <c r="J10" s="21">
        <f t="shared" si="1"/>
        <v>28000000</v>
      </c>
      <c r="K10" s="21">
        <f t="shared" si="1"/>
        <v>28000000</v>
      </c>
      <c r="L10" s="21">
        <f t="shared" si="1"/>
        <v>28000000</v>
      </c>
      <c r="M10" s="21">
        <f t="shared" si="1"/>
        <v>28000000</v>
      </c>
      <c r="N10" s="21">
        <f t="shared" si="1"/>
        <v>28000000</v>
      </c>
      <c r="O10" s="21">
        <f t="shared" si="1"/>
        <v>28000000</v>
      </c>
    </row>
    <row r="11" spans="1:15">
      <c r="B11" s="4" t="s">
        <v>18</v>
      </c>
      <c r="C11" s="56">
        <v>5</v>
      </c>
      <c r="D11" s="5" t="s">
        <v>191</v>
      </c>
      <c r="E11" s="22"/>
      <c r="F11" s="22">
        <f>+F10/$C$11</f>
        <v>5600000</v>
      </c>
      <c r="G11" s="22">
        <f t="shared" ref="G11:O11" si="2">+G10/$C$11</f>
        <v>5600000</v>
      </c>
      <c r="H11" s="22">
        <f t="shared" si="2"/>
        <v>5600000</v>
      </c>
      <c r="I11" s="22">
        <f t="shared" si="2"/>
        <v>5600000</v>
      </c>
      <c r="J11" s="22">
        <f t="shared" si="2"/>
        <v>5600000</v>
      </c>
      <c r="K11" s="22">
        <f t="shared" si="2"/>
        <v>5600000</v>
      </c>
      <c r="L11" s="22">
        <f t="shared" si="2"/>
        <v>5600000</v>
      </c>
      <c r="M11" s="22">
        <f t="shared" si="2"/>
        <v>5600000</v>
      </c>
      <c r="N11" s="22">
        <f t="shared" si="2"/>
        <v>5600000</v>
      </c>
      <c r="O11" s="22">
        <f t="shared" si="2"/>
        <v>5600000</v>
      </c>
    </row>
    <row r="12" spans="1:15">
      <c r="B12" s="4" t="s">
        <v>19</v>
      </c>
      <c r="C12" s="215">
        <v>8</v>
      </c>
      <c r="D12" s="5" t="s">
        <v>191</v>
      </c>
      <c r="E12" s="23">
        <v>0</v>
      </c>
      <c r="F12" s="22">
        <f>+E12+F11</f>
        <v>5600000</v>
      </c>
      <c r="G12" s="22">
        <f>+F12+G11</f>
        <v>11200000</v>
      </c>
      <c r="H12" s="22">
        <f t="shared" ref="H12:O12" si="3">+G12+H11</f>
        <v>16800000</v>
      </c>
      <c r="I12" s="22">
        <f t="shared" si="3"/>
        <v>22400000</v>
      </c>
      <c r="J12" s="22">
        <f t="shared" si="3"/>
        <v>28000000</v>
      </c>
      <c r="K12" s="22">
        <f t="shared" si="3"/>
        <v>33600000</v>
      </c>
      <c r="L12" s="22">
        <f t="shared" si="3"/>
        <v>39200000</v>
      </c>
      <c r="M12" s="22">
        <f t="shared" si="3"/>
        <v>44800000</v>
      </c>
      <c r="N12" s="22">
        <f t="shared" si="3"/>
        <v>50400000</v>
      </c>
      <c r="O12" s="22">
        <f t="shared" si="3"/>
        <v>56000000</v>
      </c>
    </row>
    <row r="13" spans="1:15" s="15" customFormat="1">
      <c r="A13" s="52"/>
      <c r="B13" s="15" t="s">
        <v>20</v>
      </c>
      <c r="C13" s="19"/>
      <c r="D13" s="5" t="s">
        <v>191</v>
      </c>
      <c r="E13" s="21">
        <f>+E10-E12</f>
        <v>28000000</v>
      </c>
      <c r="F13" s="21">
        <f t="shared" ref="F13:O13" si="4">+F10-F12</f>
        <v>22400000</v>
      </c>
      <c r="G13" s="21">
        <f t="shared" si="4"/>
        <v>16800000</v>
      </c>
      <c r="H13" s="21">
        <f t="shared" si="4"/>
        <v>11200000</v>
      </c>
      <c r="I13" s="21">
        <f t="shared" si="4"/>
        <v>5600000</v>
      </c>
      <c r="J13" s="21">
        <f t="shared" si="4"/>
        <v>0</v>
      </c>
      <c r="K13" s="21">
        <f t="shared" si="4"/>
        <v>-5600000</v>
      </c>
      <c r="L13" s="21">
        <f t="shared" si="4"/>
        <v>-11200000</v>
      </c>
      <c r="M13" s="21">
        <f t="shared" si="4"/>
        <v>-16800000</v>
      </c>
      <c r="N13" s="21">
        <f t="shared" si="4"/>
        <v>-22400000</v>
      </c>
      <c r="O13" s="21">
        <f t="shared" si="4"/>
        <v>-28000000</v>
      </c>
    </row>
    <row r="14" spans="1:15"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>
      <c r="B15" s="24" t="s">
        <v>21</v>
      </c>
      <c r="C15" s="25"/>
      <c r="D15" s="25" t="s">
        <v>191</v>
      </c>
      <c r="E15" s="26"/>
      <c r="F15" s="57"/>
      <c r="G15" s="26">
        <v>12000000</v>
      </c>
      <c r="H15" s="26">
        <f>100000000+30000000</f>
        <v>130000000</v>
      </c>
      <c r="I15" s="26"/>
      <c r="J15" s="26">
        <f>30000000+200000000</f>
        <v>230000000</v>
      </c>
      <c r="K15" s="26">
        <f>+K34*0.1%</f>
        <v>7094805.0643268125</v>
      </c>
      <c r="L15" s="26">
        <f>+L34*0.1%</f>
        <v>7784420.116579378</v>
      </c>
      <c r="M15" s="26">
        <f t="shared" ref="M15:O15" si="5">+M34*0.1%</f>
        <v>8541065.7519108932</v>
      </c>
      <c r="N15" s="26">
        <f t="shared" si="5"/>
        <v>9371257.3429966327</v>
      </c>
      <c r="O15" s="101">
        <f t="shared" si="5"/>
        <v>10282143.556735903</v>
      </c>
    </row>
    <row r="16" spans="1:15" outlineLevel="1">
      <c r="B16" s="4" t="s">
        <v>22</v>
      </c>
      <c r="D16" s="5" t="s">
        <v>191</v>
      </c>
      <c r="E16" s="22"/>
      <c r="F16" s="22">
        <f>+$F$15/$C$11/12*8</f>
        <v>0</v>
      </c>
      <c r="G16" s="22">
        <f t="shared" ref="G16:O16" si="6">+$F$15/$C$11</f>
        <v>0</v>
      </c>
      <c r="H16" s="22">
        <f t="shared" si="6"/>
        <v>0</v>
      </c>
      <c r="I16" s="22">
        <f t="shared" si="6"/>
        <v>0</v>
      </c>
      <c r="J16" s="22">
        <f t="shared" si="6"/>
        <v>0</v>
      </c>
      <c r="K16" s="22">
        <f t="shared" si="6"/>
        <v>0</v>
      </c>
      <c r="L16" s="22">
        <f t="shared" si="6"/>
        <v>0</v>
      </c>
      <c r="M16" s="22">
        <f t="shared" si="6"/>
        <v>0</v>
      </c>
      <c r="N16" s="22">
        <f t="shared" si="6"/>
        <v>0</v>
      </c>
      <c r="O16" s="22">
        <f t="shared" si="6"/>
        <v>0</v>
      </c>
    </row>
    <row r="17" spans="1:15" outlineLevel="1">
      <c r="B17" s="4" t="s">
        <v>22</v>
      </c>
      <c r="D17" s="5" t="s">
        <v>191</v>
      </c>
      <c r="E17" s="27"/>
      <c r="F17" s="22"/>
      <c r="G17" s="22">
        <f>+$G$15/$C$11/12*8</f>
        <v>1600000</v>
      </c>
      <c r="H17" s="22">
        <f>+$G$15/$C$11</f>
        <v>2400000</v>
      </c>
      <c r="I17" s="22">
        <f>+$G$15/$C$11</f>
        <v>2400000</v>
      </c>
      <c r="J17" s="22">
        <f>+$G$15/$C$11</f>
        <v>2400000</v>
      </c>
      <c r="K17" s="22">
        <f>+$G$15/$C$11</f>
        <v>2400000</v>
      </c>
      <c r="L17" s="22">
        <f>+H17-G17</f>
        <v>800000</v>
      </c>
      <c r="M17" s="22"/>
      <c r="N17" s="22"/>
      <c r="O17" s="22"/>
    </row>
    <row r="18" spans="1:15" outlineLevel="1">
      <c r="B18" s="4" t="s">
        <v>22</v>
      </c>
      <c r="D18" s="5" t="s">
        <v>191</v>
      </c>
      <c r="E18" s="27"/>
      <c r="F18" s="22"/>
      <c r="G18" s="22"/>
      <c r="H18" s="22">
        <f>+$H$15/$C$12/12*8</f>
        <v>10833333.333333334</v>
      </c>
      <c r="I18" s="22">
        <f>+$H$15/$C$12</f>
        <v>16250000</v>
      </c>
      <c r="J18" s="22">
        <f>+$H$15/$C$12</f>
        <v>16250000</v>
      </c>
      <c r="K18" s="22">
        <f t="shared" ref="K18:O18" si="7">+$H$15/$C$12</f>
        <v>16250000</v>
      </c>
      <c r="L18" s="22">
        <f t="shared" si="7"/>
        <v>16250000</v>
      </c>
      <c r="M18" s="22">
        <f t="shared" si="7"/>
        <v>16250000</v>
      </c>
      <c r="N18" s="22">
        <f t="shared" si="7"/>
        <v>16250000</v>
      </c>
      <c r="O18" s="22">
        <f t="shared" si="7"/>
        <v>16250000</v>
      </c>
    </row>
    <row r="19" spans="1:15" outlineLevel="1">
      <c r="B19" s="4" t="s">
        <v>22</v>
      </c>
      <c r="D19" s="5" t="s">
        <v>191</v>
      </c>
      <c r="E19" s="27"/>
      <c r="F19" s="22"/>
      <c r="G19" s="22"/>
      <c r="H19" s="22"/>
      <c r="I19" s="22">
        <f t="shared" ref="I19:O19" si="8">+$I$15/$C$11</f>
        <v>0</v>
      </c>
      <c r="J19" s="22">
        <f t="shared" si="8"/>
        <v>0</v>
      </c>
      <c r="K19" s="22">
        <f t="shared" si="8"/>
        <v>0</v>
      </c>
      <c r="L19" s="22">
        <f t="shared" si="8"/>
        <v>0</v>
      </c>
      <c r="M19" s="22">
        <f t="shared" si="8"/>
        <v>0</v>
      </c>
      <c r="N19" s="22">
        <f t="shared" si="8"/>
        <v>0</v>
      </c>
      <c r="O19" s="22">
        <f t="shared" si="8"/>
        <v>0</v>
      </c>
    </row>
    <row r="20" spans="1:15" outlineLevel="1">
      <c r="B20" s="4" t="s">
        <v>22</v>
      </c>
      <c r="D20" s="5" t="s">
        <v>191</v>
      </c>
      <c r="E20" s="27"/>
      <c r="F20" s="22"/>
      <c r="G20" s="22"/>
      <c r="H20" s="22"/>
      <c r="I20" s="22"/>
      <c r="J20" s="22">
        <f t="shared" ref="J20:O20" si="9">+$J$15/$C$11</f>
        <v>46000000</v>
      </c>
      <c r="K20" s="22">
        <f t="shared" si="9"/>
        <v>46000000</v>
      </c>
      <c r="L20" s="22">
        <f t="shared" si="9"/>
        <v>46000000</v>
      </c>
      <c r="M20" s="22">
        <f t="shared" si="9"/>
        <v>46000000</v>
      </c>
      <c r="N20" s="22">
        <f t="shared" si="9"/>
        <v>46000000</v>
      </c>
      <c r="O20" s="22">
        <f t="shared" si="9"/>
        <v>46000000</v>
      </c>
    </row>
    <row r="21" spans="1:15" outlineLevel="1">
      <c r="B21" s="4" t="s">
        <v>22</v>
      </c>
      <c r="D21" s="5" t="s">
        <v>191</v>
      </c>
      <c r="E21" s="27"/>
      <c r="F21" s="22"/>
      <c r="G21" s="22"/>
      <c r="H21" s="22"/>
      <c r="I21" s="22"/>
      <c r="J21" s="22"/>
      <c r="K21" s="22">
        <f>+$K$15/$C$11</f>
        <v>1418961.0128653625</v>
      </c>
      <c r="L21" s="22">
        <f>+$K$15/$C$11</f>
        <v>1418961.0128653625</v>
      </c>
      <c r="M21" s="22">
        <f>+$K$15/$C$11</f>
        <v>1418961.0128653625</v>
      </c>
      <c r="N21" s="22">
        <f>+$K$15/$C$11</f>
        <v>1418961.0128653625</v>
      </c>
      <c r="O21" s="22">
        <f>+$K$15/$C$11</f>
        <v>1418961.0128653625</v>
      </c>
    </row>
    <row r="22" spans="1:15" outlineLevel="1">
      <c r="B22" s="4" t="s">
        <v>22</v>
      </c>
      <c r="D22" s="5" t="s">
        <v>191</v>
      </c>
      <c r="E22" s="27"/>
      <c r="F22" s="22"/>
      <c r="G22" s="22"/>
      <c r="H22" s="22"/>
      <c r="I22" s="22"/>
      <c r="J22" s="22"/>
      <c r="K22" s="22"/>
      <c r="L22" s="22">
        <f>+$L$15/$C$11</f>
        <v>1556884.0233158756</v>
      </c>
      <c r="M22" s="22">
        <f>+$L$15/$C$11</f>
        <v>1556884.0233158756</v>
      </c>
      <c r="N22" s="22">
        <f>+$L$15/$C$11</f>
        <v>1556884.0233158756</v>
      </c>
      <c r="O22" s="22">
        <f>+$L$15/$C$11</f>
        <v>1556884.0233158756</v>
      </c>
    </row>
    <row r="23" spans="1:15" outlineLevel="1">
      <c r="B23" s="4" t="s">
        <v>22</v>
      </c>
      <c r="D23" s="5" t="s">
        <v>191</v>
      </c>
      <c r="E23" s="27"/>
      <c r="F23" s="22"/>
      <c r="G23" s="22"/>
      <c r="H23" s="22"/>
      <c r="I23" s="22"/>
      <c r="J23" s="22"/>
      <c r="K23" s="22"/>
      <c r="L23" s="22"/>
      <c r="M23" s="22">
        <f>+$M$15/$C$11</f>
        <v>1708213.1503821786</v>
      </c>
      <c r="N23" s="22">
        <f>+$M$15/$C$11</f>
        <v>1708213.1503821786</v>
      </c>
      <c r="O23" s="22">
        <f>+$M$15/$C$11</f>
        <v>1708213.1503821786</v>
      </c>
    </row>
    <row r="24" spans="1:15" outlineLevel="1">
      <c r="B24" s="4" t="s">
        <v>22</v>
      </c>
      <c r="D24" s="5" t="s">
        <v>191</v>
      </c>
      <c r="E24" s="27"/>
      <c r="F24" s="22"/>
      <c r="G24" s="22"/>
      <c r="H24" s="22"/>
      <c r="I24" s="22"/>
      <c r="J24" s="22"/>
      <c r="K24" s="22"/>
      <c r="L24" s="22"/>
      <c r="M24" s="22"/>
      <c r="N24" s="22">
        <f>+$N$15/$C$11</f>
        <v>1874251.4685993264</v>
      </c>
      <c r="O24" s="22">
        <f>+$N$15/$C$11</f>
        <v>1874251.4685993264</v>
      </c>
    </row>
    <row r="25" spans="1:15" outlineLevel="1">
      <c r="B25" s="4" t="s">
        <v>22</v>
      </c>
      <c r="D25" s="5" t="s">
        <v>191</v>
      </c>
      <c r="E25" s="27"/>
      <c r="F25" s="22"/>
      <c r="G25" s="22"/>
      <c r="H25" s="22"/>
      <c r="I25" s="22"/>
      <c r="J25" s="22"/>
      <c r="K25" s="22"/>
      <c r="L25" s="22"/>
      <c r="M25" s="22"/>
      <c r="N25" s="22"/>
      <c r="O25" s="22">
        <f>+$O$15/$C$11</f>
        <v>2056428.7113471807</v>
      </c>
    </row>
    <row r="26" spans="1:15">
      <c r="B26" s="24" t="s">
        <v>23</v>
      </c>
      <c r="C26" s="25"/>
      <c r="D26" s="25" t="s">
        <v>191</v>
      </c>
      <c r="E26" s="26"/>
      <c r="F26" s="26">
        <f t="shared" ref="F26:N26" si="10">+F25+F24+F23+F22+F21+F20+F19+F18+F17+F16</f>
        <v>0</v>
      </c>
      <c r="G26" s="26">
        <f t="shared" si="10"/>
        <v>1600000</v>
      </c>
      <c r="H26" s="26">
        <f t="shared" si="10"/>
        <v>13233333.333333334</v>
      </c>
      <c r="I26" s="26">
        <f t="shared" si="10"/>
        <v>18650000</v>
      </c>
      <c r="J26" s="26">
        <f t="shared" si="10"/>
        <v>64650000</v>
      </c>
      <c r="K26" s="26">
        <f t="shared" si="10"/>
        <v>66068961.012865365</v>
      </c>
      <c r="L26" s="26">
        <f t="shared" si="10"/>
        <v>66025845.036181241</v>
      </c>
      <c r="M26" s="26">
        <f t="shared" si="10"/>
        <v>66934058.186563417</v>
      </c>
      <c r="N26" s="26">
        <f t="shared" si="10"/>
        <v>68808309.655162752</v>
      </c>
      <c r="O26" s="26">
        <f>+O25+O24+O23+O22+O21+O20+O19+O18+O17+O16</f>
        <v>70864738.366509914</v>
      </c>
    </row>
    <row r="27" spans="1:15">
      <c r="F27" s="17"/>
      <c r="G27" s="18"/>
      <c r="H27" s="16"/>
      <c r="I27" s="16"/>
      <c r="J27" s="16"/>
      <c r="K27" s="16"/>
      <c r="L27" s="16"/>
      <c r="M27" s="16"/>
      <c r="N27" s="16"/>
      <c r="O27" s="16"/>
    </row>
    <row r="28" spans="1:15" ht="15.75" thickBot="1">
      <c r="A28" s="4"/>
      <c r="B28" s="28" t="s">
        <v>24</v>
      </c>
      <c r="C28" s="29"/>
      <c r="D28" s="29" t="s">
        <v>191</v>
      </c>
      <c r="E28" s="31">
        <f>+E15+E8</f>
        <v>28000000</v>
      </c>
      <c r="F28" s="31">
        <f>+F15+F8</f>
        <v>0</v>
      </c>
      <c r="G28" s="31">
        <f t="shared" ref="G28:O28" si="11">+G15+G8</f>
        <v>12000000</v>
      </c>
      <c r="H28" s="31">
        <f t="shared" si="11"/>
        <v>130000000</v>
      </c>
      <c r="I28" s="31">
        <f t="shared" si="11"/>
        <v>0</v>
      </c>
      <c r="J28" s="31">
        <f t="shared" si="11"/>
        <v>230000000</v>
      </c>
      <c r="K28" s="31">
        <f t="shared" si="11"/>
        <v>7094805.0643268125</v>
      </c>
      <c r="L28" s="31">
        <f t="shared" si="11"/>
        <v>7784420.116579378</v>
      </c>
      <c r="M28" s="31">
        <f t="shared" si="11"/>
        <v>8541065.7519108932</v>
      </c>
      <c r="N28" s="31">
        <f t="shared" si="11"/>
        <v>9371257.3429966327</v>
      </c>
      <c r="O28" s="31">
        <f t="shared" si="11"/>
        <v>10282143.556735903</v>
      </c>
    </row>
    <row r="29" spans="1:15" ht="16.5" thickTop="1" thickBot="1">
      <c r="B29" s="28" t="s">
        <v>25</v>
      </c>
      <c r="C29" s="29"/>
      <c r="D29" s="29" t="s">
        <v>191</v>
      </c>
      <c r="E29" s="30"/>
      <c r="F29" s="58">
        <f>+F26+F11</f>
        <v>5600000</v>
      </c>
      <c r="G29" s="58">
        <f t="shared" ref="G29:O29" si="12">+G26+G11</f>
        <v>7200000</v>
      </c>
      <c r="H29" s="58">
        <f t="shared" si="12"/>
        <v>18833333.333333336</v>
      </c>
      <c r="I29" s="58">
        <f t="shared" si="12"/>
        <v>24250000</v>
      </c>
      <c r="J29" s="58">
        <f t="shared" si="12"/>
        <v>70250000</v>
      </c>
      <c r="K29" s="58">
        <f t="shared" si="12"/>
        <v>71668961.012865365</v>
      </c>
      <c r="L29" s="58">
        <f t="shared" si="12"/>
        <v>71625845.036181241</v>
      </c>
      <c r="M29" s="58">
        <f t="shared" si="12"/>
        <v>72534058.186563417</v>
      </c>
      <c r="N29" s="58">
        <f t="shared" si="12"/>
        <v>74408309.655162752</v>
      </c>
      <c r="O29" s="58">
        <f t="shared" si="12"/>
        <v>76464738.366509914</v>
      </c>
    </row>
    <row r="30" spans="1:15" ht="15.75" thickTop="1">
      <c r="F30" s="7"/>
      <c r="G30" s="8"/>
    </row>
    <row r="31" spans="1:15">
      <c r="B31" s="32" t="s">
        <v>26</v>
      </c>
      <c r="F31" s="7"/>
      <c r="G31" s="8">
        <f t="shared" ref="G31:O31" si="13">+(G34/F34)-1</f>
        <v>3.240150453864282</v>
      </c>
      <c r="H31" s="8">
        <f t="shared" si="13"/>
        <v>0.53606802642864881</v>
      </c>
      <c r="I31" s="8">
        <f t="shared" si="13"/>
        <v>0.18040000000000034</v>
      </c>
      <c r="J31" s="8">
        <f t="shared" si="13"/>
        <v>0.13880000000000003</v>
      </c>
      <c r="K31" s="8">
        <f t="shared" si="13"/>
        <v>0.1180000000000001</v>
      </c>
      <c r="L31" s="8">
        <f t="shared" si="13"/>
        <v>9.7199999999999953E-2</v>
      </c>
      <c r="M31" s="8">
        <f t="shared" si="13"/>
        <v>9.7199999999999953E-2</v>
      </c>
      <c r="N31" s="8">
        <f t="shared" si="13"/>
        <v>9.7199999999999953E-2</v>
      </c>
      <c r="O31" s="8">
        <f t="shared" si="13"/>
        <v>9.7199999999999953E-2</v>
      </c>
    </row>
    <row r="32" spans="1:15">
      <c r="A32" s="6">
        <v>1</v>
      </c>
      <c r="B32" s="4" t="s">
        <v>27</v>
      </c>
      <c r="C32" s="5" t="s">
        <v>28</v>
      </c>
      <c r="D32" s="5" t="s">
        <v>1</v>
      </c>
      <c r="F32" s="59">
        <f>+'Proyectado anual acido'!P10</f>
        <v>11090</v>
      </c>
      <c r="G32" s="59">
        <f>+'Proyectado anual acido'!AF10</f>
        <v>46463</v>
      </c>
      <c r="H32" s="59">
        <f>+'Proyectado anual acido'!AV10</f>
        <v>70193</v>
      </c>
      <c r="I32" s="33">
        <f t="shared" ref="I32:O32" si="14">+H32*(1+(I5+I6))</f>
        <v>79669.055000000008</v>
      </c>
      <c r="J32" s="33">
        <f t="shared" si="14"/>
        <v>87237.615225000001</v>
      </c>
      <c r="K32" s="33">
        <f t="shared" si="14"/>
        <v>93780.436366875001</v>
      </c>
      <c r="L32" s="33">
        <f t="shared" si="14"/>
        <v>98938.360367053116</v>
      </c>
      <c r="M32" s="33">
        <f t="shared" si="14"/>
        <v>104379.97018724104</v>
      </c>
      <c r="N32" s="33">
        <f t="shared" si="14"/>
        <v>110120.86854753928</v>
      </c>
      <c r="O32" s="33">
        <f t="shared" si="14"/>
        <v>116177.51631765394</v>
      </c>
    </row>
    <row r="33" spans="1:15">
      <c r="A33" s="6">
        <v>2</v>
      </c>
      <c r="B33" s="4" t="s">
        <v>29</v>
      </c>
      <c r="C33" s="5" t="s">
        <v>30</v>
      </c>
      <c r="D33" s="5" t="s">
        <v>192</v>
      </c>
      <c r="F33" s="59">
        <f>+'Proyectado anual acido'!R23</f>
        <v>65357.998196573491</v>
      </c>
      <c r="G33" s="59">
        <f>+'Proyectado anual acido'!AH23</f>
        <v>66146.109807804052</v>
      </c>
      <c r="H33" s="59">
        <f>+'Proyectado anual acido'!AX23</f>
        <v>67255.561095835772</v>
      </c>
      <c r="I33" s="33">
        <f t="shared" ref="I33:O33" si="15">+H33*(1+I$3)</f>
        <v>69945.78353966921</v>
      </c>
      <c r="J33" s="33">
        <f t="shared" si="15"/>
        <v>72743.614881255984</v>
      </c>
      <c r="K33" s="33">
        <f t="shared" si="15"/>
        <v>75653.35947650623</v>
      </c>
      <c r="L33" s="33">
        <f t="shared" si="15"/>
        <v>78679.493855566485</v>
      </c>
      <c r="M33" s="33">
        <f t="shared" si="15"/>
        <v>81826.673609789141</v>
      </c>
      <c r="N33" s="33">
        <f t="shared" si="15"/>
        <v>85099.740554180709</v>
      </c>
      <c r="O33" s="33">
        <f t="shared" si="15"/>
        <v>88503.730176347934</v>
      </c>
    </row>
    <row r="34" spans="1:15" s="15" customFormat="1">
      <c r="A34" s="52"/>
      <c r="B34" s="10" t="s">
        <v>32</v>
      </c>
      <c r="C34" s="11"/>
      <c r="D34" s="11" t="s">
        <v>191</v>
      </c>
      <c r="E34" s="34"/>
      <c r="F34" s="34">
        <f t="shared" ref="F34:O34" si="16">+F32*F33</f>
        <v>724820200</v>
      </c>
      <c r="G34" s="34">
        <f t="shared" si="16"/>
        <v>3073346699.9999995</v>
      </c>
      <c r="H34" s="34">
        <f t="shared" si="16"/>
        <v>4720869600</v>
      </c>
      <c r="I34" s="34">
        <f t="shared" si="16"/>
        <v>5572514475.8400011</v>
      </c>
      <c r="J34" s="34">
        <f t="shared" si="16"/>
        <v>6345979485.0865936</v>
      </c>
      <c r="K34" s="34">
        <f t="shared" si="16"/>
        <v>7094805064.3268127</v>
      </c>
      <c r="L34" s="34">
        <f t="shared" si="16"/>
        <v>7784420116.5793781</v>
      </c>
      <c r="M34" s="34">
        <f t="shared" si="16"/>
        <v>8541065751.9108934</v>
      </c>
      <c r="N34" s="34">
        <f t="shared" si="16"/>
        <v>9371257342.9966316</v>
      </c>
      <c r="O34" s="34">
        <f t="shared" si="16"/>
        <v>10282143556.735903</v>
      </c>
    </row>
    <row r="35" spans="1:15" s="15" customFormat="1">
      <c r="A35" s="52"/>
      <c r="C35" s="20"/>
      <c r="D35" s="20"/>
      <c r="E35" s="6"/>
      <c r="F35" s="7"/>
      <c r="G35" s="8"/>
      <c r="H35" s="6"/>
      <c r="I35" s="6"/>
      <c r="J35" s="6"/>
      <c r="K35" s="6"/>
      <c r="L35" s="6"/>
      <c r="M35" s="6"/>
      <c r="N35" s="6"/>
      <c r="O35" s="6"/>
    </row>
    <row r="36" spans="1:15">
      <c r="B36" s="4" t="s">
        <v>33</v>
      </c>
      <c r="C36" s="5" t="s">
        <v>34</v>
      </c>
      <c r="D36" s="5" t="s">
        <v>192</v>
      </c>
      <c r="F36" s="59">
        <f>+'Proyectado anual acido'!R28</f>
        <v>35276.014427412083</v>
      </c>
      <c r="G36" s="59">
        <f>+'Proyectado anual acido'!AH28</f>
        <v>35677.737511568346</v>
      </c>
      <c r="H36" s="59">
        <f>+'Proyectado anual acido'!AX28</f>
        <v>36281.243875030268</v>
      </c>
      <c r="I36" s="33">
        <f t="shared" ref="I36:O38" si="17">+H36*(1+I$3)</f>
        <v>37732.49363003148</v>
      </c>
      <c r="J36" s="33">
        <f t="shared" si="17"/>
        <v>39241.793375232744</v>
      </c>
      <c r="K36" s="33">
        <f t="shared" si="17"/>
        <v>40811.465110242054</v>
      </c>
      <c r="L36" s="33">
        <f t="shared" si="17"/>
        <v>42443.923714651741</v>
      </c>
      <c r="M36" s="33">
        <f t="shared" si="17"/>
        <v>44141.680663237814</v>
      </c>
      <c r="N36" s="33">
        <f t="shared" si="17"/>
        <v>45907.347889767327</v>
      </c>
      <c r="O36" s="33">
        <f t="shared" si="17"/>
        <v>47743.64180535802</v>
      </c>
    </row>
    <row r="37" spans="1:15">
      <c r="B37" s="4" t="s">
        <v>35</v>
      </c>
      <c r="D37" s="5" t="s">
        <v>191</v>
      </c>
      <c r="F37" s="33">
        <f>+(F36*F32)+'Proyectado anual acido'!P30</f>
        <v>417827000</v>
      </c>
      <c r="G37" s="33">
        <f>+(G36*G32)+'Proyectado anual acido'!AF30</f>
        <v>1767622458.96</v>
      </c>
      <c r="H37" s="33">
        <f>+(H36*H32)+'Proyectado anual acido'!AV30</f>
        <v>2716746078.4214396</v>
      </c>
      <c r="I37" s="33">
        <f t="shared" ref="I37:O37" si="18">+I36*I32</f>
        <v>3006112110.2981281</v>
      </c>
      <c r="J37" s="33">
        <f t="shared" si="18"/>
        <v>3423360471.2075081</v>
      </c>
      <c r="K37" s="33">
        <f t="shared" si="18"/>
        <v>3827317006.8099942</v>
      </c>
      <c r="L37" s="33">
        <f t="shared" si="18"/>
        <v>4199332219.8719258</v>
      </c>
      <c r="M37" s="33">
        <f t="shared" si="18"/>
        <v>4607507311.6434774</v>
      </c>
      <c r="N37" s="33">
        <f t="shared" si="18"/>
        <v>5055357022.3352232</v>
      </c>
      <c r="O37" s="33">
        <f t="shared" si="18"/>
        <v>5546737724.9062061</v>
      </c>
    </row>
    <row r="38" spans="1:15">
      <c r="B38" s="4" t="s">
        <v>36</v>
      </c>
      <c r="D38" s="5" t="s">
        <v>191</v>
      </c>
      <c r="F38" s="59"/>
      <c r="G38" s="59">
        <f>+F38*(1+G$3)</f>
        <v>0</v>
      </c>
      <c r="H38" s="59">
        <f>+G38*(1+H$3)</f>
        <v>0</v>
      </c>
      <c r="I38" s="33">
        <f t="shared" si="17"/>
        <v>0</v>
      </c>
      <c r="J38" s="33">
        <f t="shared" si="17"/>
        <v>0</v>
      </c>
      <c r="K38" s="33">
        <f t="shared" si="17"/>
        <v>0</v>
      </c>
      <c r="L38" s="33">
        <f t="shared" si="17"/>
        <v>0</v>
      </c>
      <c r="M38" s="33">
        <f t="shared" si="17"/>
        <v>0</v>
      </c>
      <c r="N38" s="33">
        <f t="shared" si="17"/>
        <v>0</v>
      </c>
      <c r="O38" s="33">
        <f t="shared" si="17"/>
        <v>0</v>
      </c>
    </row>
    <row r="39" spans="1:15" s="15" customFormat="1">
      <c r="A39" s="52"/>
      <c r="B39" s="10" t="s">
        <v>37</v>
      </c>
      <c r="C39" s="11"/>
      <c r="D39" s="11" t="s">
        <v>191</v>
      </c>
      <c r="E39" s="34"/>
      <c r="F39" s="34">
        <f>+F37+F38</f>
        <v>417827000</v>
      </c>
      <c r="G39" s="34">
        <f t="shared" ref="G39:O39" si="19">+G37+G38</f>
        <v>1767622458.96</v>
      </c>
      <c r="H39" s="34">
        <f t="shared" si="19"/>
        <v>2716746078.4214396</v>
      </c>
      <c r="I39" s="34">
        <f t="shared" si="19"/>
        <v>3006112110.2981281</v>
      </c>
      <c r="J39" s="34">
        <f t="shared" si="19"/>
        <v>3423360471.2075081</v>
      </c>
      <c r="K39" s="34">
        <f t="shared" si="19"/>
        <v>3827317006.8099942</v>
      </c>
      <c r="L39" s="34">
        <f t="shared" si="19"/>
        <v>4199332219.8719258</v>
      </c>
      <c r="M39" s="34">
        <f t="shared" si="19"/>
        <v>4607507311.6434774</v>
      </c>
      <c r="N39" s="34">
        <f t="shared" si="19"/>
        <v>5055357022.3352232</v>
      </c>
      <c r="O39" s="34">
        <f t="shared" si="19"/>
        <v>5546737724.9062061</v>
      </c>
    </row>
    <row r="40" spans="1:15">
      <c r="F40" s="7"/>
      <c r="G40" s="8"/>
    </row>
    <row r="41" spans="1:15">
      <c r="B41" s="4" t="s">
        <v>38</v>
      </c>
      <c r="C41" s="102">
        <f>+F41/F34</f>
        <v>0.20091198792013057</v>
      </c>
      <c r="D41" s="5" t="s">
        <v>191</v>
      </c>
      <c r="F41" s="33">
        <f>+F43-F42</f>
        <v>145625067.26666662</v>
      </c>
      <c r="G41" s="33">
        <f t="shared" ref="G41:H41" si="20">+G43-G42</f>
        <v>545380430.57499981</v>
      </c>
      <c r="H41" s="33">
        <f t="shared" si="20"/>
        <v>840485897.7833333</v>
      </c>
      <c r="I41" s="33">
        <f t="shared" ref="I41:O41" si="21">+$C$41*I34</f>
        <v>1119584961.054719</v>
      </c>
      <c r="J41" s="33">
        <f t="shared" si="21"/>
        <v>1274983353.6491141</v>
      </c>
      <c r="K41" s="33">
        <f t="shared" si="21"/>
        <v>1425431389.3797097</v>
      </c>
      <c r="L41" s="33">
        <f t="shared" si="21"/>
        <v>1563983320.4274175</v>
      </c>
      <c r="M41" s="33">
        <f t="shared" si="21"/>
        <v>1716002499.1729624</v>
      </c>
      <c r="N41" s="33">
        <f t="shared" si="21"/>
        <v>1882797942.0925741</v>
      </c>
      <c r="O41" s="33">
        <f t="shared" si="21"/>
        <v>2065805902.063972</v>
      </c>
    </row>
    <row r="42" spans="1:15">
      <c r="B42" s="4" t="s">
        <v>39</v>
      </c>
      <c r="D42" s="5" t="s">
        <v>191</v>
      </c>
      <c r="F42" s="59">
        <f>+'Proyectado anual acido'!P77-'Proyectado anual acido'!P75-'Proyectado anual acido'!P74-'Proyectado anual acido'!P70-'Proyectado anual acido'!P66-'Proyectado anual acido'!P65-'Proyectado anual acido'!P61-'Proyectado anual acido'!P60-'Proyectado anual acido'!P59-'Proyectado anual acido'!P56-'Proyectado anual acido'!P55-'Proyectado anual acido'!P54-'Proyectado anual acido'!P53-'Proyectado anual acido'!P52-'Proyectado anual acido'!P51-'Proyectado anual acido'!P50</f>
        <v>204362165.83333334</v>
      </c>
      <c r="G42" s="59">
        <f>+'Proyectado anual acido'!AF77-'Proyectado anual acido'!AF75-'Proyectado anual acido'!AF74-'Proyectado anual acido'!AF70-'Proyectado anual acido'!AF66-'Proyectado anual acido'!AF65-'Proyectado anual acido'!AF61-'Proyectado anual acido'!AF60-'Proyectado anual acido'!AF59-'Proyectado anual acido'!AF56-'Proyectado anual acido'!AF55-'Proyectado anual acido'!AF54-'Proyectado anual acido'!AF53-'Proyectado anual acido'!AF52-'Proyectado anual acido'!AF51-'Proyectado anual acido'!AF50</f>
        <v>503076104.38750017</v>
      </c>
      <c r="H42" s="59">
        <f>+'Proyectado anual acido'!AV77-'Proyectado anual acido'!AV75-'Proyectado anual acido'!AV74-'Proyectado anual acido'!AV70-'Proyectado anual acido'!AV66-'Proyectado anual acido'!AV65-'Proyectado anual acido'!AV61-'Proyectado anual acido'!AV60-'Proyectado anual acido'!AV59-'Proyectado anual acido'!AV56-'Proyectado anual acido'!AV55-'Proyectado anual acido'!AV54-'Proyectado anual acido'!AV53-'Proyectado anual acido'!AV52-'Proyectado anual acido'!AV51-'Proyectado anual acido'!AV50</f>
        <v>897775252.61166716</v>
      </c>
      <c r="I42" s="33">
        <f>+H42*(1+(I$3+I6))</f>
        <v>1023463787.9773006</v>
      </c>
      <c r="J42" s="33">
        <f t="shared" ref="J42:O42" si="22">+I42*(1+(J$3+J6))</f>
        <v>1125810166.7750309</v>
      </c>
      <c r="K42" s="33">
        <f t="shared" si="22"/>
        <v>1215874980.1170335</v>
      </c>
      <c r="L42" s="33">
        <f t="shared" si="22"/>
        <v>1288827478.9240556</v>
      </c>
      <c r="M42" s="33">
        <f t="shared" si="22"/>
        <v>1366157127.6594989</v>
      </c>
      <c r="N42" s="33">
        <f t="shared" si="22"/>
        <v>1448126555.3190689</v>
      </c>
      <c r="O42" s="33">
        <f t="shared" si="22"/>
        <v>1535014148.6382132</v>
      </c>
    </row>
    <row r="43" spans="1:15" s="15" customFormat="1">
      <c r="A43" s="52"/>
      <c r="B43" s="10" t="s">
        <v>40</v>
      </c>
      <c r="C43" s="11"/>
      <c r="D43" s="11"/>
      <c r="E43" s="34"/>
      <c r="F43" s="34">
        <f>+'Proyectado anual acido'!P77-'Proyectado anual acido'!P71</f>
        <v>349987233.09999996</v>
      </c>
      <c r="G43" s="34">
        <f>+'Proyectado anual acido'!AF77-'Proyectado anual acido'!AF71</f>
        <v>1048456534.9625</v>
      </c>
      <c r="H43" s="34">
        <f>+'Proyectado anual acido'!AV77-'Proyectado anual acido'!AV71</f>
        <v>1738261150.3950005</v>
      </c>
      <c r="I43" s="34">
        <f t="shared" ref="I43:O43" si="23">+I41+I42</f>
        <v>2143048749.0320196</v>
      </c>
      <c r="J43" s="34">
        <f t="shared" si="23"/>
        <v>2400793520.4241447</v>
      </c>
      <c r="K43" s="34">
        <f t="shared" si="23"/>
        <v>2641306369.4967432</v>
      </c>
      <c r="L43" s="34">
        <f t="shared" si="23"/>
        <v>2852810799.3514729</v>
      </c>
      <c r="M43" s="34">
        <f t="shared" si="23"/>
        <v>3082159626.8324614</v>
      </c>
      <c r="N43" s="34">
        <f t="shared" si="23"/>
        <v>3330924497.411643</v>
      </c>
      <c r="O43" s="34">
        <f t="shared" si="23"/>
        <v>3600820050.7021852</v>
      </c>
    </row>
    <row r="44" spans="1:15">
      <c r="F44" s="7"/>
      <c r="G44" s="8"/>
    </row>
    <row r="45" spans="1:15">
      <c r="B45" s="4" t="s">
        <v>41</v>
      </c>
      <c r="D45" s="5" t="s">
        <v>42</v>
      </c>
      <c r="E45" s="60">
        <f>+EFFECT('prestamo acido'!B4*12,12)</f>
        <v>0.14299605449973818</v>
      </c>
      <c r="F45" s="7"/>
      <c r="G45" s="8"/>
      <c r="H45" s="6">
        <v>1</v>
      </c>
      <c r="I45" s="6">
        <v>2</v>
      </c>
      <c r="J45" s="6">
        <v>3</v>
      </c>
      <c r="K45" s="6">
        <v>4</v>
      </c>
      <c r="L45" s="6">
        <v>5</v>
      </c>
      <c r="M45" s="6">
        <v>6</v>
      </c>
      <c r="N45" s="6">
        <v>7</v>
      </c>
    </row>
    <row r="46" spans="1:15">
      <c r="B46" s="4" t="s">
        <v>43</v>
      </c>
      <c r="D46" s="5" t="s">
        <v>44</v>
      </c>
      <c r="E46" s="61">
        <f>+'prestamo acido'!B3/12</f>
        <v>2</v>
      </c>
      <c r="F46" s="7"/>
      <c r="G46" s="8"/>
      <c r="H46" s="33">
        <v>130000000</v>
      </c>
      <c r="I46" s="33">
        <v>4</v>
      </c>
      <c r="J46" s="33"/>
    </row>
    <row r="47" spans="1:15">
      <c r="B47" s="4" t="s">
        <v>45</v>
      </c>
      <c r="D47" s="5" t="s">
        <v>44</v>
      </c>
      <c r="F47" s="6">
        <v>1</v>
      </c>
      <c r="G47" s="6">
        <v>2</v>
      </c>
      <c r="H47" s="6">
        <v>3</v>
      </c>
      <c r="I47" s="6">
        <v>4</v>
      </c>
      <c r="J47" s="6">
        <v>5</v>
      </c>
      <c r="K47" s="6">
        <v>6</v>
      </c>
      <c r="L47" s="6">
        <v>7</v>
      </c>
      <c r="M47" s="6">
        <v>8</v>
      </c>
      <c r="N47" s="6">
        <v>9</v>
      </c>
      <c r="O47" s="6">
        <v>10</v>
      </c>
    </row>
    <row r="48" spans="1:15">
      <c r="A48" s="6" t="s">
        <v>46</v>
      </c>
      <c r="B48" s="4" t="s">
        <v>47</v>
      </c>
      <c r="D48" s="5" t="s">
        <v>191</v>
      </c>
      <c r="E48" s="167">
        <f>+'prestamo acido'!B2</f>
        <v>93000000</v>
      </c>
      <c r="F48" s="33">
        <f>+E51</f>
        <v>93000000</v>
      </c>
      <c r="G48" s="33">
        <f>+F51</f>
        <v>53335904.575502142</v>
      </c>
      <c r="H48" s="33">
        <f>+H46</f>
        <v>130000000</v>
      </c>
      <c r="I48" s="33">
        <f>+H51</f>
        <v>103698542.04365158</v>
      </c>
      <c r="J48" s="33">
        <f t="shared" ref="J48:O48" si="24">+I51</f>
        <v>73636079.371954575</v>
      </c>
      <c r="K48" s="33">
        <f t="shared" si="24"/>
        <v>39274803.149659246</v>
      </c>
      <c r="L48" s="33">
        <f t="shared" si="24"/>
        <v>1.4901161193847656E-8</v>
      </c>
      <c r="M48" s="33">
        <f t="shared" si="24"/>
        <v>1.4901161193847656E-8</v>
      </c>
      <c r="N48" s="33">
        <f t="shared" si="24"/>
        <v>1.4901161193847656E-8</v>
      </c>
      <c r="O48" s="33">
        <f t="shared" si="24"/>
        <v>1.4901161193847656E-8</v>
      </c>
    </row>
    <row r="49" spans="1:15">
      <c r="B49" s="4" t="s">
        <v>48</v>
      </c>
      <c r="D49" s="5" t="s">
        <v>191</v>
      </c>
      <c r="E49" s="33"/>
      <c r="F49" s="33">
        <f>+'Proyectado anual acido'!P81</f>
        <v>9890424.647302324</v>
      </c>
      <c r="G49" s="33">
        <f>+'Proyectado anual acido'!AF81</f>
        <v>3684798.1644388232</v>
      </c>
      <c r="H49" s="33">
        <f>+IFERROR(IPMT($E$45,H45,$I$46,-$H$46),0)</f>
        <v>18589487.084965963</v>
      </c>
      <c r="I49" s="33">
        <f>+IFERROR(IPMT($E$45,I45,$I$46,-$H$46),0)</f>
        <v>14828482.369617388</v>
      </c>
      <c r="J49" s="33">
        <f>+IFERROR(IPMT($E$45,J45,$I$46,-$H$46),0)</f>
        <v>10529668.819019059</v>
      </c>
      <c r="K49" s="33">
        <f>+IFERROR(IPMT($E$45,K45,$I$46,-$H$46),0)</f>
        <v>5616141.8916551601</v>
      </c>
      <c r="L49" s="33">
        <f>+IFERROR(IPMT($E$45,L45,$I$46,-$H$46),0)</f>
        <v>0</v>
      </c>
      <c r="M49" s="33">
        <f t="shared" ref="M49:O49" si="25">+IFERROR(IPMT($E$45,M47,$E$46,-$E$48),0)</f>
        <v>0</v>
      </c>
      <c r="N49" s="33">
        <f t="shared" si="25"/>
        <v>0</v>
      </c>
      <c r="O49" s="33">
        <f t="shared" si="25"/>
        <v>0</v>
      </c>
    </row>
    <row r="50" spans="1:15">
      <c r="B50" s="4" t="s">
        <v>49</v>
      </c>
      <c r="D50" s="5" t="s">
        <v>191</v>
      </c>
      <c r="E50" s="33"/>
      <c r="F50" s="33">
        <f>+'Proyectado anual acido'!P124</f>
        <v>39664095.424497858</v>
      </c>
      <c r="G50" s="33">
        <f>+F51</f>
        <v>53335904.575502142</v>
      </c>
      <c r="H50" s="33">
        <f>+IFERROR(PPMT($E$45,H45,$I$46,-$H$46),0)</f>
        <v>26301457.956348427</v>
      </c>
      <c r="I50" s="33">
        <f>+IFERROR(PPMT($E$45,I45,$I$46,-$H$46),0)</f>
        <v>30062462.671697002</v>
      </c>
      <c r="J50" s="33">
        <f>+IFERROR(PPMT($E$45,J45,$I$46,-$H$46),0)</f>
        <v>34361276.222295329</v>
      </c>
      <c r="K50" s="33">
        <f>+IFERROR(PPMT($E$45,K45,$I$46,-$H$46),0)</f>
        <v>39274803.149659231</v>
      </c>
      <c r="L50" s="33">
        <f>+IFERROR(PPMT($E$45,L45,$I$46,-$H$46),0)</f>
        <v>0</v>
      </c>
      <c r="M50" s="33">
        <f t="shared" ref="M50:O50" si="26">+IFERROR(PPMT($E$45,M47,$E$46,-$E$48),0)</f>
        <v>0</v>
      </c>
      <c r="N50" s="33">
        <f t="shared" si="26"/>
        <v>0</v>
      </c>
      <c r="O50" s="33">
        <f t="shared" si="26"/>
        <v>0</v>
      </c>
    </row>
    <row r="51" spans="1:15">
      <c r="B51" s="4" t="s">
        <v>50</v>
      </c>
      <c r="D51" s="5" t="s">
        <v>191</v>
      </c>
      <c r="E51" s="33">
        <f>+E48-E50</f>
        <v>93000000</v>
      </c>
      <c r="F51" s="33">
        <f>+F48-F50</f>
        <v>53335904.575502142</v>
      </c>
      <c r="G51" s="33">
        <f t="shared" ref="G51" si="27">+G48-G50</f>
        <v>0</v>
      </c>
      <c r="H51" s="33">
        <f>IFERROR(H48-H50,0)</f>
        <v>103698542.04365158</v>
      </c>
      <c r="I51" s="33">
        <f>IFERROR(I48-I50,0)</f>
        <v>73636079.371954575</v>
      </c>
      <c r="J51" s="33">
        <f t="shared" ref="J51:O51" si="28">IFERROR(J48-J50,0)</f>
        <v>39274803.149659246</v>
      </c>
      <c r="K51" s="33">
        <f t="shared" si="28"/>
        <v>1.4901161193847656E-8</v>
      </c>
      <c r="L51" s="33">
        <f t="shared" si="28"/>
        <v>1.4901161193847656E-8</v>
      </c>
      <c r="M51" s="33">
        <f t="shared" si="28"/>
        <v>1.4901161193847656E-8</v>
      </c>
      <c r="N51" s="33">
        <f t="shared" si="28"/>
        <v>1.4901161193847656E-8</v>
      </c>
      <c r="O51" s="33">
        <f t="shared" si="28"/>
        <v>1.4901161193847656E-8</v>
      </c>
    </row>
    <row r="52" spans="1:15">
      <c r="B52" s="4" t="s">
        <v>51</v>
      </c>
      <c r="D52" s="5" t="s">
        <v>191</v>
      </c>
      <c r="E52" s="33"/>
      <c r="F52" s="33">
        <f>+PMT($E$45,$E$46,-$E$48)</f>
        <v>56695819.827043884</v>
      </c>
      <c r="G52" s="33">
        <f t="shared" ref="G52" si="29">+PMT($E$45,$E$46,-$E$48)</f>
        <v>56695819.827043884</v>
      </c>
      <c r="H52" s="33"/>
      <c r="I52" s="33"/>
      <c r="J52" s="33"/>
      <c r="K52" s="33"/>
      <c r="L52" s="33"/>
      <c r="M52" s="33"/>
      <c r="N52" s="33"/>
      <c r="O52" s="33"/>
    </row>
    <row r="53" spans="1:15"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5">
      <c r="B54" s="4" t="s">
        <v>52</v>
      </c>
      <c r="C54" s="63">
        <v>0</v>
      </c>
      <c r="D54" s="5" t="s">
        <v>53</v>
      </c>
      <c r="E54" s="33"/>
      <c r="F54" s="33">
        <f>+$C$54</f>
        <v>0</v>
      </c>
      <c r="G54" s="33">
        <f t="shared" ref="G54:O54" si="30">+$C$54</f>
        <v>0</v>
      </c>
      <c r="H54" s="33">
        <f t="shared" si="30"/>
        <v>0</v>
      </c>
      <c r="I54" s="33">
        <f t="shared" si="30"/>
        <v>0</v>
      </c>
      <c r="J54" s="33">
        <f t="shared" si="30"/>
        <v>0</v>
      </c>
      <c r="K54" s="33">
        <f t="shared" si="30"/>
        <v>0</v>
      </c>
      <c r="L54" s="33">
        <f t="shared" si="30"/>
        <v>0</v>
      </c>
      <c r="M54" s="33">
        <f t="shared" si="30"/>
        <v>0</v>
      </c>
      <c r="N54" s="33">
        <f t="shared" si="30"/>
        <v>0</v>
      </c>
      <c r="O54" s="33">
        <f t="shared" si="30"/>
        <v>0</v>
      </c>
    </row>
    <row r="55" spans="1:15">
      <c r="B55" s="4" t="s">
        <v>54</v>
      </c>
      <c r="C55" s="63">
        <v>15</v>
      </c>
      <c r="D55" s="5" t="s">
        <v>55</v>
      </c>
      <c r="E55" s="33"/>
      <c r="F55" s="33">
        <f t="shared" ref="F55" si="31">+$C$55</f>
        <v>15</v>
      </c>
      <c r="G55" s="33">
        <v>25</v>
      </c>
      <c r="H55" s="33">
        <v>30</v>
      </c>
      <c r="I55" s="33">
        <v>35</v>
      </c>
      <c r="J55" s="33">
        <v>40</v>
      </c>
      <c r="K55" s="33">
        <v>45</v>
      </c>
      <c r="L55" s="33">
        <f t="shared" ref="L55:O55" si="32">+K55</f>
        <v>45</v>
      </c>
      <c r="M55" s="33">
        <f t="shared" si="32"/>
        <v>45</v>
      </c>
      <c r="N55" s="33">
        <f t="shared" si="32"/>
        <v>45</v>
      </c>
      <c r="O55" s="33">
        <f t="shared" si="32"/>
        <v>45</v>
      </c>
    </row>
    <row r="56" spans="1:15">
      <c r="B56" s="4" t="s">
        <v>56</v>
      </c>
      <c r="C56" s="63">
        <v>0</v>
      </c>
      <c r="D56" s="5" t="s">
        <v>55</v>
      </c>
      <c r="E56" s="33"/>
      <c r="F56" s="33">
        <v>0</v>
      </c>
      <c r="G56" s="33">
        <v>10</v>
      </c>
      <c r="H56" s="33">
        <v>15</v>
      </c>
      <c r="I56" s="33">
        <f>+H56</f>
        <v>15</v>
      </c>
      <c r="J56" s="33">
        <f t="shared" ref="J56:O56" si="33">+I56</f>
        <v>15</v>
      </c>
      <c r="K56" s="33">
        <f t="shared" si="33"/>
        <v>15</v>
      </c>
      <c r="L56" s="33">
        <f t="shared" si="33"/>
        <v>15</v>
      </c>
      <c r="M56" s="33">
        <f t="shared" si="33"/>
        <v>15</v>
      </c>
      <c r="N56" s="33">
        <f t="shared" si="33"/>
        <v>15</v>
      </c>
      <c r="O56" s="33">
        <f t="shared" si="33"/>
        <v>15</v>
      </c>
    </row>
    <row r="57" spans="1:15"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5">
      <c r="E58" s="33"/>
      <c r="F58" s="33">
        <f>+F62/F34*360</f>
        <v>8.6468409682842715</v>
      </c>
      <c r="G58" s="33">
        <f>+G62/G34*360</f>
        <v>8.6271870610627843</v>
      </c>
      <c r="H58" s="33"/>
      <c r="I58" s="33"/>
      <c r="J58" s="33"/>
      <c r="K58" s="33"/>
      <c r="L58" s="33"/>
      <c r="M58" s="33"/>
      <c r="N58" s="33"/>
      <c r="O58" s="33"/>
    </row>
    <row r="59" spans="1:15">
      <c r="A59" s="6" t="s">
        <v>57</v>
      </c>
      <c r="B59" s="4" t="s">
        <v>58</v>
      </c>
      <c r="D59" s="5" t="s">
        <v>191</v>
      </c>
      <c r="E59" s="62">
        <v>0</v>
      </c>
      <c r="F59" s="33">
        <f t="shared" ref="F59:O59" si="34">+F54/360*F34</f>
        <v>0</v>
      </c>
      <c r="G59" s="33">
        <f t="shared" si="34"/>
        <v>0</v>
      </c>
      <c r="H59" s="33">
        <f t="shared" si="34"/>
        <v>0</v>
      </c>
      <c r="I59" s="33">
        <f t="shared" si="34"/>
        <v>0</v>
      </c>
      <c r="J59" s="33">
        <f t="shared" si="34"/>
        <v>0</v>
      </c>
      <c r="K59" s="33">
        <f t="shared" si="34"/>
        <v>0</v>
      </c>
      <c r="L59" s="33">
        <f t="shared" si="34"/>
        <v>0</v>
      </c>
      <c r="M59" s="33">
        <f t="shared" si="34"/>
        <v>0</v>
      </c>
      <c r="N59" s="33">
        <f t="shared" si="34"/>
        <v>0</v>
      </c>
      <c r="O59" s="33">
        <f t="shared" si="34"/>
        <v>0</v>
      </c>
    </row>
    <row r="60" spans="1:15">
      <c r="A60" s="6" t="s">
        <v>57</v>
      </c>
      <c r="B60" s="4" t="s">
        <v>59</v>
      </c>
      <c r="D60" s="5" t="s">
        <v>191</v>
      </c>
      <c r="E60" s="62">
        <v>0</v>
      </c>
      <c r="F60" s="33">
        <f>+F55/360*F39</f>
        <v>17409458.333333332</v>
      </c>
      <c r="G60" s="33">
        <f t="shared" ref="G60:O60" si="35">+G55/360*G39</f>
        <v>122751559.65000001</v>
      </c>
      <c r="H60" s="33">
        <f t="shared" si="35"/>
        <v>226395506.53511995</v>
      </c>
      <c r="I60" s="33">
        <f t="shared" si="35"/>
        <v>292260899.61231804</v>
      </c>
      <c r="J60" s="33">
        <f t="shared" si="35"/>
        <v>380373385.68972307</v>
      </c>
      <c r="K60" s="33">
        <f t="shared" si="35"/>
        <v>478414625.85124928</v>
      </c>
      <c r="L60" s="33">
        <f t="shared" si="35"/>
        <v>524916527.48399073</v>
      </c>
      <c r="M60" s="33">
        <f t="shared" si="35"/>
        <v>575938413.95543468</v>
      </c>
      <c r="N60" s="33">
        <f t="shared" si="35"/>
        <v>631919627.7919029</v>
      </c>
      <c r="O60" s="33">
        <f t="shared" si="35"/>
        <v>693342215.61327577</v>
      </c>
    </row>
    <row r="61" spans="1:15">
      <c r="A61" s="6" t="s">
        <v>60</v>
      </c>
      <c r="B61" s="4" t="s">
        <v>61</v>
      </c>
      <c r="D61" s="5" t="s">
        <v>191</v>
      </c>
      <c r="E61" s="62">
        <v>0</v>
      </c>
      <c r="F61" s="33">
        <f>+F56/360*F39</f>
        <v>0</v>
      </c>
      <c r="G61" s="33">
        <f t="shared" ref="G61:O61" si="36">+G56/360*G39</f>
        <v>49100623.859999999</v>
      </c>
      <c r="H61" s="33">
        <f t="shared" si="36"/>
        <v>113197753.26755998</v>
      </c>
      <c r="I61" s="33">
        <f t="shared" si="36"/>
        <v>125254671.262422</v>
      </c>
      <c r="J61" s="33">
        <f t="shared" si="36"/>
        <v>142640019.63364616</v>
      </c>
      <c r="K61" s="33">
        <f t="shared" si="36"/>
        <v>159471541.95041642</v>
      </c>
      <c r="L61" s="33">
        <f t="shared" si="36"/>
        <v>174972175.82799691</v>
      </c>
      <c r="M61" s="33">
        <f t="shared" si="36"/>
        <v>191979471.31847823</v>
      </c>
      <c r="N61" s="33">
        <f t="shared" si="36"/>
        <v>210639875.93063429</v>
      </c>
      <c r="O61" s="33">
        <f t="shared" si="36"/>
        <v>231114071.8710919</v>
      </c>
    </row>
    <row r="62" spans="1:15">
      <c r="A62" s="6" t="s">
        <v>62</v>
      </c>
      <c r="B62" s="15" t="s">
        <v>63</v>
      </c>
      <c r="C62" s="20"/>
      <c r="D62" s="20" t="s">
        <v>191</v>
      </c>
      <c r="E62" s="62"/>
      <c r="F62" s="62">
        <f>+F59+F60-F61</f>
        <v>17409458.333333332</v>
      </c>
      <c r="G62" s="62">
        <f>+G59+G60-G61</f>
        <v>73650935.790000007</v>
      </c>
      <c r="H62" s="62">
        <f t="shared" ref="H62:O62" si="37">+H59+H60-H61</f>
        <v>113197753.26755998</v>
      </c>
      <c r="I62" s="62">
        <f t="shared" si="37"/>
        <v>167006228.34989604</v>
      </c>
      <c r="J62" s="62">
        <f t="shared" si="37"/>
        <v>237733366.05607691</v>
      </c>
      <c r="K62" s="62">
        <f t="shared" si="37"/>
        <v>318943083.90083289</v>
      </c>
      <c r="L62" s="62">
        <f t="shared" si="37"/>
        <v>349944351.65599382</v>
      </c>
      <c r="M62" s="62">
        <f t="shared" si="37"/>
        <v>383958942.63695645</v>
      </c>
      <c r="N62" s="62">
        <f t="shared" si="37"/>
        <v>421279751.86126864</v>
      </c>
      <c r="O62" s="62">
        <f t="shared" si="37"/>
        <v>462228143.74218386</v>
      </c>
    </row>
    <row r="63" spans="1:15">
      <c r="A63" s="53" t="s">
        <v>62</v>
      </c>
      <c r="B63" s="10" t="s">
        <v>64</v>
      </c>
      <c r="C63" s="11"/>
      <c r="D63" s="11" t="s">
        <v>191</v>
      </c>
      <c r="E63" s="66"/>
      <c r="F63" s="66">
        <f>+F62-E62</f>
        <v>17409458.333333332</v>
      </c>
      <c r="G63" s="66">
        <f>+G62-F62</f>
        <v>56241477.456666678</v>
      </c>
      <c r="H63" s="66">
        <f t="shared" ref="H63:O63" si="38">+H62-G62</f>
        <v>39546817.477559969</v>
      </c>
      <c r="I63" s="66">
        <f t="shared" si="38"/>
        <v>53808475.082336068</v>
      </c>
      <c r="J63" s="66">
        <f t="shared" si="38"/>
        <v>70727137.706180871</v>
      </c>
      <c r="K63" s="66">
        <f t="shared" si="38"/>
        <v>81209717.844755977</v>
      </c>
      <c r="L63" s="66">
        <f t="shared" si="38"/>
        <v>31001267.755160928</v>
      </c>
      <c r="M63" s="66">
        <f t="shared" si="38"/>
        <v>34014590.980962634</v>
      </c>
      <c r="N63" s="66">
        <f t="shared" si="38"/>
        <v>37320809.224312186</v>
      </c>
      <c r="O63" s="66">
        <f t="shared" si="38"/>
        <v>40948391.880915225</v>
      </c>
    </row>
    <row r="64" spans="1:15"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1:15">
      <c r="B65" s="37" t="s">
        <v>65</v>
      </c>
      <c r="E65" s="33"/>
      <c r="F65" s="33"/>
      <c r="G65" s="33"/>
      <c r="H65" s="217"/>
      <c r="I65" s="33"/>
      <c r="J65" s="33"/>
      <c r="K65" s="33"/>
      <c r="L65" s="33"/>
      <c r="M65" s="33"/>
      <c r="N65" s="33"/>
      <c r="O65" s="33"/>
    </row>
    <row r="66" spans="1:15" s="15" customFormat="1">
      <c r="A66" s="52"/>
      <c r="B66" s="38" t="s">
        <v>66</v>
      </c>
      <c r="C66" s="39"/>
      <c r="D66" s="39" t="s">
        <v>191</v>
      </c>
      <c r="E66" s="64">
        <f>+E34</f>
        <v>0</v>
      </c>
      <c r="F66" s="64">
        <f t="shared" ref="F66:O66" si="39">+F34</f>
        <v>724820200</v>
      </c>
      <c r="G66" s="64">
        <f t="shared" si="39"/>
        <v>3073346699.9999995</v>
      </c>
      <c r="H66" s="64">
        <f t="shared" si="39"/>
        <v>4720869600</v>
      </c>
      <c r="I66" s="64">
        <f t="shared" si="39"/>
        <v>5572514475.8400011</v>
      </c>
      <c r="J66" s="64">
        <f t="shared" si="39"/>
        <v>6345979485.0865936</v>
      </c>
      <c r="K66" s="64">
        <f t="shared" si="39"/>
        <v>7094805064.3268127</v>
      </c>
      <c r="L66" s="64">
        <f t="shared" si="39"/>
        <v>7784420116.5793781</v>
      </c>
      <c r="M66" s="64">
        <f t="shared" si="39"/>
        <v>8541065751.9108934</v>
      </c>
      <c r="N66" s="64">
        <f t="shared" si="39"/>
        <v>9371257342.9966316</v>
      </c>
      <c r="O66" s="64">
        <f t="shared" si="39"/>
        <v>10282143556.735903</v>
      </c>
    </row>
    <row r="67" spans="1:15">
      <c r="B67" s="41" t="s">
        <v>67</v>
      </c>
      <c r="C67" s="42" t="s">
        <v>68</v>
      </c>
      <c r="D67" s="42" t="s">
        <v>191</v>
      </c>
      <c r="E67" s="65">
        <f>+E39</f>
        <v>0</v>
      </c>
      <c r="F67" s="65">
        <f>+F39</f>
        <v>417827000</v>
      </c>
      <c r="G67" s="65">
        <f t="shared" ref="G67:O67" si="40">+G39</f>
        <v>1767622458.96</v>
      </c>
      <c r="H67" s="65">
        <f t="shared" si="40"/>
        <v>2716746078.4214396</v>
      </c>
      <c r="I67" s="65">
        <f t="shared" si="40"/>
        <v>3006112110.2981281</v>
      </c>
      <c r="J67" s="65">
        <f t="shared" si="40"/>
        <v>3423360471.2075081</v>
      </c>
      <c r="K67" s="65">
        <f t="shared" si="40"/>
        <v>3827317006.8099942</v>
      </c>
      <c r="L67" s="65">
        <f t="shared" si="40"/>
        <v>4199332219.8719258</v>
      </c>
      <c r="M67" s="65">
        <f t="shared" si="40"/>
        <v>4607507311.6434774</v>
      </c>
      <c r="N67" s="65">
        <f t="shared" si="40"/>
        <v>5055357022.3352232</v>
      </c>
      <c r="O67" s="65">
        <f t="shared" si="40"/>
        <v>5546737724.9062061</v>
      </c>
    </row>
    <row r="68" spans="1:15">
      <c r="B68" s="41" t="s">
        <v>69</v>
      </c>
      <c r="C68" s="42" t="s">
        <v>68</v>
      </c>
      <c r="D68" s="42" t="s">
        <v>191</v>
      </c>
      <c r="E68" s="65">
        <f>+E43</f>
        <v>0</v>
      </c>
      <c r="F68" s="65">
        <f t="shared" ref="F68:O68" si="41">+F43</f>
        <v>349987233.09999996</v>
      </c>
      <c r="G68" s="65">
        <f t="shared" si="41"/>
        <v>1048456534.9625</v>
      </c>
      <c r="H68" s="65">
        <f t="shared" si="41"/>
        <v>1738261150.3950005</v>
      </c>
      <c r="I68" s="65">
        <f t="shared" si="41"/>
        <v>2143048749.0320196</v>
      </c>
      <c r="J68" s="65">
        <f t="shared" si="41"/>
        <v>2400793520.4241447</v>
      </c>
      <c r="K68" s="65">
        <f t="shared" si="41"/>
        <v>2641306369.4967432</v>
      </c>
      <c r="L68" s="65">
        <f t="shared" si="41"/>
        <v>2852810799.3514729</v>
      </c>
      <c r="M68" s="65">
        <f t="shared" si="41"/>
        <v>3082159626.8324614</v>
      </c>
      <c r="N68" s="65">
        <f t="shared" si="41"/>
        <v>3330924497.411643</v>
      </c>
      <c r="O68" s="65">
        <f t="shared" si="41"/>
        <v>3600820050.7021852</v>
      </c>
    </row>
    <row r="69" spans="1:15" s="15" customFormat="1">
      <c r="A69" s="52"/>
      <c r="B69" s="38" t="s">
        <v>70</v>
      </c>
      <c r="C69" s="39" t="s">
        <v>70</v>
      </c>
      <c r="D69" s="39" t="s">
        <v>191</v>
      </c>
      <c r="E69" s="40">
        <f>+E66-E67-E68</f>
        <v>0</v>
      </c>
      <c r="F69" s="40">
        <f>+F66-F67-F68</f>
        <v>-42994033.099999964</v>
      </c>
      <c r="G69" s="40">
        <f t="shared" ref="G69:O69" si="42">+G66-G67-G68</f>
        <v>257267706.07749951</v>
      </c>
      <c r="H69" s="40">
        <f t="shared" si="42"/>
        <v>265862371.18355989</v>
      </c>
      <c r="I69" s="40">
        <f t="shared" si="42"/>
        <v>423353616.50985336</v>
      </c>
      <c r="J69" s="40">
        <f t="shared" si="42"/>
        <v>521825493.4549408</v>
      </c>
      <c r="K69" s="40">
        <f t="shared" si="42"/>
        <v>626181688.02007532</v>
      </c>
      <c r="L69" s="40">
        <f t="shared" si="42"/>
        <v>732277097.35597944</v>
      </c>
      <c r="M69" s="40">
        <f t="shared" si="42"/>
        <v>851398813.43495464</v>
      </c>
      <c r="N69" s="40">
        <f t="shared" si="42"/>
        <v>984975823.2497654</v>
      </c>
      <c r="O69" s="40">
        <f t="shared" si="42"/>
        <v>1134585781.1275115</v>
      </c>
    </row>
    <row r="70" spans="1:15">
      <c r="B70" s="41" t="s">
        <v>22</v>
      </c>
      <c r="C70" s="39" t="s">
        <v>71</v>
      </c>
      <c r="D70" s="42" t="s">
        <v>191</v>
      </c>
      <c r="E70" s="65">
        <f>+E29</f>
        <v>0</v>
      </c>
      <c r="F70" s="65">
        <f>+F29</f>
        <v>5600000</v>
      </c>
      <c r="G70" s="65">
        <f t="shared" ref="G70:O70" si="43">+G29</f>
        <v>7200000</v>
      </c>
      <c r="H70" s="65">
        <f t="shared" si="43"/>
        <v>18833333.333333336</v>
      </c>
      <c r="I70" s="65">
        <f t="shared" si="43"/>
        <v>24250000</v>
      </c>
      <c r="J70" s="65">
        <f t="shared" si="43"/>
        <v>70250000</v>
      </c>
      <c r="K70" s="65">
        <f t="shared" si="43"/>
        <v>71668961.012865365</v>
      </c>
      <c r="L70" s="65">
        <f t="shared" si="43"/>
        <v>71625845.036181241</v>
      </c>
      <c r="M70" s="65">
        <f t="shared" si="43"/>
        <v>72534058.186563417</v>
      </c>
      <c r="N70" s="65">
        <f t="shared" si="43"/>
        <v>74408309.655162752</v>
      </c>
      <c r="O70" s="65">
        <f t="shared" si="43"/>
        <v>76464738.366509914</v>
      </c>
    </row>
    <row r="71" spans="1:15" s="15" customFormat="1">
      <c r="A71" s="52"/>
      <c r="B71" s="38" t="s">
        <v>72</v>
      </c>
      <c r="C71" s="39" t="s">
        <v>73</v>
      </c>
      <c r="D71" s="39" t="s">
        <v>191</v>
      </c>
      <c r="E71" s="40">
        <f t="shared" ref="E71:O71" si="44">+E69-E70</f>
        <v>0</v>
      </c>
      <c r="F71" s="40">
        <f t="shared" si="44"/>
        <v>-48594033.099999964</v>
      </c>
      <c r="G71" s="40">
        <f t="shared" si="44"/>
        <v>250067706.07749951</v>
      </c>
      <c r="H71" s="40">
        <f t="shared" si="44"/>
        <v>247029037.85022655</v>
      </c>
      <c r="I71" s="40">
        <f t="shared" si="44"/>
        <v>399103616.50985336</v>
      </c>
      <c r="J71" s="40">
        <f t="shared" si="44"/>
        <v>451575493.4549408</v>
      </c>
      <c r="K71" s="40">
        <f t="shared" si="44"/>
        <v>554512727.00721002</v>
      </c>
      <c r="L71" s="40">
        <f t="shared" si="44"/>
        <v>660651252.31979823</v>
      </c>
      <c r="M71" s="40">
        <f t="shared" si="44"/>
        <v>778864755.24839127</v>
      </c>
      <c r="N71" s="40">
        <f t="shared" si="44"/>
        <v>910567513.59460258</v>
      </c>
      <c r="O71" s="40">
        <f t="shared" si="44"/>
        <v>1058121042.7610016</v>
      </c>
    </row>
    <row r="72" spans="1:15" s="69" customFormat="1">
      <c r="A72" s="75"/>
      <c r="B72" s="69" t="s">
        <v>74</v>
      </c>
      <c r="C72" s="73" t="s">
        <v>75</v>
      </c>
      <c r="D72" s="71" t="s">
        <v>191</v>
      </c>
      <c r="E72" s="76">
        <f>+E49</f>
        <v>0</v>
      </c>
      <c r="F72" s="76">
        <f>+F49</f>
        <v>9890424.647302324</v>
      </c>
      <c r="G72" s="76">
        <f t="shared" ref="G72:O72" si="45">+G49</f>
        <v>3684798.1644388232</v>
      </c>
      <c r="H72" s="76">
        <f>+H49</f>
        <v>18589487.084965963</v>
      </c>
      <c r="I72" s="76">
        <f>+I49</f>
        <v>14828482.369617388</v>
      </c>
      <c r="J72" s="76">
        <f t="shared" si="45"/>
        <v>10529668.819019059</v>
      </c>
      <c r="K72" s="76">
        <f t="shared" si="45"/>
        <v>5616141.8916551601</v>
      </c>
      <c r="L72" s="76">
        <f t="shared" si="45"/>
        <v>0</v>
      </c>
      <c r="M72" s="76">
        <f t="shared" si="45"/>
        <v>0</v>
      </c>
      <c r="N72" s="76">
        <f t="shared" si="45"/>
        <v>0</v>
      </c>
      <c r="O72" s="76">
        <f t="shared" si="45"/>
        <v>0</v>
      </c>
    </row>
    <row r="73" spans="1:15" s="69" customFormat="1">
      <c r="A73" s="75"/>
      <c r="B73" s="69" t="s">
        <v>289</v>
      </c>
      <c r="C73" s="218">
        <v>0.02</v>
      </c>
      <c r="D73" s="71"/>
      <c r="E73" s="76"/>
      <c r="F73" s="76">
        <f>+'Proyectado anual acido'!P82</f>
        <v>14496404</v>
      </c>
      <c r="G73" s="76">
        <f>+'Proyectado anual acido'!AF82</f>
        <v>61466934</v>
      </c>
      <c r="H73" s="76">
        <f>+'Proyectado anual acido'!AV82</f>
        <v>94417392</v>
      </c>
      <c r="I73" s="76">
        <f>+$C$73*I34</f>
        <v>111450289.51680003</v>
      </c>
      <c r="J73" s="76">
        <f>+$C$73*J34</f>
        <v>126919589.70173188</v>
      </c>
      <c r="K73" s="76">
        <f t="shared" ref="K73:O73" si="46">+$C$73*K34</f>
        <v>141896101.28653625</v>
      </c>
      <c r="L73" s="76">
        <f t="shared" si="46"/>
        <v>155688402.33158755</v>
      </c>
      <c r="M73" s="76">
        <f t="shared" si="46"/>
        <v>170821315.03821787</v>
      </c>
      <c r="N73" s="76">
        <f t="shared" si="46"/>
        <v>187425146.85993263</v>
      </c>
      <c r="O73" s="76">
        <f t="shared" si="46"/>
        <v>205642871.13471806</v>
      </c>
    </row>
    <row r="74" spans="1:15" s="72" customFormat="1">
      <c r="A74" s="77"/>
      <c r="B74" s="72" t="s">
        <v>76</v>
      </c>
      <c r="C74" s="73" t="s">
        <v>77</v>
      </c>
      <c r="D74" s="73" t="s">
        <v>191</v>
      </c>
      <c r="E74" s="74">
        <f>+E71-E72</f>
        <v>0</v>
      </c>
      <c r="F74" s="74">
        <f>+F71-F72-F73</f>
        <v>-72980861.747302294</v>
      </c>
      <c r="G74" s="74">
        <f>+G71-G72-G73</f>
        <v>184915973.91306069</v>
      </c>
      <c r="H74" s="74">
        <f t="shared" ref="H74" si="47">+H71-H72-H73</f>
        <v>134022158.76526058</v>
      </c>
      <c r="I74" s="74">
        <f>+I71-I72-I73</f>
        <v>272824844.62343591</v>
      </c>
      <c r="J74" s="74">
        <f t="shared" ref="J74:O74" si="48">+J71-J72-J73</f>
        <v>314126234.93418986</v>
      </c>
      <c r="K74" s="74">
        <f t="shared" si="48"/>
        <v>407000483.82901859</v>
      </c>
      <c r="L74" s="74">
        <f t="shared" si="48"/>
        <v>504962849.98821068</v>
      </c>
      <c r="M74" s="74">
        <f t="shared" si="48"/>
        <v>608043440.21017337</v>
      </c>
      <c r="N74" s="74">
        <f t="shared" si="48"/>
        <v>723142366.73466992</v>
      </c>
      <c r="O74" s="74">
        <f t="shared" si="48"/>
        <v>852478171.62628353</v>
      </c>
    </row>
    <row r="75" spans="1:15" s="69" customFormat="1">
      <c r="A75" s="75"/>
      <c r="B75" s="69" t="s">
        <v>78</v>
      </c>
      <c r="C75" s="73" t="s">
        <v>79</v>
      </c>
      <c r="D75" s="71" t="s">
        <v>191</v>
      </c>
      <c r="E75" s="76">
        <f>+IF(E74&lt;0,0,E74*$E$4)</f>
        <v>0</v>
      </c>
      <c r="F75" s="76">
        <f t="shared" ref="F75:H75" si="49">+IF(F74&lt;0,0,F74*F4)</f>
        <v>0</v>
      </c>
      <c r="G75" s="76">
        <f t="shared" si="49"/>
        <v>64720590.869571239</v>
      </c>
      <c r="H75" s="76">
        <f t="shared" si="49"/>
        <v>46907755.567841202</v>
      </c>
      <c r="I75" s="76">
        <f>+IF(I74&lt;0,0,I74*I4)</f>
        <v>95488695.618202567</v>
      </c>
      <c r="J75" s="76">
        <f t="shared" ref="J75:O75" si="50">+IF(J74&lt;0,0,J74*J4)</f>
        <v>109944182.22696644</v>
      </c>
      <c r="K75" s="76">
        <f t="shared" si="50"/>
        <v>142450169.3401565</v>
      </c>
      <c r="L75" s="76">
        <f t="shared" si="50"/>
        <v>176736997.49587372</v>
      </c>
      <c r="M75" s="76">
        <f t="shared" si="50"/>
        <v>212815204.07356066</v>
      </c>
      <c r="N75" s="76">
        <f t="shared" si="50"/>
        <v>253099828.35713446</v>
      </c>
      <c r="O75" s="76">
        <f t="shared" si="50"/>
        <v>298367360.0691992</v>
      </c>
    </row>
    <row r="76" spans="1:15" s="72" customFormat="1">
      <c r="A76" s="77"/>
      <c r="B76" s="72" t="s">
        <v>80</v>
      </c>
      <c r="C76" s="73" t="s">
        <v>81</v>
      </c>
      <c r="D76" s="73" t="s">
        <v>191</v>
      </c>
      <c r="E76" s="74">
        <f t="shared" ref="E76:I76" si="51">+E74-E75</f>
        <v>0</v>
      </c>
      <c r="F76" s="74">
        <f t="shared" si="51"/>
        <v>-72980861.747302294</v>
      </c>
      <c r="G76" s="74">
        <f t="shared" si="51"/>
        <v>120195383.04348946</v>
      </c>
      <c r="H76" s="74">
        <f t="shared" si="51"/>
        <v>87114403.197419375</v>
      </c>
      <c r="I76" s="74">
        <f t="shared" si="51"/>
        <v>177336149.00523335</v>
      </c>
      <c r="J76" s="74">
        <f t="shared" ref="J76:O76" si="52">+J74-J75</f>
        <v>204182052.70722342</v>
      </c>
      <c r="K76" s="74">
        <f t="shared" si="52"/>
        <v>264550314.4888621</v>
      </c>
      <c r="L76" s="74">
        <f t="shared" si="52"/>
        <v>328225852.49233699</v>
      </c>
      <c r="M76" s="74">
        <f t="shared" si="52"/>
        <v>395228236.13661271</v>
      </c>
      <c r="N76" s="74">
        <f t="shared" si="52"/>
        <v>470042538.37753546</v>
      </c>
      <c r="O76" s="74">
        <f t="shared" si="52"/>
        <v>554110811.55708432</v>
      </c>
    </row>
    <row r="77" spans="1:15" s="15" customFormat="1">
      <c r="A77" s="52"/>
      <c r="C77" s="20"/>
      <c r="D77" s="20"/>
      <c r="E77" s="33"/>
      <c r="F77" s="190">
        <f t="shared" ref="F77:O77" si="53">+F76/F66</f>
        <v>-0.10068822826309518</v>
      </c>
      <c r="G77" s="190">
        <f t="shared" si="53"/>
        <v>3.9108956709469019E-2</v>
      </c>
      <c r="H77" s="190">
        <f t="shared" si="53"/>
        <v>1.8453041617040086E-2</v>
      </c>
      <c r="I77" s="190">
        <f t="shared" si="53"/>
        <v>3.1823362644293834E-2</v>
      </c>
      <c r="J77" s="190">
        <f t="shared" si="53"/>
        <v>3.21750256500297E-2</v>
      </c>
      <c r="K77" s="190">
        <f t="shared" si="53"/>
        <v>3.7287890518520377E-2</v>
      </c>
      <c r="L77" s="190">
        <f t="shared" si="53"/>
        <v>4.2164457670170769E-2</v>
      </c>
      <c r="M77" s="190">
        <f t="shared" si="53"/>
        <v>4.6273878180622632E-2</v>
      </c>
      <c r="N77" s="190">
        <f t="shared" si="53"/>
        <v>5.0157894631803028E-2</v>
      </c>
      <c r="O77" s="190">
        <f t="shared" si="53"/>
        <v>5.3890592802906603E-2</v>
      </c>
    </row>
    <row r="78" spans="1:15">
      <c r="A78" s="4"/>
      <c r="B78" s="41" t="s">
        <v>82</v>
      </c>
      <c r="C78" s="42" t="s">
        <v>70</v>
      </c>
      <c r="D78" s="42" t="s">
        <v>191</v>
      </c>
      <c r="E78" s="43">
        <f t="shared" ref="E78:O78" si="54">+E71+E70</f>
        <v>0</v>
      </c>
      <c r="F78" s="43">
        <f t="shared" si="54"/>
        <v>-42994033.099999964</v>
      </c>
      <c r="G78" s="43">
        <f t="shared" si="54"/>
        <v>257267706.07749951</v>
      </c>
      <c r="H78" s="43">
        <f t="shared" si="54"/>
        <v>265862371.18355989</v>
      </c>
      <c r="I78" s="43">
        <f t="shared" si="54"/>
        <v>423353616.50985336</v>
      </c>
      <c r="J78" s="43">
        <f t="shared" si="54"/>
        <v>521825493.4549408</v>
      </c>
      <c r="K78" s="43">
        <f t="shared" si="54"/>
        <v>626181688.02007532</v>
      </c>
      <c r="L78" s="43">
        <f t="shared" si="54"/>
        <v>732277097.35597944</v>
      </c>
      <c r="M78" s="43">
        <f t="shared" si="54"/>
        <v>851398813.43495464</v>
      </c>
      <c r="N78" s="43">
        <f t="shared" si="54"/>
        <v>984975823.2497654</v>
      </c>
      <c r="O78" s="43">
        <f t="shared" si="54"/>
        <v>1134585781.1275115</v>
      </c>
    </row>
    <row r="79" spans="1:15">
      <c r="A79" s="4"/>
      <c r="B79" s="41" t="s">
        <v>121</v>
      </c>
      <c r="C79" s="39"/>
      <c r="D79" s="42" t="s">
        <v>83</v>
      </c>
      <c r="E79" s="43"/>
      <c r="F79" s="168">
        <f t="shared" ref="F79:O79" si="55">+F71/F72</f>
        <v>-4.9132403140298226</v>
      </c>
      <c r="G79" s="168">
        <f t="shared" si="55"/>
        <v>67.864695681529568</v>
      </c>
      <c r="H79" s="168">
        <f t="shared" si="55"/>
        <v>13.288641946985642</v>
      </c>
      <c r="I79" s="168">
        <f t="shared" si="55"/>
        <v>26.914663723618215</v>
      </c>
      <c r="J79" s="168">
        <f t="shared" si="55"/>
        <v>42.886011062312733</v>
      </c>
      <c r="K79" s="168">
        <f t="shared" si="55"/>
        <v>98.735526577621229</v>
      </c>
      <c r="L79" s="168" t="e">
        <f t="shared" si="55"/>
        <v>#DIV/0!</v>
      </c>
      <c r="M79" s="168" t="e">
        <f t="shared" si="55"/>
        <v>#DIV/0!</v>
      </c>
      <c r="N79" s="168" t="e">
        <f t="shared" si="55"/>
        <v>#DIV/0!</v>
      </c>
      <c r="O79" s="168" t="e">
        <f t="shared" si="55"/>
        <v>#DIV/0!</v>
      </c>
    </row>
    <row r="80" spans="1:15" s="15" customFormat="1">
      <c r="A80" s="52"/>
      <c r="C80" s="20"/>
      <c r="D80" s="20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</row>
    <row r="81" spans="1:15" s="15" customFormat="1">
      <c r="A81" s="52"/>
      <c r="B81" s="109" t="s">
        <v>84</v>
      </c>
      <c r="C81" s="20"/>
      <c r="D81" s="20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</row>
    <row r="82" spans="1:15" s="15" customFormat="1">
      <c r="A82" s="52" t="s">
        <v>62</v>
      </c>
      <c r="B82" s="15" t="s">
        <v>85</v>
      </c>
      <c r="C82" s="20"/>
      <c r="D82" s="20" t="s">
        <v>191</v>
      </c>
      <c r="E82" s="46">
        <f t="shared" ref="E82:O82" si="56">+E76</f>
        <v>0</v>
      </c>
      <c r="F82" s="46">
        <f>+F76</f>
        <v>-72980861.747302294</v>
      </c>
      <c r="G82" s="46">
        <f>+G76</f>
        <v>120195383.04348946</v>
      </c>
      <c r="H82" s="46">
        <f t="shared" si="56"/>
        <v>87114403.197419375</v>
      </c>
      <c r="I82" s="46">
        <f t="shared" si="56"/>
        <v>177336149.00523335</v>
      </c>
      <c r="J82" s="46">
        <f t="shared" si="56"/>
        <v>204182052.70722342</v>
      </c>
      <c r="K82" s="46">
        <f t="shared" si="56"/>
        <v>264550314.4888621</v>
      </c>
      <c r="L82" s="46">
        <f t="shared" si="56"/>
        <v>328225852.49233699</v>
      </c>
      <c r="M82" s="46">
        <f t="shared" si="56"/>
        <v>395228236.13661271</v>
      </c>
      <c r="N82" s="46">
        <f t="shared" si="56"/>
        <v>470042538.37753546</v>
      </c>
      <c r="O82" s="46">
        <f t="shared" si="56"/>
        <v>554110811.55708432</v>
      </c>
    </row>
    <row r="83" spans="1:15">
      <c r="A83" s="6" t="s">
        <v>57</v>
      </c>
      <c r="B83" s="4" t="s">
        <v>22</v>
      </c>
      <c r="D83" s="5" t="s">
        <v>191</v>
      </c>
      <c r="E83" s="62">
        <f t="shared" ref="E83:O83" si="57">+E70</f>
        <v>0</v>
      </c>
      <c r="F83" s="62">
        <f t="shared" si="57"/>
        <v>5600000</v>
      </c>
      <c r="G83" s="62">
        <f t="shared" si="57"/>
        <v>7200000</v>
      </c>
      <c r="H83" s="62">
        <f t="shared" si="57"/>
        <v>18833333.333333336</v>
      </c>
      <c r="I83" s="62">
        <f t="shared" si="57"/>
        <v>24250000</v>
      </c>
      <c r="J83" s="62">
        <f t="shared" si="57"/>
        <v>70250000</v>
      </c>
      <c r="K83" s="62">
        <f t="shared" si="57"/>
        <v>71668961.012865365</v>
      </c>
      <c r="L83" s="62">
        <f t="shared" si="57"/>
        <v>71625845.036181241</v>
      </c>
      <c r="M83" s="62">
        <f t="shared" si="57"/>
        <v>72534058.186563417</v>
      </c>
      <c r="N83" s="62">
        <f t="shared" si="57"/>
        <v>74408309.655162752</v>
      </c>
      <c r="O83" s="62">
        <f t="shared" si="57"/>
        <v>76464738.366509914</v>
      </c>
    </row>
    <row r="84" spans="1:15" s="15" customFormat="1">
      <c r="A84" s="52" t="s">
        <v>62</v>
      </c>
      <c r="B84" s="15" t="s">
        <v>122</v>
      </c>
      <c r="C84" s="20"/>
      <c r="D84" s="20" t="s">
        <v>191</v>
      </c>
      <c r="E84" s="46">
        <f>+E82+E83</f>
        <v>0</v>
      </c>
      <c r="F84" s="46">
        <f>+F82+F83</f>
        <v>-67380861.747302294</v>
      </c>
      <c r="G84" s="46">
        <f t="shared" ref="G84:O84" si="58">+G82+G83</f>
        <v>127395383.04348946</v>
      </c>
      <c r="H84" s="46">
        <f t="shared" si="58"/>
        <v>105947736.53075272</v>
      </c>
      <c r="I84" s="46">
        <f t="shared" si="58"/>
        <v>201586149.00523335</v>
      </c>
      <c r="J84" s="46">
        <f t="shared" si="58"/>
        <v>274432052.70722342</v>
      </c>
      <c r="K84" s="46">
        <f t="shared" si="58"/>
        <v>336219275.50172746</v>
      </c>
      <c r="L84" s="46">
        <f t="shared" si="58"/>
        <v>399851697.5285182</v>
      </c>
      <c r="M84" s="46">
        <f t="shared" si="58"/>
        <v>467762294.32317615</v>
      </c>
      <c r="N84" s="46">
        <f t="shared" si="58"/>
        <v>544450848.03269815</v>
      </c>
      <c r="O84" s="46">
        <f t="shared" si="58"/>
        <v>630575549.92359424</v>
      </c>
    </row>
    <row r="85" spans="1:15">
      <c r="A85" s="6" t="s">
        <v>60</v>
      </c>
      <c r="B85" s="4" t="s">
        <v>64</v>
      </c>
      <c r="D85" s="5" t="s">
        <v>191</v>
      </c>
      <c r="E85" s="62">
        <f t="shared" ref="E85:O85" si="59">+E63</f>
        <v>0</v>
      </c>
      <c r="F85" s="62">
        <f t="shared" si="59"/>
        <v>17409458.333333332</v>
      </c>
      <c r="G85" s="62">
        <f t="shared" si="59"/>
        <v>56241477.456666678</v>
      </c>
      <c r="H85" s="62">
        <f t="shared" si="59"/>
        <v>39546817.477559969</v>
      </c>
      <c r="I85" s="62">
        <f t="shared" si="59"/>
        <v>53808475.082336068</v>
      </c>
      <c r="J85" s="62">
        <f t="shared" si="59"/>
        <v>70727137.706180871</v>
      </c>
      <c r="K85" s="62">
        <f t="shared" si="59"/>
        <v>81209717.844755977</v>
      </c>
      <c r="L85" s="62">
        <f t="shared" si="59"/>
        <v>31001267.755160928</v>
      </c>
      <c r="M85" s="62">
        <f t="shared" si="59"/>
        <v>34014590.980962634</v>
      </c>
      <c r="N85" s="62">
        <f t="shared" si="59"/>
        <v>37320809.224312186</v>
      </c>
      <c r="O85" s="62">
        <f t="shared" si="59"/>
        <v>40948391.880915225</v>
      </c>
    </row>
    <row r="86" spans="1:15" s="15" customFormat="1">
      <c r="A86" s="103" t="s">
        <v>62</v>
      </c>
      <c r="B86" s="104" t="s">
        <v>123</v>
      </c>
      <c r="C86" s="105"/>
      <c r="D86" s="105" t="s">
        <v>191</v>
      </c>
      <c r="E86" s="106">
        <f>+E84-E85</f>
        <v>0</v>
      </c>
      <c r="F86" s="106">
        <f>+F84-F85</f>
        <v>-84790320.080635622</v>
      </c>
      <c r="G86" s="106">
        <f>+G84-G85</f>
        <v>71153905.586822778</v>
      </c>
      <c r="H86" s="106">
        <f t="shared" ref="H86:O86" si="60">+H84-H85</f>
        <v>66400919.05319275</v>
      </c>
      <c r="I86" s="106">
        <f t="shared" si="60"/>
        <v>147777673.92289728</v>
      </c>
      <c r="J86" s="106">
        <f t="shared" si="60"/>
        <v>203704915.00104254</v>
      </c>
      <c r="K86" s="106">
        <f t="shared" si="60"/>
        <v>255009557.65697148</v>
      </c>
      <c r="L86" s="106">
        <f t="shared" si="60"/>
        <v>368850429.77335727</v>
      </c>
      <c r="M86" s="106">
        <f t="shared" si="60"/>
        <v>433747703.34221351</v>
      </c>
      <c r="N86" s="106">
        <f t="shared" si="60"/>
        <v>507130038.80838597</v>
      </c>
      <c r="O86" s="106">
        <f t="shared" si="60"/>
        <v>589627158.04267907</v>
      </c>
    </row>
    <row r="87" spans="1:15" s="15" customFormat="1">
      <c r="A87" s="52"/>
      <c r="C87" s="20"/>
      <c r="D87" s="20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1:15">
      <c r="A88" s="6" t="s">
        <v>60</v>
      </c>
      <c r="B88" s="4" t="s">
        <v>87</v>
      </c>
      <c r="D88" s="5" t="s">
        <v>191</v>
      </c>
      <c r="E88" s="62">
        <f t="shared" ref="E88:O88" si="61">+E28</f>
        <v>28000000</v>
      </c>
      <c r="F88" s="62">
        <f t="shared" si="61"/>
        <v>0</v>
      </c>
      <c r="G88" s="62">
        <f t="shared" si="61"/>
        <v>12000000</v>
      </c>
      <c r="H88" s="62">
        <f t="shared" si="61"/>
        <v>130000000</v>
      </c>
      <c r="I88" s="62">
        <f t="shared" si="61"/>
        <v>0</v>
      </c>
      <c r="J88" s="62">
        <f t="shared" si="61"/>
        <v>230000000</v>
      </c>
      <c r="K88" s="62">
        <f t="shared" si="61"/>
        <v>7094805.0643268125</v>
      </c>
      <c r="L88" s="62">
        <f t="shared" si="61"/>
        <v>7784420.116579378</v>
      </c>
      <c r="M88" s="62">
        <f t="shared" si="61"/>
        <v>8541065.7519108932</v>
      </c>
      <c r="N88" s="62">
        <f t="shared" si="61"/>
        <v>9371257.3429966327</v>
      </c>
      <c r="O88" s="62">
        <f t="shared" si="61"/>
        <v>10282143.556735903</v>
      </c>
    </row>
    <row r="89" spans="1:15" s="15" customFormat="1">
      <c r="A89" s="103" t="s">
        <v>62</v>
      </c>
      <c r="B89" s="104" t="s">
        <v>88</v>
      </c>
      <c r="C89" s="105"/>
      <c r="D89" s="105" t="s">
        <v>191</v>
      </c>
      <c r="E89" s="106">
        <f>-E88</f>
        <v>-28000000</v>
      </c>
      <c r="F89" s="106">
        <f t="shared" ref="F89:O89" si="62">-F88</f>
        <v>0</v>
      </c>
      <c r="G89" s="106">
        <f t="shared" si="62"/>
        <v>-12000000</v>
      </c>
      <c r="H89" s="106">
        <f t="shared" si="62"/>
        <v>-130000000</v>
      </c>
      <c r="I89" s="106">
        <f t="shared" si="62"/>
        <v>0</v>
      </c>
      <c r="J89" s="106">
        <f t="shared" si="62"/>
        <v>-230000000</v>
      </c>
      <c r="K89" s="106">
        <f t="shared" si="62"/>
        <v>-7094805.0643268125</v>
      </c>
      <c r="L89" s="106">
        <f t="shared" si="62"/>
        <v>-7784420.116579378</v>
      </c>
      <c r="M89" s="106">
        <f t="shared" si="62"/>
        <v>-8541065.7519108932</v>
      </c>
      <c r="N89" s="106">
        <f t="shared" si="62"/>
        <v>-9371257.3429966327</v>
      </c>
      <c r="O89" s="106">
        <f t="shared" si="62"/>
        <v>-10282143.556735903</v>
      </c>
    </row>
    <row r="90" spans="1:15" s="15" customFormat="1">
      <c r="A90" s="52"/>
      <c r="C90" s="20"/>
      <c r="D90" s="20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5">
      <c r="A91" s="6" t="s">
        <v>57</v>
      </c>
      <c r="B91" s="4" t="s">
        <v>89</v>
      </c>
      <c r="D91" s="5" t="s">
        <v>191</v>
      </c>
      <c r="E91" s="62">
        <f>+E48</f>
        <v>93000000</v>
      </c>
      <c r="F91" s="62"/>
      <c r="G91" s="62"/>
      <c r="H91" s="62">
        <f>+H48</f>
        <v>130000000</v>
      </c>
      <c r="I91" s="62"/>
      <c r="J91" s="62"/>
      <c r="K91" s="62"/>
      <c r="L91" s="62"/>
      <c r="M91" s="62"/>
      <c r="N91" s="62"/>
      <c r="O91" s="62"/>
    </row>
    <row r="92" spans="1:15">
      <c r="A92" s="6" t="s">
        <v>60</v>
      </c>
      <c r="B92" s="4" t="s">
        <v>90</v>
      </c>
      <c r="D92" s="5" t="s">
        <v>191</v>
      </c>
      <c r="E92" s="62">
        <f t="shared" ref="E92:O92" si="63">+E50</f>
        <v>0</v>
      </c>
      <c r="F92" s="62">
        <f t="shared" si="63"/>
        <v>39664095.424497858</v>
      </c>
      <c r="G92" s="62">
        <f t="shared" si="63"/>
        <v>53335904.575502142</v>
      </c>
      <c r="H92" s="62">
        <f t="shared" si="63"/>
        <v>26301457.956348427</v>
      </c>
      <c r="I92" s="62">
        <f t="shared" si="63"/>
        <v>30062462.671697002</v>
      </c>
      <c r="J92" s="62">
        <f t="shared" si="63"/>
        <v>34361276.222295329</v>
      </c>
      <c r="K92" s="62">
        <f t="shared" si="63"/>
        <v>39274803.149659231</v>
      </c>
      <c r="L92" s="62">
        <f t="shared" si="63"/>
        <v>0</v>
      </c>
      <c r="M92" s="62">
        <f t="shared" si="63"/>
        <v>0</v>
      </c>
      <c r="N92" s="62">
        <f t="shared" si="63"/>
        <v>0</v>
      </c>
      <c r="O92" s="62">
        <f t="shared" si="63"/>
        <v>0</v>
      </c>
    </row>
    <row r="93" spans="1:15">
      <c r="A93" s="6" t="s">
        <v>57</v>
      </c>
      <c r="B93" s="4" t="s">
        <v>91</v>
      </c>
      <c r="D93" s="5" t="s">
        <v>191</v>
      </c>
      <c r="E93" s="62">
        <v>60000000</v>
      </c>
      <c r="F93" s="62"/>
      <c r="G93" s="62"/>
      <c r="H93" s="62"/>
      <c r="I93" s="62"/>
      <c r="J93" s="62"/>
      <c r="K93" s="62"/>
      <c r="L93" s="62"/>
      <c r="M93" s="62"/>
      <c r="N93" s="62"/>
      <c r="O93" s="62"/>
    </row>
    <row r="94" spans="1:15">
      <c r="A94" s="6" t="s">
        <v>60</v>
      </c>
      <c r="B94" s="4" t="s">
        <v>92</v>
      </c>
      <c r="D94" s="5" t="s">
        <v>191</v>
      </c>
      <c r="E94" s="62"/>
      <c r="F94" s="62"/>
      <c r="G94" s="62">
        <f t="shared" ref="G94:O94" si="64">+(G86+G89-G92)*0.3</f>
        <v>1745400.3033961907</v>
      </c>
      <c r="H94" s="62">
        <f t="shared" si="64"/>
        <v>-26970161.670946706</v>
      </c>
      <c r="I94" s="62">
        <f t="shared" si="64"/>
        <v>35314563.375360079</v>
      </c>
      <c r="J94" s="62">
        <f t="shared" si="64"/>
        <v>-18196908.366375834</v>
      </c>
      <c r="K94" s="62">
        <f t="shared" si="64"/>
        <v>62591984.832895622</v>
      </c>
      <c r="L94" s="62">
        <f t="shared" si="64"/>
        <v>108319802.89703338</v>
      </c>
      <c r="M94" s="62">
        <f t="shared" si="64"/>
        <v>127561991.27709079</v>
      </c>
      <c r="N94" s="62">
        <f t="shared" si="64"/>
        <v>149327634.4396168</v>
      </c>
      <c r="O94" s="62">
        <f t="shared" si="64"/>
        <v>173803504.34578297</v>
      </c>
    </row>
    <row r="95" spans="1:15" s="15" customFormat="1">
      <c r="A95" s="103" t="s">
        <v>62</v>
      </c>
      <c r="B95" s="104" t="s">
        <v>93</v>
      </c>
      <c r="C95" s="105"/>
      <c r="D95" s="105" t="s">
        <v>191</v>
      </c>
      <c r="E95" s="106">
        <f>+E91-E92+E93-E94</f>
        <v>153000000</v>
      </c>
      <c r="F95" s="106">
        <f>+F91-F92+F93-F94</f>
        <v>-39664095.424497858</v>
      </c>
      <c r="G95" s="106">
        <f t="shared" ref="G95:O95" si="65">+G91-G92+G93-G94</f>
        <v>-55081304.87889833</v>
      </c>
      <c r="H95" s="106">
        <f t="shared" si="65"/>
        <v>130668703.71459828</v>
      </c>
      <c r="I95" s="106">
        <f t="shared" si="65"/>
        <v>-65377026.047057077</v>
      </c>
      <c r="J95" s="106">
        <f t="shared" si="65"/>
        <v>-16164367.855919495</v>
      </c>
      <c r="K95" s="106">
        <f t="shared" si="65"/>
        <v>-101866787.98255485</v>
      </c>
      <c r="L95" s="106">
        <f t="shared" si="65"/>
        <v>-108319802.89703338</v>
      </c>
      <c r="M95" s="106">
        <f t="shared" si="65"/>
        <v>-127561991.27709079</v>
      </c>
      <c r="N95" s="106">
        <f t="shared" si="65"/>
        <v>-149327634.4396168</v>
      </c>
      <c r="O95" s="106">
        <f t="shared" si="65"/>
        <v>-173803504.34578297</v>
      </c>
    </row>
    <row r="96" spans="1:15" s="15" customFormat="1">
      <c r="A96" s="52"/>
      <c r="C96" s="20"/>
      <c r="D96" s="20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1:15" s="15" customFormat="1">
      <c r="A97" s="52" t="s">
        <v>62</v>
      </c>
      <c r="B97" s="15" t="s">
        <v>94</v>
      </c>
      <c r="C97" s="20"/>
      <c r="D97" s="20" t="s">
        <v>191</v>
      </c>
      <c r="E97" s="46">
        <f t="shared" ref="E97:O97" si="66">+E86+E89+E95</f>
        <v>125000000</v>
      </c>
      <c r="F97" s="46">
        <f>+F86+F89+F95</f>
        <v>-124454415.50513348</v>
      </c>
      <c r="G97" s="46">
        <f>+G86+G89+G95</f>
        <v>4072600.707924448</v>
      </c>
      <c r="H97" s="46">
        <f t="shared" si="66"/>
        <v>67069622.767791033</v>
      </c>
      <c r="I97" s="46">
        <f t="shared" si="66"/>
        <v>82400647.875840202</v>
      </c>
      <c r="J97" s="46">
        <f t="shared" si="66"/>
        <v>-42459452.85487695</v>
      </c>
      <c r="K97" s="46">
        <f t="shared" si="66"/>
        <v>146047964.61008981</v>
      </c>
      <c r="L97" s="46">
        <f t="shared" si="66"/>
        <v>252746206.75974452</v>
      </c>
      <c r="M97" s="46">
        <f t="shared" si="66"/>
        <v>297644646.31321186</v>
      </c>
      <c r="N97" s="46">
        <f t="shared" si="66"/>
        <v>348431147.02577251</v>
      </c>
      <c r="O97" s="46">
        <f t="shared" si="66"/>
        <v>405541510.1401602</v>
      </c>
    </row>
    <row r="98" spans="1:15">
      <c r="A98" s="6" t="s">
        <v>57</v>
      </c>
      <c r="B98" s="4" t="s">
        <v>95</v>
      </c>
      <c r="D98" s="5" t="s">
        <v>191</v>
      </c>
      <c r="E98" s="108">
        <v>0</v>
      </c>
      <c r="F98" s="46">
        <f>+E99</f>
        <v>125000000</v>
      </c>
      <c r="G98" s="46">
        <f>+F99</f>
        <v>545584.49486652017</v>
      </c>
      <c r="H98" s="46">
        <f t="shared" ref="H98:O98" si="67">+G99</f>
        <v>4618185.2027909681</v>
      </c>
      <c r="I98" s="46">
        <f t="shared" si="67"/>
        <v>71687807.970582008</v>
      </c>
      <c r="J98" s="46">
        <f t="shared" si="67"/>
        <v>154088455.8464222</v>
      </c>
      <c r="K98" s="46">
        <f t="shared" si="67"/>
        <v>111629002.99154525</v>
      </c>
      <c r="L98" s="46">
        <f t="shared" si="67"/>
        <v>257676967.60163504</v>
      </c>
      <c r="M98" s="46">
        <f t="shared" si="67"/>
        <v>510423174.36137956</v>
      </c>
      <c r="N98" s="46">
        <f t="shared" si="67"/>
        <v>808067820.67459142</v>
      </c>
      <c r="O98" s="46">
        <f t="shared" si="67"/>
        <v>1156498967.7003639</v>
      </c>
    </row>
    <row r="99" spans="1:15" s="15" customFormat="1">
      <c r="A99" s="52" t="s">
        <v>62</v>
      </c>
      <c r="B99" s="15" t="s">
        <v>96</v>
      </c>
      <c r="C99" s="20"/>
      <c r="D99" s="20" t="s">
        <v>191</v>
      </c>
      <c r="E99" s="46">
        <f>+E97+E98</f>
        <v>125000000</v>
      </c>
      <c r="F99" s="46">
        <f>+F97+F98</f>
        <v>545584.49486652017</v>
      </c>
      <c r="G99" s="46">
        <f t="shared" ref="G99:O99" si="68">+G97+G98</f>
        <v>4618185.2027909681</v>
      </c>
      <c r="H99" s="46">
        <f t="shared" si="68"/>
        <v>71687807.970582008</v>
      </c>
      <c r="I99" s="46">
        <f t="shared" si="68"/>
        <v>154088455.8464222</v>
      </c>
      <c r="J99" s="46">
        <f t="shared" si="68"/>
        <v>111629002.99154525</v>
      </c>
      <c r="K99" s="46">
        <f t="shared" si="68"/>
        <v>257676967.60163504</v>
      </c>
      <c r="L99" s="46">
        <f t="shared" si="68"/>
        <v>510423174.36137956</v>
      </c>
      <c r="M99" s="46">
        <f t="shared" si="68"/>
        <v>808067820.67459142</v>
      </c>
      <c r="N99" s="46">
        <f t="shared" si="68"/>
        <v>1156498967.7003639</v>
      </c>
      <c r="O99" s="46">
        <f t="shared" si="68"/>
        <v>1562040477.8405242</v>
      </c>
    </row>
    <row r="100" spans="1:15" s="47" customFormat="1">
      <c r="A100" s="68"/>
      <c r="C100" s="48"/>
      <c r="D100" s="48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</row>
    <row r="101" spans="1:15">
      <c r="B101" s="109" t="s">
        <v>97</v>
      </c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>
      <c r="B102" s="4" t="s">
        <v>98</v>
      </c>
      <c r="D102" s="5" t="s">
        <v>191</v>
      </c>
      <c r="E102" s="62">
        <f>+E99</f>
        <v>125000000</v>
      </c>
      <c r="F102" s="62">
        <f t="shared" ref="F102:O102" si="69">+F99</f>
        <v>545584.49486652017</v>
      </c>
      <c r="G102" s="62">
        <f t="shared" si="69"/>
        <v>4618185.2027909681</v>
      </c>
      <c r="H102" s="62">
        <f t="shared" si="69"/>
        <v>71687807.970582008</v>
      </c>
      <c r="I102" s="62">
        <f t="shared" si="69"/>
        <v>154088455.8464222</v>
      </c>
      <c r="J102" s="62">
        <f t="shared" si="69"/>
        <v>111629002.99154525</v>
      </c>
      <c r="K102" s="62">
        <f t="shared" si="69"/>
        <v>257676967.60163504</v>
      </c>
      <c r="L102" s="62">
        <f t="shared" si="69"/>
        <v>510423174.36137956</v>
      </c>
      <c r="M102" s="62">
        <f t="shared" si="69"/>
        <v>808067820.67459142</v>
      </c>
      <c r="N102" s="62">
        <f t="shared" si="69"/>
        <v>1156498967.7003639</v>
      </c>
      <c r="O102" s="62">
        <f t="shared" si="69"/>
        <v>1562040477.8405242</v>
      </c>
    </row>
    <row r="103" spans="1:15">
      <c r="B103" s="4" t="s">
        <v>99</v>
      </c>
      <c r="D103" s="5" t="s">
        <v>191</v>
      </c>
      <c r="E103" s="62">
        <f t="shared" ref="E103:O104" si="70">+E59</f>
        <v>0</v>
      </c>
      <c r="F103" s="62">
        <f t="shared" si="70"/>
        <v>0</v>
      </c>
      <c r="G103" s="62">
        <f t="shared" si="70"/>
        <v>0</v>
      </c>
      <c r="H103" s="62">
        <f t="shared" si="70"/>
        <v>0</v>
      </c>
      <c r="I103" s="62">
        <f t="shared" si="70"/>
        <v>0</v>
      </c>
      <c r="J103" s="62">
        <f t="shared" si="70"/>
        <v>0</v>
      </c>
      <c r="K103" s="62">
        <f t="shared" si="70"/>
        <v>0</v>
      </c>
      <c r="L103" s="62">
        <f t="shared" si="70"/>
        <v>0</v>
      </c>
      <c r="M103" s="62">
        <f t="shared" si="70"/>
        <v>0</v>
      </c>
      <c r="N103" s="62">
        <f t="shared" si="70"/>
        <v>0</v>
      </c>
      <c r="O103" s="62">
        <f t="shared" si="70"/>
        <v>0</v>
      </c>
    </row>
    <row r="104" spans="1:15">
      <c r="B104" s="4" t="s">
        <v>59</v>
      </c>
      <c r="D104" s="5" t="s">
        <v>191</v>
      </c>
      <c r="E104" s="62">
        <f t="shared" si="70"/>
        <v>0</v>
      </c>
      <c r="F104" s="62">
        <f t="shared" si="70"/>
        <v>17409458.333333332</v>
      </c>
      <c r="G104" s="62">
        <f t="shared" si="70"/>
        <v>122751559.65000001</v>
      </c>
      <c r="H104" s="62">
        <f t="shared" si="70"/>
        <v>226395506.53511995</v>
      </c>
      <c r="I104" s="62">
        <f t="shared" si="70"/>
        <v>292260899.61231804</v>
      </c>
      <c r="J104" s="62">
        <f t="shared" si="70"/>
        <v>380373385.68972307</v>
      </c>
      <c r="K104" s="62">
        <f t="shared" si="70"/>
        <v>478414625.85124928</v>
      </c>
      <c r="L104" s="62">
        <f t="shared" si="70"/>
        <v>524916527.48399073</v>
      </c>
      <c r="M104" s="62">
        <f t="shared" si="70"/>
        <v>575938413.95543468</v>
      </c>
      <c r="N104" s="62">
        <f t="shared" si="70"/>
        <v>631919627.7919029</v>
      </c>
      <c r="O104" s="62">
        <f t="shared" si="70"/>
        <v>693342215.61327577</v>
      </c>
    </row>
    <row r="105" spans="1:15">
      <c r="B105" s="4" t="s">
        <v>100</v>
      </c>
      <c r="D105" s="36">
        <v>0</v>
      </c>
      <c r="E105" s="62">
        <f>+D105+E88-E83</f>
        <v>28000000</v>
      </c>
      <c r="F105" s="62">
        <f>+E105+F88-F83</f>
        <v>22400000</v>
      </c>
      <c r="G105" s="62">
        <f t="shared" ref="G105:O105" si="71">+F105+G88-G83</f>
        <v>27200000</v>
      </c>
      <c r="H105" s="62">
        <f t="shared" si="71"/>
        <v>138366666.66666666</v>
      </c>
      <c r="I105" s="62">
        <f t="shared" si="71"/>
        <v>114116666.66666666</v>
      </c>
      <c r="J105" s="62">
        <f t="shared" si="71"/>
        <v>273866666.66666663</v>
      </c>
      <c r="K105" s="62">
        <f t="shared" si="71"/>
        <v>209292510.71812809</v>
      </c>
      <c r="L105" s="62">
        <f t="shared" si="71"/>
        <v>145451085.79852623</v>
      </c>
      <c r="M105" s="62">
        <f t="shared" si="71"/>
        <v>81458093.363873705</v>
      </c>
      <c r="N105" s="62">
        <f t="shared" si="71"/>
        <v>16421041.051707581</v>
      </c>
      <c r="O105" s="62">
        <f t="shared" si="71"/>
        <v>-49761553.758066431</v>
      </c>
    </row>
    <row r="106" spans="1:15" s="15" customFormat="1">
      <c r="A106" s="52"/>
      <c r="B106" s="10" t="s">
        <v>101</v>
      </c>
      <c r="C106" s="11"/>
      <c r="D106" s="11" t="s">
        <v>191</v>
      </c>
      <c r="E106" s="34">
        <f>+E102+E103+E104+E105</f>
        <v>153000000</v>
      </c>
      <c r="F106" s="34">
        <f t="shared" ref="F106:O106" si="72">+F102+F103+F104+F105</f>
        <v>40355042.828199849</v>
      </c>
      <c r="G106" s="34">
        <f t="shared" si="72"/>
        <v>154569744.85279098</v>
      </c>
      <c r="H106" s="34">
        <f t="shared" si="72"/>
        <v>436449981.17236865</v>
      </c>
      <c r="I106" s="34">
        <f t="shared" si="72"/>
        <v>560466022.12540686</v>
      </c>
      <c r="J106" s="34">
        <f t="shared" si="72"/>
        <v>765869055.34793496</v>
      </c>
      <c r="K106" s="34">
        <f t="shared" si="72"/>
        <v>945384104.1710124</v>
      </c>
      <c r="L106" s="34">
        <f t="shared" si="72"/>
        <v>1180790787.6438966</v>
      </c>
      <c r="M106" s="34">
        <f t="shared" si="72"/>
        <v>1465464327.9938998</v>
      </c>
      <c r="N106" s="34">
        <f t="shared" si="72"/>
        <v>1804839636.5439742</v>
      </c>
      <c r="O106" s="34">
        <f t="shared" si="72"/>
        <v>2205621139.6957335</v>
      </c>
    </row>
    <row r="107" spans="1:15">
      <c r="B107" s="4" t="s">
        <v>61</v>
      </c>
      <c r="D107" s="5" t="s">
        <v>191</v>
      </c>
      <c r="E107" s="62">
        <f t="shared" ref="E107:O107" si="73">+E61</f>
        <v>0</v>
      </c>
      <c r="F107" s="62">
        <f t="shared" si="73"/>
        <v>0</v>
      </c>
      <c r="G107" s="62">
        <f t="shared" si="73"/>
        <v>49100623.859999999</v>
      </c>
      <c r="H107" s="62">
        <f t="shared" si="73"/>
        <v>113197753.26755998</v>
      </c>
      <c r="I107" s="62">
        <f t="shared" si="73"/>
        <v>125254671.262422</v>
      </c>
      <c r="J107" s="62">
        <f t="shared" si="73"/>
        <v>142640019.63364616</v>
      </c>
      <c r="K107" s="62">
        <f t="shared" si="73"/>
        <v>159471541.95041642</v>
      </c>
      <c r="L107" s="62">
        <f t="shared" si="73"/>
        <v>174972175.82799691</v>
      </c>
      <c r="M107" s="62">
        <f t="shared" si="73"/>
        <v>191979471.31847823</v>
      </c>
      <c r="N107" s="62">
        <f t="shared" si="73"/>
        <v>210639875.93063429</v>
      </c>
      <c r="O107" s="62">
        <f t="shared" si="73"/>
        <v>231114071.8710919</v>
      </c>
    </row>
    <row r="108" spans="1:15">
      <c r="B108" s="4" t="s">
        <v>102</v>
      </c>
      <c r="D108" s="36">
        <v>0</v>
      </c>
      <c r="E108" s="62">
        <f>+D108+E91-E92</f>
        <v>93000000</v>
      </c>
      <c r="F108" s="62">
        <f>+E108+F91-F92</f>
        <v>53335904.575502142</v>
      </c>
      <c r="G108" s="62">
        <f t="shared" ref="G108:O108" si="74">+F108+G91-G92</f>
        <v>0</v>
      </c>
      <c r="H108" s="62">
        <f t="shared" si="74"/>
        <v>103698542.04365158</v>
      </c>
      <c r="I108" s="62">
        <f t="shared" si="74"/>
        <v>73636079.371954575</v>
      </c>
      <c r="J108" s="62">
        <f t="shared" si="74"/>
        <v>39274803.149659246</v>
      </c>
      <c r="K108" s="62">
        <f t="shared" si="74"/>
        <v>0</v>
      </c>
      <c r="L108" s="62">
        <f t="shared" si="74"/>
        <v>0</v>
      </c>
      <c r="M108" s="62">
        <f t="shared" si="74"/>
        <v>0</v>
      </c>
      <c r="N108" s="62">
        <f t="shared" si="74"/>
        <v>0</v>
      </c>
      <c r="O108" s="62">
        <f t="shared" si="74"/>
        <v>0</v>
      </c>
    </row>
    <row r="109" spans="1:15" s="15" customFormat="1">
      <c r="A109" s="52"/>
      <c r="B109" s="10" t="s">
        <v>103</v>
      </c>
      <c r="C109" s="11"/>
      <c r="D109" s="11" t="s">
        <v>191</v>
      </c>
      <c r="E109" s="34">
        <f>+E107+E108</f>
        <v>93000000</v>
      </c>
      <c r="F109" s="34">
        <f t="shared" ref="F109:O109" si="75">+F107+F108</f>
        <v>53335904.575502142</v>
      </c>
      <c r="G109" s="34">
        <f t="shared" si="75"/>
        <v>49100623.859999999</v>
      </c>
      <c r="H109" s="34">
        <f t="shared" si="75"/>
        <v>216896295.31121156</v>
      </c>
      <c r="I109" s="34">
        <f t="shared" si="75"/>
        <v>198890750.63437659</v>
      </c>
      <c r="J109" s="34">
        <f t="shared" si="75"/>
        <v>181914822.78330541</v>
      </c>
      <c r="K109" s="34">
        <f t="shared" si="75"/>
        <v>159471541.95041642</v>
      </c>
      <c r="L109" s="34">
        <f t="shared" si="75"/>
        <v>174972175.82799691</v>
      </c>
      <c r="M109" s="34">
        <f t="shared" si="75"/>
        <v>191979471.31847823</v>
      </c>
      <c r="N109" s="34">
        <f t="shared" si="75"/>
        <v>210639875.93063429</v>
      </c>
      <c r="O109" s="34">
        <f t="shared" si="75"/>
        <v>231114071.8710919</v>
      </c>
    </row>
    <row r="110" spans="1:15">
      <c r="B110" s="4" t="s">
        <v>80</v>
      </c>
      <c r="D110" s="36">
        <v>0</v>
      </c>
      <c r="E110" s="62">
        <f>+E76</f>
        <v>0</v>
      </c>
      <c r="F110" s="62">
        <f t="shared" ref="F110:O110" si="76">+F76</f>
        <v>-72980861.747302294</v>
      </c>
      <c r="G110" s="62">
        <f t="shared" si="76"/>
        <v>120195383.04348946</v>
      </c>
      <c r="H110" s="62">
        <f t="shared" si="76"/>
        <v>87114403.197419375</v>
      </c>
      <c r="I110" s="62">
        <f t="shared" si="76"/>
        <v>177336149.00523335</v>
      </c>
      <c r="J110" s="62">
        <f t="shared" si="76"/>
        <v>204182052.70722342</v>
      </c>
      <c r="K110" s="62">
        <f t="shared" si="76"/>
        <v>264550314.4888621</v>
      </c>
      <c r="L110" s="62">
        <f t="shared" si="76"/>
        <v>328225852.49233699</v>
      </c>
      <c r="M110" s="62">
        <f t="shared" si="76"/>
        <v>395228236.13661271</v>
      </c>
      <c r="N110" s="62">
        <f t="shared" si="76"/>
        <v>470042538.37753546</v>
      </c>
      <c r="O110" s="62">
        <f t="shared" si="76"/>
        <v>554110811.55708432</v>
      </c>
    </row>
    <row r="111" spans="1:15">
      <c r="B111" s="4" t="s">
        <v>104</v>
      </c>
      <c r="D111" s="36">
        <v>0</v>
      </c>
      <c r="E111" s="62">
        <f>+D111+D110-E94</f>
        <v>0</v>
      </c>
      <c r="F111" s="62">
        <f>+E111+E110-F94</f>
        <v>0</v>
      </c>
      <c r="G111" s="62">
        <f t="shared" ref="G111:O111" si="77">+F111+F110-G94</f>
        <v>-74726262.050698489</v>
      </c>
      <c r="H111" s="62">
        <f t="shared" si="77"/>
        <v>72439282.66373767</v>
      </c>
      <c r="I111" s="62">
        <f t="shared" si="77"/>
        <v>124239122.48579699</v>
      </c>
      <c r="J111" s="62">
        <f t="shared" si="77"/>
        <v>319772179.85740614</v>
      </c>
      <c r="K111" s="62">
        <f t="shared" si="77"/>
        <v>461362247.73173392</v>
      </c>
      <c r="L111" s="62">
        <f t="shared" si="77"/>
        <v>617592759.32356274</v>
      </c>
      <c r="M111" s="62">
        <f t="shared" si="77"/>
        <v>818256620.53880894</v>
      </c>
      <c r="N111" s="62">
        <f t="shared" si="77"/>
        <v>1064157222.2358049</v>
      </c>
      <c r="O111" s="62">
        <f t="shared" si="77"/>
        <v>1360396256.2675574</v>
      </c>
    </row>
    <row r="112" spans="1:15">
      <c r="B112" s="4" t="s">
        <v>105</v>
      </c>
      <c r="D112" s="36">
        <v>0</v>
      </c>
      <c r="E112" s="62">
        <f t="shared" ref="E112:O112" si="78">+D112+E93</f>
        <v>60000000</v>
      </c>
      <c r="F112" s="62">
        <f>+E112+F93</f>
        <v>60000000</v>
      </c>
      <c r="G112" s="62">
        <f t="shared" si="78"/>
        <v>60000000</v>
      </c>
      <c r="H112" s="62">
        <f t="shared" si="78"/>
        <v>60000000</v>
      </c>
      <c r="I112" s="62">
        <f t="shared" si="78"/>
        <v>60000000</v>
      </c>
      <c r="J112" s="62">
        <f t="shared" si="78"/>
        <v>60000000</v>
      </c>
      <c r="K112" s="62">
        <f t="shared" si="78"/>
        <v>60000000</v>
      </c>
      <c r="L112" s="62">
        <f t="shared" si="78"/>
        <v>60000000</v>
      </c>
      <c r="M112" s="62">
        <f t="shared" si="78"/>
        <v>60000000</v>
      </c>
      <c r="N112" s="62">
        <f t="shared" si="78"/>
        <v>60000000</v>
      </c>
      <c r="O112" s="62">
        <f t="shared" si="78"/>
        <v>60000000</v>
      </c>
    </row>
    <row r="113" spans="1:15" s="15" customFormat="1">
      <c r="A113" s="52"/>
      <c r="B113" s="10" t="s">
        <v>106</v>
      </c>
      <c r="C113" s="11"/>
      <c r="D113" s="11" t="s">
        <v>191</v>
      </c>
      <c r="E113" s="34">
        <f>+E110+E111+E112</f>
        <v>60000000</v>
      </c>
      <c r="F113" s="34">
        <f t="shared" ref="F113:O113" si="79">+F110+F111+F112</f>
        <v>-12980861.747302294</v>
      </c>
      <c r="G113" s="34">
        <f t="shared" si="79"/>
        <v>105469120.99279097</v>
      </c>
      <c r="H113" s="34">
        <f t="shared" si="79"/>
        <v>219553685.86115706</v>
      </c>
      <c r="I113" s="34">
        <f t="shared" si="79"/>
        <v>361575271.49103034</v>
      </c>
      <c r="J113" s="34">
        <f t="shared" si="79"/>
        <v>583954232.56462955</v>
      </c>
      <c r="K113" s="34">
        <f t="shared" si="79"/>
        <v>785912562.22059608</v>
      </c>
      <c r="L113" s="34">
        <f t="shared" si="79"/>
        <v>1005818611.8158997</v>
      </c>
      <c r="M113" s="34">
        <f t="shared" si="79"/>
        <v>1273484856.6754217</v>
      </c>
      <c r="N113" s="34">
        <f t="shared" si="79"/>
        <v>1594199760.6133404</v>
      </c>
      <c r="O113" s="34">
        <f t="shared" si="79"/>
        <v>1974507067.8246417</v>
      </c>
    </row>
    <row r="114" spans="1:15">
      <c r="B114" s="4" t="s">
        <v>107</v>
      </c>
      <c r="E114" s="50">
        <f>+E106-E109-E113</f>
        <v>0</v>
      </c>
      <c r="F114" s="50">
        <f>+F106-F109-F113</f>
        <v>0</v>
      </c>
      <c r="G114" s="50">
        <f t="shared" ref="G114:O114" si="80">+G106-G109-G113</f>
        <v>0</v>
      </c>
      <c r="H114" s="50">
        <f t="shared" si="80"/>
        <v>0</v>
      </c>
      <c r="I114" s="50">
        <f t="shared" si="80"/>
        <v>0</v>
      </c>
      <c r="J114" s="50">
        <f t="shared" si="80"/>
        <v>0</v>
      </c>
      <c r="K114" s="50">
        <f t="shared" si="80"/>
        <v>0</v>
      </c>
      <c r="L114" s="50">
        <f t="shared" si="80"/>
        <v>0</v>
      </c>
      <c r="M114" s="50">
        <f t="shared" si="80"/>
        <v>0</v>
      </c>
      <c r="N114" s="50">
        <f t="shared" si="80"/>
        <v>0</v>
      </c>
      <c r="O114" s="50">
        <f t="shared" si="80"/>
        <v>0</v>
      </c>
    </row>
    <row r="116" spans="1:15" s="78" customFormat="1">
      <c r="A116" s="80"/>
      <c r="B116" s="110" t="s">
        <v>108</v>
      </c>
      <c r="C116" s="79"/>
      <c r="D116" s="79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1:15" s="112" customFormat="1">
      <c r="A117" s="111" t="s">
        <v>62</v>
      </c>
      <c r="B117" s="112" t="s">
        <v>72</v>
      </c>
      <c r="C117" s="113" t="s">
        <v>73</v>
      </c>
      <c r="D117" s="113" t="s">
        <v>191</v>
      </c>
      <c r="E117" s="114">
        <f t="shared" ref="E117:O117" si="81">+E71</f>
        <v>0</v>
      </c>
      <c r="F117" s="114">
        <f t="shared" si="81"/>
        <v>-48594033.099999964</v>
      </c>
      <c r="G117" s="114">
        <f t="shared" si="81"/>
        <v>250067706.07749951</v>
      </c>
      <c r="H117" s="114">
        <f t="shared" si="81"/>
        <v>247029037.85022655</v>
      </c>
      <c r="I117" s="114">
        <f t="shared" si="81"/>
        <v>399103616.50985336</v>
      </c>
      <c r="J117" s="114">
        <f t="shared" si="81"/>
        <v>451575493.4549408</v>
      </c>
      <c r="K117" s="114">
        <f t="shared" si="81"/>
        <v>554512727.00721002</v>
      </c>
      <c r="L117" s="114">
        <f t="shared" si="81"/>
        <v>660651252.31979823</v>
      </c>
      <c r="M117" s="114">
        <f t="shared" si="81"/>
        <v>778864755.24839127</v>
      </c>
      <c r="N117" s="114">
        <f t="shared" si="81"/>
        <v>910567513.59460258</v>
      </c>
      <c r="O117" s="114">
        <f t="shared" si="81"/>
        <v>1058121042.7610016</v>
      </c>
    </row>
    <row r="118" spans="1:15" s="78" customFormat="1">
      <c r="A118" s="80" t="s">
        <v>60</v>
      </c>
      <c r="B118" s="78" t="s">
        <v>109</v>
      </c>
      <c r="C118" s="79" t="s">
        <v>110</v>
      </c>
      <c r="D118" s="79" t="s">
        <v>191</v>
      </c>
      <c r="E118" s="89">
        <f>+IF(E117&lt;0,0,E117*$E$4)</f>
        <v>0</v>
      </c>
      <c r="F118" s="89">
        <f t="shared" ref="F118:O118" si="82">+IF(F117&lt;0,0,F117*$E$4)</f>
        <v>0</v>
      </c>
      <c r="G118" s="89">
        <f t="shared" si="82"/>
        <v>87523697.127124816</v>
      </c>
      <c r="H118" s="89">
        <f t="shared" si="82"/>
        <v>86460163.247579291</v>
      </c>
      <c r="I118" s="89">
        <f t="shared" si="82"/>
        <v>139686265.77844867</v>
      </c>
      <c r="J118" s="89">
        <f t="shared" si="82"/>
        <v>158051422.70922926</v>
      </c>
      <c r="K118" s="89">
        <f t="shared" si="82"/>
        <v>194079454.4525235</v>
      </c>
      <c r="L118" s="89">
        <f t="shared" si="82"/>
        <v>231227938.31192937</v>
      </c>
      <c r="M118" s="89">
        <f t="shared" si="82"/>
        <v>272602664.33693695</v>
      </c>
      <c r="N118" s="89">
        <f t="shared" si="82"/>
        <v>318698629.75811088</v>
      </c>
      <c r="O118" s="89">
        <f t="shared" si="82"/>
        <v>370342364.96635056</v>
      </c>
    </row>
    <row r="119" spans="1:15" s="81" customFormat="1">
      <c r="A119" s="83" t="s">
        <v>62</v>
      </c>
      <c r="B119" s="81" t="s">
        <v>111</v>
      </c>
      <c r="C119" s="82" t="s">
        <v>112</v>
      </c>
      <c r="D119" s="79" t="s">
        <v>191</v>
      </c>
      <c r="E119" s="90">
        <f>+E117-E118</f>
        <v>0</v>
      </c>
      <c r="F119" s="90">
        <f t="shared" ref="F119:O119" si="83">+F117-F118</f>
        <v>-48594033.099999964</v>
      </c>
      <c r="G119" s="90">
        <f t="shared" si="83"/>
        <v>162544008.95037469</v>
      </c>
      <c r="H119" s="90">
        <f t="shared" si="83"/>
        <v>160568874.60264724</v>
      </c>
      <c r="I119" s="90">
        <f t="shared" si="83"/>
        <v>259417350.73140469</v>
      </c>
      <c r="J119" s="90">
        <f t="shared" si="83"/>
        <v>293524070.74571157</v>
      </c>
      <c r="K119" s="90">
        <f t="shared" si="83"/>
        <v>360433272.55468655</v>
      </c>
      <c r="L119" s="90">
        <f t="shared" si="83"/>
        <v>429423314.00786889</v>
      </c>
      <c r="M119" s="90">
        <f t="shared" si="83"/>
        <v>506262090.91145432</v>
      </c>
      <c r="N119" s="90">
        <f t="shared" si="83"/>
        <v>591868883.8364917</v>
      </c>
      <c r="O119" s="90">
        <f t="shared" si="83"/>
        <v>687778677.79465103</v>
      </c>
    </row>
    <row r="120" spans="1:15" s="81" customFormat="1">
      <c r="A120" s="80" t="s">
        <v>57</v>
      </c>
      <c r="B120" s="78" t="s">
        <v>22</v>
      </c>
      <c r="C120" s="82"/>
      <c r="D120" s="79"/>
      <c r="E120" s="90">
        <f>+E83</f>
        <v>0</v>
      </c>
      <c r="F120" s="90">
        <f>+F83</f>
        <v>5600000</v>
      </c>
      <c r="G120" s="90">
        <f t="shared" ref="G120:O120" si="84">+G83</f>
        <v>7200000</v>
      </c>
      <c r="H120" s="90">
        <f t="shared" si="84"/>
        <v>18833333.333333336</v>
      </c>
      <c r="I120" s="90">
        <f t="shared" si="84"/>
        <v>24250000</v>
      </c>
      <c r="J120" s="90">
        <f t="shared" si="84"/>
        <v>70250000</v>
      </c>
      <c r="K120" s="90">
        <f t="shared" si="84"/>
        <v>71668961.012865365</v>
      </c>
      <c r="L120" s="90">
        <f t="shared" si="84"/>
        <v>71625845.036181241</v>
      </c>
      <c r="M120" s="90">
        <f t="shared" si="84"/>
        <v>72534058.186563417</v>
      </c>
      <c r="N120" s="90">
        <f t="shared" si="84"/>
        <v>74408309.655162752</v>
      </c>
      <c r="O120" s="90">
        <f t="shared" si="84"/>
        <v>76464738.366509914</v>
      </c>
    </row>
    <row r="121" spans="1:15" s="78" customFormat="1">
      <c r="A121" s="80" t="s">
        <v>60</v>
      </c>
      <c r="B121" s="78" t="s">
        <v>113</v>
      </c>
      <c r="C121" s="79"/>
      <c r="D121" s="79" t="s">
        <v>191</v>
      </c>
      <c r="E121" s="89">
        <f t="shared" ref="E121:O121" si="85">+E28</f>
        <v>28000000</v>
      </c>
      <c r="F121" s="89">
        <f t="shared" si="85"/>
        <v>0</v>
      </c>
      <c r="G121" s="89">
        <f t="shared" si="85"/>
        <v>12000000</v>
      </c>
      <c r="H121" s="89">
        <f t="shared" si="85"/>
        <v>130000000</v>
      </c>
      <c r="I121" s="89">
        <f t="shared" si="85"/>
        <v>0</v>
      </c>
      <c r="J121" s="89">
        <f t="shared" si="85"/>
        <v>230000000</v>
      </c>
      <c r="K121" s="89">
        <f t="shared" si="85"/>
        <v>7094805.0643268125</v>
      </c>
      <c r="L121" s="89">
        <f t="shared" si="85"/>
        <v>7784420.116579378</v>
      </c>
      <c r="M121" s="89">
        <f t="shared" si="85"/>
        <v>8541065.7519108932</v>
      </c>
      <c r="N121" s="89">
        <f t="shared" si="85"/>
        <v>9371257.3429966327</v>
      </c>
      <c r="O121" s="89">
        <f t="shared" si="85"/>
        <v>10282143.556735903</v>
      </c>
    </row>
    <row r="122" spans="1:15" s="78" customFormat="1">
      <c r="A122" s="80" t="s">
        <v>60</v>
      </c>
      <c r="B122" s="78" t="s">
        <v>114</v>
      </c>
      <c r="C122" s="79"/>
      <c r="D122" s="79" t="s">
        <v>191</v>
      </c>
      <c r="E122" s="89">
        <f>+E84-E86</f>
        <v>0</v>
      </c>
      <c r="F122" s="89">
        <f>+F84-F86</f>
        <v>17409458.333333328</v>
      </c>
      <c r="G122" s="89">
        <f t="shared" ref="G122:O122" si="86">+G84-G86</f>
        <v>56241477.456666678</v>
      </c>
      <c r="H122" s="89">
        <f t="shared" si="86"/>
        <v>39546817.477559969</v>
      </c>
      <c r="I122" s="89">
        <f t="shared" si="86"/>
        <v>53808475.082336068</v>
      </c>
      <c r="J122" s="89">
        <f t="shared" si="86"/>
        <v>70727137.706180871</v>
      </c>
      <c r="K122" s="89">
        <f t="shared" si="86"/>
        <v>81209717.844755977</v>
      </c>
      <c r="L122" s="89">
        <f t="shared" si="86"/>
        <v>31001267.755160928</v>
      </c>
      <c r="M122" s="89">
        <f t="shared" si="86"/>
        <v>34014590.980962634</v>
      </c>
      <c r="N122" s="89">
        <f t="shared" si="86"/>
        <v>37320809.224312186</v>
      </c>
      <c r="O122" s="89">
        <f t="shared" si="86"/>
        <v>40948391.880915165</v>
      </c>
    </row>
    <row r="123" spans="1:15" s="81" customFormat="1">
      <c r="A123" s="91" t="s">
        <v>62</v>
      </c>
      <c r="B123" s="92" t="s">
        <v>115</v>
      </c>
      <c r="C123" s="93"/>
      <c r="D123" s="93"/>
      <c r="E123" s="94">
        <f>+E119+E120-E121-E122</f>
        <v>-28000000</v>
      </c>
      <c r="F123" s="94">
        <f t="shared" ref="F123:O123" si="87">+F119+F120-F121-F122</f>
        <v>-60403491.433333293</v>
      </c>
      <c r="G123" s="94">
        <f t="shared" si="87"/>
        <v>101502531.49370801</v>
      </c>
      <c r="H123" s="94">
        <f t="shared" si="87"/>
        <v>9855390.4584206194</v>
      </c>
      <c r="I123" s="94">
        <f t="shared" si="87"/>
        <v>229858875.64906859</v>
      </c>
      <c r="J123" s="94">
        <f t="shared" si="87"/>
        <v>63046933.039530694</v>
      </c>
      <c r="K123" s="94">
        <f t="shared" si="87"/>
        <v>343797710.65846908</v>
      </c>
      <c r="L123" s="94">
        <f t="shared" si="87"/>
        <v>462263471.17230982</v>
      </c>
      <c r="M123" s="94">
        <f t="shared" si="87"/>
        <v>536240492.36514413</v>
      </c>
      <c r="N123" s="94">
        <f t="shared" si="87"/>
        <v>619585126.92434561</v>
      </c>
      <c r="O123" s="94">
        <f t="shared" si="87"/>
        <v>713012880.72350991</v>
      </c>
    </row>
    <row r="124" spans="1:15" s="78" customFormat="1">
      <c r="A124" s="80"/>
      <c r="B124" s="78" t="s">
        <v>116</v>
      </c>
      <c r="C124" s="79"/>
      <c r="D124" s="7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216">
        <f>+(O123*(1+D129))/(D128-D129)</f>
        <v>7415333959.5245028</v>
      </c>
    </row>
    <row r="125" spans="1:15" s="81" customFormat="1">
      <c r="A125" s="91" t="s">
        <v>62</v>
      </c>
      <c r="B125" s="92" t="s">
        <v>115</v>
      </c>
      <c r="C125" s="93"/>
      <c r="D125" s="93"/>
      <c r="E125" s="94">
        <f>+E123+E124</f>
        <v>-28000000</v>
      </c>
      <c r="F125" s="94">
        <f t="shared" ref="F125:O125" si="88">+F123+F124</f>
        <v>-60403491.433333293</v>
      </c>
      <c r="G125" s="94">
        <f t="shared" si="88"/>
        <v>101502531.49370801</v>
      </c>
      <c r="H125" s="94">
        <f t="shared" si="88"/>
        <v>9855390.4584206194</v>
      </c>
      <c r="I125" s="94">
        <f t="shared" si="88"/>
        <v>229858875.64906859</v>
      </c>
      <c r="J125" s="94">
        <f t="shared" si="88"/>
        <v>63046933.039530694</v>
      </c>
      <c r="K125" s="94">
        <f t="shared" si="88"/>
        <v>343797710.65846908</v>
      </c>
      <c r="L125" s="94">
        <f t="shared" si="88"/>
        <v>462263471.17230982</v>
      </c>
      <c r="M125" s="94">
        <f t="shared" si="88"/>
        <v>536240492.36514413</v>
      </c>
      <c r="N125" s="94">
        <f t="shared" si="88"/>
        <v>619585126.92434561</v>
      </c>
      <c r="O125" s="94">
        <f t="shared" si="88"/>
        <v>8128346840.2480125</v>
      </c>
    </row>
    <row r="126" spans="1:15" s="81" customFormat="1">
      <c r="A126" s="83"/>
      <c r="B126" s="81" t="s">
        <v>117</v>
      </c>
      <c r="C126" s="82"/>
      <c r="D126" s="82"/>
      <c r="E126" s="96">
        <f>+IRR(E125:O125)</f>
        <v>1.0420529812045176</v>
      </c>
      <c r="F126" s="169" t="s">
        <v>185</v>
      </c>
      <c r="G126" s="90" t="s">
        <v>186</v>
      </c>
      <c r="H126" s="90"/>
      <c r="I126" s="90"/>
      <c r="J126" s="90"/>
      <c r="K126" s="90"/>
      <c r="L126" s="90"/>
      <c r="M126" s="90"/>
      <c r="N126" s="90"/>
      <c r="O126" s="90"/>
    </row>
    <row r="127" spans="1:15" s="78" customFormat="1">
      <c r="A127" s="80"/>
      <c r="C127" s="79"/>
      <c r="D127" s="79"/>
      <c r="E127" s="80" t="s">
        <v>187</v>
      </c>
      <c r="F127" s="171" t="s">
        <v>188</v>
      </c>
      <c r="G127" s="80"/>
      <c r="H127" s="80"/>
      <c r="I127" s="80"/>
      <c r="J127" s="80"/>
      <c r="K127" s="80"/>
      <c r="L127" s="80"/>
      <c r="M127" s="80"/>
      <c r="N127" s="80"/>
      <c r="O127" s="80"/>
    </row>
    <row r="128" spans="1:15" s="78" customFormat="1">
      <c r="A128" s="80"/>
      <c r="B128" s="78" t="s">
        <v>118</v>
      </c>
      <c r="C128" s="79"/>
      <c r="D128" s="97">
        <v>0.14000000000000001</v>
      </c>
      <c r="E128" s="170">
        <f>+((E45*(1-E4)))</f>
        <v>9.2947435424829819E-2</v>
      </c>
      <c r="F128" s="170">
        <f>+(D128-(E128*0.5))/0.5</f>
        <v>0.18705256457517022</v>
      </c>
      <c r="G128" s="170">
        <f>+(E128*0.5)+(F128*0.5)</f>
        <v>0.14000000000000001</v>
      </c>
      <c r="H128" s="172">
        <f>+D128-G128</f>
        <v>0</v>
      </c>
      <c r="I128" s="80"/>
      <c r="J128" s="80"/>
      <c r="K128" s="80"/>
      <c r="L128" s="80"/>
      <c r="M128" s="80"/>
      <c r="N128" s="80"/>
      <c r="O128" s="80"/>
    </row>
    <row r="129" spans="1:15" s="78" customFormat="1">
      <c r="A129" s="80"/>
      <c r="B129" s="78" t="s">
        <v>119</v>
      </c>
      <c r="C129" s="79"/>
      <c r="D129" s="97">
        <v>0.04</v>
      </c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</row>
    <row r="130" spans="1:15" s="78" customFormat="1">
      <c r="A130" s="80"/>
      <c r="C130" s="79"/>
      <c r="D130" s="79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</row>
    <row r="131" spans="1:15" s="78" customFormat="1">
      <c r="B131" s="78" t="s">
        <v>120</v>
      </c>
      <c r="C131" s="79"/>
      <c r="D131" s="79" t="s">
        <v>191</v>
      </c>
      <c r="E131" s="98">
        <f>+NPV(D128,F125:O125)+E125</f>
        <v>3085058897.1170654</v>
      </c>
      <c r="F131" s="80" t="s">
        <v>185</v>
      </c>
      <c r="G131" s="80">
        <v>0</v>
      </c>
      <c r="H131" s="80"/>
      <c r="I131" s="80"/>
      <c r="J131" s="80"/>
      <c r="K131" s="80"/>
      <c r="L131" s="80"/>
      <c r="M131" s="80"/>
      <c r="N131" s="80"/>
      <c r="O131" s="80"/>
    </row>
    <row r="133" spans="1:15">
      <c r="A133" s="80"/>
      <c r="B133" s="51" t="s">
        <v>92</v>
      </c>
    </row>
    <row r="134" spans="1:15">
      <c r="A134" s="6" t="s">
        <v>60</v>
      </c>
      <c r="B134" s="4" t="s">
        <v>91</v>
      </c>
      <c r="D134" s="5" t="s">
        <v>191</v>
      </c>
      <c r="E134" s="33">
        <f>E93</f>
        <v>60000000</v>
      </c>
      <c r="F134" s="27"/>
      <c r="G134" s="27"/>
      <c r="H134" s="27"/>
      <c r="I134" s="27"/>
      <c r="J134" s="27"/>
      <c r="K134" s="27"/>
      <c r="L134" s="27"/>
    </row>
    <row r="135" spans="1:15">
      <c r="A135" s="6" t="s">
        <v>57</v>
      </c>
      <c r="B135" s="4" t="s">
        <v>92</v>
      </c>
      <c r="D135" s="5" t="s">
        <v>191</v>
      </c>
      <c r="E135" s="33">
        <f>+E94</f>
        <v>0</v>
      </c>
      <c r="F135" s="33">
        <f t="shared" ref="F135:O135" si="89">+F94</f>
        <v>0</v>
      </c>
      <c r="G135" s="33">
        <f t="shared" si="89"/>
        <v>1745400.3033961907</v>
      </c>
      <c r="H135" s="33">
        <f t="shared" si="89"/>
        <v>-26970161.670946706</v>
      </c>
      <c r="I135" s="33">
        <f t="shared" si="89"/>
        <v>35314563.375360079</v>
      </c>
      <c r="J135" s="33">
        <f t="shared" si="89"/>
        <v>-18196908.366375834</v>
      </c>
      <c r="K135" s="33">
        <f t="shared" si="89"/>
        <v>62591984.832895622</v>
      </c>
      <c r="L135" s="33">
        <f t="shared" si="89"/>
        <v>108319802.89703338</v>
      </c>
      <c r="M135" s="33">
        <f t="shared" si="89"/>
        <v>127561991.27709079</v>
      </c>
      <c r="N135" s="33">
        <f t="shared" si="89"/>
        <v>149327634.4396168</v>
      </c>
      <c r="O135" s="33">
        <f t="shared" si="89"/>
        <v>173803504.34578297</v>
      </c>
    </row>
    <row r="136" spans="1:15" s="15" customFormat="1">
      <c r="A136" s="52" t="s">
        <v>62</v>
      </c>
      <c r="B136" s="15" t="s">
        <v>124</v>
      </c>
      <c r="C136" s="20"/>
      <c r="D136" s="20" t="s">
        <v>191</v>
      </c>
      <c r="E136" s="46">
        <f>-E134+E135</f>
        <v>-60000000</v>
      </c>
      <c r="F136" s="46">
        <f t="shared" ref="F136:O136" si="90">-F134+F135</f>
        <v>0</v>
      </c>
      <c r="G136" s="46">
        <f>-G134+G135</f>
        <v>1745400.3033961907</v>
      </c>
      <c r="H136" s="46">
        <f t="shared" si="90"/>
        <v>-26970161.670946706</v>
      </c>
      <c r="I136" s="46">
        <f t="shared" si="90"/>
        <v>35314563.375360079</v>
      </c>
      <c r="J136" s="46">
        <f t="shared" si="90"/>
        <v>-18196908.366375834</v>
      </c>
      <c r="K136" s="46">
        <f t="shared" si="90"/>
        <v>62591984.832895622</v>
      </c>
      <c r="L136" s="46">
        <f t="shared" si="90"/>
        <v>108319802.89703338</v>
      </c>
      <c r="M136" s="46">
        <f t="shared" si="90"/>
        <v>127561991.27709079</v>
      </c>
      <c r="N136" s="46">
        <f t="shared" si="90"/>
        <v>149327634.4396168</v>
      </c>
      <c r="O136" s="46">
        <f t="shared" si="90"/>
        <v>173803504.34578297</v>
      </c>
    </row>
    <row r="137" spans="1:15">
      <c r="A137" s="6" t="s">
        <v>57</v>
      </c>
      <c r="B137" s="4" t="s">
        <v>116</v>
      </c>
      <c r="D137" s="5" t="s">
        <v>191</v>
      </c>
      <c r="O137" s="33">
        <f>+O136*(1+D142)/(D141-D142)</f>
        <v>1902690994.9433081</v>
      </c>
    </row>
    <row r="138" spans="1:15" s="15" customFormat="1">
      <c r="A138" s="52" t="s">
        <v>62</v>
      </c>
      <c r="B138" s="15" t="s">
        <v>124</v>
      </c>
      <c r="C138" s="20"/>
      <c r="D138" s="20" t="s">
        <v>191</v>
      </c>
      <c r="E138" s="46">
        <f t="shared" ref="E138:N138" si="91">+E136+E137</f>
        <v>-60000000</v>
      </c>
      <c r="F138" s="46">
        <f t="shared" si="91"/>
        <v>0</v>
      </c>
      <c r="G138" s="46">
        <f t="shared" si="91"/>
        <v>1745400.3033961907</v>
      </c>
      <c r="H138" s="46">
        <f t="shared" si="91"/>
        <v>-26970161.670946706</v>
      </c>
      <c r="I138" s="46">
        <f t="shared" si="91"/>
        <v>35314563.375360079</v>
      </c>
      <c r="J138" s="46">
        <f t="shared" si="91"/>
        <v>-18196908.366375834</v>
      </c>
      <c r="K138" s="46">
        <f t="shared" si="91"/>
        <v>62591984.832895622</v>
      </c>
      <c r="L138" s="46">
        <f t="shared" si="91"/>
        <v>108319802.89703338</v>
      </c>
      <c r="M138" s="46">
        <f t="shared" si="91"/>
        <v>127561991.27709079</v>
      </c>
      <c r="N138" s="46">
        <f t="shared" si="91"/>
        <v>149327634.4396168</v>
      </c>
      <c r="O138" s="46">
        <f>+O136+O137</f>
        <v>2076494499.2890911</v>
      </c>
    </row>
    <row r="139" spans="1:15" s="15" customFormat="1">
      <c r="A139" s="52"/>
      <c r="B139" s="81" t="s">
        <v>117</v>
      </c>
      <c r="C139" s="82"/>
      <c r="D139" s="82"/>
      <c r="E139" s="96">
        <f>+IRR(E138:O138)</f>
        <v>0.48340249637864563</v>
      </c>
      <c r="F139" s="46"/>
      <c r="G139" s="46"/>
      <c r="H139" s="46"/>
      <c r="I139" s="46"/>
      <c r="J139" s="46"/>
      <c r="K139" s="46"/>
      <c r="L139" s="46"/>
      <c r="M139" s="46"/>
      <c r="N139" s="46"/>
      <c r="O139" s="46"/>
    </row>
    <row r="141" spans="1:15">
      <c r="B141" s="78" t="s">
        <v>118</v>
      </c>
      <c r="C141" s="79"/>
      <c r="D141" s="97">
        <v>0.13500000000000001</v>
      </c>
    </row>
    <row r="142" spans="1:15">
      <c r="B142" s="78" t="s">
        <v>119</v>
      </c>
      <c r="C142" s="79"/>
      <c r="D142" s="97">
        <v>0.04</v>
      </c>
    </row>
    <row r="144" spans="1:15">
      <c r="B144" s="51" t="s">
        <v>125</v>
      </c>
    </row>
    <row r="145" spans="1:15">
      <c r="A145" s="6" t="s">
        <v>57</v>
      </c>
      <c r="B145" s="4" t="s">
        <v>126</v>
      </c>
      <c r="D145" s="5" t="s">
        <v>191</v>
      </c>
      <c r="E145" s="89">
        <f t="shared" ref="E145:O145" si="92">+E71*(1-E4)</f>
        <v>0</v>
      </c>
      <c r="F145" s="89">
        <f t="shared" si="92"/>
        <v>-31586121.514999978</v>
      </c>
      <c r="G145" s="89">
        <f t="shared" si="92"/>
        <v>162544008.95037469</v>
      </c>
      <c r="H145" s="89">
        <f t="shared" si="92"/>
        <v>160568874.60264727</v>
      </c>
      <c r="I145" s="89">
        <f t="shared" si="92"/>
        <v>259417350.73140469</v>
      </c>
      <c r="J145" s="89">
        <f t="shared" si="92"/>
        <v>293524070.74571151</v>
      </c>
      <c r="K145" s="89">
        <f t="shared" si="92"/>
        <v>360433272.55468655</v>
      </c>
      <c r="L145" s="89">
        <f t="shared" si="92"/>
        <v>429423314.00786889</v>
      </c>
      <c r="M145" s="89">
        <f t="shared" si="92"/>
        <v>506262090.91145432</v>
      </c>
      <c r="N145" s="89">
        <f t="shared" si="92"/>
        <v>591868883.8364917</v>
      </c>
      <c r="O145" s="89">
        <f t="shared" si="92"/>
        <v>687778677.79465103</v>
      </c>
    </row>
    <row r="146" spans="1:15">
      <c r="A146" s="6" t="s">
        <v>60</v>
      </c>
      <c r="B146" s="4" t="s">
        <v>127</v>
      </c>
      <c r="D146" s="5" t="s">
        <v>191</v>
      </c>
      <c r="E146" s="89">
        <f t="shared" ref="E146:O146" si="93">+E28-E83</f>
        <v>28000000</v>
      </c>
      <c r="F146" s="89">
        <f t="shared" si="93"/>
        <v>-5600000</v>
      </c>
      <c r="G146" s="89">
        <f t="shared" si="93"/>
        <v>4800000</v>
      </c>
      <c r="H146" s="89">
        <f t="shared" si="93"/>
        <v>111166666.66666666</v>
      </c>
      <c r="I146" s="89">
        <f t="shared" si="93"/>
        <v>-24250000</v>
      </c>
      <c r="J146" s="89">
        <f t="shared" si="93"/>
        <v>159750000</v>
      </c>
      <c r="K146" s="89">
        <f t="shared" si="93"/>
        <v>-64574155.948538549</v>
      </c>
      <c r="L146" s="89">
        <f t="shared" si="93"/>
        <v>-63841424.919601865</v>
      </c>
      <c r="M146" s="89">
        <f t="shared" si="93"/>
        <v>-63992992.434652522</v>
      </c>
      <c r="N146" s="89">
        <f t="shared" si="93"/>
        <v>-65037052.312166117</v>
      </c>
      <c r="O146" s="89">
        <f t="shared" si="93"/>
        <v>-66182594.809774011</v>
      </c>
    </row>
    <row r="147" spans="1:15">
      <c r="A147" s="6" t="s">
        <v>60</v>
      </c>
      <c r="B147" s="4" t="s">
        <v>128</v>
      </c>
      <c r="D147" s="5" t="s">
        <v>191</v>
      </c>
      <c r="E147" s="89">
        <f>+E85</f>
        <v>0</v>
      </c>
      <c r="F147" s="89">
        <f t="shared" ref="F147:O147" si="94">+F85</f>
        <v>17409458.333333332</v>
      </c>
      <c r="G147" s="89">
        <f t="shared" si="94"/>
        <v>56241477.456666678</v>
      </c>
      <c r="H147" s="89">
        <f t="shared" si="94"/>
        <v>39546817.477559969</v>
      </c>
      <c r="I147" s="89">
        <f t="shared" si="94"/>
        <v>53808475.082336068</v>
      </c>
      <c r="J147" s="89">
        <f t="shared" si="94"/>
        <v>70727137.706180871</v>
      </c>
      <c r="K147" s="89">
        <f t="shared" si="94"/>
        <v>81209717.844755977</v>
      </c>
      <c r="L147" s="89">
        <f t="shared" si="94"/>
        <v>31001267.755160928</v>
      </c>
      <c r="M147" s="89">
        <f t="shared" si="94"/>
        <v>34014590.980962634</v>
      </c>
      <c r="N147" s="89">
        <f t="shared" si="94"/>
        <v>37320809.224312186</v>
      </c>
      <c r="O147" s="89">
        <f t="shared" si="94"/>
        <v>40948391.880915225</v>
      </c>
    </row>
    <row r="148" spans="1:15" s="15" customFormat="1">
      <c r="A148" s="52" t="s">
        <v>62</v>
      </c>
      <c r="B148" s="15" t="s">
        <v>129</v>
      </c>
      <c r="C148" s="20"/>
      <c r="D148" s="20" t="s">
        <v>191</v>
      </c>
      <c r="E148" s="46">
        <f>+E145-E146-E147</f>
        <v>-28000000</v>
      </c>
      <c r="F148" s="46">
        <f t="shared" ref="F148:O148" si="95">+F145-F146-F147</f>
        <v>-43395579.848333314</v>
      </c>
      <c r="G148" s="46">
        <f t="shared" si="95"/>
        <v>101502531.49370801</v>
      </c>
      <c r="H148" s="46">
        <f t="shared" si="95"/>
        <v>9855390.4584206492</v>
      </c>
      <c r="I148" s="46">
        <f t="shared" si="95"/>
        <v>229858875.64906859</v>
      </c>
      <c r="J148" s="46">
        <f t="shared" si="95"/>
        <v>63046933.039530635</v>
      </c>
      <c r="K148" s="46">
        <f t="shared" si="95"/>
        <v>343797710.65846908</v>
      </c>
      <c r="L148" s="46">
        <f t="shared" si="95"/>
        <v>462263471.17230982</v>
      </c>
      <c r="M148" s="46">
        <f t="shared" si="95"/>
        <v>536240492.36514425</v>
      </c>
      <c r="N148" s="46">
        <f t="shared" si="95"/>
        <v>619585126.92434561</v>
      </c>
      <c r="O148" s="46">
        <f t="shared" si="95"/>
        <v>713012880.72350979</v>
      </c>
    </row>
    <row r="151" spans="1:15">
      <c r="D151" s="5" t="s">
        <v>189</v>
      </c>
      <c r="E151" s="7">
        <f>+IRR(E148:O148)</f>
        <v>1.0725278917704339</v>
      </c>
      <c r="F151" s="173">
        <f>+E126-E151</f>
        <v>-3.0474910565916336E-2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BE7C-33CA-4D5C-BCE7-C1450810BAC0}">
  <sheetPr codeName="Hoja8"/>
  <dimension ref="A1:AX130"/>
  <sheetViews>
    <sheetView zoomScale="70" zoomScaleNormal="70" workbookViewId="0">
      <pane xSplit="2" ySplit="6" topLeftCell="G7" activePane="bottomRight" state="frozen"/>
      <selection activeCell="K15" sqref="K15"/>
      <selection pane="topRight" activeCell="K15" sqref="K15"/>
      <selection pane="bottomLeft" activeCell="K15" sqref="K15"/>
      <selection pane="bottomRight" activeCell="Q11" sqref="Q11"/>
    </sheetView>
  </sheetViews>
  <sheetFormatPr baseColWidth="10" defaultRowHeight="15.75"/>
  <cols>
    <col min="1" max="1" width="12.42578125" style="177" bestFit="1" customWidth="1"/>
    <col min="2" max="2" width="40.85546875" style="177" bestFit="1" customWidth="1"/>
    <col min="3" max="3" width="14.85546875" style="177" bestFit="1" customWidth="1"/>
    <col min="4" max="12" width="14.28515625" style="177" bestFit="1" customWidth="1"/>
    <col min="13" max="15" width="14.85546875" style="177" bestFit="1" customWidth="1"/>
    <col min="16" max="16" width="16.7109375" style="198" bestFit="1" customWidth="1"/>
    <col min="17" max="17" width="13.5703125" style="177" bestFit="1" customWidth="1"/>
    <col min="18" max="18" width="14.85546875" style="177" bestFit="1" customWidth="1"/>
    <col min="19" max="19" width="9.28515625" style="177" bestFit="1" customWidth="1"/>
    <col min="20" max="20" width="15" style="177" bestFit="1" customWidth="1"/>
    <col min="21" max="25" width="14.85546875" style="177" bestFit="1" customWidth="1"/>
    <col min="26" max="26" width="14.85546875" style="177" customWidth="1"/>
    <col min="27" max="31" width="14.85546875" style="177" bestFit="1" customWidth="1"/>
    <col min="32" max="32" width="16.7109375" style="198" bestFit="1" customWidth="1"/>
    <col min="33" max="34" width="14.85546875" style="177" bestFit="1" customWidth="1"/>
    <col min="35" max="35" width="9.28515625" style="177" bestFit="1" customWidth="1"/>
    <col min="36" max="41" width="14.85546875" style="177" bestFit="1" customWidth="1"/>
    <col min="42" max="42" width="14.85546875" style="177" customWidth="1"/>
    <col min="43" max="47" width="14.85546875" style="177" bestFit="1" customWidth="1"/>
    <col min="48" max="48" width="16.7109375" style="198" bestFit="1" customWidth="1"/>
    <col min="49" max="49" width="14.85546875" style="177" bestFit="1" customWidth="1"/>
    <col min="50" max="16384" width="11.42578125" style="177"/>
  </cols>
  <sheetData>
    <row r="1" spans="1:49">
      <c r="B1" s="177" t="s">
        <v>292</v>
      </c>
      <c r="D1" s="183">
        <v>0</v>
      </c>
      <c r="E1" s="183">
        <v>0.01</v>
      </c>
      <c r="F1" s="183">
        <v>0.04</v>
      </c>
      <c r="G1" s="183">
        <v>0.06</v>
      </c>
      <c r="H1" s="183">
        <v>0.08</v>
      </c>
      <c r="I1" s="183">
        <v>0.09</v>
      </c>
      <c r="J1" s="183">
        <v>0.12</v>
      </c>
      <c r="K1" s="183">
        <v>0.14000000000000001</v>
      </c>
      <c r="L1" s="183">
        <v>0.15</v>
      </c>
      <c r="M1" s="183">
        <v>0.15</v>
      </c>
      <c r="N1" s="183">
        <v>0.18</v>
      </c>
      <c r="O1" s="183">
        <v>0.18</v>
      </c>
      <c r="T1" s="183">
        <v>0.18</v>
      </c>
      <c r="U1" s="183">
        <v>0.18</v>
      </c>
      <c r="V1" s="183">
        <v>0.18</v>
      </c>
      <c r="W1" s="183">
        <v>0.19</v>
      </c>
      <c r="X1" s="183">
        <v>0.19</v>
      </c>
      <c r="Y1" s="183">
        <v>0.2</v>
      </c>
      <c r="Z1" s="183">
        <v>0.2</v>
      </c>
      <c r="AA1" s="183">
        <v>0.2</v>
      </c>
      <c r="AB1" s="183">
        <v>0.2</v>
      </c>
      <c r="AC1" s="183">
        <v>0.21</v>
      </c>
      <c r="AD1" s="183">
        <v>0.24</v>
      </c>
      <c r="AE1" s="183">
        <v>0.25</v>
      </c>
      <c r="AJ1" s="183">
        <v>0.25</v>
      </c>
      <c r="AK1" s="183">
        <v>0.25</v>
      </c>
      <c r="AL1" s="183">
        <v>0.25</v>
      </c>
      <c r="AM1" s="183">
        <v>0.25</v>
      </c>
      <c r="AN1" s="183">
        <v>0.28999999999999998</v>
      </c>
      <c r="AO1" s="183">
        <v>0.32</v>
      </c>
      <c r="AP1" s="183">
        <v>0.34</v>
      </c>
      <c r="AQ1" s="183">
        <v>0.35</v>
      </c>
      <c r="AR1" s="183">
        <v>0.35</v>
      </c>
      <c r="AS1" s="183">
        <v>0.36</v>
      </c>
      <c r="AT1" s="183">
        <v>0.38</v>
      </c>
      <c r="AU1" s="183">
        <v>0.39</v>
      </c>
    </row>
    <row r="2" spans="1:49">
      <c r="F2" s="178">
        <v>0.57999999999999996</v>
      </c>
      <c r="G2" s="178">
        <v>0.4</v>
      </c>
      <c r="H2" s="178">
        <v>0.28000000000000003</v>
      </c>
      <c r="I2" s="178">
        <v>0.16</v>
      </c>
      <c r="J2" s="178">
        <v>0.09</v>
      </c>
      <c r="K2" s="178">
        <v>0.06</v>
      </c>
      <c r="L2" s="178">
        <v>0.04</v>
      </c>
      <c r="M2" s="178">
        <v>0.03</v>
      </c>
      <c r="N2" s="178">
        <v>0.03</v>
      </c>
      <c r="O2" s="182">
        <v>0.02</v>
      </c>
      <c r="P2" s="199"/>
      <c r="Q2" s="182"/>
      <c r="AF2" s="199"/>
      <c r="AG2" s="182"/>
      <c r="AV2" s="199"/>
      <c r="AW2" s="182"/>
    </row>
    <row r="3" spans="1:49" s="182" customFormat="1">
      <c r="A3" s="177"/>
      <c r="B3" s="177"/>
      <c r="C3" s="177"/>
      <c r="D3" s="177">
        <f>+E3*0.82</f>
        <v>1.5907999999999998</v>
      </c>
      <c r="E3" s="178">
        <v>1.94</v>
      </c>
      <c r="F3" s="183">
        <f>+E3*(1-F$2)</f>
        <v>0.81480000000000008</v>
      </c>
      <c r="G3" s="183">
        <f t="shared" ref="G3:O5" si="0">+F3*(1-G$2)</f>
        <v>0.48888000000000004</v>
      </c>
      <c r="H3" s="183">
        <f t="shared" si="0"/>
        <v>0.35199360000000002</v>
      </c>
      <c r="I3" s="183">
        <f t="shared" si="0"/>
        <v>0.295674624</v>
      </c>
      <c r="J3" s="183">
        <f t="shared" si="0"/>
        <v>0.26906390784000001</v>
      </c>
      <c r="K3" s="183">
        <f t="shared" si="0"/>
        <v>0.25292007336959998</v>
      </c>
      <c r="L3" s="183">
        <f t="shared" si="0"/>
        <v>0.24280327043481598</v>
      </c>
      <c r="M3" s="183">
        <f t="shared" si="0"/>
        <v>0.2355191723217715</v>
      </c>
      <c r="N3" s="183">
        <f t="shared" si="0"/>
        <v>0.22845359715211835</v>
      </c>
      <c r="O3" s="183">
        <f t="shared" si="0"/>
        <v>0.22388452520907598</v>
      </c>
      <c r="P3" s="200"/>
      <c r="Q3" s="180">
        <v>901800</v>
      </c>
      <c r="R3" s="177"/>
      <c r="S3" s="177"/>
      <c r="T3" s="182">
        <v>0.2</v>
      </c>
      <c r="U3" s="189">
        <v>0.16</v>
      </c>
      <c r="V3" s="189">
        <f t="shared" ref="V3:AE5" si="1">+U3*0.8</f>
        <v>0.128</v>
      </c>
      <c r="W3" s="189">
        <f t="shared" si="1"/>
        <v>0.1024</v>
      </c>
      <c r="X3" s="189">
        <f t="shared" si="1"/>
        <v>8.1920000000000007E-2</v>
      </c>
      <c r="Y3" s="189">
        <f t="shared" si="1"/>
        <v>6.5536000000000011E-2</v>
      </c>
      <c r="Z3" s="189">
        <f t="shared" si="1"/>
        <v>5.2428800000000012E-2</v>
      </c>
      <c r="AA3" s="189">
        <f t="shared" si="1"/>
        <v>4.1943040000000015E-2</v>
      </c>
      <c r="AB3" s="189">
        <f t="shared" si="1"/>
        <v>3.3554432000000016E-2</v>
      </c>
      <c r="AC3" s="189">
        <f t="shared" si="1"/>
        <v>2.6843545600000015E-2</v>
      </c>
      <c r="AD3" s="189">
        <f t="shared" si="1"/>
        <v>2.1474836480000013E-2</v>
      </c>
      <c r="AE3" s="189">
        <f t="shared" si="1"/>
        <v>1.717986918400001E-2</v>
      </c>
      <c r="AF3" s="200"/>
      <c r="AG3" s="180">
        <f>+Q3*(1+6%)</f>
        <v>955908</v>
      </c>
      <c r="AJ3" s="182">
        <v>1.4999999999999999E-2</v>
      </c>
      <c r="AK3" s="182">
        <v>1.4999999999999999E-2</v>
      </c>
      <c r="AL3" s="189">
        <f>+AK3*0.8</f>
        <v>1.2E-2</v>
      </c>
      <c r="AM3" s="189">
        <f>+AL3*0.8</f>
        <v>9.6000000000000009E-3</v>
      </c>
      <c r="AN3" s="189">
        <f>+AM3*11</f>
        <v>0.10560000000000001</v>
      </c>
      <c r="AO3" s="189">
        <f t="shared" ref="AO3:AU5" si="2">+AN3*0.8</f>
        <v>8.4480000000000013E-2</v>
      </c>
      <c r="AP3" s="189">
        <f t="shared" si="2"/>
        <v>6.7584000000000019E-2</v>
      </c>
      <c r="AQ3" s="189">
        <f t="shared" si="2"/>
        <v>5.4067200000000017E-2</v>
      </c>
      <c r="AR3" s="189">
        <f t="shared" si="2"/>
        <v>4.3253760000000016E-2</v>
      </c>
      <c r="AS3" s="189">
        <f t="shared" si="2"/>
        <v>3.4603008000000011E-2</v>
      </c>
      <c r="AT3" s="189">
        <f t="shared" si="2"/>
        <v>2.7682406400000012E-2</v>
      </c>
      <c r="AU3" s="189">
        <f t="shared" si="2"/>
        <v>2.214592512000001E-2</v>
      </c>
      <c r="AV3" s="200"/>
      <c r="AW3" s="180">
        <f>+AG3*(1+6%)</f>
        <v>1013262.4800000001</v>
      </c>
    </row>
    <row r="4" spans="1:49" s="182" customFormat="1">
      <c r="A4" s="177"/>
      <c r="B4" s="177"/>
      <c r="C4" s="177"/>
      <c r="D4" s="177">
        <f>+E4*0.82</f>
        <v>1.1725999999999999</v>
      </c>
      <c r="E4" s="178">
        <v>1.43</v>
      </c>
      <c r="F4" s="183">
        <f t="shared" ref="F4:F5" si="3">+E4*(1-F$2)</f>
        <v>0.60060000000000002</v>
      </c>
      <c r="G4" s="183">
        <f t="shared" si="0"/>
        <v>0.36036000000000001</v>
      </c>
      <c r="H4" s="183">
        <f t="shared" si="0"/>
        <v>0.2594592</v>
      </c>
      <c r="I4" s="183">
        <f t="shared" si="0"/>
        <v>0.21794572800000001</v>
      </c>
      <c r="J4" s="183">
        <f t="shared" si="0"/>
        <v>0.19833061248</v>
      </c>
      <c r="K4" s="183">
        <f t="shared" si="0"/>
        <v>0.18643077573119998</v>
      </c>
      <c r="L4" s="183">
        <f t="shared" si="0"/>
        <v>0.17897354470195198</v>
      </c>
      <c r="M4" s="183">
        <f t="shared" si="0"/>
        <v>0.17360433836089342</v>
      </c>
      <c r="N4" s="183">
        <f t="shared" si="0"/>
        <v>0.16839620821006662</v>
      </c>
      <c r="O4" s="183">
        <f t="shared" si="0"/>
        <v>0.16502828404586528</v>
      </c>
      <c r="P4" s="200"/>
      <c r="Q4" s="180">
        <f>+Q3*2</f>
        <v>1803600</v>
      </c>
      <c r="R4" s="177"/>
      <c r="S4" s="177"/>
      <c r="T4" s="182">
        <v>0.16</v>
      </c>
      <c r="U4" s="189">
        <v>0.12</v>
      </c>
      <c r="V4" s="189">
        <f t="shared" si="1"/>
        <v>9.6000000000000002E-2</v>
      </c>
      <c r="W4" s="189">
        <f t="shared" si="1"/>
        <v>7.6800000000000007E-2</v>
      </c>
      <c r="X4" s="189">
        <f t="shared" si="1"/>
        <v>6.1440000000000008E-2</v>
      </c>
      <c r="Y4" s="189">
        <f t="shared" si="1"/>
        <v>4.9152000000000008E-2</v>
      </c>
      <c r="Z4" s="189">
        <f t="shared" si="1"/>
        <v>3.9321600000000012E-2</v>
      </c>
      <c r="AA4" s="189">
        <f t="shared" si="1"/>
        <v>3.1457280000000011E-2</v>
      </c>
      <c r="AB4" s="189">
        <f t="shared" si="1"/>
        <v>2.516582400000001E-2</v>
      </c>
      <c r="AC4" s="189">
        <f t="shared" si="1"/>
        <v>2.013265920000001E-2</v>
      </c>
      <c r="AD4" s="189">
        <f t="shared" si="1"/>
        <v>1.610612736000001E-2</v>
      </c>
      <c r="AE4" s="189">
        <f t="shared" si="1"/>
        <v>1.2884901888000009E-2</v>
      </c>
      <c r="AF4" s="200"/>
      <c r="AG4" s="180">
        <f>+AG3*2</f>
        <v>1911816</v>
      </c>
      <c r="AJ4" s="182">
        <v>1.2E-2</v>
      </c>
      <c r="AK4" s="182">
        <v>1.2E-2</v>
      </c>
      <c r="AL4" s="189">
        <f t="shared" ref="AL4:AU5" si="4">+AK4*0.8</f>
        <v>9.6000000000000009E-3</v>
      </c>
      <c r="AM4" s="189">
        <f t="shared" si="4"/>
        <v>7.6800000000000011E-3</v>
      </c>
      <c r="AN4" s="189">
        <f t="shared" ref="AN4:AN5" si="5">+AM4*11</f>
        <v>8.4480000000000013E-2</v>
      </c>
      <c r="AO4" s="189">
        <f t="shared" si="2"/>
        <v>6.7584000000000019E-2</v>
      </c>
      <c r="AP4" s="189">
        <f t="shared" si="2"/>
        <v>5.4067200000000017E-2</v>
      </c>
      <c r="AQ4" s="189">
        <f t="shared" si="4"/>
        <v>4.3253760000000016E-2</v>
      </c>
      <c r="AR4" s="189">
        <f t="shared" si="4"/>
        <v>3.4603008000000011E-2</v>
      </c>
      <c r="AS4" s="189">
        <f t="shared" si="4"/>
        <v>2.7682406400000012E-2</v>
      </c>
      <c r="AT4" s="189">
        <f t="shared" si="4"/>
        <v>2.214592512000001E-2</v>
      </c>
      <c r="AU4" s="189">
        <f t="shared" si="4"/>
        <v>1.7716740096000008E-2</v>
      </c>
      <c r="AV4" s="200"/>
      <c r="AW4" s="180">
        <f>+AW3*2</f>
        <v>2026524.9600000002</v>
      </c>
    </row>
    <row r="5" spans="1:49" s="182" customFormat="1">
      <c r="A5" s="177"/>
      <c r="B5" s="177"/>
      <c r="C5" s="177"/>
      <c r="D5" s="177">
        <f>+E5*0.82</f>
        <v>1.2709999999999999</v>
      </c>
      <c r="E5" s="178">
        <v>1.55</v>
      </c>
      <c r="F5" s="183">
        <f t="shared" si="3"/>
        <v>0.65100000000000013</v>
      </c>
      <c r="G5" s="183">
        <v>0.28999999999999998</v>
      </c>
      <c r="H5" s="183">
        <f t="shared" si="0"/>
        <v>0.20879999999999999</v>
      </c>
      <c r="I5" s="183">
        <f t="shared" si="0"/>
        <v>0.17539199999999999</v>
      </c>
      <c r="J5" s="183">
        <f t="shared" si="0"/>
        <v>0.15960672000000001</v>
      </c>
      <c r="K5" s="183">
        <f t="shared" si="0"/>
        <v>0.15003031680000001</v>
      </c>
      <c r="L5" s="183">
        <f t="shared" si="0"/>
        <v>0.14402910412799999</v>
      </c>
      <c r="M5" s="183">
        <f t="shared" si="0"/>
        <v>0.13970823100415999</v>
      </c>
      <c r="N5" s="183">
        <f t="shared" si="0"/>
        <v>0.1355169840740352</v>
      </c>
      <c r="O5" s="183">
        <f t="shared" si="0"/>
        <v>0.13280664439255449</v>
      </c>
      <c r="P5" s="200"/>
      <c r="Q5" s="183"/>
      <c r="R5" s="177"/>
      <c r="S5" s="177"/>
      <c r="T5" s="182">
        <v>0.12</v>
      </c>
      <c r="U5" s="189">
        <v>8.3984392263482074E-2</v>
      </c>
      <c r="V5" s="189">
        <f t="shared" si="1"/>
        <v>6.7187513810785665E-2</v>
      </c>
      <c r="W5" s="189">
        <f t="shared" si="1"/>
        <v>5.3750011048628532E-2</v>
      </c>
      <c r="X5" s="189">
        <f t="shared" si="1"/>
        <v>4.3000008838902828E-2</v>
      </c>
      <c r="Y5" s="189">
        <f t="shared" si="1"/>
        <v>3.4400007071122264E-2</v>
      </c>
      <c r="Z5" s="189">
        <f t="shared" si="1"/>
        <v>2.7520005656897814E-2</v>
      </c>
      <c r="AA5" s="189">
        <f t="shared" si="1"/>
        <v>2.2016004525518253E-2</v>
      </c>
      <c r="AB5" s="189">
        <f t="shared" si="1"/>
        <v>1.7612803620414601E-2</v>
      </c>
      <c r="AC5" s="189">
        <f t="shared" si="1"/>
        <v>1.4090242896331682E-2</v>
      </c>
      <c r="AD5" s="189">
        <f t="shared" si="1"/>
        <v>1.1272194317065345E-2</v>
      </c>
      <c r="AE5" s="189">
        <f t="shared" si="1"/>
        <v>9.017755453652276E-3</v>
      </c>
      <c r="AF5" s="200"/>
      <c r="AG5" s="189"/>
      <c r="AJ5" s="182">
        <v>6.0000000000000001E-3</v>
      </c>
      <c r="AK5" s="182">
        <v>6.0000000000000001E-3</v>
      </c>
      <c r="AL5" s="189">
        <f t="shared" si="4"/>
        <v>4.8000000000000004E-3</v>
      </c>
      <c r="AM5" s="189">
        <f t="shared" si="4"/>
        <v>3.8400000000000005E-3</v>
      </c>
      <c r="AN5" s="189">
        <f t="shared" si="5"/>
        <v>4.2240000000000007E-2</v>
      </c>
      <c r="AO5" s="189">
        <f t="shared" si="2"/>
        <v>3.379200000000001E-2</v>
      </c>
      <c r="AP5" s="189">
        <f t="shared" si="2"/>
        <v>2.7033600000000008E-2</v>
      </c>
      <c r="AQ5" s="189">
        <f t="shared" si="4"/>
        <v>2.1626880000000008E-2</v>
      </c>
      <c r="AR5" s="189">
        <f t="shared" si="4"/>
        <v>1.7301504000000006E-2</v>
      </c>
      <c r="AS5" s="189">
        <f t="shared" si="4"/>
        <v>1.3841203200000006E-2</v>
      </c>
      <c r="AT5" s="189">
        <f t="shared" si="4"/>
        <v>1.1072962560000005E-2</v>
      </c>
      <c r="AU5" s="189">
        <f t="shared" si="4"/>
        <v>8.8583700480000041E-3</v>
      </c>
      <c r="AV5" s="200"/>
      <c r="AW5" s="189"/>
    </row>
    <row r="6" spans="1:49" s="179" customFormat="1">
      <c r="A6" s="179" t="s">
        <v>213</v>
      </c>
      <c r="B6" s="195">
        <v>0.46</v>
      </c>
      <c r="C6" s="195"/>
      <c r="D6" s="179" t="s">
        <v>196</v>
      </c>
      <c r="E6" s="179" t="s">
        <v>197</v>
      </c>
      <c r="F6" s="179" t="s">
        <v>198</v>
      </c>
      <c r="G6" s="179" t="s">
        <v>199</v>
      </c>
      <c r="H6" s="179" t="s">
        <v>200</v>
      </c>
      <c r="I6" s="179" t="s">
        <v>201</v>
      </c>
      <c r="J6" s="179" t="s">
        <v>202</v>
      </c>
      <c r="K6" s="179" t="s">
        <v>203</v>
      </c>
      <c r="L6" s="179" t="s">
        <v>204</v>
      </c>
      <c r="M6" s="179" t="s">
        <v>205</v>
      </c>
      <c r="N6" s="179" t="s">
        <v>206</v>
      </c>
      <c r="O6" s="179" t="s">
        <v>207</v>
      </c>
      <c r="P6" s="201" t="s">
        <v>212</v>
      </c>
      <c r="Q6" s="179" t="s">
        <v>214</v>
      </c>
      <c r="T6" s="179" t="s">
        <v>196</v>
      </c>
      <c r="U6" s="179" t="s">
        <v>197</v>
      </c>
      <c r="V6" s="179" t="s">
        <v>198</v>
      </c>
      <c r="W6" s="179" t="s">
        <v>199</v>
      </c>
      <c r="X6" s="179" t="s">
        <v>200</v>
      </c>
      <c r="Y6" s="179" t="s">
        <v>201</v>
      </c>
      <c r="Z6" s="179" t="s">
        <v>202</v>
      </c>
      <c r="AA6" s="179" t="s">
        <v>203</v>
      </c>
      <c r="AB6" s="179" t="s">
        <v>204</v>
      </c>
      <c r="AC6" s="179" t="s">
        <v>205</v>
      </c>
      <c r="AD6" s="179" t="s">
        <v>206</v>
      </c>
      <c r="AE6" s="179" t="s">
        <v>207</v>
      </c>
      <c r="AF6" s="201" t="s">
        <v>212</v>
      </c>
      <c r="AG6" s="179" t="s">
        <v>214</v>
      </c>
      <c r="AJ6" s="179" t="s">
        <v>196</v>
      </c>
      <c r="AK6" s="179" t="s">
        <v>197</v>
      </c>
      <c r="AL6" s="179" t="s">
        <v>198</v>
      </c>
      <c r="AM6" s="179" t="s">
        <v>199</v>
      </c>
      <c r="AN6" s="179" t="s">
        <v>200</v>
      </c>
      <c r="AO6" s="179" t="s">
        <v>201</v>
      </c>
      <c r="AP6" s="179" t="s">
        <v>202</v>
      </c>
      <c r="AQ6" s="179" t="s">
        <v>203</v>
      </c>
      <c r="AR6" s="179" t="s">
        <v>204</v>
      </c>
      <c r="AS6" s="179" t="s">
        <v>205</v>
      </c>
      <c r="AT6" s="179" t="s">
        <v>206</v>
      </c>
      <c r="AU6" s="179" t="s">
        <v>207</v>
      </c>
      <c r="AV6" s="201" t="s">
        <v>212</v>
      </c>
      <c r="AW6" s="179" t="s">
        <v>214</v>
      </c>
    </row>
    <row r="7" spans="1:49">
      <c r="B7" s="177" t="s">
        <v>193</v>
      </c>
      <c r="D7" s="179">
        <v>22</v>
      </c>
      <c r="E7" s="179">
        <f>ROUND(D7*(1+E3),0)</f>
        <v>65</v>
      </c>
      <c r="F7" s="179">
        <f t="shared" ref="F7:O9" si="6">ROUND(E7*(1+F3),0)</f>
        <v>118</v>
      </c>
      <c r="G7" s="179">
        <f t="shared" si="6"/>
        <v>176</v>
      </c>
      <c r="H7" s="179">
        <f t="shared" si="6"/>
        <v>238</v>
      </c>
      <c r="I7" s="179">
        <f t="shared" si="6"/>
        <v>308</v>
      </c>
      <c r="J7" s="179">
        <f t="shared" si="6"/>
        <v>391</v>
      </c>
      <c r="K7" s="179">
        <f t="shared" si="6"/>
        <v>490</v>
      </c>
      <c r="L7" s="179">
        <f t="shared" si="6"/>
        <v>609</v>
      </c>
      <c r="M7" s="179">
        <f t="shared" si="6"/>
        <v>752</v>
      </c>
      <c r="N7" s="179">
        <f t="shared" si="6"/>
        <v>924</v>
      </c>
      <c r="O7" s="179">
        <f t="shared" si="6"/>
        <v>1131</v>
      </c>
      <c r="P7" s="201">
        <f>SUM(D7:O7)</f>
        <v>5224</v>
      </c>
      <c r="Q7" s="184">
        <f>+P7/12</f>
        <v>435.33333333333331</v>
      </c>
      <c r="T7" s="179">
        <f>ROUND(O7*(1+T3),0)</f>
        <v>1357</v>
      </c>
      <c r="U7" s="179">
        <f>ROUND(T7*(1+U3),0)</f>
        <v>1574</v>
      </c>
      <c r="V7" s="179">
        <f>ROUND(U7*(1+V3),0)</f>
        <v>1775</v>
      </c>
      <c r="W7" s="179">
        <f t="shared" ref="W7:AE9" si="7">ROUND(V7*(1+W3),0)</f>
        <v>1957</v>
      </c>
      <c r="X7" s="179">
        <f t="shared" si="7"/>
        <v>2117</v>
      </c>
      <c r="Y7" s="179">
        <f t="shared" si="7"/>
        <v>2256</v>
      </c>
      <c r="Z7" s="179">
        <f t="shared" si="7"/>
        <v>2374</v>
      </c>
      <c r="AA7" s="179">
        <f t="shared" si="7"/>
        <v>2474</v>
      </c>
      <c r="AB7" s="179">
        <f t="shared" si="7"/>
        <v>2557</v>
      </c>
      <c r="AC7" s="179">
        <f t="shared" si="7"/>
        <v>2626</v>
      </c>
      <c r="AD7" s="179">
        <f t="shared" si="7"/>
        <v>2682</v>
      </c>
      <c r="AE7" s="179">
        <f t="shared" si="7"/>
        <v>2728</v>
      </c>
      <c r="AF7" s="201">
        <f>SUM(T7:AE7)</f>
        <v>26477</v>
      </c>
      <c r="AG7" s="184">
        <f>+AF7/12</f>
        <v>2206.4166666666665</v>
      </c>
      <c r="AJ7" s="179">
        <f>ROUND(AE7*(1+AJ3),0)</f>
        <v>2769</v>
      </c>
      <c r="AK7" s="179">
        <f>ROUND(AJ7*(1+AK3),0)</f>
        <v>2811</v>
      </c>
      <c r="AL7" s="179">
        <f>ROUND(AK7*(1+AL3),0)</f>
        <v>2845</v>
      </c>
      <c r="AM7" s="179">
        <f t="shared" ref="AM7:AU7" si="8">ROUND(AL7*(1+AM3),0)</f>
        <v>2872</v>
      </c>
      <c r="AN7" s="179">
        <f t="shared" si="8"/>
        <v>3175</v>
      </c>
      <c r="AO7" s="179">
        <f t="shared" si="8"/>
        <v>3443</v>
      </c>
      <c r="AP7" s="179">
        <f t="shared" si="8"/>
        <v>3676</v>
      </c>
      <c r="AQ7" s="179">
        <f t="shared" si="8"/>
        <v>3875</v>
      </c>
      <c r="AR7" s="179">
        <f t="shared" si="8"/>
        <v>4043</v>
      </c>
      <c r="AS7" s="179">
        <f t="shared" si="8"/>
        <v>4183</v>
      </c>
      <c r="AT7" s="179">
        <f t="shared" si="8"/>
        <v>4299</v>
      </c>
      <c r="AU7" s="179">
        <f t="shared" si="8"/>
        <v>4394</v>
      </c>
      <c r="AV7" s="201">
        <f>SUM(AJ7:AU7)</f>
        <v>42385</v>
      </c>
      <c r="AW7" s="184">
        <f>+AV7/12</f>
        <v>3532.0833333333335</v>
      </c>
    </row>
    <row r="8" spans="1:49">
      <c r="A8" s="177" t="s">
        <v>1</v>
      </c>
      <c r="B8" s="177" t="s">
        <v>194</v>
      </c>
      <c r="D8" s="179">
        <v>33</v>
      </c>
      <c r="E8" s="179">
        <f>ROUND(D8*(1+E4),0)</f>
        <v>80</v>
      </c>
      <c r="F8" s="179">
        <f t="shared" si="6"/>
        <v>128</v>
      </c>
      <c r="G8" s="179">
        <f t="shared" si="6"/>
        <v>174</v>
      </c>
      <c r="H8" s="179">
        <f t="shared" si="6"/>
        <v>219</v>
      </c>
      <c r="I8" s="179">
        <f t="shared" si="6"/>
        <v>267</v>
      </c>
      <c r="J8" s="179">
        <f t="shared" si="6"/>
        <v>320</v>
      </c>
      <c r="K8" s="179">
        <f t="shared" si="6"/>
        <v>380</v>
      </c>
      <c r="L8" s="179">
        <f t="shared" si="6"/>
        <v>448</v>
      </c>
      <c r="M8" s="179">
        <f t="shared" si="6"/>
        <v>526</v>
      </c>
      <c r="N8" s="179">
        <f t="shared" si="6"/>
        <v>615</v>
      </c>
      <c r="O8" s="179">
        <f t="shared" si="6"/>
        <v>716</v>
      </c>
      <c r="P8" s="201">
        <f>SUM(D8:O8)</f>
        <v>3906</v>
      </c>
      <c r="Q8" s="184">
        <f t="shared" ref="Q8:Q10" si="9">+P8/12</f>
        <v>325.5</v>
      </c>
      <c r="T8" s="179">
        <f t="shared" ref="T8:T9" si="10">ROUND(O8*(1+T4),0)</f>
        <v>831</v>
      </c>
      <c r="U8" s="179">
        <f t="shared" ref="U8:V9" si="11">ROUND(T8*(1+U4),0)</f>
        <v>931</v>
      </c>
      <c r="V8" s="179">
        <f t="shared" si="11"/>
        <v>1020</v>
      </c>
      <c r="W8" s="179">
        <f t="shared" si="7"/>
        <v>1098</v>
      </c>
      <c r="X8" s="179">
        <f t="shared" si="7"/>
        <v>1165</v>
      </c>
      <c r="Y8" s="179">
        <f t="shared" si="7"/>
        <v>1222</v>
      </c>
      <c r="Z8" s="179">
        <f t="shared" si="7"/>
        <v>1270</v>
      </c>
      <c r="AA8" s="179">
        <f t="shared" si="7"/>
        <v>1310</v>
      </c>
      <c r="AB8" s="179">
        <f t="shared" si="7"/>
        <v>1343</v>
      </c>
      <c r="AC8" s="179">
        <f t="shared" si="7"/>
        <v>1370</v>
      </c>
      <c r="AD8" s="179">
        <f t="shared" si="7"/>
        <v>1392</v>
      </c>
      <c r="AE8" s="179">
        <f t="shared" si="7"/>
        <v>1410</v>
      </c>
      <c r="AF8" s="201">
        <f>SUM(T8:AE8)</f>
        <v>14362</v>
      </c>
      <c r="AG8" s="184">
        <f t="shared" ref="AG8:AG10" si="12">+AF8/12</f>
        <v>1196.8333333333333</v>
      </c>
      <c r="AJ8" s="179">
        <f t="shared" ref="AJ8:AJ9" si="13">ROUND(AE8*(1+AJ4),0)</f>
        <v>1427</v>
      </c>
      <c r="AK8" s="179">
        <f t="shared" ref="AK8:AU9" si="14">ROUND(AJ8*(1+AK4),0)</f>
        <v>1444</v>
      </c>
      <c r="AL8" s="179">
        <f t="shared" si="14"/>
        <v>1458</v>
      </c>
      <c r="AM8" s="179">
        <f t="shared" si="14"/>
        <v>1469</v>
      </c>
      <c r="AN8" s="179">
        <f t="shared" si="14"/>
        <v>1593</v>
      </c>
      <c r="AO8" s="179">
        <f t="shared" si="14"/>
        <v>1701</v>
      </c>
      <c r="AP8" s="179">
        <f t="shared" si="14"/>
        <v>1793</v>
      </c>
      <c r="AQ8" s="179">
        <f t="shared" si="14"/>
        <v>1871</v>
      </c>
      <c r="AR8" s="179">
        <f t="shared" si="14"/>
        <v>1936</v>
      </c>
      <c r="AS8" s="179">
        <f t="shared" si="14"/>
        <v>1990</v>
      </c>
      <c r="AT8" s="179">
        <f t="shared" si="14"/>
        <v>2034</v>
      </c>
      <c r="AU8" s="179">
        <f t="shared" si="14"/>
        <v>2070</v>
      </c>
      <c r="AV8" s="201">
        <f>SUM(AJ8:AU8)</f>
        <v>20786</v>
      </c>
      <c r="AW8" s="184">
        <f t="shared" ref="AW8:AW10" si="15">+AV8/12</f>
        <v>1732.1666666666667</v>
      </c>
    </row>
    <row r="9" spans="1:49">
      <c r="B9" s="177" t="s">
        <v>195</v>
      </c>
      <c r="D9" s="179">
        <v>19</v>
      </c>
      <c r="E9" s="179">
        <f>ROUND(D9*(1+E5),0)</f>
        <v>48</v>
      </c>
      <c r="F9" s="179">
        <f t="shared" si="6"/>
        <v>79</v>
      </c>
      <c r="G9" s="179">
        <f t="shared" si="6"/>
        <v>102</v>
      </c>
      <c r="H9" s="179">
        <f t="shared" si="6"/>
        <v>123</v>
      </c>
      <c r="I9" s="179">
        <f t="shared" si="6"/>
        <v>145</v>
      </c>
      <c r="J9" s="179">
        <f t="shared" si="6"/>
        <v>168</v>
      </c>
      <c r="K9" s="179">
        <f t="shared" si="6"/>
        <v>193</v>
      </c>
      <c r="L9" s="179">
        <f t="shared" si="6"/>
        <v>221</v>
      </c>
      <c r="M9" s="179">
        <f t="shared" si="6"/>
        <v>252</v>
      </c>
      <c r="N9" s="179">
        <f t="shared" si="6"/>
        <v>286</v>
      </c>
      <c r="O9" s="179">
        <f t="shared" si="6"/>
        <v>324</v>
      </c>
      <c r="P9" s="201">
        <f>SUM(D9:O9)</f>
        <v>1960</v>
      </c>
      <c r="Q9" s="184">
        <f t="shared" si="9"/>
        <v>163.33333333333334</v>
      </c>
      <c r="T9" s="179">
        <f t="shared" si="10"/>
        <v>363</v>
      </c>
      <c r="U9" s="179">
        <f t="shared" si="11"/>
        <v>393</v>
      </c>
      <c r="V9" s="179">
        <f t="shared" si="11"/>
        <v>419</v>
      </c>
      <c r="W9" s="179">
        <f t="shared" si="7"/>
        <v>442</v>
      </c>
      <c r="X9" s="179">
        <f t="shared" si="7"/>
        <v>461</v>
      </c>
      <c r="Y9" s="179">
        <f t="shared" si="7"/>
        <v>477</v>
      </c>
      <c r="Z9" s="179">
        <f t="shared" si="7"/>
        <v>490</v>
      </c>
      <c r="AA9" s="179">
        <f t="shared" si="7"/>
        <v>501</v>
      </c>
      <c r="AB9" s="179">
        <f t="shared" si="7"/>
        <v>510</v>
      </c>
      <c r="AC9" s="179">
        <f t="shared" si="7"/>
        <v>517</v>
      </c>
      <c r="AD9" s="179">
        <f t="shared" si="7"/>
        <v>523</v>
      </c>
      <c r="AE9" s="179">
        <f t="shared" si="7"/>
        <v>528</v>
      </c>
      <c r="AF9" s="201">
        <f>SUM(T9:AE9)</f>
        <v>5624</v>
      </c>
      <c r="AG9" s="184">
        <f t="shared" si="12"/>
        <v>468.66666666666669</v>
      </c>
      <c r="AJ9" s="179">
        <f t="shared" si="13"/>
        <v>531</v>
      </c>
      <c r="AK9" s="179">
        <f t="shared" si="14"/>
        <v>534</v>
      </c>
      <c r="AL9" s="179">
        <f t="shared" si="14"/>
        <v>537</v>
      </c>
      <c r="AM9" s="179">
        <f t="shared" si="14"/>
        <v>539</v>
      </c>
      <c r="AN9" s="179">
        <f t="shared" si="14"/>
        <v>562</v>
      </c>
      <c r="AO9" s="179">
        <f t="shared" si="14"/>
        <v>581</v>
      </c>
      <c r="AP9" s="179">
        <f t="shared" si="14"/>
        <v>597</v>
      </c>
      <c r="AQ9" s="179">
        <f t="shared" si="14"/>
        <v>610</v>
      </c>
      <c r="AR9" s="179">
        <f t="shared" si="14"/>
        <v>621</v>
      </c>
      <c r="AS9" s="179">
        <f t="shared" si="14"/>
        <v>630</v>
      </c>
      <c r="AT9" s="179">
        <f t="shared" si="14"/>
        <v>637</v>
      </c>
      <c r="AU9" s="179">
        <f t="shared" si="14"/>
        <v>643</v>
      </c>
      <c r="AV9" s="201">
        <f>SUM(AJ9:AU9)</f>
        <v>7022</v>
      </c>
      <c r="AW9" s="184">
        <f t="shared" si="15"/>
        <v>585.16666666666663</v>
      </c>
    </row>
    <row r="10" spans="1:49">
      <c r="D10" s="179">
        <f>+D7+D8+D9</f>
        <v>74</v>
      </c>
      <c r="E10" s="179">
        <f t="shared" ref="E10:P10" si="16">+E7+E8+E9</f>
        <v>193</v>
      </c>
      <c r="F10" s="179">
        <f t="shared" si="16"/>
        <v>325</v>
      </c>
      <c r="G10" s="179">
        <f t="shared" si="16"/>
        <v>452</v>
      </c>
      <c r="H10" s="179">
        <f t="shared" si="16"/>
        <v>580</v>
      </c>
      <c r="I10" s="179">
        <f t="shared" si="16"/>
        <v>720</v>
      </c>
      <c r="J10" s="179">
        <f t="shared" si="16"/>
        <v>879</v>
      </c>
      <c r="K10" s="179">
        <f t="shared" si="16"/>
        <v>1063</v>
      </c>
      <c r="L10" s="179">
        <f t="shared" si="16"/>
        <v>1278</v>
      </c>
      <c r="M10" s="179">
        <f t="shared" si="16"/>
        <v>1530</v>
      </c>
      <c r="N10" s="179">
        <f t="shared" si="16"/>
        <v>1825</v>
      </c>
      <c r="O10" s="179">
        <f t="shared" si="16"/>
        <v>2171</v>
      </c>
      <c r="P10" s="201">
        <f t="shared" si="16"/>
        <v>11090</v>
      </c>
      <c r="Q10" s="184">
        <f t="shared" si="9"/>
        <v>924.16666666666663</v>
      </c>
      <c r="T10" s="179">
        <f t="shared" ref="T10:AF10" si="17">+T7+T8+T9</f>
        <v>2551</v>
      </c>
      <c r="U10" s="179">
        <f t="shared" si="17"/>
        <v>2898</v>
      </c>
      <c r="V10" s="179">
        <f t="shared" si="17"/>
        <v>3214</v>
      </c>
      <c r="W10" s="179">
        <f t="shared" si="17"/>
        <v>3497</v>
      </c>
      <c r="X10" s="179">
        <f t="shared" si="17"/>
        <v>3743</v>
      </c>
      <c r="Y10" s="179">
        <f t="shared" si="17"/>
        <v>3955</v>
      </c>
      <c r="Z10" s="179">
        <f t="shared" si="17"/>
        <v>4134</v>
      </c>
      <c r="AA10" s="179">
        <f t="shared" si="17"/>
        <v>4285</v>
      </c>
      <c r="AB10" s="179">
        <f t="shared" si="17"/>
        <v>4410</v>
      </c>
      <c r="AC10" s="179">
        <f t="shared" si="17"/>
        <v>4513</v>
      </c>
      <c r="AD10" s="179">
        <f t="shared" si="17"/>
        <v>4597</v>
      </c>
      <c r="AE10" s="179">
        <f t="shared" si="17"/>
        <v>4666</v>
      </c>
      <c r="AF10" s="201">
        <f t="shared" si="17"/>
        <v>46463</v>
      </c>
      <c r="AG10" s="184">
        <f t="shared" si="12"/>
        <v>3871.9166666666665</v>
      </c>
      <c r="AJ10" s="179">
        <f t="shared" ref="AJ10:AV10" si="18">+AJ7+AJ8+AJ9</f>
        <v>4727</v>
      </c>
      <c r="AK10" s="179">
        <f t="shared" si="18"/>
        <v>4789</v>
      </c>
      <c r="AL10" s="179">
        <f t="shared" si="18"/>
        <v>4840</v>
      </c>
      <c r="AM10" s="179">
        <f t="shared" si="18"/>
        <v>4880</v>
      </c>
      <c r="AN10" s="179">
        <f t="shared" si="18"/>
        <v>5330</v>
      </c>
      <c r="AO10" s="179">
        <f t="shared" si="18"/>
        <v>5725</v>
      </c>
      <c r="AP10" s="179">
        <f t="shared" si="18"/>
        <v>6066</v>
      </c>
      <c r="AQ10" s="179">
        <f t="shared" si="18"/>
        <v>6356</v>
      </c>
      <c r="AR10" s="179">
        <f t="shared" si="18"/>
        <v>6600</v>
      </c>
      <c r="AS10" s="179">
        <f t="shared" si="18"/>
        <v>6803</v>
      </c>
      <c r="AT10" s="179">
        <f t="shared" si="18"/>
        <v>6970</v>
      </c>
      <c r="AU10" s="179">
        <f t="shared" si="18"/>
        <v>7107</v>
      </c>
      <c r="AV10" s="201">
        <f t="shared" si="18"/>
        <v>70193</v>
      </c>
      <c r="AW10" s="184">
        <f t="shared" si="15"/>
        <v>5849.416666666667</v>
      </c>
    </row>
    <row r="11" spans="1:49">
      <c r="Q11" s="208">
        <f>+P10/Q4</f>
        <v>6.1488134841428252E-3</v>
      </c>
      <c r="AG11" s="208">
        <f>+AF10/AG4</f>
        <v>2.4303071006833293E-2</v>
      </c>
      <c r="AW11" s="208">
        <f>+AV10/AW4</f>
        <v>3.4637125811665302E-2</v>
      </c>
    </row>
    <row r="12" spans="1:49">
      <c r="B12" s="177" t="s">
        <v>193</v>
      </c>
      <c r="D12" s="180">
        <f t="shared" ref="D12:O14" si="19">ROUNDUP(D16/(1-$B$6),-2)</f>
        <v>62800</v>
      </c>
      <c r="E12" s="180">
        <f t="shared" si="19"/>
        <v>62800</v>
      </c>
      <c r="F12" s="180">
        <f t="shared" si="19"/>
        <v>62800</v>
      </c>
      <c r="G12" s="180">
        <f t="shared" si="19"/>
        <v>62800</v>
      </c>
      <c r="H12" s="180">
        <f t="shared" si="19"/>
        <v>62800</v>
      </c>
      <c r="I12" s="180">
        <f t="shared" si="19"/>
        <v>62800</v>
      </c>
      <c r="J12" s="180">
        <f t="shared" si="19"/>
        <v>62800</v>
      </c>
      <c r="K12" s="180">
        <f t="shared" si="19"/>
        <v>62800</v>
      </c>
      <c r="L12" s="180">
        <f t="shared" si="19"/>
        <v>62800</v>
      </c>
      <c r="M12" s="180">
        <f t="shared" si="19"/>
        <v>62800</v>
      </c>
      <c r="N12" s="180">
        <f t="shared" si="19"/>
        <v>62800</v>
      </c>
      <c r="O12" s="180">
        <f t="shared" si="19"/>
        <v>62800</v>
      </c>
      <c r="P12" s="202">
        <f>SUM(D12:O12)</f>
        <v>753600</v>
      </c>
      <c r="Q12" s="185"/>
      <c r="T12" s="180">
        <f t="shared" ref="T12:W14" si="20">ROUNDUP(T16/(1-$B$6),-2)</f>
        <v>64100</v>
      </c>
      <c r="U12" s="180">
        <f>ROUNDUP(U16/(1-$B$6),-2)</f>
        <v>64100</v>
      </c>
      <c r="V12" s="180">
        <f>ROUNDUP(V16/(1-$B$6),-2)</f>
        <v>64100</v>
      </c>
      <c r="W12" s="180">
        <f t="shared" ref="W12:AE14" si="21">ROUNDUP(W16/(1-$B$6),-2)</f>
        <v>64100</v>
      </c>
      <c r="X12" s="180">
        <f t="shared" si="21"/>
        <v>64100</v>
      </c>
      <c r="Y12" s="180">
        <f t="shared" si="21"/>
        <v>64100</v>
      </c>
      <c r="Z12" s="180">
        <f t="shared" si="21"/>
        <v>64100</v>
      </c>
      <c r="AA12" s="180">
        <f t="shared" si="21"/>
        <v>64100</v>
      </c>
      <c r="AB12" s="180">
        <f t="shared" si="21"/>
        <v>64100</v>
      </c>
      <c r="AC12" s="180">
        <f t="shared" si="21"/>
        <v>64100</v>
      </c>
      <c r="AD12" s="180">
        <f t="shared" si="21"/>
        <v>64100</v>
      </c>
      <c r="AE12" s="180">
        <f t="shared" si="21"/>
        <v>64100</v>
      </c>
      <c r="AF12" s="202">
        <f>SUM(T12:AE12)</f>
        <v>769200</v>
      </c>
      <c r="AG12" s="185"/>
      <c r="AJ12" s="180">
        <f>ROUNDUP(AJ16/(1-$B$6),-2)</f>
        <v>65400</v>
      </c>
      <c r="AK12" s="180">
        <f>ROUNDUP(AK16/(1-$B$6),-2)</f>
        <v>65400</v>
      </c>
      <c r="AL12" s="180">
        <f>ROUNDUP(AL16/(1-$B$6),-2)</f>
        <v>65400</v>
      </c>
      <c r="AM12" s="180">
        <f t="shared" ref="AM12:AU12" si="22">ROUNDUP(AM16/(1-$B$6),-2)</f>
        <v>65400</v>
      </c>
      <c r="AN12" s="180">
        <f t="shared" si="22"/>
        <v>65400</v>
      </c>
      <c r="AO12" s="180">
        <f t="shared" si="22"/>
        <v>65400</v>
      </c>
      <c r="AP12" s="180">
        <f t="shared" si="22"/>
        <v>65400</v>
      </c>
      <c r="AQ12" s="180">
        <f t="shared" si="22"/>
        <v>65400</v>
      </c>
      <c r="AR12" s="180">
        <f t="shared" si="22"/>
        <v>65400</v>
      </c>
      <c r="AS12" s="180">
        <f t="shared" si="22"/>
        <v>65400</v>
      </c>
      <c r="AT12" s="180">
        <f t="shared" si="22"/>
        <v>65400</v>
      </c>
      <c r="AU12" s="180">
        <f t="shared" si="22"/>
        <v>65400</v>
      </c>
      <c r="AV12" s="202">
        <f>SUM(AJ12:AU12)</f>
        <v>784800</v>
      </c>
      <c r="AW12" s="185"/>
    </row>
    <row r="13" spans="1:49">
      <c r="A13" s="177" t="s">
        <v>208</v>
      </c>
      <c r="B13" s="177" t="s">
        <v>194</v>
      </c>
      <c r="D13" s="180">
        <f t="shared" si="19"/>
        <v>66500</v>
      </c>
      <c r="E13" s="180">
        <f t="shared" si="19"/>
        <v>66500</v>
      </c>
      <c r="F13" s="180">
        <f t="shared" si="19"/>
        <v>66500</v>
      </c>
      <c r="G13" s="180">
        <f t="shared" si="19"/>
        <v>66500</v>
      </c>
      <c r="H13" s="180">
        <f t="shared" si="19"/>
        <v>66500</v>
      </c>
      <c r="I13" s="180">
        <f t="shared" si="19"/>
        <v>66500</v>
      </c>
      <c r="J13" s="180">
        <f t="shared" si="19"/>
        <v>66500</v>
      </c>
      <c r="K13" s="180">
        <f t="shared" si="19"/>
        <v>66500</v>
      </c>
      <c r="L13" s="180">
        <f t="shared" si="19"/>
        <v>66500</v>
      </c>
      <c r="M13" s="180">
        <f t="shared" si="19"/>
        <v>66500</v>
      </c>
      <c r="N13" s="180">
        <f t="shared" si="19"/>
        <v>66500</v>
      </c>
      <c r="O13" s="180">
        <f t="shared" si="19"/>
        <v>66500</v>
      </c>
      <c r="P13" s="202">
        <f>SUM(D13:O13)</f>
        <v>798000</v>
      </c>
      <c r="Q13" s="185"/>
      <c r="T13" s="180">
        <f t="shared" si="20"/>
        <v>67900</v>
      </c>
      <c r="U13" s="180">
        <f t="shared" si="20"/>
        <v>67900</v>
      </c>
      <c r="V13" s="180">
        <f t="shared" si="20"/>
        <v>67900</v>
      </c>
      <c r="W13" s="180">
        <f t="shared" si="20"/>
        <v>67900</v>
      </c>
      <c r="X13" s="180">
        <f t="shared" si="21"/>
        <v>67900</v>
      </c>
      <c r="Y13" s="180">
        <f t="shared" si="21"/>
        <v>67900</v>
      </c>
      <c r="Z13" s="180">
        <f t="shared" si="21"/>
        <v>67900</v>
      </c>
      <c r="AA13" s="180">
        <f t="shared" si="21"/>
        <v>67900</v>
      </c>
      <c r="AB13" s="180">
        <f t="shared" si="21"/>
        <v>67900</v>
      </c>
      <c r="AC13" s="180">
        <f t="shared" si="21"/>
        <v>67900</v>
      </c>
      <c r="AD13" s="180">
        <f t="shared" si="21"/>
        <v>67900</v>
      </c>
      <c r="AE13" s="180">
        <f t="shared" si="21"/>
        <v>67900</v>
      </c>
      <c r="AF13" s="202">
        <f>SUM(T13:AE13)</f>
        <v>814800</v>
      </c>
      <c r="AG13" s="185"/>
      <c r="AJ13" s="180">
        <f t="shared" ref="AJ13:AU14" si="23">ROUNDUP(AJ17/(1-$B$6),-2)</f>
        <v>69200</v>
      </c>
      <c r="AK13" s="180">
        <f t="shared" si="23"/>
        <v>69200</v>
      </c>
      <c r="AL13" s="180">
        <f t="shared" si="23"/>
        <v>69200</v>
      </c>
      <c r="AM13" s="180">
        <f t="shared" si="23"/>
        <v>69200</v>
      </c>
      <c r="AN13" s="180">
        <f t="shared" si="23"/>
        <v>69200</v>
      </c>
      <c r="AO13" s="180">
        <f t="shared" si="23"/>
        <v>69200</v>
      </c>
      <c r="AP13" s="180">
        <f t="shared" si="23"/>
        <v>69200</v>
      </c>
      <c r="AQ13" s="180">
        <f t="shared" si="23"/>
        <v>69200</v>
      </c>
      <c r="AR13" s="180">
        <f t="shared" si="23"/>
        <v>69200</v>
      </c>
      <c r="AS13" s="180">
        <f t="shared" si="23"/>
        <v>69200</v>
      </c>
      <c r="AT13" s="180">
        <f t="shared" si="23"/>
        <v>69200</v>
      </c>
      <c r="AU13" s="180">
        <f t="shared" si="23"/>
        <v>69200</v>
      </c>
      <c r="AV13" s="202">
        <f>SUM(AJ13:AU13)</f>
        <v>830400</v>
      </c>
      <c r="AW13" s="185"/>
    </row>
    <row r="14" spans="1:49">
      <c r="B14" s="177" t="s">
        <v>195</v>
      </c>
      <c r="D14" s="180">
        <f t="shared" si="19"/>
        <v>69900</v>
      </c>
      <c r="E14" s="180">
        <f t="shared" si="19"/>
        <v>69900</v>
      </c>
      <c r="F14" s="180">
        <f t="shared" si="19"/>
        <v>69900</v>
      </c>
      <c r="G14" s="180">
        <f t="shared" si="19"/>
        <v>69900</v>
      </c>
      <c r="H14" s="180">
        <f t="shared" si="19"/>
        <v>69900</v>
      </c>
      <c r="I14" s="180">
        <f t="shared" si="19"/>
        <v>69900</v>
      </c>
      <c r="J14" s="180">
        <f t="shared" si="19"/>
        <v>69900</v>
      </c>
      <c r="K14" s="180">
        <f t="shared" si="19"/>
        <v>69900</v>
      </c>
      <c r="L14" s="180">
        <f t="shared" si="19"/>
        <v>69900</v>
      </c>
      <c r="M14" s="180">
        <f t="shared" si="19"/>
        <v>69900</v>
      </c>
      <c r="N14" s="180">
        <f t="shared" si="19"/>
        <v>69900</v>
      </c>
      <c r="O14" s="180">
        <f t="shared" si="19"/>
        <v>69900</v>
      </c>
      <c r="P14" s="202">
        <f>SUM(D14:O14)</f>
        <v>838800</v>
      </c>
      <c r="Q14" s="185"/>
      <c r="T14" s="180">
        <f t="shared" si="20"/>
        <v>71300</v>
      </c>
      <c r="U14" s="180">
        <f t="shared" si="20"/>
        <v>71300</v>
      </c>
      <c r="V14" s="180">
        <f t="shared" si="20"/>
        <v>71300</v>
      </c>
      <c r="W14" s="180">
        <f t="shared" si="20"/>
        <v>71300</v>
      </c>
      <c r="X14" s="180">
        <f t="shared" si="21"/>
        <v>71300</v>
      </c>
      <c r="Y14" s="180">
        <f t="shared" si="21"/>
        <v>71300</v>
      </c>
      <c r="Z14" s="180">
        <f t="shared" si="21"/>
        <v>71300</v>
      </c>
      <c r="AA14" s="180">
        <f t="shared" si="21"/>
        <v>71300</v>
      </c>
      <c r="AB14" s="180">
        <f t="shared" si="21"/>
        <v>71300</v>
      </c>
      <c r="AC14" s="180">
        <f t="shared" si="21"/>
        <v>71300</v>
      </c>
      <c r="AD14" s="180">
        <f t="shared" si="21"/>
        <v>71300</v>
      </c>
      <c r="AE14" s="180">
        <f t="shared" si="21"/>
        <v>71300</v>
      </c>
      <c r="AF14" s="202">
        <f>SUM(T14:AE14)</f>
        <v>855600</v>
      </c>
      <c r="AG14" s="185"/>
      <c r="AJ14" s="180">
        <f t="shared" si="23"/>
        <v>72700</v>
      </c>
      <c r="AK14" s="180">
        <f t="shared" si="23"/>
        <v>72700</v>
      </c>
      <c r="AL14" s="180">
        <f t="shared" si="23"/>
        <v>72700</v>
      </c>
      <c r="AM14" s="180">
        <f t="shared" si="23"/>
        <v>72700</v>
      </c>
      <c r="AN14" s="180">
        <f t="shared" si="23"/>
        <v>72700</v>
      </c>
      <c r="AO14" s="180">
        <f t="shared" si="23"/>
        <v>72700</v>
      </c>
      <c r="AP14" s="180">
        <f t="shared" si="23"/>
        <v>72700</v>
      </c>
      <c r="AQ14" s="180">
        <f t="shared" si="23"/>
        <v>72700</v>
      </c>
      <c r="AR14" s="180">
        <f t="shared" si="23"/>
        <v>72700</v>
      </c>
      <c r="AS14" s="180">
        <f t="shared" si="23"/>
        <v>72700</v>
      </c>
      <c r="AT14" s="180">
        <f t="shared" si="23"/>
        <v>72700</v>
      </c>
      <c r="AU14" s="180">
        <f t="shared" si="23"/>
        <v>72700</v>
      </c>
      <c r="AV14" s="202">
        <f>SUM(AJ14:AU14)</f>
        <v>872400</v>
      </c>
      <c r="AW14" s="185"/>
    </row>
    <row r="15" spans="1:49"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202"/>
      <c r="Q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202"/>
      <c r="AG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202"/>
      <c r="AW15" s="180"/>
    </row>
    <row r="16" spans="1:49">
      <c r="B16" s="177" t="s">
        <v>193</v>
      </c>
      <c r="C16" s="180"/>
      <c r="D16" s="180">
        <v>33900</v>
      </c>
      <c r="E16" s="180">
        <f>+D16</f>
        <v>33900</v>
      </c>
      <c r="F16" s="180">
        <f t="shared" ref="F16:O18" si="24">+E16</f>
        <v>33900</v>
      </c>
      <c r="G16" s="180">
        <f t="shared" si="24"/>
        <v>33900</v>
      </c>
      <c r="H16" s="180">
        <f t="shared" si="24"/>
        <v>33900</v>
      </c>
      <c r="I16" s="180">
        <f t="shared" si="24"/>
        <v>33900</v>
      </c>
      <c r="J16" s="180">
        <f t="shared" si="24"/>
        <v>33900</v>
      </c>
      <c r="K16" s="180">
        <f t="shared" si="24"/>
        <v>33900</v>
      </c>
      <c r="L16" s="180">
        <f t="shared" si="24"/>
        <v>33900</v>
      </c>
      <c r="M16" s="180">
        <f t="shared" si="24"/>
        <v>33900</v>
      </c>
      <c r="N16" s="180">
        <f t="shared" si="24"/>
        <v>33900</v>
      </c>
      <c r="O16" s="180">
        <f t="shared" si="24"/>
        <v>33900</v>
      </c>
      <c r="P16" s="202">
        <f>SUM(D16:O16)</f>
        <v>406800</v>
      </c>
      <c r="Q16" s="185"/>
      <c r="R16" s="182">
        <v>0.02</v>
      </c>
      <c r="S16" s="180">
        <f>+O16*(1+$R$16)</f>
        <v>34578</v>
      </c>
      <c r="T16" s="180">
        <f t="shared" ref="T16:W18" si="25">+S16</f>
        <v>34578</v>
      </c>
      <c r="U16" s="180">
        <f>+T16</f>
        <v>34578</v>
      </c>
      <c r="V16" s="180">
        <f>+U16</f>
        <v>34578</v>
      </c>
      <c r="W16" s="180">
        <f t="shared" ref="W16:AE18" si="26">+V16</f>
        <v>34578</v>
      </c>
      <c r="X16" s="180">
        <f t="shared" si="26"/>
        <v>34578</v>
      </c>
      <c r="Y16" s="180">
        <f t="shared" si="26"/>
        <v>34578</v>
      </c>
      <c r="Z16" s="180">
        <f t="shared" si="26"/>
        <v>34578</v>
      </c>
      <c r="AA16" s="180">
        <f t="shared" si="26"/>
        <v>34578</v>
      </c>
      <c r="AB16" s="180">
        <f t="shared" si="26"/>
        <v>34578</v>
      </c>
      <c r="AC16" s="180">
        <f t="shared" si="26"/>
        <v>34578</v>
      </c>
      <c r="AD16" s="180">
        <f t="shared" si="26"/>
        <v>34578</v>
      </c>
      <c r="AE16" s="180">
        <f t="shared" si="26"/>
        <v>34578</v>
      </c>
      <c r="AF16" s="202">
        <f>SUM(T16:AE16)</f>
        <v>414936</v>
      </c>
      <c r="AG16" s="185"/>
      <c r="AH16" s="182">
        <v>0.02</v>
      </c>
      <c r="AI16" s="180">
        <f>+AE16*(1+$R$16)</f>
        <v>35269.56</v>
      </c>
      <c r="AJ16" s="180">
        <f>+AI16</f>
        <v>35269.56</v>
      </c>
      <c r="AK16" s="180">
        <f>+AJ16</f>
        <v>35269.56</v>
      </c>
      <c r="AL16" s="180">
        <f>+AK16</f>
        <v>35269.56</v>
      </c>
      <c r="AM16" s="180">
        <f t="shared" ref="AM16:AU16" si="27">+AL16</f>
        <v>35269.56</v>
      </c>
      <c r="AN16" s="180">
        <f t="shared" si="27"/>
        <v>35269.56</v>
      </c>
      <c r="AO16" s="180">
        <f t="shared" si="27"/>
        <v>35269.56</v>
      </c>
      <c r="AP16" s="180">
        <f t="shared" si="27"/>
        <v>35269.56</v>
      </c>
      <c r="AQ16" s="180">
        <f t="shared" si="27"/>
        <v>35269.56</v>
      </c>
      <c r="AR16" s="180">
        <f t="shared" si="27"/>
        <v>35269.56</v>
      </c>
      <c r="AS16" s="180">
        <f t="shared" si="27"/>
        <v>35269.56</v>
      </c>
      <c r="AT16" s="180">
        <f t="shared" si="27"/>
        <v>35269.56</v>
      </c>
      <c r="AU16" s="180">
        <f t="shared" si="27"/>
        <v>35269.56</v>
      </c>
      <c r="AV16" s="202">
        <f>SUM(AJ16:AU16)</f>
        <v>423234.72</v>
      </c>
      <c r="AW16" s="185"/>
    </row>
    <row r="17" spans="1:50">
      <c r="A17" s="177" t="s">
        <v>209</v>
      </c>
      <c r="B17" s="177" t="s">
        <v>194</v>
      </c>
      <c r="C17" s="180"/>
      <c r="D17" s="180">
        <v>35900</v>
      </c>
      <c r="E17" s="180">
        <f>+D17</f>
        <v>35900</v>
      </c>
      <c r="F17" s="180">
        <f t="shared" si="24"/>
        <v>35900</v>
      </c>
      <c r="G17" s="180">
        <f t="shared" si="24"/>
        <v>35900</v>
      </c>
      <c r="H17" s="180">
        <f t="shared" si="24"/>
        <v>35900</v>
      </c>
      <c r="I17" s="180">
        <f t="shared" si="24"/>
        <v>35900</v>
      </c>
      <c r="J17" s="180">
        <f t="shared" si="24"/>
        <v>35900</v>
      </c>
      <c r="K17" s="180">
        <f t="shared" si="24"/>
        <v>35900</v>
      </c>
      <c r="L17" s="180">
        <f t="shared" si="24"/>
        <v>35900</v>
      </c>
      <c r="M17" s="180">
        <f t="shared" si="24"/>
        <v>35900</v>
      </c>
      <c r="N17" s="180">
        <f t="shared" si="24"/>
        <v>35900</v>
      </c>
      <c r="O17" s="180">
        <f t="shared" si="24"/>
        <v>35900</v>
      </c>
      <c r="P17" s="202">
        <f>SUM(D17:O17)</f>
        <v>430800</v>
      </c>
      <c r="Q17" s="185"/>
      <c r="S17" s="180">
        <f t="shared" ref="S17:S18" si="28">+O17*(1+$R$16)</f>
        <v>36618</v>
      </c>
      <c r="T17" s="180">
        <f t="shared" si="25"/>
        <v>36618</v>
      </c>
      <c r="U17" s="180">
        <f t="shared" si="25"/>
        <v>36618</v>
      </c>
      <c r="V17" s="180">
        <f t="shared" si="25"/>
        <v>36618</v>
      </c>
      <c r="W17" s="180">
        <f t="shared" si="25"/>
        <v>36618</v>
      </c>
      <c r="X17" s="180">
        <f t="shared" si="26"/>
        <v>36618</v>
      </c>
      <c r="Y17" s="180">
        <f t="shared" si="26"/>
        <v>36618</v>
      </c>
      <c r="Z17" s="180">
        <f t="shared" si="26"/>
        <v>36618</v>
      </c>
      <c r="AA17" s="180">
        <f t="shared" si="26"/>
        <v>36618</v>
      </c>
      <c r="AB17" s="180">
        <f t="shared" si="26"/>
        <v>36618</v>
      </c>
      <c r="AC17" s="180">
        <f t="shared" si="26"/>
        <v>36618</v>
      </c>
      <c r="AD17" s="180">
        <f t="shared" si="26"/>
        <v>36618</v>
      </c>
      <c r="AE17" s="180">
        <f t="shared" si="26"/>
        <v>36618</v>
      </c>
      <c r="AF17" s="202">
        <f>SUM(T17:AE17)</f>
        <v>439416</v>
      </c>
      <c r="AG17" s="185"/>
      <c r="AI17" s="180">
        <f t="shared" ref="AI17:AI18" si="29">+AE17*(1+$R$16)</f>
        <v>37350.36</v>
      </c>
      <c r="AJ17" s="180">
        <f t="shared" ref="AJ17:AU18" si="30">+AI17</f>
        <v>37350.36</v>
      </c>
      <c r="AK17" s="180">
        <f t="shared" si="30"/>
        <v>37350.36</v>
      </c>
      <c r="AL17" s="180">
        <f t="shared" si="30"/>
        <v>37350.36</v>
      </c>
      <c r="AM17" s="180">
        <f t="shared" si="30"/>
        <v>37350.36</v>
      </c>
      <c r="AN17" s="180">
        <f t="shared" si="30"/>
        <v>37350.36</v>
      </c>
      <c r="AO17" s="180">
        <f t="shared" si="30"/>
        <v>37350.36</v>
      </c>
      <c r="AP17" s="180">
        <f t="shared" si="30"/>
        <v>37350.36</v>
      </c>
      <c r="AQ17" s="180">
        <f t="shared" si="30"/>
        <v>37350.36</v>
      </c>
      <c r="AR17" s="180">
        <f t="shared" si="30"/>
        <v>37350.36</v>
      </c>
      <c r="AS17" s="180">
        <f t="shared" si="30"/>
        <v>37350.36</v>
      </c>
      <c r="AT17" s="180">
        <f t="shared" si="30"/>
        <v>37350.36</v>
      </c>
      <c r="AU17" s="180">
        <f t="shared" si="30"/>
        <v>37350.36</v>
      </c>
      <c r="AV17" s="202">
        <f>SUM(AJ17:AU17)</f>
        <v>448204.31999999989</v>
      </c>
      <c r="AW17" s="185"/>
    </row>
    <row r="18" spans="1:50">
      <c r="B18" s="177" t="s">
        <v>195</v>
      </c>
      <c r="C18" s="180"/>
      <c r="D18" s="180">
        <v>37700</v>
      </c>
      <c r="E18" s="180">
        <f>+D18</f>
        <v>37700</v>
      </c>
      <c r="F18" s="180">
        <f t="shared" si="24"/>
        <v>37700</v>
      </c>
      <c r="G18" s="180">
        <f t="shared" si="24"/>
        <v>37700</v>
      </c>
      <c r="H18" s="180">
        <f t="shared" si="24"/>
        <v>37700</v>
      </c>
      <c r="I18" s="180">
        <f t="shared" si="24"/>
        <v>37700</v>
      </c>
      <c r="J18" s="180">
        <f t="shared" si="24"/>
        <v>37700</v>
      </c>
      <c r="K18" s="180">
        <f t="shared" si="24"/>
        <v>37700</v>
      </c>
      <c r="L18" s="180">
        <f t="shared" si="24"/>
        <v>37700</v>
      </c>
      <c r="M18" s="180">
        <f t="shared" si="24"/>
        <v>37700</v>
      </c>
      <c r="N18" s="180">
        <f t="shared" si="24"/>
        <v>37700</v>
      </c>
      <c r="O18" s="180">
        <f t="shared" si="24"/>
        <v>37700</v>
      </c>
      <c r="P18" s="202">
        <f>SUM(D18:O18)</f>
        <v>452400</v>
      </c>
      <c r="Q18" s="185"/>
      <c r="S18" s="180">
        <f t="shared" si="28"/>
        <v>38454</v>
      </c>
      <c r="T18" s="180">
        <f t="shared" si="25"/>
        <v>38454</v>
      </c>
      <c r="U18" s="180">
        <f t="shared" si="25"/>
        <v>38454</v>
      </c>
      <c r="V18" s="180">
        <f t="shared" si="25"/>
        <v>38454</v>
      </c>
      <c r="W18" s="180">
        <f t="shared" si="25"/>
        <v>38454</v>
      </c>
      <c r="X18" s="180">
        <f t="shared" si="26"/>
        <v>38454</v>
      </c>
      <c r="Y18" s="180">
        <f t="shared" si="26"/>
        <v>38454</v>
      </c>
      <c r="Z18" s="180">
        <f t="shared" si="26"/>
        <v>38454</v>
      </c>
      <c r="AA18" s="180">
        <f t="shared" si="26"/>
        <v>38454</v>
      </c>
      <c r="AB18" s="180">
        <f t="shared" si="26"/>
        <v>38454</v>
      </c>
      <c r="AC18" s="180">
        <f t="shared" si="26"/>
        <v>38454</v>
      </c>
      <c r="AD18" s="180">
        <f t="shared" si="26"/>
        <v>38454</v>
      </c>
      <c r="AE18" s="180">
        <f t="shared" si="26"/>
        <v>38454</v>
      </c>
      <c r="AF18" s="202">
        <f>SUM(T18:AE18)</f>
        <v>461448</v>
      </c>
      <c r="AG18" s="185"/>
      <c r="AI18" s="180">
        <f t="shared" si="29"/>
        <v>39223.08</v>
      </c>
      <c r="AJ18" s="180">
        <f t="shared" si="30"/>
        <v>39223.08</v>
      </c>
      <c r="AK18" s="180">
        <f t="shared" si="30"/>
        <v>39223.08</v>
      </c>
      <c r="AL18" s="180">
        <f t="shared" si="30"/>
        <v>39223.08</v>
      </c>
      <c r="AM18" s="180">
        <f t="shared" si="30"/>
        <v>39223.08</v>
      </c>
      <c r="AN18" s="180">
        <f t="shared" si="30"/>
        <v>39223.08</v>
      </c>
      <c r="AO18" s="180">
        <f t="shared" si="30"/>
        <v>39223.08</v>
      </c>
      <c r="AP18" s="180">
        <f t="shared" si="30"/>
        <v>39223.08</v>
      </c>
      <c r="AQ18" s="180">
        <f t="shared" si="30"/>
        <v>39223.08</v>
      </c>
      <c r="AR18" s="180">
        <f t="shared" si="30"/>
        <v>39223.08</v>
      </c>
      <c r="AS18" s="180">
        <f t="shared" si="30"/>
        <v>39223.08</v>
      </c>
      <c r="AT18" s="180">
        <f t="shared" si="30"/>
        <v>39223.08</v>
      </c>
      <c r="AU18" s="180">
        <f t="shared" si="30"/>
        <v>39223.08</v>
      </c>
      <c r="AV18" s="202">
        <f>SUM(AJ18:AU18)</f>
        <v>470676.96000000014</v>
      </c>
      <c r="AW18" s="185"/>
    </row>
    <row r="19" spans="1:50"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202"/>
      <c r="Q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202"/>
      <c r="AG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202"/>
      <c r="AW19" s="180"/>
    </row>
    <row r="20" spans="1:50">
      <c r="B20" s="177" t="s">
        <v>193</v>
      </c>
      <c r="D20" s="180">
        <f t="shared" ref="D20:O22" si="31">+SUMPRODUCT(D7,D12)</f>
        <v>1381600</v>
      </c>
      <c r="E20" s="180">
        <f t="shared" si="31"/>
        <v>4082000</v>
      </c>
      <c r="F20" s="180">
        <f t="shared" si="31"/>
        <v>7410400</v>
      </c>
      <c r="G20" s="180">
        <f t="shared" si="31"/>
        <v>11052800</v>
      </c>
      <c r="H20" s="180">
        <f t="shared" si="31"/>
        <v>14946400</v>
      </c>
      <c r="I20" s="180">
        <f t="shared" si="31"/>
        <v>19342400</v>
      </c>
      <c r="J20" s="180">
        <f t="shared" si="31"/>
        <v>24554800</v>
      </c>
      <c r="K20" s="180">
        <f t="shared" si="31"/>
        <v>30772000</v>
      </c>
      <c r="L20" s="180">
        <f t="shared" si="31"/>
        <v>38245200</v>
      </c>
      <c r="M20" s="180">
        <f t="shared" si="31"/>
        <v>47225600</v>
      </c>
      <c r="N20" s="180">
        <f t="shared" si="31"/>
        <v>58027200</v>
      </c>
      <c r="O20" s="180">
        <f t="shared" si="31"/>
        <v>71026800</v>
      </c>
      <c r="P20" s="202">
        <f>SUM(D20:O20)</f>
        <v>328067200</v>
      </c>
      <c r="Q20" s="180">
        <f>+P20/12</f>
        <v>27338933.333333332</v>
      </c>
      <c r="T20" s="180">
        <f t="shared" ref="T20:AE22" si="32">+SUMPRODUCT(T7,T12)</f>
        <v>86983700</v>
      </c>
      <c r="U20" s="180">
        <f t="shared" si="32"/>
        <v>100893400</v>
      </c>
      <c r="V20" s="180">
        <f t="shared" si="32"/>
        <v>113777500</v>
      </c>
      <c r="W20" s="180">
        <f t="shared" si="32"/>
        <v>125443700</v>
      </c>
      <c r="X20" s="180">
        <f t="shared" si="32"/>
        <v>135699700</v>
      </c>
      <c r="Y20" s="180">
        <f t="shared" si="32"/>
        <v>144609600</v>
      </c>
      <c r="Z20" s="180">
        <f t="shared" si="32"/>
        <v>152173400</v>
      </c>
      <c r="AA20" s="180">
        <f t="shared" si="32"/>
        <v>158583400</v>
      </c>
      <c r="AB20" s="180">
        <f t="shared" si="32"/>
        <v>163903700</v>
      </c>
      <c r="AC20" s="180">
        <f t="shared" si="32"/>
        <v>168326600</v>
      </c>
      <c r="AD20" s="180">
        <f t="shared" si="32"/>
        <v>171916200</v>
      </c>
      <c r="AE20" s="180">
        <f t="shared" si="32"/>
        <v>174864800</v>
      </c>
      <c r="AF20" s="202">
        <f>SUM(T20:AE20)</f>
        <v>1697175700</v>
      </c>
      <c r="AG20" s="180">
        <f>+AF20/12</f>
        <v>141431308.33333334</v>
      </c>
      <c r="AJ20" s="180">
        <f>+SUMPRODUCT(AJ7,AJ12)</f>
        <v>181092600</v>
      </c>
      <c r="AK20" s="180">
        <f>+SUMPRODUCT(AK7,AK12)</f>
        <v>183839400</v>
      </c>
      <c r="AL20" s="180">
        <f>+SUMPRODUCT(AL7,AL12)</f>
        <v>186063000</v>
      </c>
      <c r="AM20" s="180">
        <f t="shared" ref="AM20:AU22" si="33">+SUMPRODUCT(AM7,AM12)</f>
        <v>187828800</v>
      </c>
      <c r="AN20" s="180">
        <f t="shared" si="33"/>
        <v>207645000</v>
      </c>
      <c r="AO20" s="180">
        <f t="shared" si="33"/>
        <v>225172200</v>
      </c>
      <c r="AP20" s="180">
        <f t="shared" si="33"/>
        <v>240410400</v>
      </c>
      <c r="AQ20" s="180">
        <f t="shared" si="33"/>
        <v>253425000</v>
      </c>
      <c r="AR20" s="180">
        <f t="shared" si="33"/>
        <v>264412200</v>
      </c>
      <c r="AS20" s="180">
        <f t="shared" si="33"/>
        <v>273568200</v>
      </c>
      <c r="AT20" s="180">
        <f t="shared" si="33"/>
        <v>281154600</v>
      </c>
      <c r="AU20" s="180">
        <f t="shared" si="33"/>
        <v>287367600</v>
      </c>
      <c r="AV20" s="202">
        <f>SUM(AJ20:AU20)</f>
        <v>2771979000</v>
      </c>
      <c r="AW20" s="180">
        <f>+AV20/12</f>
        <v>230998250</v>
      </c>
    </row>
    <row r="21" spans="1:50">
      <c r="A21" s="177" t="s">
        <v>210</v>
      </c>
      <c r="B21" s="177" t="s">
        <v>194</v>
      </c>
      <c r="D21" s="180">
        <f t="shared" si="31"/>
        <v>2194500</v>
      </c>
      <c r="E21" s="180">
        <f t="shared" si="31"/>
        <v>5320000</v>
      </c>
      <c r="F21" s="180">
        <f t="shared" si="31"/>
        <v>8512000</v>
      </c>
      <c r="G21" s="180">
        <f t="shared" si="31"/>
        <v>11571000</v>
      </c>
      <c r="H21" s="180">
        <f t="shared" si="31"/>
        <v>14563500</v>
      </c>
      <c r="I21" s="180">
        <f t="shared" si="31"/>
        <v>17755500</v>
      </c>
      <c r="J21" s="180">
        <f t="shared" si="31"/>
        <v>21280000</v>
      </c>
      <c r="K21" s="180">
        <f t="shared" si="31"/>
        <v>25270000</v>
      </c>
      <c r="L21" s="180">
        <f t="shared" si="31"/>
        <v>29792000</v>
      </c>
      <c r="M21" s="180">
        <f t="shared" si="31"/>
        <v>34979000</v>
      </c>
      <c r="N21" s="180">
        <f t="shared" si="31"/>
        <v>40897500</v>
      </c>
      <c r="O21" s="180">
        <f t="shared" si="31"/>
        <v>47614000</v>
      </c>
      <c r="P21" s="202">
        <f>SUM(D21:O21)</f>
        <v>259749000</v>
      </c>
      <c r="Q21" s="180">
        <f>+P21/12</f>
        <v>21645750</v>
      </c>
      <c r="T21" s="180">
        <f t="shared" si="32"/>
        <v>56424900</v>
      </c>
      <c r="U21" s="180">
        <f t="shared" si="32"/>
        <v>63214900</v>
      </c>
      <c r="V21" s="180">
        <f t="shared" si="32"/>
        <v>69258000</v>
      </c>
      <c r="W21" s="180">
        <f t="shared" si="32"/>
        <v>74554200</v>
      </c>
      <c r="X21" s="180">
        <f t="shared" si="32"/>
        <v>79103500</v>
      </c>
      <c r="Y21" s="180">
        <f t="shared" si="32"/>
        <v>82973800</v>
      </c>
      <c r="Z21" s="180">
        <f t="shared" si="32"/>
        <v>86233000</v>
      </c>
      <c r="AA21" s="180">
        <f t="shared" si="32"/>
        <v>88949000</v>
      </c>
      <c r="AB21" s="180">
        <f t="shared" si="32"/>
        <v>91189700</v>
      </c>
      <c r="AC21" s="180">
        <f t="shared" si="32"/>
        <v>93023000</v>
      </c>
      <c r="AD21" s="180">
        <f t="shared" si="32"/>
        <v>94516800</v>
      </c>
      <c r="AE21" s="180">
        <f t="shared" si="32"/>
        <v>95739000</v>
      </c>
      <c r="AF21" s="202">
        <f>SUM(T21:AE21)</f>
        <v>975179800</v>
      </c>
      <c r="AG21" s="180">
        <f>+AF21/12</f>
        <v>81264983.333333328</v>
      </c>
      <c r="AJ21" s="180">
        <f t="shared" ref="AJ21:AJ22" si="34">+SUMPRODUCT(AJ8,AJ13)</f>
        <v>98748400</v>
      </c>
      <c r="AK21" s="180">
        <f>+SUMPRODUCT(AK8,AK13)</f>
        <v>99924800</v>
      </c>
      <c r="AL21" s="180">
        <f>+SUMPRODUCT(AL8,AL13)</f>
        <v>100893600</v>
      </c>
      <c r="AM21" s="180">
        <f t="shared" si="33"/>
        <v>101654800</v>
      </c>
      <c r="AN21" s="180">
        <f t="shared" si="33"/>
        <v>110235600</v>
      </c>
      <c r="AO21" s="180">
        <f t="shared" si="33"/>
        <v>117709200</v>
      </c>
      <c r="AP21" s="180">
        <f t="shared" si="33"/>
        <v>124075600</v>
      </c>
      <c r="AQ21" s="180">
        <f t="shared" si="33"/>
        <v>129473200</v>
      </c>
      <c r="AR21" s="180">
        <f t="shared" si="33"/>
        <v>133971200</v>
      </c>
      <c r="AS21" s="180">
        <f t="shared" si="33"/>
        <v>137708000</v>
      </c>
      <c r="AT21" s="180">
        <f t="shared" si="33"/>
        <v>140752800</v>
      </c>
      <c r="AU21" s="180">
        <f t="shared" si="33"/>
        <v>143244000</v>
      </c>
      <c r="AV21" s="202">
        <f>SUM(AJ21:AU21)</f>
        <v>1438391200</v>
      </c>
      <c r="AW21" s="180">
        <f>+AV21/12</f>
        <v>119865933.33333333</v>
      </c>
    </row>
    <row r="22" spans="1:50">
      <c r="B22" s="177" t="s">
        <v>195</v>
      </c>
      <c r="D22" s="180">
        <f t="shared" si="31"/>
        <v>1328100</v>
      </c>
      <c r="E22" s="180">
        <f t="shared" si="31"/>
        <v>3355200</v>
      </c>
      <c r="F22" s="180">
        <f t="shared" si="31"/>
        <v>5522100</v>
      </c>
      <c r="G22" s="180">
        <f t="shared" si="31"/>
        <v>7129800</v>
      </c>
      <c r="H22" s="180">
        <f t="shared" si="31"/>
        <v>8597700</v>
      </c>
      <c r="I22" s="180">
        <f t="shared" si="31"/>
        <v>10135500</v>
      </c>
      <c r="J22" s="180">
        <f t="shared" si="31"/>
        <v>11743200</v>
      </c>
      <c r="K22" s="180">
        <f t="shared" si="31"/>
        <v>13490700</v>
      </c>
      <c r="L22" s="180">
        <f t="shared" si="31"/>
        <v>15447900</v>
      </c>
      <c r="M22" s="180">
        <f t="shared" si="31"/>
        <v>17614800</v>
      </c>
      <c r="N22" s="180">
        <f t="shared" si="31"/>
        <v>19991400</v>
      </c>
      <c r="O22" s="180">
        <f t="shared" si="31"/>
        <v>22647600</v>
      </c>
      <c r="P22" s="202">
        <f>SUM(D22:O22)</f>
        <v>137004000</v>
      </c>
      <c r="Q22" s="180">
        <f>+P22/12</f>
        <v>11417000</v>
      </c>
      <c r="T22" s="180">
        <f t="shared" si="32"/>
        <v>25881900</v>
      </c>
      <c r="U22" s="180">
        <f t="shared" si="32"/>
        <v>28020900</v>
      </c>
      <c r="V22" s="180">
        <f t="shared" si="32"/>
        <v>29874700</v>
      </c>
      <c r="W22" s="180">
        <f t="shared" si="32"/>
        <v>31514600</v>
      </c>
      <c r="X22" s="180">
        <f t="shared" si="32"/>
        <v>32869300</v>
      </c>
      <c r="Y22" s="180">
        <f t="shared" si="32"/>
        <v>34010100</v>
      </c>
      <c r="Z22" s="180">
        <f t="shared" si="32"/>
        <v>34937000</v>
      </c>
      <c r="AA22" s="180">
        <f t="shared" si="32"/>
        <v>35721300</v>
      </c>
      <c r="AB22" s="180">
        <f t="shared" si="32"/>
        <v>36363000</v>
      </c>
      <c r="AC22" s="180">
        <f t="shared" si="32"/>
        <v>36862100</v>
      </c>
      <c r="AD22" s="180">
        <f t="shared" si="32"/>
        <v>37289900</v>
      </c>
      <c r="AE22" s="180">
        <f t="shared" si="32"/>
        <v>37646400</v>
      </c>
      <c r="AF22" s="202">
        <f>SUM(T22:AE22)</f>
        <v>400991200</v>
      </c>
      <c r="AG22" s="180">
        <f>+AF22/12</f>
        <v>33415933.333333332</v>
      </c>
      <c r="AJ22" s="180">
        <f t="shared" si="34"/>
        <v>38603700</v>
      </c>
      <c r="AK22" s="180">
        <f>+SUMPRODUCT(AK9,AK14)</f>
        <v>38821800</v>
      </c>
      <c r="AL22" s="180">
        <f>+SUMPRODUCT(AL9,AL14)</f>
        <v>39039900</v>
      </c>
      <c r="AM22" s="180">
        <f t="shared" si="33"/>
        <v>39185300</v>
      </c>
      <c r="AN22" s="180">
        <f t="shared" si="33"/>
        <v>40857400</v>
      </c>
      <c r="AO22" s="180">
        <f t="shared" si="33"/>
        <v>42238700</v>
      </c>
      <c r="AP22" s="180">
        <f t="shared" si="33"/>
        <v>43401900</v>
      </c>
      <c r="AQ22" s="180">
        <f t="shared" si="33"/>
        <v>44347000</v>
      </c>
      <c r="AR22" s="180">
        <f t="shared" si="33"/>
        <v>45146700</v>
      </c>
      <c r="AS22" s="180">
        <f t="shared" si="33"/>
        <v>45801000</v>
      </c>
      <c r="AT22" s="180">
        <f t="shared" si="33"/>
        <v>46309900</v>
      </c>
      <c r="AU22" s="180">
        <f t="shared" si="33"/>
        <v>46746100</v>
      </c>
      <c r="AV22" s="202">
        <f>SUM(AJ22:AU22)</f>
        <v>510499400</v>
      </c>
      <c r="AW22" s="180">
        <f>+AV22/12</f>
        <v>42541616.666666664</v>
      </c>
    </row>
    <row r="23" spans="1:50">
      <c r="D23" s="180">
        <f>+D20+D21+D22</f>
        <v>4904200</v>
      </c>
      <c r="E23" s="180">
        <f>+E20+E21+E22</f>
        <v>12757200</v>
      </c>
      <c r="F23" s="180">
        <f t="shared" ref="F23:O23" si="35">+F20+F21+F22</f>
        <v>21444500</v>
      </c>
      <c r="G23" s="180">
        <f t="shared" si="35"/>
        <v>29753600</v>
      </c>
      <c r="H23" s="180">
        <f t="shared" si="35"/>
        <v>38107600</v>
      </c>
      <c r="I23" s="180">
        <f t="shared" si="35"/>
        <v>47233400</v>
      </c>
      <c r="J23" s="180">
        <f t="shared" si="35"/>
        <v>57578000</v>
      </c>
      <c r="K23" s="180">
        <f t="shared" si="35"/>
        <v>69532700</v>
      </c>
      <c r="L23" s="180">
        <f t="shared" si="35"/>
        <v>83485100</v>
      </c>
      <c r="M23" s="180">
        <f t="shared" si="35"/>
        <v>99819400</v>
      </c>
      <c r="N23" s="180">
        <f t="shared" si="35"/>
        <v>118916100</v>
      </c>
      <c r="O23" s="180">
        <f t="shared" si="35"/>
        <v>141288400</v>
      </c>
      <c r="P23" s="202">
        <f>SUM(D23:O23)</f>
        <v>724820200</v>
      </c>
      <c r="Q23" s="180">
        <f>+P23/12</f>
        <v>60401683.333333336</v>
      </c>
      <c r="R23" s="180">
        <f>+P23/P10</f>
        <v>65357.998196573491</v>
      </c>
      <c r="T23" s="180">
        <f t="shared" ref="T23:AE23" si="36">+T20+T21+T22</f>
        <v>169290500</v>
      </c>
      <c r="U23" s="180">
        <f t="shared" si="36"/>
        <v>192129200</v>
      </c>
      <c r="V23" s="180">
        <f t="shared" si="36"/>
        <v>212910200</v>
      </c>
      <c r="W23" s="180">
        <f t="shared" si="36"/>
        <v>231512500</v>
      </c>
      <c r="X23" s="180">
        <f t="shared" si="36"/>
        <v>247672500</v>
      </c>
      <c r="Y23" s="180">
        <f t="shared" si="36"/>
        <v>261593500</v>
      </c>
      <c r="Z23" s="180">
        <f t="shared" si="36"/>
        <v>273343400</v>
      </c>
      <c r="AA23" s="180">
        <f t="shared" si="36"/>
        <v>283253700</v>
      </c>
      <c r="AB23" s="180">
        <f t="shared" si="36"/>
        <v>291456400</v>
      </c>
      <c r="AC23" s="180">
        <f t="shared" si="36"/>
        <v>298211700</v>
      </c>
      <c r="AD23" s="180">
        <f t="shared" si="36"/>
        <v>303722900</v>
      </c>
      <c r="AE23" s="180">
        <f t="shared" si="36"/>
        <v>308250200</v>
      </c>
      <c r="AF23" s="202">
        <f>SUM(T23:AE23)</f>
        <v>3073346700</v>
      </c>
      <c r="AG23" s="180">
        <f>+AF23/12</f>
        <v>256112225</v>
      </c>
      <c r="AH23" s="180">
        <f>+AF23/AF10</f>
        <v>66146.109807804052</v>
      </c>
      <c r="AJ23" s="180">
        <f t="shared" ref="AJ23:AU23" si="37">+AJ20+AJ21+AJ22</f>
        <v>318444700</v>
      </c>
      <c r="AK23" s="180">
        <f t="shared" si="37"/>
        <v>322586000</v>
      </c>
      <c r="AL23" s="180">
        <f t="shared" si="37"/>
        <v>325996500</v>
      </c>
      <c r="AM23" s="180">
        <f t="shared" si="37"/>
        <v>328668900</v>
      </c>
      <c r="AN23" s="180">
        <f t="shared" si="37"/>
        <v>358738000</v>
      </c>
      <c r="AO23" s="180">
        <f t="shared" si="37"/>
        <v>385120100</v>
      </c>
      <c r="AP23" s="180">
        <f t="shared" si="37"/>
        <v>407887900</v>
      </c>
      <c r="AQ23" s="180">
        <f t="shared" si="37"/>
        <v>427245200</v>
      </c>
      <c r="AR23" s="180">
        <f t="shared" si="37"/>
        <v>443530100</v>
      </c>
      <c r="AS23" s="180">
        <f t="shared" si="37"/>
        <v>457077200</v>
      </c>
      <c r="AT23" s="180">
        <f t="shared" si="37"/>
        <v>468217300</v>
      </c>
      <c r="AU23" s="180">
        <f t="shared" si="37"/>
        <v>477357700</v>
      </c>
      <c r="AV23" s="202">
        <f>SUM(AJ23:AU23)</f>
        <v>4720869600</v>
      </c>
      <c r="AW23" s="180">
        <f>+AV23/12</f>
        <v>393405800</v>
      </c>
      <c r="AX23" s="180">
        <f>+AV23/AV10</f>
        <v>67255.561095835772</v>
      </c>
    </row>
    <row r="24" spans="1:50"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202"/>
      <c r="Q24" s="180"/>
      <c r="R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202"/>
      <c r="AG24" s="208">
        <f>+(AF23/P23)-1</f>
        <v>3.2401504538642829</v>
      </c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202"/>
      <c r="AW24" s="208">
        <f>+(AV23/AF23)-1</f>
        <v>0.53606802642864859</v>
      </c>
    </row>
    <row r="25" spans="1:50">
      <c r="B25" s="177" t="s">
        <v>193</v>
      </c>
      <c r="D25" s="180">
        <f t="shared" ref="D25:O27" si="38">+SUMPRODUCT(D7,D16)</f>
        <v>745800</v>
      </c>
      <c r="E25" s="180">
        <f t="shared" si="38"/>
        <v>2203500</v>
      </c>
      <c r="F25" s="180">
        <f t="shared" si="38"/>
        <v>4000200</v>
      </c>
      <c r="G25" s="180">
        <f t="shared" si="38"/>
        <v>5966400</v>
      </c>
      <c r="H25" s="180">
        <f t="shared" si="38"/>
        <v>8068200</v>
      </c>
      <c r="I25" s="180">
        <f t="shared" si="38"/>
        <v>10441200</v>
      </c>
      <c r="J25" s="180">
        <f t="shared" si="38"/>
        <v>13254900</v>
      </c>
      <c r="K25" s="180">
        <f t="shared" si="38"/>
        <v>16611000</v>
      </c>
      <c r="L25" s="180">
        <f t="shared" si="38"/>
        <v>20645100</v>
      </c>
      <c r="M25" s="180">
        <f t="shared" si="38"/>
        <v>25492800</v>
      </c>
      <c r="N25" s="180">
        <f t="shared" si="38"/>
        <v>31323600</v>
      </c>
      <c r="O25" s="180">
        <f t="shared" si="38"/>
        <v>38340900</v>
      </c>
      <c r="P25" s="202">
        <f>SUM(D25:O25)</f>
        <v>177093600</v>
      </c>
      <c r="Q25" s="180">
        <f>+P25/12</f>
        <v>14757800</v>
      </c>
      <c r="R25" s="180"/>
      <c r="T25" s="180">
        <f t="shared" ref="T25:W27" si="39">+SUMPRODUCT(T7,T16)</f>
        <v>46922346</v>
      </c>
      <c r="U25" s="180">
        <f>+SUMPRODUCT(U7,U16)</f>
        <v>54425772</v>
      </c>
      <c r="V25" s="180">
        <f>+SUMPRODUCT(V7,V16)</f>
        <v>61375950</v>
      </c>
      <c r="W25" s="180">
        <f t="shared" ref="W25:AE27" si="40">+SUMPRODUCT(W7,W16)</f>
        <v>67669146</v>
      </c>
      <c r="X25" s="180">
        <f t="shared" si="40"/>
        <v>73201626</v>
      </c>
      <c r="Y25" s="180">
        <f t="shared" si="40"/>
        <v>78007968</v>
      </c>
      <c r="Z25" s="180">
        <f t="shared" si="40"/>
        <v>82088172</v>
      </c>
      <c r="AA25" s="180">
        <f t="shared" si="40"/>
        <v>85545972</v>
      </c>
      <c r="AB25" s="180">
        <f t="shared" si="40"/>
        <v>88415946</v>
      </c>
      <c r="AC25" s="180">
        <f t="shared" si="40"/>
        <v>90801828</v>
      </c>
      <c r="AD25" s="180">
        <f t="shared" si="40"/>
        <v>92738196</v>
      </c>
      <c r="AE25" s="180">
        <f t="shared" si="40"/>
        <v>94328784</v>
      </c>
      <c r="AF25" s="202">
        <f>SUM(T25:AE25)</f>
        <v>915521706</v>
      </c>
      <c r="AG25" s="180">
        <f>+AF25/12</f>
        <v>76293475.5</v>
      </c>
      <c r="AH25" s="180"/>
      <c r="AJ25" s="180">
        <f t="shared" ref="AJ25:AU27" si="41">+SUMPRODUCT(AJ7,AJ16)</f>
        <v>97661411.640000001</v>
      </c>
      <c r="AK25" s="180">
        <f>+SUMPRODUCT(AK7,AK16)</f>
        <v>99142733.159999996</v>
      </c>
      <c r="AL25" s="180">
        <f>+SUMPRODUCT(AL7,AL16)</f>
        <v>100341898.19999999</v>
      </c>
      <c r="AM25" s="180">
        <f t="shared" ref="AM25:AU25" si="42">+SUMPRODUCT(AM7,AM16)</f>
        <v>101294176.31999999</v>
      </c>
      <c r="AN25" s="180">
        <f t="shared" si="42"/>
        <v>111980853</v>
      </c>
      <c r="AO25" s="180">
        <f t="shared" si="42"/>
        <v>121433095.08</v>
      </c>
      <c r="AP25" s="180">
        <f t="shared" si="42"/>
        <v>129650902.55999999</v>
      </c>
      <c r="AQ25" s="180">
        <f t="shared" si="42"/>
        <v>136669545</v>
      </c>
      <c r="AR25" s="180">
        <f t="shared" si="42"/>
        <v>142594831.07999998</v>
      </c>
      <c r="AS25" s="180">
        <f t="shared" si="42"/>
        <v>147532569.47999999</v>
      </c>
      <c r="AT25" s="180">
        <f t="shared" si="42"/>
        <v>151623838.44</v>
      </c>
      <c r="AU25" s="180">
        <f t="shared" si="42"/>
        <v>154974446.63999999</v>
      </c>
      <c r="AV25" s="202">
        <f>SUM(AJ25:AU25)</f>
        <v>1494900300.5999999</v>
      </c>
      <c r="AW25" s="180">
        <f>+AV25/12</f>
        <v>124575025.05</v>
      </c>
      <c r="AX25" s="180"/>
    </row>
    <row r="26" spans="1:50">
      <c r="A26" s="177" t="s">
        <v>211</v>
      </c>
      <c r="B26" s="177" t="s">
        <v>194</v>
      </c>
      <c r="D26" s="180">
        <f t="shared" si="38"/>
        <v>1184700</v>
      </c>
      <c r="E26" s="180">
        <f t="shared" si="38"/>
        <v>2872000</v>
      </c>
      <c r="F26" s="180">
        <f t="shared" si="38"/>
        <v>4595200</v>
      </c>
      <c r="G26" s="180">
        <f t="shared" si="38"/>
        <v>6246600</v>
      </c>
      <c r="H26" s="180">
        <f t="shared" si="38"/>
        <v>7862100</v>
      </c>
      <c r="I26" s="180">
        <f t="shared" si="38"/>
        <v>9585300</v>
      </c>
      <c r="J26" s="180">
        <f t="shared" si="38"/>
        <v>11488000</v>
      </c>
      <c r="K26" s="180">
        <f t="shared" si="38"/>
        <v>13642000</v>
      </c>
      <c r="L26" s="180">
        <f t="shared" si="38"/>
        <v>16083200</v>
      </c>
      <c r="M26" s="180">
        <f t="shared" si="38"/>
        <v>18883400</v>
      </c>
      <c r="N26" s="180">
        <f t="shared" si="38"/>
        <v>22078500</v>
      </c>
      <c r="O26" s="180">
        <f t="shared" si="38"/>
        <v>25704400</v>
      </c>
      <c r="P26" s="202">
        <f>SUM(D26:O26)</f>
        <v>140225400</v>
      </c>
      <c r="Q26" s="180">
        <f>+P26/12</f>
        <v>11685450</v>
      </c>
      <c r="R26" s="180"/>
      <c r="T26" s="180">
        <f t="shared" si="39"/>
        <v>30429558</v>
      </c>
      <c r="U26" s="180">
        <f t="shared" si="39"/>
        <v>34091358</v>
      </c>
      <c r="V26" s="180">
        <f t="shared" si="39"/>
        <v>37350360</v>
      </c>
      <c r="W26" s="180">
        <f t="shared" si="39"/>
        <v>40206564</v>
      </c>
      <c r="X26" s="180">
        <f t="shared" si="40"/>
        <v>42659970</v>
      </c>
      <c r="Y26" s="180">
        <f t="shared" si="40"/>
        <v>44747196</v>
      </c>
      <c r="Z26" s="180">
        <f t="shared" si="40"/>
        <v>46504860</v>
      </c>
      <c r="AA26" s="180">
        <f t="shared" si="40"/>
        <v>47969580</v>
      </c>
      <c r="AB26" s="180">
        <f t="shared" si="40"/>
        <v>49177974</v>
      </c>
      <c r="AC26" s="180">
        <f t="shared" si="40"/>
        <v>50166660</v>
      </c>
      <c r="AD26" s="180">
        <f t="shared" si="40"/>
        <v>50972256</v>
      </c>
      <c r="AE26" s="180">
        <f t="shared" si="40"/>
        <v>51631380</v>
      </c>
      <c r="AF26" s="202">
        <f>SUM(T26:AE26)</f>
        <v>525907716</v>
      </c>
      <c r="AG26" s="180">
        <f>+AF26/12</f>
        <v>43825643</v>
      </c>
      <c r="AH26" s="180"/>
      <c r="AJ26" s="180">
        <f t="shared" si="41"/>
        <v>53298963.719999999</v>
      </c>
      <c r="AK26" s="180">
        <f t="shared" si="41"/>
        <v>53933919.840000004</v>
      </c>
      <c r="AL26" s="180">
        <f t="shared" si="41"/>
        <v>54456824.880000003</v>
      </c>
      <c r="AM26" s="180">
        <f t="shared" si="41"/>
        <v>54867678.840000004</v>
      </c>
      <c r="AN26" s="180">
        <f t="shared" si="41"/>
        <v>59499123.480000004</v>
      </c>
      <c r="AO26" s="180">
        <f t="shared" si="41"/>
        <v>63532962.359999999</v>
      </c>
      <c r="AP26" s="180">
        <f t="shared" si="41"/>
        <v>66969195.480000004</v>
      </c>
      <c r="AQ26" s="180">
        <f t="shared" si="41"/>
        <v>69882523.560000002</v>
      </c>
      <c r="AR26" s="180">
        <f t="shared" si="41"/>
        <v>72310296.960000008</v>
      </c>
      <c r="AS26" s="180">
        <f t="shared" si="41"/>
        <v>74327216.400000006</v>
      </c>
      <c r="AT26" s="180">
        <f t="shared" si="41"/>
        <v>75970632.239999995</v>
      </c>
      <c r="AU26" s="180">
        <f t="shared" si="41"/>
        <v>77315245.200000003</v>
      </c>
      <c r="AV26" s="202">
        <f>SUM(AJ26:AU26)</f>
        <v>776364582.96000004</v>
      </c>
      <c r="AW26" s="180">
        <f>+AV26/12</f>
        <v>64697048.580000006</v>
      </c>
      <c r="AX26" s="180"/>
    </row>
    <row r="27" spans="1:50">
      <c r="B27" s="177" t="s">
        <v>195</v>
      </c>
      <c r="D27" s="180">
        <f t="shared" si="38"/>
        <v>716300</v>
      </c>
      <c r="E27" s="180">
        <f t="shared" si="38"/>
        <v>1809600</v>
      </c>
      <c r="F27" s="180">
        <f t="shared" si="38"/>
        <v>2978300</v>
      </c>
      <c r="G27" s="180">
        <f t="shared" si="38"/>
        <v>3845400</v>
      </c>
      <c r="H27" s="180">
        <f t="shared" si="38"/>
        <v>4637100</v>
      </c>
      <c r="I27" s="180">
        <f t="shared" si="38"/>
        <v>5466500</v>
      </c>
      <c r="J27" s="180">
        <f t="shared" si="38"/>
        <v>6333600</v>
      </c>
      <c r="K27" s="180">
        <f t="shared" si="38"/>
        <v>7276100</v>
      </c>
      <c r="L27" s="180">
        <f t="shared" si="38"/>
        <v>8331700</v>
      </c>
      <c r="M27" s="180">
        <f t="shared" si="38"/>
        <v>9500400</v>
      </c>
      <c r="N27" s="180">
        <f t="shared" si="38"/>
        <v>10782200</v>
      </c>
      <c r="O27" s="180">
        <f t="shared" si="38"/>
        <v>12214800</v>
      </c>
      <c r="P27" s="202">
        <f>SUM(D27:O27)</f>
        <v>73892000</v>
      </c>
      <c r="Q27" s="180">
        <f>+P27/12</f>
        <v>6157666.666666667</v>
      </c>
      <c r="R27" s="180"/>
      <c r="T27" s="180">
        <f t="shared" si="39"/>
        <v>13958802</v>
      </c>
      <c r="U27" s="180">
        <f t="shared" si="39"/>
        <v>15112422</v>
      </c>
      <c r="V27" s="180">
        <f t="shared" si="39"/>
        <v>16112226</v>
      </c>
      <c r="W27" s="180">
        <f t="shared" si="39"/>
        <v>16996668</v>
      </c>
      <c r="X27" s="180">
        <f t="shared" si="40"/>
        <v>17727294</v>
      </c>
      <c r="Y27" s="180">
        <f t="shared" si="40"/>
        <v>18342558</v>
      </c>
      <c r="Z27" s="180">
        <f t="shared" si="40"/>
        <v>18842460</v>
      </c>
      <c r="AA27" s="180">
        <f t="shared" si="40"/>
        <v>19265454</v>
      </c>
      <c r="AB27" s="180">
        <f t="shared" si="40"/>
        <v>19611540</v>
      </c>
      <c r="AC27" s="180">
        <f t="shared" si="40"/>
        <v>19880718</v>
      </c>
      <c r="AD27" s="180">
        <f t="shared" si="40"/>
        <v>20111442</v>
      </c>
      <c r="AE27" s="180">
        <f t="shared" si="40"/>
        <v>20303712</v>
      </c>
      <c r="AF27" s="202">
        <f>SUM(T27:AE27)</f>
        <v>216265296</v>
      </c>
      <c r="AG27" s="180">
        <f>+AF27/12</f>
        <v>18022108</v>
      </c>
      <c r="AH27" s="180"/>
      <c r="AJ27" s="180">
        <f t="shared" si="41"/>
        <v>20827455.48</v>
      </c>
      <c r="AK27" s="180">
        <f t="shared" si="41"/>
        <v>20945124.720000003</v>
      </c>
      <c r="AL27" s="180">
        <f t="shared" si="41"/>
        <v>21062793.960000001</v>
      </c>
      <c r="AM27" s="180">
        <f t="shared" si="41"/>
        <v>21141240.120000001</v>
      </c>
      <c r="AN27" s="180">
        <f t="shared" si="41"/>
        <v>22043370.960000001</v>
      </c>
      <c r="AO27" s="180">
        <f t="shared" si="41"/>
        <v>22788609.48</v>
      </c>
      <c r="AP27" s="180">
        <f t="shared" si="41"/>
        <v>23416178.760000002</v>
      </c>
      <c r="AQ27" s="180">
        <f t="shared" si="41"/>
        <v>23926078.800000001</v>
      </c>
      <c r="AR27" s="180">
        <f t="shared" si="41"/>
        <v>24357532.68</v>
      </c>
      <c r="AS27" s="180">
        <f t="shared" si="41"/>
        <v>24710540.400000002</v>
      </c>
      <c r="AT27" s="180">
        <f t="shared" si="41"/>
        <v>24985101.960000001</v>
      </c>
      <c r="AU27" s="180">
        <f t="shared" si="41"/>
        <v>25220440.440000001</v>
      </c>
      <c r="AV27" s="202">
        <f>SUM(AJ27:AU27)</f>
        <v>275424467.76000005</v>
      </c>
      <c r="AW27" s="180">
        <f>+AV27/12</f>
        <v>22952038.980000004</v>
      </c>
      <c r="AX27" s="180"/>
    </row>
    <row r="28" spans="1:50">
      <c r="D28" s="180">
        <f>+D25+D26+D27</f>
        <v>2646800</v>
      </c>
      <c r="E28" s="180">
        <f>+E25+E26+E27</f>
        <v>6885100</v>
      </c>
      <c r="F28" s="180">
        <f t="shared" ref="F28:O28" si="43">+F25+F26+F27</f>
        <v>11573700</v>
      </c>
      <c r="G28" s="180">
        <f t="shared" si="43"/>
        <v>16058400</v>
      </c>
      <c r="H28" s="180">
        <f t="shared" si="43"/>
        <v>20567400</v>
      </c>
      <c r="I28" s="180">
        <f t="shared" si="43"/>
        <v>25493000</v>
      </c>
      <c r="J28" s="180">
        <f t="shared" si="43"/>
        <v>31076500</v>
      </c>
      <c r="K28" s="180">
        <f t="shared" si="43"/>
        <v>37529100</v>
      </c>
      <c r="L28" s="180">
        <f t="shared" si="43"/>
        <v>45060000</v>
      </c>
      <c r="M28" s="180">
        <f t="shared" si="43"/>
        <v>53876600</v>
      </c>
      <c r="N28" s="180">
        <f t="shared" si="43"/>
        <v>64184300</v>
      </c>
      <c r="O28" s="180">
        <f t="shared" si="43"/>
        <v>76260100</v>
      </c>
      <c r="P28" s="202">
        <f>SUM(D28:O28)</f>
        <v>391211000</v>
      </c>
      <c r="Q28" s="180">
        <f>+P28/12</f>
        <v>32600916.666666668</v>
      </c>
      <c r="R28" s="180">
        <f>+P28/P10</f>
        <v>35276.014427412083</v>
      </c>
      <c r="T28" s="180">
        <f t="shared" ref="T28:AE28" si="44">+T25+T26+T27</f>
        <v>91310706</v>
      </c>
      <c r="U28" s="180">
        <f t="shared" si="44"/>
        <v>103629552</v>
      </c>
      <c r="V28" s="180">
        <f t="shared" si="44"/>
        <v>114838536</v>
      </c>
      <c r="W28" s="180">
        <f t="shared" si="44"/>
        <v>124872378</v>
      </c>
      <c r="X28" s="180">
        <f t="shared" si="44"/>
        <v>133588890</v>
      </c>
      <c r="Y28" s="180">
        <f t="shared" si="44"/>
        <v>141097722</v>
      </c>
      <c r="Z28" s="180">
        <f t="shared" si="44"/>
        <v>147435492</v>
      </c>
      <c r="AA28" s="180">
        <f t="shared" si="44"/>
        <v>152781006</v>
      </c>
      <c r="AB28" s="180">
        <f t="shared" si="44"/>
        <v>157205460</v>
      </c>
      <c r="AC28" s="180">
        <f t="shared" si="44"/>
        <v>160849206</v>
      </c>
      <c r="AD28" s="180">
        <f t="shared" si="44"/>
        <v>163821894</v>
      </c>
      <c r="AE28" s="180">
        <f t="shared" si="44"/>
        <v>166263876</v>
      </c>
      <c r="AF28" s="202">
        <f>SUM(T28:AE28)</f>
        <v>1657694718</v>
      </c>
      <c r="AG28" s="180">
        <f>+AF28/12</f>
        <v>138141226.5</v>
      </c>
      <c r="AH28" s="180">
        <f>+AF28/AF10</f>
        <v>35677.737511568346</v>
      </c>
      <c r="AJ28" s="180">
        <f t="shared" ref="AJ28:AU28" si="45">+AJ25+AJ26+AJ27</f>
        <v>171787830.84</v>
      </c>
      <c r="AK28" s="180">
        <f t="shared" si="45"/>
        <v>174021777.72</v>
      </c>
      <c r="AL28" s="180">
        <f t="shared" si="45"/>
        <v>175861517.03999999</v>
      </c>
      <c r="AM28" s="180">
        <f t="shared" si="45"/>
        <v>177303095.28</v>
      </c>
      <c r="AN28" s="180">
        <f t="shared" si="45"/>
        <v>193523347.44000003</v>
      </c>
      <c r="AO28" s="180">
        <f t="shared" si="45"/>
        <v>207754666.91999999</v>
      </c>
      <c r="AP28" s="180">
        <f t="shared" si="45"/>
        <v>220036276.79999998</v>
      </c>
      <c r="AQ28" s="180">
        <f t="shared" si="45"/>
        <v>230478147.36000001</v>
      </c>
      <c r="AR28" s="180">
        <f t="shared" si="45"/>
        <v>239262660.72</v>
      </c>
      <c r="AS28" s="180">
        <f t="shared" si="45"/>
        <v>246570326.28</v>
      </c>
      <c r="AT28" s="180">
        <f t="shared" si="45"/>
        <v>252579572.64000002</v>
      </c>
      <c r="AU28" s="180">
        <f t="shared" si="45"/>
        <v>257510132.27999997</v>
      </c>
      <c r="AV28" s="202">
        <f>SUM(AJ28:AU28)</f>
        <v>2546689351.3199997</v>
      </c>
      <c r="AW28" s="180">
        <f>+AV28/12</f>
        <v>212224112.60999998</v>
      </c>
      <c r="AX28" s="180">
        <f>+AV28/AV10</f>
        <v>36281.243875030268</v>
      </c>
    </row>
    <row r="29" spans="1:50"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202"/>
      <c r="Q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202"/>
      <c r="AG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202"/>
      <c r="AW29" s="180"/>
    </row>
    <row r="30" spans="1:50">
      <c r="A30" s="180">
        <v>2400</v>
      </c>
      <c r="B30" s="177" t="s">
        <v>238</v>
      </c>
      <c r="D30" s="180">
        <f>+$A$30*(D10)</f>
        <v>177600</v>
      </c>
      <c r="E30" s="180">
        <f t="shared" ref="E30:O30" si="46">+$A$30*(E10)</f>
        <v>463200</v>
      </c>
      <c r="F30" s="180">
        <f t="shared" si="46"/>
        <v>780000</v>
      </c>
      <c r="G30" s="180">
        <f t="shared" si="46"/>
        <v>1084800</v>
      </c>
      <c r="H30" s="180">
        <f t="shared" si="46"/>
        <v>1392000</v>
      </c>
      <c r="I30" s="180">
        <f t="shared" si="46"/>
        <v>1728000</v>
      </c>
      <c r="J30" s="180">
        <f t="shared" si="46"/>
        <v>2109600</v>
      </c>
      <c r="K30" s="180">
        <f t="shared" si="46"/>
        <v>2551200</v>
      </c>
      <c r="L30" s="180">
        <f t="shared" si="46"/>
        <v>3067200</v>
      </c>
      <c r="M30" s="180">
        <f t="shared" si="46"/>
        <v>3672000</v>
      </c>
      <c r="N30" s="180">
        <f t="shared" si="46"/>
        <v>4380000</v>
      </c>
      <c r="O30" s="180">
        <f t="shared" si="46"/>
        <v>5210400</v>
      </c>
      <c r="P30" s="202">
        <f>SUM(D30:O30)</f>
        <v>26616000</v>
      </c>
      <c r="Q30" s="180"/>
      <c r="S30" s="180">
        <f>+A30*(1+$S$36)*0.93</f>
        <v>2365.92</v>
      </c>
      <c r="T30" s="180">
        <f>+$S$30*T10</f>
        <v>6035461.9199999999</v>
      </c>
      <c r="U30" s="180">
        <f>+$S$30*U10</f>
        <v>6856436.1600000001</v>
      </c>
      <c r="V30" s="180">
        <f>+$S$30*V10</f>
        <v>7604066.8799999999</v>
      </c>
      <c r="W30" s="180">
        <f t="shared" ref="W30:AE30" si="47">+$S$30*W10</f>
        <v>8273622.2400000002</v>
      </c>
      <c r="X30" s="180">
        <f t="shared" si="47"/>
        <v>8855638.5600000005</v>
      </c>
      <c r="Y30" s="180">
        <f t="shared" si="47"/>
        <v>9357213.5999999996</v>
      </c>
      <c r="Z30" s="180">
        <f t="shared" si="47"/>
        <v>9780713.2800000012</v>
      </c>
      <c r="AA30" s="180">
        <f t="shared" si="47"/>
        <v>10137967.200000001</v>
      </c>
      <c r="AB30" s="180">
        <f t="shared" si="47"/>
        <v>10433707.200000001</v>
      </c>
      <c r="AC30" s="180">
        <f t="shared" si="47"/>
        <v>10677396.960000001</v>
      </c>
      <c r="AD30" s="180">
        <f t="shared" si="47"/>
        <v>10876134.24</v>
      </c>
      <c r="AE30" s="180">
        <f t="shared" si="47"/>
        <v>11039382.720000001</v>
      </c>
      <c r="AF30" s="202">
        <f>SUM(T30:AE30)</f>
        <v>109927740.95999999</v>
      </c>
      <c r="AG30" s="180">
        <f>+AF30/12</f>
        <v>9160645.0800000001</v>
      </c>
      <c r="AI30" s="180">
        <f>+S30*1.024</f>
        <v>2422.70208</v>
      </c>
      <c r="AJ30" s="180">
        <f>+$AI$30*AJ10</f>
        <v>11452112.73216</v>
      </c>
      <c r="AK30" s="180">
        <f t="shared" ref="AK30:AU30" si="48">+$AI$30*AK10</f>
        <v>11602320.261120001</v>
      </c>
      <c r="AL30" s="180">
        <f t="shared" si="48"/>
        <v>11725878.067199999</v>
      </c>
      <c r="AM30" s="180">
        <f t="shared" si="48"/>
        <v>11822786.1504</v>
      </c>
      <c r="AN30" s="180">
        <f t="shared" si="48"/>
        <v>12913002.0864</v>
      </c>
      <c r="AO30" s="180">
        <f t="shared" si="48"/>
        <v>13869969.408</v>
      </c>
      <c r="AP30" s="180">
        <f t="shared" si="48"/>
        <v>14696110.81728</v>
      </c>
      <c r="AQ30" s="180">
        <f t="shared" si="48"/>
        <v>15398694.42048</v>
      </c>
      <c r="AR30" s="180">
        <f t="shared" si="48"/>
        <v>15989833.728</v>
      </c>
      <c r="AS30" s="180">
        <f t="shared" si="48"/>
        <v>16481642.25024</v>
      </c>
      <c r="AT30" s="180">
        <f t="shared" si="48"/>
        <v>16886233.4976</v>
      </c>
      <c r="AU30" s="180">
        <f t="shared" si="48"/>
        <v>17218143.682560001</v>
      </c>
      <c r="AV30" s="202">
        <f>SUM(AJ30:AU30)</f>
        <v>170056727.10143998</v>
      </c>
      <c r="AW30" s="180">
        <f>+AV30/12</f>
        <v>14171393.925119998</v>
      </c>
    </row>
    <row r="31" spans="1:50"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203"/>
      <c r="AF31" s="203"/>
      <c r="AV31" s="203"/>
    </row>
    <row r="32" spans="1:50" s="192" customFormat="1">
      <c r="B32" s="192" t="s">
        <v>215</v>
      </c>
      <c r="D32" s="193">
        <f>+D23-D28-D30</f>
        <v>2079800</v>
      </c>
      <c r="E32" s="193">
        <f t="shared" ref="E32:O32" si="49">+E23-E28-E30</f>
        <v>5408900</v>
      </c>
      <c r="F32" s="193">
        <f t="shared" si="49"/>
        <v>9090800</v>
      </c>
      <c r="G32" s="193">
        <f t="shared" si="49"/>
        <v>12610400</v>
      </c>
      <c r="H32" s="193">
        <f t="shared" si="49"/>
        <v>16148200</v>
      </c>
      <c r="I32" s="193">
        <f t="shared" si="49"/>
        <v>20012400</v>
      </c>
      <c r="J32" s="193">
        <f t="shared" si="49"/>
        <v>24391900</v>
      </c>
      <c r="K32" s="193">
        <f t="shared" si="49"/>
        <v>29452400</v>
      </c>
      <c r="L32" s="193">
        <f t="shared" si="49"/>
        <v>35357900</v>
      </c>
      <c r="M32" s="193">
        <f t="shared" si="49"/>
        <v>42270800</v>
      </c>
      <c r="N32" s="193">
        <f t="shared" si="49"/>
        <v>50351800</v>
      </c>
      <c r="O32" s="193">
        <f t="shared" si="49"/>
        <v>59817900</v>
      </c>
      <c r="P32" s="204">
        <f>SUM(D32:O32)</f>
        <v>306993200</v>
      </c>
      <c r="Q32" s="191">
        <f>+P32/12</f>
        <v>25582766.666666668</v>
      </c>
      <c r="T32" s="193">
        <f t="shared" ref="T32:AF32" si="50">+T23-T28-T30</f>
        <v>71944332.079999998</v>
      </c>
      <c r="U32" s="193">
        <f t="shared" si="50"/>
        <v>81643211.840000004</v>
      </c>
      <c r="V32" s="193">
        <f t="shared" si="50"/>
        <v>90467597.120000005</v>
      </c>
      <c r="W32" s="193">
        <f t="shared" si="50"/>
        <v>98366499.760000005</v>
      </c>
      <c r="X32" s="193">
        <f t="shared" si="50"/>
        <v>105227971.44</v>
      </c>
      <c r="Y32" s="193">
        <f t="shared" si="50"/>
        <v>111138564.40000001</v>
      </c>
      <c r="Z32" s="193">
        <f t="shared" si="50"/>
        <v>116127194.72</v>
      </c>
      <c r="AA32" s="193">
        <f t="shared" si="50"/>
        <v>120334726.8</v>
      </c>
      <c r="AB32" s="193">
        <f t="shared" si="50"/>
        <v>123817232.8</v>
      </c>
      <c r="AC32" s="193">
        <f t="shared" si="50"/>
        <v>126685097.03999999</v>
      </c>
      <c r="AD32" s="193">
        <f t="shared" si="50"/>
        <v>129024871.76000001</v>
      </c>
      <c r="AE32" s="193">
        <f t="shared" si="50"/>
        <v>130946941.28</v>
      </c>
      <c r="AF32" s="204">
        <f t="shared" si="50"/>
        <v>1305724241.04</v>
      </c>
      <c r="AG32" s="191">
        <f>+AF32/12</f>
        <v>108810353.42</v>
      </c>
      <c r="AJ32" s="193">
        <f>+AJ23-AJ28-AJ30</f>
        <v>135204756.42783999</v>
      </c>
      <c r="AK32" s="193">
        <f t="shared" ref="AK32:AU32" si="51">+AK23-AK28-AK30</f>
        <v>136961902.01888001</v>
      </c>
      <c r="AL32" s="193">
        <f t="shared" si="51"/>
        <v>138409104.8928</v>
      </c>
      <c r="AM32" s="193">
        <f t="shared" si="51"/>
        <v>139543018.56959999</v>
      </c>
      <c r="AN32" s="193">
        <f t="shared" si="51"/>
        <v>152301650.47359997</v>
      </c>
      <c r="AO32" s="193">
        <f t="shared" si="51"/>
        <v>163495463.67200002</v>
      </c>
      <c r="AP32" s="193">
        <f t="shared" si="51"/>
        <v>173155512.38272002</v>
      </c>
      <c r="AQ32" s="193">
        <f t="shared" si="51"/>
        <v>181368358.21951997</v>
      </c>
      <c r="AR32" s="193">
        <f t="shared" si="51"/>
        <v>188277605.55199999</v>
      </c>
      <c r="AS32" s="193">
        <f t="shared" si="51"/>
        <v>194025231.46976</v>
      </c>
      <c r="AT32" s="193">
        <f t="shared" si="51"/>
        <v>198751493.8624</v>
      </c>
      <c r="AU32" s="193">
        <f t="shared" si="51"/>
        <v>202629424.03744003</v>
      </c>
      <c r="AV32" s="204">
        <f>SUM(AJ32:AU32)</f>
        <v>2004123521.5785601</v>
      </c>
      <c r="AW32" s="191">
        <f>+AV32/12</f>
        <v>167010293.46488002</v>
      </c>
    </row>
    <row r="34" spans="1:49">
      <c r="D34" s="177">
        <v>1</v>
      </c>
      <c r="E34" s="187">
        <f>+D34</f>
        <v>1</v>
      </c>
      <c r="F34" s="187">
        <f>+E34</f>
        <v>1</v>
      </c>
      <c r="G34" s="177">
        <v>2</v>
      </c>
      <c r="H34" s="187">
        <f t="shared" ref="H34:O34" si="52">+G34</f>
        <v>2</v>
      </c>
      <c r="I34" s="187">
        <f t="shared" si="52"/>
        <v>2</v>
      </c>
      <c r="J34" s="187">
        <f t="shared" si="52"/>
        <v>2</v>
      </c>
      <c r="K34" s="187">
        <f t="shared" si="52"/>
        <v>2</v>
      </c>
      <c r="L34" s="177">
        <v>2</v>
      </c>
      <c r="M34" s="187">
        <v>3</v>
      </c>
      <c r="N34" s="187">
        <f t="shared" si="52"/>
        <v>3</v>
      </c>
      <c r="O34" s="187">
        <f t="shared" si="52"/>
        <v>3</v>
      </c>
      <c r="T34" s="187">
        <v>4</v>
      </c>
      <c r="U34" s="187">
        <v>4</v>
      </c>
      <c r="V34" s="187">
        <v>4</v>
      </c>
      <c r="W34" s="187">
        <v>4</v>
      </c>
      <c r="X34" s="187">
        <v>5</v>
      </c>
      <c r="Y34" s="187">
        <f>+X34</f>
        <v>5</v>
      </c>
      <c r="Z34" s="187">
        <f t="shared" ref="Z34:AD34" si="53">+Y34</f>
        <v>5</v>
      </c>
      <c r="AA34" s="187">
        <f t="shared" si="53"/>
        <v>5</v>
      </c>
      <c r="AB34" s="187">
        <f t="shared" si="53"/>
        <v>5</v>
      </c>
      <c r="AC34" s="187">
        <f t="shared" si="53"/>
        <v>5</v>
      </c>
      <c r="AD34" s="187">
        <f t="shared" si="53"/>
        <v>5</v>
      </c>
      <c r="AE34" s="187">
        <f>+AD34</f>
        <v>5</v>
      </c>
      <c r="AJ34" s="187">
        <v>5</v>
      </c>
      <c r="AK34" s="187">
        <v>5</v>
      </c>
      <c r="AL34" s="187">
        <v>5</v>
      </c>
      <c r="AM34" s="187">
        <v>6</v>
      </c>
      <c r="AN34" s="187">
        <f>+AM34</f>
        <v>6</v>
      </c>
      <c r="AO34" s="187">
        <f>+AN34</f>
        <v>6</v>
      </c>
      <c r="AP34" s="187">
        <f>+AO34</f>
        <v>6</v>
      </c>
      <c r="AQ34" s="187">
        <f t="shared" ref="AQ34:AU34" si="54">+AP34</f>
        <v>6</v>
      </c>
      <c r="AR34" s="187">
        <f t="shared" si="54"/>
        <v>6</v>
      </c>
      <c r="AS34" s="187">
        <f t="shared" si="54"/>
        <v>6</v>
      </c>
      <c r="AT34" s="187">
        <f t="shared" si="54"/>
        <v>6</v>
      </c>
      <c r="AU34" s="187">
        <f t="shared" si="54"/>
        <v>6</v>
      </c>
    </row>
    <row r="35" spans="1:49">
      <c r="D35" s="180">
        <f>+D23/D34</f>
        <v>4904200</v>
      </c>
      <c r="E35" s="180">
        <f t="shared" ref="E35:O35" si="55">+E23/E34</f>
        <v>12757200</v>
      </c>
      <c r="F35" s="180">
        <f t="shared" si="55"/>
        <v>21444500</v>
      </c>
      <c r="G35" s="180">
        <f t="shared" si="55"/>
        <v>14876800</v>
      </c>
      <c r="H35" s="180">
        <f t="shared" si="55"/>
        <v>19053800</v>
      </c>
      <c r="I35" s="180">
        <f t="shared" si="55"/>
        <v>23616700</v>
      </c>
      <c r="J35" s="180">
        <f t="shared" si="55"/>
        <v>28789000</v>
      </c>
      <c r="K35" s="180">
        <f t="shared" si="55"/>
        <v>34766350</v>
      </c>
      <c r="L35" s="180">
        <f t="shared" si="55"/>
        <v>41742550</v>
      </c>
      <c r="M35" s="180">
        <f t="shared" si="55"/>
        <v>33273133.333333332</v>
      </c>
      <c r="N35" s="180">
        <f t="shared" si="55"/>
        <v>39638700</v>
      </c>
      <c r="O35" s="180">
        <f t="shared" si="55"/>
        <v>47096133.333333336</v>
      </c>
      <c r="P35" s="202"/>
      <c r="T35" s="180">
        <f t="shared" ref="T35:U35" si="56">+T23/T34</f>
        <v>42322625</v>
      </c>
      <c r="U35" s="180">
        <f t="shared" si="56"/>
        <v>48032300</v>
      </c>
      <c r="V35" s="180">
        <f>+V23/V34</f>
        <v>53227550</v>
      </c>
      <c r="W35" s="180">
        <f t="shared" ref="W35:AE35" si="57">+W23/W34</f>
        <v>57878125</v>
      </c>
      <c r="X35" s="180">
        <f t="shared" si="57"/>
        <v>49534500</v>
      </c>
      <c r="Y35" s="180">
        <f t="shared" si="57"/>
        <v>52318700</v>
      </c>
      <c r="Z35" s="180">
        <f t="shared" si="57"/>
        <v>54668680</v>
      </c>
      <c r="AA35" s="180">
        <f t="shared" si="57"/>
        <v>56650740</v>
      </c>
      <c r="AB35" s="180">
        <f t="shared" si="57"/>
        <v>58291280</v>
      </c>
      <c r="AC35" s="180">
        <f t="shared" si="57"/>
        <v>59642340</v>
      </c>
      <c r="AD35" s="180">
        <f t="shared" si="57"/>
        <v>60744580</v>
      </c>
      <c r="AE35" s="180">
        <f t="shared" si="57"/>
        <v>61650040</v>
      </c>
      <c r="AF35" s="202"/>
      <c r="AJ35" s="180">
        <f t="shared" ref="AJ35:AK35" si="58">+AJ23/AJ34</f>
        <v>63688940</v>
      </c>
      <c r="AK35" s="180">
        <f t="shared" si="58"/>
        <v>64517200</v>
      </c>
      <c r="AL35" s="180">
        <f>+AL23/AL34</f>
        <v>65199300</v>
      </c>
      <c r="AM35" s="180">
        <f t="shared" ref="AM35:AU35" si="59">+AM23/AM34</f>
        <v>54778150</v>
      </c>
      <c r="AN35" s="180">
        <f t="shared" si="59"/>
        <v>59789666.666666664</v>
      </c>
      <c r="AO35" s="180">
        <f t="shared" si="59"/>
        <v>64186683.333333336</v>
      </c>
      <c r="AP35" s="180">
        <f t="shared" si="59"/>
        <v>67981316.666666672</v>
      </c>
      <c r="AQ35" s="180">
        <f t="shared" si="59"/>
        <v>71207533.333333328</v>
      </c>
      <c r="AR35" s="180">
        <f t="shared" si="59"/>
        <v>73921683.333333328</v>
      </c>
      <c r="AS35" s="180">
        <f t="shared" si="59"/>
        <v>76179533.333333328</v>
      </c>
      <c r="AT35" s="180">
        <f t="shared" si="59"/>
        <v>78036216.666666672</v>
      </c>
      <c r="AU35" s="180">
        <f t="shared" si="59"/>
        <v>79559616.666666672</v>
      </c>
      <c r="AV35" s="202"/>
    </row>
    <row r="36" spans="1:49" s="192" customFormat="1">
      <c r="A36" s="191">
        <v>1424000</v>
      </c>
      <c r="B36" s="209" t="s">
        <v>216</v>
      </c>
      <c r="D36" s="193">
        <f>(SUM(D37:D58)*1.5)+D59</f>
        <v>12760991.449999999</v>
      </c>
      <c r="E36" s="193">
        <f t="shared" ref="E36:N36" si="60">(SUM(E37:E58)*1.5)+E59</f>
        <v>13102596.949999999</v>
      </c>
      <c r="F36" s="193">
        <f t="shared" si="60"/>
        <v>13480494.5</v>
      </c>
      <c r="G36" s="193">
        <f t="shared" si="60"/>
        <v>13284060.35</v>
      </c>
      <c r="H36" s="193">
        <f t="shared" si="60"/>
        <v>13490821.85</v>
      </c>
      <c r="I36" s="193">
        <f t="shared" si="60"/>
        <v>16738311.65</v>
      </c>
      <c r="J36" s="193">
        <f t="shared" si="60"/>
        <v>17188301.75</v>
      </c>
      <c r="K36" s="193">
        <f t="shared" si="60"/>
        <v>17708331.199999999</v>
      </c>
      <c r="L36" s="193">
        <f t="shared" si="60"/>
        <v>18315260.600000001</v>
      </c>
      <c r="M36" s="193">
        <f t="shared" si="60"/>
        <v>22584060.149999999</v>
      </c>
      <c r="N36" s="193">
        <f t="shared" si="60"/>
        <v>26798509.100000001</v>
      </c>
      <c r="O36" s="193">
        <f>(SUM(O37:O58)*1.5)+O59</f>
        <v>30014504.149999991</v>
      </c>
      <c r="P36" s="205">
        <f>SUM(D36:O36)</f>
        <v>215466243.69999999</v>
      </c>
      <c r="R36" s="193">
        <f>+A36*(1+S36)</f>
        <v>1509440</v>
      </c>
      <c r="S36" s="194">
        <v>0.06</v>
      </c>
      <c r="T36" s="193">
        <f>(SUM(T37:T61)*1.5)</f>
        <v>43600266.5625</v>
      </c>
      <c r="U36" s="193">
        <f>(SUM(U37:U61)*1.5)</f>
        <v>44806476.600000001</v>
      </c>
      <c r="V36" s="193">
        <f t="shared" ref="V36:AE36" si="61">(SUM(V37:V61)*1.5)</f>
        <v>50161163.100000001</v>
      </c>
      <c r="W36" s="193">
        <f t="shared" si="61"/>
        <v>51312755.25</v>
      </c>
      <c r="X36" s="193">
        <f t="shared" si="61"/>
        <v>50454450.75</v>
      </c>
      <c r="Y36" s="193">
        <f t="shared" si="61"/>
        <v>56304100.5</v>
      </c>
      <c r="Z36" s="193">
        <f t="shared" si="61"/>
        <v>56941427.700000003</v>
      </c>
      <c r="AA36" s="193">
        <f t="shared" si="61"/>
        <v>61866794.849999987</v>
      </c>
      <c r="AB36" s="193">
        <f t="shared" si="61"/>
        <v>62372460.450000003</v>
      </c>
      <c r="AC36" s="193">
        <f t="shared" si="61"/>
        <v>62788628.849999987</v>
      </c>
      <c r="AD36" s="193">
        <f t="shared" si="61"/>
        <v>63128110.950000003</v>
      </c>
      <c r="AE36" s="193">
        <f t="shared" si="61"/>
        <v>63406875.599999987</v>
      </c>
      <c r="AF36" s="205">
        <f>SUM(T36:AE36)</f>
        <v>667143511.16250002</v>
      </c>
      <c r="AG36" s="180">
        <f>+AF36/12</f>
        <v>55595292.596875004</v>
      </c>
      <c r="AH36" s="193">
        <f>+R36*(1+AI36)</f>
        <v>1600006.4000000001</v>
      </c>
      <c r="AI36" s="194">
        <v>0.06</v>
      </c>
      <c r="AJ36" s="193">
        <f>(SUM(AJ37:AJ61)*1.5)</f>
        <v>79049214.629999995</v>
      </c>
      <c r="AK36" s="193">
        <f>(SUM(AK37:AK61)*1.5)</f>
        <v>79291480.679999992</v>
      </c>
      <c r="AL36" s="193">
        <f t="shared" ref="AL36:AU36" si="62">(SUM(AL37:AL61)*1.5)</f>
        <v>86691023.730000004</v>
      </c>
      <c r="AM36" s="193">
        <f t="shared" si="62"/>
        <v>84793178.504999995</v>
      </c>
      <c r="AN36" s="193">
        <f t="shared" si="62"/>
        <v>89124300.020000011</v>
      </c>
      <c r="AO36" s="193">
        <f t="shared" si="62"/>
        <v>95309774.970000029</v>
      </c>
      <c r="AP36" s="193">
        <f t="shared" si="62"/>
        <v>100001704.71000002</v>
      </c>
      <c r="AQ36" s="193">
        <f t="shared" si="62"/>
        <v>103894117.80000003</v>
      </c>
      <c r="AR36" s="193">
        <f t="shared" si="62"/>
        <v>104846784.45000002</v>
      </c>
      <c r="AS36" s="193">
        <f t="shared" si="62"/>
        <v>105639289.80000003</v>
      </c>
      <c r="AT36" s="193">
        <f t="shared" si="62"/>
        <v>106290985.65000004</v>
      </c>
      <c r="AU36" s="193">
        <f t="shared" si="62"/>
        <v>110185712.49000004</v>
      </c>
      <c r="AV36" s="205">
        <f>SUM(AJ36:AU36)</f>
        <v>1145117567.4350004</v>
      </c>
      <c r="AW36" s="180">
        <f>+AV36/12</f>
        <v>95426463.952916697</v>
      </c>
    </row>
    <row r="37" spans="1:49">
      <c r="A37" s="178">
        <v>0.05</v>
      </c>
      <c r="B37" s="213" t="s">
        <v>239</v>
      </c>
      <c r="D37" s="180">
        <f>+$A$36*(1+A37)</f>
        <v>1495200</v>
      </c>
      <c r="E37" s="181">
        <f>+D37</f>
        <v>1495200</v>
      </c>
      <c r="F37" s="181">
        <f t="shared" ref="F37:O38" si="63">+E37</f>
        <v>1495200</v>
      </c>
      <c r="G37" s="181">
        <f t="shared" si="63"/>
        <v>1495200</v>
      </c>
      <c r="H37" s="181">
        <f t="shared" si="63"/>
        <v>1495200</v>
      </c>
      <c r="I37" s="181">
        <f t="shared" si="63"/>
        <v>1495200</v>
      </c>
      <c r="J37" s="181">
        <f t="shared" si="63"/>
        <v>1495200</v>
      </c>
      <c r="K37" s="181">
        <f t="shared" si="63"/>
        <v>1495200</v>
      </c>
      <c r="L37" s="181">
        <f t="shared" si="63"/>
        <v>1495200</v>
      </c>
      <c r="M37" s="181">
        <f t="shared" si="63"/>
        <v>1495200</v>
      </c>
      <c r="N37" s="181">
        <f t="shared" si="63"/>
        <v>1495200</v>
      </c>
      <c r="O37" s="181">
        <f t="shared" si="63"/>
        <v>1495200</v>
      </c>
      <c r="P37" s="202">
        <f>SUM(D37:O37)</f>
        <v>17942400</v>
      </c>
      <c r="T37" s="181">
        <f>+O37*(1+$S$36)</f>
        <v>1584912</v>
      </c>
      <c r="U37" s="181">
        <f>+T37</f>
        <v>1584912</v>
      </c>
      <c r="V37" s="181">
        <f t="shared" ref="V37:AE40" si="64">+U37</f>
        <v>1584912</v>
      </c>
      <c r="W37" s="181">
        <f t="shared" si="64"/>
        <v>1584912</v>
      </c>
      <c r="X37" s="181">
        <f t="shared" si="64"/>
        <v>1584912</v>
      </c>
      <c r="Y37" s="181">
        <f t="shared" si="64"/>
        <v>1584912</v>
      </c>
      <c r="Z37" s="181">
        <f t="shared" si="64"/>
        <v>1584912</v>
      </c>
      <c r="AA37" s="181">
        <f t="shared" si="64"/>
        <v>1584912</v>
      </c>
      <c r="AB37" s="181">
        <f t="shared" si="64"/>
        <v>1584912</v>
      </c>
      <c r="AC37" s="181">
        <f t="shared" si="64"/>
        <v>1584912</v>
      </c>
      <c r="AD37" s="181">
        <f t="shared" si="64"/>
        <v>1584912</v>
      </c>
      <c r="AE37" s="181">
        <f t="shared" si="64"/>
        <v>1584912</v>
      </c>
      <c r="AF37" s="202">
        <f>SUM(T37:AE37)</f>
        <v>19018944</v>
      </c>
      <c r="AI37" s="178">
        <v>0.15</v>
      </c>
      <c r="AJ37" s="181">
        <f>+AH36*(1+AI37)</f>
        <v>1840007.36</v>
      </c>
      <c r="AK37" s="181">
        <f>+AJ37</f>
        <v>1840007.36</v>
      </c>
      <c r="AL37" s="181">
        <f t="shared" ref="AL37:AU40" si="65">+AK37</f>
        <v>1840007.36</v>
      </c>
      <c r="AM37" s="181">
        <f t="shared" si="65"/>
        <v>1840007.36</v>
      </c>
      <c r="AN37" s="181">
        <f t="shared" si="65"/>
        <v>1840007.36</v>
      </c>
      <c r="AO37" s="181">
        <f t="shared" si="65"/>
        <v>1840007.36</v>
      </c>
      <c r="AP37" s="181">
        <f t="shared" si="65"/>
        <v>1840007.36</v>
      </c>
      <c r="AQ37" s="181">
        <f t="shared" si="65"/>
        <v>1840007.36</v>
      </c>
      <c r="AR37" s="181">
        <f t="shared" si="65"/>
        <v>1840007.36</v>
      </c>
      <c r="AS37" s="181">
        <f t="shared" si="65"/>
        <v>1840007.36</v>
      </c>
      <c r="AT37" s="181">
        <f t="shared" si="65"/>
        <v>1840007.36</v>
      </c>
      <c r="AU37" s="181">
        <f t="shared" si="65"/>
        <v>1840007.36</v>
      </c>
      <c r="AV37" s="202">
        <f>SUM(AJ37:AU37)</f>
        <v>22080088.319999997</v>
      </c>
    </row>
    <row r="38" spans="1:49">
      <c r="A38" s="178"/>
      <c r="B38" s="213" t="s">
        <v>240</v>
      </c>
      <c r="C38" s="186">
        <v>1260</v>
      </c>
      <c r="D38" s="180"/>
      <c r="J38" s="180"/>
      <c r="K38" s="181"/>
      <c r="L38" s="181"/>
      <c r="M38" s="181">
        <f>+M37</f>
        <v>1495200</v>
      </c>
      <c r="N38" s="181">
        <f t="shared" si="63"/>
        <v>1495200</v>
      </c>
      <c r="O38" s="181">
        <f t="shared" si="63"/>
        <v>1495200</v>
      </c>
      <c r="P38" s="202">
        <f>SUM(D38:O38)</f>
        <v>4485600</v>
      </c>
      <c r="T38" s="181">
        <f>+T37</f>
        <v>1584912</v>
      </c>
      <c r="U38" s="181">
        <f>+T38</f>
        <v>1584912</v>
      </c>
      <c r="V38" s="181">
        <f t="shared" si="64"/>
        <v>1584912</v>
      </c>
      <c r="W38" s="181">
        <f t="shared" si="64"/>
        <v>1584912</v>
      </c>
      <c r="X38" s="181">
        <f t="shared" si="64"/>
        <v>1584912</v>
      </c>
      <c r="Y38" s="181">
        <f t="shared" si="64"/>
        <v>1584912</v>
      </c>
      <c r="Z38" s="181">
        <f t="shared" si="64"/>
        <v>1584912</v>
      </c>
      <c r="AA38" s="181">
        <f t="shared" si="64"/>
        <v>1584912</v>
      </c>
      <c r="AB38" s="181">
        <f t="shared" si="64"/>
        <v>1584912</v>
      </c>
      <c r="AC38" s="181">
        <f t="shared" si="64"/>
        <v>1584912</v>
      </c>
      <c r="AD38" s="181">
        <f t="shared" si="64"/>
        <v>1584912</v>
      </c>
      <c r="AE38" s="181">
        <f t="shared" si="64"/>
        <v>1584912</v>
      </c>
      <c r="AF38" s="202">
        <f>SUM(T38:AE38)</f>
        <v>19018944</v>
      </c>
      <c r="AJ38" s="181">
        <f>+AH36*(1+AI37)</f>
        <v>1840007.36</v>
      </c>
      <c r="AK38" s="181">
        <f>+AJ38</f>
        <v>1840007.36</v>
      </c>
      <c r="AL38" s="181">
        <f t="shared" si="65"/>
        <v>1840007.36</v>
      </c>
      <c r="AM38" s="181">
        <f t="shared" si="65"/>
        <v>1840007.36</v>
      </c>
      <c r="AN38" s="181">
        <f t="shared" si="65"/>
        <v>1840007.36</v>
      </c>
      <c r="AO38" s="181">
        <f t="shared" si="65"/>
        <v>1840007.36</v>
      </c>
      <c r="AP38" s="181">
        <f t="shared" si="65"/>
        <v>1840007.36</v>
      </c>
      <c r="AQ38" s="181">
        <f t="shared" si="65"/>
        <v>1840007.36</v>
      </c>
      <c r="AR38" s="181">
        <f t="shared" si="65"/>
        <v>1840007.36</v>
      </c>
      <c r="AS38" s="181">
        <f t="shared" si="65"/>
        <v>1840007.36</v>
      </c>
      <c r="AT38" s="181">
        <f t="shared" si="65"/>
        <v>1840007.36</v>
      </c>
      <c r="AU38" s="181">
        <f t="shared" si="65"/>
        <v>1840007.36</v>
      </c>
      <c r="AV38" s="202">
        <f>SUM(AJ38:AU38)</f>
        <v>22080088.319999997</v>
      </c>
    </row>
    <row r="39" spans="1:49">
      <c r="A39" s="178"/>
      <c r="B39" s="213" t="s">
        <v>241</v>
      </c>
      <c r="C39" s="186">
        <f>+C38*2</f>
        <v>2520</v>
      </c>
      <c r="D39" s="180"/>
      <c r="J39" s="180"/>
      <c r="K39" s="181"/>
      <c r="L39" s="181"/>
      <c r="M39" s="181"/>
      <c r="N39" s="181"/>
      <c r="O39" s="181">
        <f>+O38</f>
        <v>1495200</v>
      </c>
      <c r="P39" s="202">
        <f t="shared" ref="P39:P52" si="66">SUM(D39:O39)</f>
        <v>1495200</v>
      </c>
      <c r="T39" s="181">
        <f>+T38</f>
        <v>1584912</v>
      </c>
      <c r="U39" s="181">
        <f>+T39</f>
        <v>1584912</v>
      </c>
      <c r="V39" s="181">
        <f>+U39</f>
        <v>1584912</v>
      </c>
      <c r="W39" s="181">
        <f t="shared" si="64"/>
        <v>1584912</v>
      </c>
      <c r="X39" s="181">
        <f t="shared" si="64"/>
        <v>1584912</v>
      </c>
      <c r="Y39" s="181">
        <f t="shared" si="64"/>
        <v>1584912</v>
      </c>
      <c r="Z39" s="181">
        <f t="shared" si="64"/>
        <v>1584912</v>
      </c>
      <c r="AA39" s="181">
        <f t="shared" si="64"/>
        <v>1584912</v>
      </c>
      <c r="AB39" s="181">
        <f t="shared" si="64"/>
        <v>1584912</v>
      </c>
      <c r="AC39" s="181">
        <f t="shared" si="64"/>
        <v>1584912</v>
      </c>
      <c r="AD39" s="181">
        <f t="shared" si="64"/>
        <v>1584912</v>
      </c>
      <c r="AE39" s="181">
        <f t="shared" si="64"/>
        <v>1584912</v>
      </c>
      <c r="AF39" s="202">
        <f t="shared" ref="AF39:AF55" si="67">SUM(T39:AE39)</f>
        <v>19018944</v>
      </c>
      <c r="AJ39" s="181">
        <f>+AH36*(1+AI37)</f>
        <v>1840007.36</v>
      </c>
      <c r="AK39" s="181">
        <f>+AJ39</f>
        <v>1840007.36</v>
      </c>
      <c r="AL39" s="181">
        <f>+AK39</f>
        <v>1840007.36</v>
      </c>
      <c r="AM39" s="181">
        <f t="shared" si="65"/>
        <v>1840007.36</v>
      </c>
      <c r="AN39" s="181">
        <f t="shared" si="65"/>
        <v>1840007.36</v>
      </c>
      <c r="AO39" s="181">
        <f t="shared" si="65"/>
        <v>1840007.36</v>
      </c>
      <c r="AP39" s="181">
        <f t="shared" si="65"/>
        <v>1840007.36</v>
      </c>
      <c r="AQ39" s="181">
        <f t="shared" si="65"/>
        <v>1840007.36</v>
      </c>
      <c r="AR39" s="181">
        <f t="shared" si="65"/>
        <v>1840007.36</v>
      </c>
      <c r="AS39" s="181">
        <f t="shared" si="65"/>
        <v>1840007.36</v>
      </c>
      <c r="AT39" s="181">
        <f t="shared" si="65"/>
        <v>1840007.36</v>
      </c>
      <c r="AU39" s="181">
        <f t="shared" si="65"/>
        <v>1840007.36</v>
      </c>
      <c r="AV39" s="202">
        <f t="shared" ref="AV39:AV61" si="68">SUM(AJ39:AU39)</f>
        <v>22080088.319999997</v>
      </c>
    </row>
    <row r="40" spans="1:49">
      <c r="A40" s="178"/>
      <c r="B40" s="213" t="s">
        <v>242</v>
      </c>
      <c r="C40" s="186">
        <f>+C39+$C$38</f>
        <v>3780</v>
      </c>
      <c r="D40" s="180"/>
      <c r="J40" s="180"/>
      <c r="K40" s="181"/>
      <c r="L40" s="181"/>
      <c r="M40" s="181"/>
      <c r="N40" s="181"/>
      <c r="O40" s="181"/>
      <c r="P40" s="202">
        <f t="shared" si="66"/>
        <v>0</v>
      </c>
      <c r="T40" s="181"/>
      <c r="U40" s="181"/>
      <c r="V40" s="181"/>
      <c r="W40" s="181"/>
      <c r="X40" s="181"/>
      <c r="Y40" s="181">
        <f>+Y39</f>
        <v>1584912</v>
      </c>
      <c r="Z40" s="181">
        <f>+Y40</f>
        <v>1584912</v>
      </c>
      <c r="AA40" s="181">
        <f t="shared" si="64"/>
        <v>1584912</v>
      </c>
      <c r="AB40" s="181">
        <f t="shared" si="64"/>
        <v>1584912</v>
      </c>
      <c r="AC40" s="181">
        <f t="shared" si="64"/>
        <v>1584912</v>
      </c>
      <c r="AD40" s="181">
        <f t="shared" si="64"/>
        <v>1584912</v>
      </c>
      <c r="AE40" s="181">
        <f t="shared" si="64"/>
        <v>1584912</v>
      </c>
      <c r="AF40" s="202">
        <f t="shared" si="67"/>
        <v>11094384</v>
      </c>
      <c r="AJ40" s="181">
        <f>+AH36*(1+AI37)</f>
        <v>1840007.36</v>
      </c>
      <c r="AK40" s="181">
        <f>+AJ40</f>
        <v>1840007.36</v>
      </c>
      <c r="AL40" s="181">
        <f t="shared" ref="AL40:AM40" si="69">+AL39</f>
        <v>1840007.36</v>
      </c>
      <c r="AM40" s="181">
        <f t="shared" si="69"/>
        <v>1840007.36</v>
      </c>
      <c r="AN40" s="181">
        <f>+AN39</f>
        <v>1840007.36</v>
      </c>
      <c r="AO40" s="181">
        <f>+AN40</f>
        <v>1840007.36</v>
      </c>
      <c r="AP40" s="181">
        <f t="shared" si="65"/>
        <v>1840007.36</v>
      </c>
      <c r="AQ40" s="181">
        <f t="shared" si="65"/>
        <v>1840007.36</v>
      </c>
      <c r="AR40" s="181">
        <f t="shared" si="65"/>
        <v>1840007.36</v>
      </c>
      <c r="AS40" s="181">
        <f t="shared" si="65"/>
        <v>1840007.36</v>
      </c>
      <c r="AT40" s="181">
        <f t="shared" si="65"/>
        <v>1840007.36</v>
      </c>
      <c r="AU40" s="181">
        <f t="shared" si="65"/>
        <v>1840007.36</v>
      </c>
      <c r="AV40" s="202">
        <f t="shared" si="68"/>
        <v>22080088.319999997</v>
      </c>
    </row>
    <row r="41" spans="1:49">
      <c r="A41" s="178"/>
      <c r="B41" s="213" t="s">
        <v>257</v>
      </c>
      <c r="C41" s="186">
        <f>+C40+$C$38</f>
        <v>5040</v>
      </c>
      <c r="D41" s="180"/>
      <c r="J41" s="180"/>
      <c r="K41" s="181"/>
      <c r="L41" s="181"/>
      <c r="M41" s="181"/>
      <c r="N41" s="181"/>
      <c r="O41" s="181"/>
      <c r="P41" s="202">
        <f t="shared" si="66"/>
        <v>0</v>
      </c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202">
        <f t="shared" si="67"/>
        <v>0</v>
      </c>
      <c r="AJ41" s="181"/>
      <c r="AK41" s="181"/>
      <c r="AL41" s="181">
        <f>+AK41</f>
        <v>0</v>
      </c>
      <c r="AM41" s="181">
        <f t="shared" ref="AM41:AU42" si="70">+AL41</f>
        <v>0</v>
      </c>
      <c r="AN41" s="181">
        <f>+AN40</f>
        <v>1840007.36</v>
      </c>
      <c r="AO41" s="181">
        <f t="shared" si="70"/>
        <v>1840007.36</v>
      </c>
      <c r="AP41" s="181">
        <f t="shared" si="70"/>
        <v>1840007.36</v>
      </c>
      <c r="AQ41" s="181">
        <f t="shared" si="70"/>
        <v>1840007.36</v>
      </c>
      <c r="AR41" s="181">
        <f t="shared" si="70"/>
        <v>1840007.36</v>
      </c>
      <c r="AS41" s="181">
        <f t="shared" si="70"/>
        <v>1840007.36</v>
      </c>
      <c r="AT41" s="181">
        <f t="shared" si="70"/>
        <v>1840007.36</v>
      </c>
      <c r="AU41" s="181">
        <f t="shared" si="70"/>
        <v>1840007.36</v>
      </c>
      <c r="AV41" s="202">
        <f t="shared" si="68"/>
        <v>14720058.879999999</v>
      </c>
    </row>
    <row r="42" spans="1:49">
      <c r="A42" s="178"/>
      <c r="B42" s="213" t="s">
        <v>258</v>
      </c>
      <c r="C42" s="186">
        <f>+C41+$C$38</f>
        <v>6300</v>
      </c>
      <c r="D42" s="180"/>
      <c r="J42" s="180"/>
      <c r="K42" s="181"/>
      <c r="L42" s="181"/>
      <c r="M42" s="181"/>
      <c r="N42" s="181"/>
      <c r="O42" s="181"/>
      <c r="P42" s="202">
        <f t="shared" si="66"/>
        <v>0</v>
      </c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202">
        <f t="shared" si="67"/>
        <v>0</v>
      </c>
      <c r="AJ42" s="181"/>
      <c r="AK42" s="181"/>
      <c r="AL42" s="181"/>
      <c r="AM42" s="181"/>
      <c r="AN42" s="181"/>
      <c r="AO42" s="181"/>
      <c r="AP42" s="181"/>
      <c r="AQ42" s="181">
        <f>+AQ41</f>
        <v>1840007.36</v>
      </c>
      <c r="AR42" s="181">
        <f t="shared" si="70"/>
        <v>1840007.36</v>
      </c>
      <c r="AS42" s="181">
        <f t="shared" si="70"/>
        <v>1840007.36</v>
      </c>
      <c r="AT42" s="181">
        <f t="shared" si="70"/>
        <v>1840007.36</v>
      </c>
      <c r="AU42" s="181">
        <f t="shared" si="70"/>
        <v>1840007.36</v>
      </c>
      <c r="AV42" s="202">
        <f t="shared" si="68"/>
        <v>9200036.8000000007</v>
      </c>
    </row>
    <row r="43" spans="1:49">
      <c r="A43" s="178"/>
      <c r="B43" s="213" t="s">
        <v>261</v>
      </c>
      <c r="C43" s="186"/>
      <c r="D43" s="180"/>
      <c r="J43" s="180"/>
      <c r="K43" s="181"/>
      <c r="L43" s="181"/>
      <c r="M43" s="181"/>
      <c r="N43" s="181"/>
      <c r="O43" s="181"/>
      <c r="P43" s="202">
        <f t="shared" si="66"/>
        <v>0</v>
      </c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202">
        <f t="shared" si="67"/>
        <v>0</v>
      </c>
      <c r="AI43" s="178">
        <v>2</v>
      </c>
      <c r="AJ43" s="181"/>
      <c r="AK43" s="181"/>
      <c r="AL43" s="181">
        <f>+$AH$36*(1+AI43)</f>
        <v>4800019.2</v>
      </c>
      <c r="AM43" s="181">
        <f>+AL43</f>
        <v>4800019.2</v>
      </c>
      <c r="AN43" s="181">
        <f>+AM43</f>
        <v>4800019.2</v>
      </c>
      <c r="AO43" s="181">
        <f t="shared" ref="AO43:AU43" si="71">+AN43</f>
        <v>4800019.2</v>
      </c>
      <c r="AP43" s="181">
        <f t="shared" si="71"/>
        <v>4800019.2</v>
      </c>
      <c r="AQ43" s="181">
        <f t="shared" si="71"/>
        <v>4800019.2</v>
      </c>
      <c r="AR43" s="181">
        <f t="shared" si="71"/>
        <v>4800019.2</v>
      </c>
      <c r="AS43" s="181">
        <f t="shared" si="71"/>
        <v>4800019.2</v>
      </c>
      <c r="AT43" s="181">
        <f t="shared" si="71"/>
        <v>4800019.2</v>
      </c>
      <c r="AU43" s="181">
        <f t="shared" si="71"/>
        <v>4800019.2</v>
      </c>
      <c r="AV43" s="202">
        <f t="shared" si="68"/>
        <v>48000192.000000007</v>
      </c>
    </row>
    <row r="44" spans="1:49">
      <c r="A44" s="178">
        <v>0.2</v>
      </c>
      <c r="B44" s="213" t="s">
        <v>233</v>
      </c>
      <c r="C44" s="186"/>
      <c r="D44" s="180">
        <f t="shared" ref="D44:D58" si="72">+$A$36*(1+A44)</f>
        <v>1708800</v>
      </c>
      <c r="E44" s="181">
        <f>+D44</f>
        <v>1708800</v>
      </c>
      <c r="F44" s="181">
        <f t="shared" ref="F44:O45" si="73">+E44</f>
        <v>1708800</v>
      </c>
      <c r="G44" s="181">
        <f t="shared" si="73"/>
        <v>1708800</v>
      </c>
      <c r="H44" s="181">
        <f t="shared" si="73"/>
        <v>1708800</v>
      </c>
      <c r="I44" s="181">
        <f t="shared" si="73"/>
        <v>1708800</v>
      </c>
      <c r="J44" s="181">
        <f t="shared" si="73"/>
        <v>1708800</v>
      </c>
      <c r="K44" s="181">
        <f t="shared" si="73"/>
        <v>1708800</v>
      </c>
      <c r="L44" s="181">
        <f t="shared" si="73"/>
        <v>1708800</v>
      </c>
      <c r="M44" s="181">
        <f t="shared" si="73"/>
        <v>1708800</v>
      </c>
      <c r="N44" s="181">
        <f t="shared" si="73"/>
        <v>1708800</v>
      </c>
      <c r="O44" s="181">
        <f t="shared" si="73"/>
        <v>1708800</v>
      </c>
      <c r="P44" s="202">
        <f t="shared" si="66"/>
        <v>20505600</v>
      </c>
      <c r="T44" s="181">
        <f>+O44*(1+$S$36)</f>
        <v>1811328</v>
      </c>
      <c r="U44" s="181">
        <f>+T44</f>
        <v>1811328</v>
      </c>
      <c r="V44" s="181">
        <f t="shared" ref="V44:AE46" si="74">+U44</f>
        <v>1811328</v>
      </c>
      <c r="W44" s="181">
        <f t="shared" si="74"/>
        <v>1811328</v>
      </c>
      <c r="X44" s="181">
        <f t="shared" si="74"/>
        <v>1811328</v>
      </c>
      <c r="Y44" s="181">
        <f t="shared" si="74"/>
        <v>1811328</v>
      </c>
      <c r="Z44" s="181">
        <f t="shared" si="74"/>
        <v>1811328</v>
      </c>
      <c r="AA44" s="181">
        <f t="shared" si="74"/>
        <v>1811328</v>
      </c>
      <c r="AB44" s="181">
        <f t="shared" si="74"/>
        <v>1811328</v>
      </c>
      <c r="AC44" s="181">
        <f t="shared" si="74"/>
        <v>1811328</v>
      </c>
      <c r="AD44" s="181">
        <f t="shared" si="74"/>
        <v>1811328</v>
      </c>
      <c r="AE44" s="181">
        <f t="shared" si="74"/>
        <v>1811328</v>
      </c>
      <c r="AF44" s="202">
        <f t="shared" si="67"/>
        <v>21735936</v>
      </c>
      <c r="AI44" s="178">
        <v>0.4</v>
      </c>
      <c r="AJ44" s="181">
        <f>+$AH$36*(1+AI44)</f>
        <v>2240008.96</v>
      </c>
      <c r="AK44" s="181">
        <f>+AJ44</f>
        <v>2240008.96</v>
      </c>
      <c r="AL44" s="181">
        <f t="shared" ref="AL44:AU47" si="75">+AK44</f>
        <v>2240008.96</v>
      </c>
      <c r="AM44" s="181">
        <f t="shared" si="75"/>
        <v>2240008.96</v>
      </c>
      <c r="AN44" s="181">
        <f t="shared" si="75"/>
        <v>2240008.96</v>
      </c>
      <c r="AO44" s="181">
        <f t="shared" si="75"/>
        <v>2240008.96</v>
      </c>
      <c r="AP44" s="181">
        <f t="shared" si="75"/>
        <v>2240008.96</v>
      </c>
      <c r="AQ44" s="181">
        <f t="shared" si="75"/>
        <v>2240008.96</v>
      </c>
      <c r="AR44" s="181">
        <f t="shared" si="75"/>
        <v>2240008.96</v>
      </c>
      <c r="AS44" s="181">
        <f t="shared" si="75"/>
        <v>2240008.96</v>
      </c>
      <c r="AT44" s="181">
        <f t="shared" si="75"/>
        <v>2240008.96</v>
      </c>
      <c r="AU44" s="181">
        <f t="shared" si="75"/>
        <v>2240008.96</v>
      </c>
      <c r="AV44" s="202">
        <f t="shared" si="68"/>
        <v>26880107.520000007</v>
      </c>
    </row>
    <row r="45" spans="1:49">
      <c r="A45" s="178"/>
      <c r="B45" s="213" t="s">
        <v>234</v>
      </c>
      <c r="C45" s="186"/>
      <c r="D45" s="180"/>
      <c r="L45" s="180"/>
      <c r="M45" s="181">
        <f>+M44</f>
        <v>1708800</v>
      </c>
      <c r="N45" s="181">
        <f>+N44</f>
        <v>1708800</v>
      </c>
      <c r="O45" s="181">
        <f t="shared" si="73"/>
        <v>1708800</v>
      </c>
      <c r="P45" s="202">
        <f t="shared" si="66"/>
        <v>5126400</v>
      </c>
      <c r="T45" s="181">
        <f>+O45*(1+$S$36)</f>
        <v>1811328</v>
      </c>
      <c r="U45" s="181">
        <f>+T45</f>
        <v>1811328</v>
      </c>
      <c r="V45" s="181">
        <f t="shared" si="74"/>
        <v>1811328</v>
      </c>
      <c r="W45" s="181">
        <f t="shared" si="74"/>
        <v>1811328</v>
      </c>
      <c r="X45" s="181">
        <f t="shared" si="74"/>
        <v>1811328</v>
      </c>
      <c r="Y45" s="181">
        <f t="shared" si="74"/>
        <v>1811328</v>
      </c>
      <c r="Z45" s="181">
        <f t="shared" si="74"/>
        <v>1811328</v>
      </c>
      <c r="AA45" s="181">
        <f t="shared" si="74"/>
        <v>1811328</v>
      </c>
      <c r="AB45" s="181">
        <f t="shared" si="74"/>
        <v>1811328</v>
      </c>
      <c r="AC45" s="181">
        <f t="shared" si="74"/>
        <v>1811328</v>
      </c>
      <c r="AD45" s="181">
        <f t="shared" si="74"/>
        <v>1811328</v>
      </c>
      <c r="AE45" s="181">
        <f t="shared" si="74"/>
        <v>1811328</v>
      </c>
      <c r="AF45" s="202">
        <f t="shared" si="67"/>
        <v>21735936</v>
      </c>
      <c r="AJ45" s="181">
        <f>+$AH$36*(1+AI44)</f>
        <v>2240008.96</v>
      </c>
      <c r="AK45" s="181">
        <f>+AJ45</f>
        <v>2240008.96</v>
      </c>
      <c r="AL45" s="181">
        <f t="shared" si="75"/>
        <v>2240008.96</v>
      </c>
      <c r="AM45" s="181">
        <f t="shared" si="75"/>
        <v>2240008.96</v>
      </c>
      <c r="AN45" s="181">
        <f t="shared" si="75"/>
        <v>2240008.96</v>
      </c>
      <c r="AO45" s="181">
        <f t="shared" si="75"/>
        <v>2240008.96</v>
      </c>
      <c r="AP45" s="181">
        <f t="shared" si="75"/>
        <v>2240008.96</v>
      </c>
      <c r="AQ45" s="181">
        <f t="shared" si="75"/>
        <v>2240008.96</v>
      </c>
      <c r="AR45" s="181">
        <f t="shared" si="75"/>
        <v>2240008.96</v>
      </c>
      <c r="AS45" s="181">
        <f t="shared" si="75"/>
        <v>2240008.96</v>
      </c>
      <c r="AT45" s="181">
        <f t="shared" si="75"/>
        <v>2240008.96</v>
      </c>
      <c r="AU45" s="181">
        <f t="shared" si="75"/>
        <v>2240008.96</v>
      </c>
      <c r="AV45" s="202">
        <f t="shared" si="68"/>
        <v>26880107.520000007</v>
      </c>
    </row>
    <row r="46" spans="1:49">
      <c r="A46" s="178"/>
      <c r="B46" s="213" t="s">
        <v>235</v>
      </c>
      <c r="C46" s="186"/>
      <c r="D46" s="180"/>
      <c r="L46" s="180"/>
      <c r="M46" s="181"/>
      <c r="N46" s="181"/>
      <c r="O46" s="181"/>
      <c r="P46" s="202">
        <f t="shared" si="66"/>
        <v>0</v>
      </c>
      <c r="T46" s="181"/>
      <c r="U46" s="181"/>
      <c r="V46" s="181"/>
      <c r="W46" s="181"/>
      <c r="X46" s="181"/>
      <c r="Y46" s="181">
        <f>+Y45</f>
        <v>1811328</v>
      </c>
      <c r="Z46" s="181">
        <f t="shared" si="74"/>
        <v>1811328</v>
      </c>
      <c r="AA46" s="181">
        <f t="shared" si="74"/>
        <v>1811328</v>
      </c>
      <c r="AB46" s="181">
        <f t="shared" si="74"/>
        <v>1811328</v>
      </c>
      <c r="AC46" s="181">
        <f t="shared" si="74"/>
        <v>1811328</v>
      </c>
      <c r="AD46" s="181">
        <f t="shared" si="74"/>
        <v>1811328</v>
      </c>
      <c r="AE46" s="181">
        <f t="shared" si="74"/>
        <v>1811328</v>
      </c>
      <c r="AF46" s="202">
        <f t="shared" si="67"/>
        <v>12679296</v>
      </c>
      <c r="AJ46" s="181">
        <f>+AJ45</f>
        <v>2240008.96</v>
      </c>
      <c r="AK46" s="181">
        <f>+AJ46</f>
        <v>2240008.96</v>
      </c>
      <c r="AL46" s="181">
        <f>+AL45</f>
        <v>2240008.96</v>
      </c>
      <c r="AM46" s="181">
        <f t="shared" si="75"/>
        <v>2240008.96</v>
      </c>
      <c r="AN46" s="181">
        <f t="shared" si="75"/>
        <v>2240008.96</v>
      </c>
      <c r="AO46" s="181">
        <f t="shared" si="75"/>
        <v>2240008.96</v>
      </c>
      <c r="AP46" s="181">
        <f t="shared" si="75"/>
        <v>2240008.96</v>
      </c>
      <c r="AQ46" s="181">
        <f t="shared" si="75"/>
        <v>2240008.96</v>
      </c>
      <c r="AR46" s="181">
        <f t="shared" si="75"/>
        <v>2240008.96</v>
      </c>
      <c r="AS46" s="181">
        <f t="shared" si="75"/>
        <v>2240008.96</v>
      </c>
      <c r="AT46" s="181">
        <f t="shared" si="75"/>
        <v>2240008.96</v>
      </c>
      <c r="AU46" s="181">
        <f t="shared" si="75"/>
        <v>2240008.96</v>
      </c>
      <c r="AV46" s="202">
        <f t="shared" si="68"/>
        <v>26880107.520000007</v>
      </c>
    </row>
    <row r="47" spans="1:49">
      <c r="A47" s="178"/>
      <c r="B47" s="213" t="s">
        <v>246</v>
      </c>
      <c r="C47" s="186"/>
      <c r="D47" s="180"/>
      <c r="L47" s="180"/>
      <c r="M47" s="181"/>
      <c r="N47" s="181"/>
      <c r="O47" s="181"/>
      <c r="P47" s="202">
        <f t="shared" si="66"/>
        <v>0</v>
      </c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202">
        <f t="shared" si="67"/>
        <v>0</v>
      </c>
      <c r="AJ47" s="181"/>
      <c r="AK47" s="181"/>
      <c r="AL47" s="181"/>
      <c r="AM47" s="181"/>
      <c r="AN47" s="181"/>
      <c r="AO47" s="181"/>
      <c r="AP47" s="181">
        <f>+AP46</f>
        <v>2240008.96</v>
      </c>
      <c r="AQ47" s="181">
        <f t="shared" si="75"/>
        <v>2240008.96</v>
      </c>
      <c r="AR47" s="181">
        <f t="shared" si="75"/>
        <v>2240008.96</v>
      </c>
      <c r="AS47" s="181">
        <f t="shared" si="75"/>
        <v>2240008.96</v>
      </c>
      <c r="AT47" s="181">
        <f t="shared" si="75"/>
        <v>2240008.96</v>
      </c>
      <c r="AU47" s="181">
        <f t="shared" si="75"/>
        <v>2240008.96</v>
      </c>
      <c r="AV47" s="202">
        <f t="shared" si="68"/>
        <v>13440053.760000002</v>
      </c>
    </row>
    <row r="48" spans="1:49">
      <c r="A48" s="178"/>
      <c r="B48" s="213" t="s">
        <v>259</v>
      </c>
      <c r="C48" s="186"/>
      <c r="D48" s="180"/>
      <c r="L48" s="180"/>
      <c r="M48" s="181"/>
      <c r="N48" s="181"/>
      <c r="O48" s="181"/>
      <c r="P48" s="202">
        <f t="shared" si="66"/>
        <v>0</v>
      </c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202">
        <f t="shared" si="67"/>
        <v>0</v>
      </c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>
        <f>+AU47</f>
        <v>2240008.96</v>
      </c>
      <c r="AV48" s="202">
        <f t="shared" si="68"/>
        <v>2240008.96</v>
      </c>
    </row>
    <row r="49" spans="1:49">
      <c r="A49" s="178"/>
      <c r="B49" s="213" t="s">
        <v>260</v>
      </c>
      <c r="C49" s="186"/>
      <c r="D49" s="180"/>
      <c r="L49" s="180"/>
      <c r="M49" s="181"/>
      <c r="N49" s="181"/>
      <c r="O49" s="181"/>
      <c r="P49" s="202">
        <f t="shared" si="66"/>
        <v>0</v>
      </c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202">
        <f t="shared" si="67"/>
        <v>0</v>
      </c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202">
        <f t="shared" si="68"/>
        <v>0</v>
      </c>
    </row>
    <row r="50" spans="1:49">
      <c r="A50" s="178">
        <v>0</v>
      </c>
      <c r="B50" s="212" t="s">
        <v>217</v>
      </c>
      <c r="C50" s="186"/>
      <c r="D50" s="180">
        <f>+($A$36*(1+$A50))+((D$23*2.5%)/D$34)</f>
        <v>1546605</v>
      </c>
      <c r="E50" s="180">
        <f t="shared" ref="E50:O50" si="76">+($A$36*(1+$A50))+((E23*2.5%)/E34)</f>
        <v>1742930</v>
      </c>
      <c r="F50" s="180">
        <f t="shared" si="76"/>
        <v>1960112.5</v>
      </c>
      <c r="G50" s="180">
        <f t="shared" si="76"/>
        <v>1795920</v>
      </c>
      <c r="H50" s="180">
        <f t="shared" si="76"/>
        <v>1900345</v>
      </c>
      <c r="I50" s="180">
        <f t="shared" si="76"/>
        <v>2014417.5</v>
      </c>
      <c r="J50" s="180">
        <f t="shared" si="76"/>
        <v>2143725</v>
      </c>
      <c r="K50" s="180">
        <f t="shared" si="76"/>
        <v>2293158.75</v>
      </c>
      <c r="L50" s="180">
        <f t="shared" si="76"/>
        <v>2467563.75</v>
      </c>
      <c r="M50" s="180">
        <f t="shared" si="76"/>
        <v>2255828.3333333335</v>
      </c>
      <c r="N50" s="180">
        <f t="shared" si="76"/>
        <v>2414967.5</v>
      </c>
      <c r="O50" s="180">
        <f t="shared" si="76"/>
        <v>2601403.333333333</v>
      </c>
      <c r="P50" s="202">
        <f t="shared" si="66"/>
        <v>25136976.666666664</v>
      </c>
      <c r="Q50" s="188"/>
      <c r="T50" s="180">
        <f t="shared" ref="T50:AE54" si="77">+($A$36*(1+$S$36))+((T$23*2.5%)/T$34)</f>
        <v>2567505.625</v>
      </c>
      <c r="U50" s="180">
        <f t="shared" si="77"/>
        <v>2710247.5</v>
      </c>
      <c r="V50" s="180">
        <f t="shared" si="77"/>
        <v>2840128.75</v>
      </c>
      <c r="W50" s="180">
        <f t="shared" si="77"/>
        <v>2956393.125</v>
      </c>
      <c r="X50" s="180">
        <f t="shared" si="77"/>
        <v>2747802.5</v>
      </c>
      <c r="Y50" s="180">
        <f t="shared" si="77"/>
        <v>2817407.5</v>
      </c>
      <c r="Z50" s="180">
        <f t="shared" si="77"/>
        <v>2876157</v>
      </c>
      <c r="AA50" s="180">
        <f t="shared" si="77"/>
        <v>2925708.5</v>
      </c>
      <c r="AB50" s="180">
        <f t="shared" si="77"/>
        <v>2966722</v>
      </c>
      <c r="AC50" s="180">
        <f t="shared" si="77"/>
        <v>3000498.5</v>
      </c>
      <c r="AD50" s="180">
        <f t="shared" si="77"/>
        <v>3028054.5</v>
      </c>
      <c r="AE50" s="180">
        <f t="shared" si="77"/>
        <v>3050691</v>
      </c>
      <c r="AF50" s="202">
        <f t="shared" si="67"/>
        <v>34487316.5</v>
      </c>
      <c r="AG50" s="188"/>
      <c r="AJ50" s="180">
        <f>+$AH$36+((AJ$23*2.5%)/AJ$34)</f>
        <v>3192229.9000000004</v>
      </c>
      <c r="AK50" s="180">
        <f>+$AH$36+((AK$23*2.5%)/AK$34)</f>
        <v>3212936.4000000004</v>
      </c>
      <c r="AL50" s="180">
        <f t="shared" ref="AL50:AU50" si="78">+$AH$36+((AL$23*2.5%)/AL$34)</f>
        <v>3229988.9000000004</v>
      </c>
      <c r="AM50" s="180">
        <f t="shared" si="78"/>
        <v>2969460.1500000004</v>
      </c>
      <c r="AN50" s="180">
        <f>+$AH$36+((AN$23*2.5%)/AN$34)</f>
        <v>3094748.0666666669</v>
      </c>
      <c r="AO50" s="180">
        <f t="shared" si="78"/>
        <v>3204673.4833333334</v>
      </c>
      <c r="AP50" s="180">
        <f t="shared" si="78"/>
        <v>3299539.3166666669</v>
      </c>
      <c r="AQ50" s="180">
        <f t="shared" si="78"/>
        <v>3380194.7333333334</v>
      </c>
      <c r="AR50" s="180">
        <f t="shared" si="78"/>
        <v>3448048.4833333334</v>
      </c>
      <c r="AS50" s="180">
        <f t="shared" si="78"/>
        <v>3504494.7333333334</v>
      </c>
      <c r="AT50" s="180">
        <f t="shared" si="78"/>
        <v>3550911.8166666669</v>
      </c>
      <c r="AU50" s="180">
        <f t="shared" si="78"/>
        <v>3588996.8166666669</v>
      </c>
      <c r="AV50" s="202">
        <f t="shared" si="68"/>
        <v>39676222.800000012</v>
      </c>
      <c r="AW50" s="188"/>
    </row>
    <row r="51" spans="1:49">
      <c r="A51" s="178">
        <v>0</v>
      </c>
      <c r="B51" s="212" t="s">
        <v>218</v>
      </c>
      <c r="C51" s="186"/>
      <c r="D51" s="180"/>
      <c r="G51" s="180"/>
      <c r="H51" s="180"/>
      <c r="I51" s="180">
        <f t="shared" ref="I51:O51" si="79">+($A$36*(1+$A51))+((I$23*2.5%)/I$34)</f>
        <v>2014417.5</v>
      </c>
      <c r="J51" s="180">
        <f t="shared" si="79"/>
        <v>2143725</v>
      </c>
      <c r="K51" s="180">
        <f t="shared" si="79"/>
        <v>2293158.75</v>
      </c>
      <c r="L51" s="180">
        <f t="shared" si="79"/>
        <v>2467563.75</v>
      </c>
      <c r="M51" s="180">
        <f t="shared" si="79"/>
        <v>2255828.3333333335</v>
      </c>
      <c r="N51" s="180">
        <f t="shared" si="79"/>
        <v>2414967.5</v>
      </c>
      <c r="O51" s="180">
        <f t="shared" si="79"/>
        <v>2601403.333333333</v>
      </c>
      <c r="P51" s="202">
        <f t="shared" si="66"/>
        <v>16191064.166666668</v>
      </c>
      <c r="R51" s="189"/>
      <c r="T51" s="180">
        <f t="shared" si="77"/>
        <v>2567505.625</v>
      </c>
      <c r="U51" s="180">
        <f t="shared" si="77"/>
        <v>2710247.5</v>
      </c>
      <c r="V51" s="180">
        <f t="shared" si="77"/>
        <v>2840128.75</v>
      </c>
      <c r="W51" s="180">
        <f t="shared" si="77"/>
        <v>2956393.125</v>
      </c>
      <c r="X51" s="180">
        <f t="shared" si="77"/>
        <v>2747802.5</v>
      </c>
      <c r="Y51" s="180">
        <f t="shared" si="77"/>
        <v>2817407.5</v>
      </c>
      <c r="Z51" s="180">
        <f t="shared" si="77"/>
        <v>2876157</v>
      </c>
      <c r="AA51" s="180">
        <f t="shared" si="77"/>
        <v>2925708.5</v>
      </c>
      <c r="AB51" s="180">
        <f t="shared" si="77"/>
        <v>2966722</v>
      </c>
      <c r="AC51" s="180">
        <f t="shared" si="77"/>
        <v>3000498.5</v>
      </c>
      <c r="AD51" s="180">
        <f t="shared" si="77"/>
        <v>3028054.5</v>
      </c>
      <c r="AE51" s="180">
        <f t="shared" si="77"/>
        <v>3050691</v>
      </c>
      <c r="AF51" s="202">
        <f t="shared" si="67"/>
        <v>34487316.5</v>
      </c>
      <c r="AH51" s="189"/>
      <c r="AJ51" s="180">
        <f t="shared" ref="AJ51:AU55" si="80">+$AH$36+((AJ$23*2.5%)/AJ$34)</f>
        <v>3192229.9000000004</v>
      </c>
      <c r="AK51" s="180">
        <f t="shared" si="80"/>
        <v>3212936.4000000004</v>
      </c>
      <c r="AL51" s="180">
        <f t="shared" si="80"/>
        <v>3229988.9000000004</v>
      </c>
      <c r="AM51" s="180">
        <f t="shared" si="80"/>
        <v>2969460.1500000004</v>
      </c>
      <c r="AN51" s="180">
        <f t="shared" si="80"/>
        <v>3094748.0666666669</v>
      </c>
      <c r="AO51" s="180">
        <f t="shared" si="80"/>
        <v>3204673.4833333334</v>
      </c>
      <c r="AP51" s="180">
        <f t="shared" si="80"/>
        <v>3299539.3166666669</v>
      </c>
      <c r="AQ51" s="180">
        <f t="shared" si="80"/>
        <v>3380194.7333333334</v>
      </c>
      <c r="AR51" s="180">
        <f t="shared" si="80"/>
        <v>3448048.4833333334</v>
      </c>
      <c r="AS51" s="180">
        <f t="shared" si="80"/>
        <v>3504494.7333333334</v>
      </c>
      <c r="AT51" s="180">
        <f t="shared" si="80"/>
        <v>3550911.8166666669</v>
      </c>
      <c r="AU51" s="180">
        <f t="shared" si="80"/>
        <v>3588996.8166666669</v>
      </c>
      <c r="AV51" s="202">
        <f t="shared" si="68"/>
        <v>39676222.800000012</v>
      </c>
    </row>
    <row r="52" spans="1:49">
      <c r="A52" s="178"/>
      <c r="B52" s="212" t="s">
        <v>220</v>
      </c>
      <c r="C52" s="186"/>
      <c r="D52" s="180"/>
      <c r="L52" s="180"/>
      <c r="M52" s="180"/>
      <c r="N52" s="180">
        <f>+($A$36*(1+$A52))+((N$23*2.5%)/N$34)</f>
        <v>2414967.5</v>
      </c>
      <c r="O52" s="180">
        <f>+($A$36*(1+$A52))+((O$23*2.5%)/O$34)</f>
        <v>2601403.333333333</v>
      </c>
      <c r="P52" s="202">
        <f t="shared" si="66"/>
        <v>5016370.833333333</v>
      </c>
      <c r="T52" s="180">
        <f t="shared" si="77"/>
        <v>2567505.625</v>
      </c>
      <c r="U52" s="180">
        <f t="shared" si="77"/>
        <v>2710247.5</v>
      </c>
      <c r="V52" s="180">
        <f t="shared" si="77"/>
        <v>2840128.75</v>
      </c>
      <c r="W52" s="180">
        <f t="shared" si="77"/>
        <v>2956393.125</v>
      </c>
      <c r="X52" s="180">
        <f t="shared" si="77"/>
        <v>2747802.5</v>
      </c>
      <c r="Y52" s="180">
        <f t="shared" si="77"/>
        <v>2817407.5</v>
      </c>
      <c r="Z52" s="180">
        <f t="shared" si="77"/>
        <v>2876157</v>
      </c>
      <c r="AA52" s="180">
        <f t="shared" si="77"/>
        <v>2925708.5</v>
      </c>
      <c r="AB52" s="180">
        <f t="shared" si="77"/>
        <v>2966722</v>
      </c>
      <c r="AC52" s="180">
        <f t="shared" si="77"/>
        <v>3000498.5</v>
      </c>
      <c r="AD52" s="180">
        <f t="shared" si="77"/>
        <v>3028054.5</v>
      </c>
      <c r="AE52" s="180">
        <f t="shared" si="77"/>
        <v>3050691</v>
      </c>
      <c r="AF52" s="202">
        <f t="shared" si="67"/>
        <v>34487316.5</v>
      </c>
      <c r="AJ52" s="180">
        <f t="shared" si="80"/>
        <v>3192229.9000000004</v>
      </c>
      <c r="AK52" s="180">
        <f t="shared" si="80"/>
        <v>3212936.4000000004</v>
      </c>
      <c r="AL52" s="180">
        <f t="shared" si="80"/>
        <v>3229988.9000000004</v>
      </c>
      <c r="AM52" s="180">
        <f t="shared" si="80"/>
        <v>2969460.1500000004</v>
      </c>
      <c r="AN52" s="180">
        <f t="shared" si="80"/>
        <v>3094748.0666666669</v>
      </c>
      <c r="AO52" s="180">
        <f t="shared" si="80"/>
        <v>3204673.4833333334</v>
      </c>
      <c r="AP52" s="180">
        <f t="shared" si="80"/>
        <v>3299539.3166666669</v>
      </c>
      <c r="AQ52" s="180">
        <f t="shared" si="80"/>
        <v>3380194.7333333334</v>
      </c>
      <c r="AR52" s="180">
        <f t="shared" si="80"/>
        <v>3448048.4833333334</v>
      </c>
      <c r="AS52" s="180">
        <f t="shared" si="80"/>
        <v>3504494.7333333334</v>
      </c>
      <c r="AT52" s="180">
        <f t="shared" si="80"/>
        <v>3550911.8166666669</v>
      </c>
      <c r="AU52" s="180">
        <f t="shared" si="80"/>
        <v>3588996.8166666669</v>
      </c>
      <c r="AV52" s="202">
        <f t="shared" si="68"/>
        <v>39676222.800000012</v>
      </c>
    </row>
    <row r="53" spans="1:49">
      <c r="A53" s="178"/>
      <c r="B53" s="212" t="s">
        <v>221</v>
      </c>
      <c r="C53" s="186"/>
      <c r="D53" s="180"/>
      <c r="P53" s="202">
        <f t="shared" ref="P53:P55" si="81">SUM(D53:O53)</f>
        <v>0</v>
      </c>
      <c r="T53" s="180"/>
      <c r="U53" s="180"/>
      <c r="V53" s="180">
        <f t="shared" si="77"/>
        <v>2840128.75</v>
      </c>
      <c r="W53" s="180">
        <f t="shared" si="77"/>
        <v>2956393.125</v>
      </c>
      <c r="X53" s="180">
        <f t="shared" si="77"/>
        <v>2747802.5</v>
      </c>
      <c r="Y53" s="180">
        <f t="shared" si="77"/>
        <v>2817407.5</v>
      </c>
      <c r="Z53" s="180">
        <f t="shared" si="77"/>
        <v>2876157</v>
      </c>
      <c r="AA53" s="180">
        <f t="shared" si="77"/>
        <v>2925708.5</v>
      </c>
      <c r="AB53" s="180">
        <f t="shared" si="77"/>
        <v>2966722</v>
      </c>
      <c r="AC53" s="180">
        <f t="shared" si="77"/>
        <v>3000498.5</v>
      </c>
      <c r="AD53" s="180">
        <f t="shared" si="77"/>
        <v>3028054.5</v>
      </c>
      <c r="AE53" s="180">
        <f t="shared" si="77"/>
        <v>3050691</v>
      </c>
      <c r="AF53" s="202">
        <f t="shared" si="67"/>
        <v>29209563.375</v>
      </c>
      <c r="AJ53" s="180">
        <f t="shared" si="80"/>
        <v>3192229.9000000004</v>
      </c>
      <c r="AK53" s="180">
        <f t="shared" si="80"/>
        <v>3212936.4000000004</v>
      </c>
      <c r="AL53" s="180">
        <f t="shared" si="80"/>
        <v>3229988.9000000004</v>
      </c>
      <c r="AM53" s="180">
        <f t="shared" si="80"/>
        <v>2969460.1500000004</v>
      </c>
      <c r="AN53" s="180">
        <f t="shared" si="80"/>
        <v>3094748.0666666669</v>
      </c>
      <c r="AO53" s="180">
        <f t="shared" si="80"/>
        <v>3204673.4833333334</v>
      </c>
      <c r="AP53" s="180">
        <f t="shared" si="80"/>
        <v>3299539.3166666669</v>
      </c>
      <c r="AQ53" s="180">
        <f t="shared" si="80"/>
        <v>3380194.7333333334</v>
      </c>
      <c r="AR53" s="180">
        <f t="shared" si="80"/>
        <v>3448048.4833333334</v>
      </c>
      <c r="AS53" s="180">
        <f t="shared" si="80"/>
        <v>3504494.7333333334</v>
      </c>
      <c r="AT53" s="180">
        <f t="shared" si="80"/>
        <v>3550911.8166666669</v>
      </c>
      <c r="AU53" s="180">
        <f t="shared" si="80"/>
        <v>3588996.8166666669</v>
      </c>
      <c r="AV53" s="202">
        <f t="shared" si="68"/>
        <v>39676222.800000012</v>
      </c>
    </row>
    <row r="54" spans="1:49">
      <c r="A54" s="178"/>
      <c r="B54" s="212" t="s">
        <v>232</v>
      </c>
      <c r="C54" s="186"/>
      <c r="D54" s="180"/>
      <c r="P54" s="202">
        <f t="shared" si="81"/>
        <v>0</v>
      </c>
      <c r="X54" s="180"/>
      <c r="Y54" s="180"/>
      <c r="Z54" s="180"/>
      <c r="AA54" s="180">
        <f t="shared" si="77"/>
        <v>2925708.5</v>
      </c>
      <c r="AB54" s="180">
        <f t="shared" si="77"/>
        <v>2966722</v>
      </c>
      <c r="AC54" s="180">
        <f t="shared" si="77"/>
        <v>3000498.5</v>
      </c>
      <c r="AD54" s="180">
        <f t="shared" si="77"/>
        <v>3028054.5</v>
      </c>
      <c r="AE54" s="180">
        <f t="shared" si="77"/>
        <v>3050691</v>
      </c>
      <c r="AF54" s="202">
        <f t="shared" si="67"/>
        <v>14971674.5</v>
      </c>
      <c r="AJ54" s="180">
        <f>+$AH$36+((AJ$23*2.5%)/AJ$34)</f>
        <v>3192229.9000000004</v>
      </c>
      <c r="AK54" s="180">
        <f>+$AH$36+((AK$23*2.5%)/AK$34)</f>
        <v>3212936.4000000004</v>
      </c>
      <c r="AL54" s="180">
        <f t="shared" si="80"/>
        <v>3229988.9000000004</v>
      </c>
      <c r="AM54" s="180">
        <f t="shared" si="80"/>
        <v>2969460.1500000004</v>
      </c>
      <c r="AN54" s="180">
        <f t="shared" si="80"/>
        <v>3094748.0666666669</v>
      </c>
      <c r="AO54" s="180">
        <f t="shared" si="80"/>
        <v>3204673.4833333334</v>
      </c>
      <c r="AP54" s="180">
        <f t="shared" si="80"/>
        <v>3299539.3166666669</v>
      </c>
      <c r="AQ54" s="180">
        <f t="shared" si="80"/>
        <v>3380194.7333333334</v>
      </c>
      <c r="AR54" s="180">
        <f t="shared" si="80"/>
        <v>3448048.4833333334</v>
      </c>
      <c r="AS54" s="180">
        <f t="shared" si="80"/>
        <v>3504494.7333333334</v>
      </c>
      <c r="AT54" s="180">
        <f t="shared" si="80"/>
        <v>3550911.8166666669</v>
      </c>
      <c r="AU54" s="180">
        <f t="shared" si="80"/>
        <v>3588996.8166666669</v>
      </c>
      <c r="AV54" s="202">
        <f t="shared" si="68"/>
        <v>39676222.800000012</v>
      </c>
    </row>
    <row r="55" spans="1:49">
      <c r="A55" s="178"/>
      <c r="B55" s="212" t="s">
        <v>262</v>
      </c>
      <c r="C55" s="186"/>
      <c r="D55" s="180"/>
      <c r="P55" s="202">
        <f t="shared" si="81"/>
        <v>0</v>
      </c>
      <c r="X55" s="180"/>
      <c r="Y55" s="180"/>
      <c r="Z55" s="180"/>
      <c r="AA55" s="180"/>
      <c r="AB55" s="180"/>
      <c r="AC55" s="180"/>
      <c r="AD55" s="180"/>
      <c r="AE55" s="180"/>
      <c r="AF55" s="202">
        <f t="shared" si="67"/>
        <v>0</v>
      </c>
      <c r="AJ55" s="180"/>
      <c r="AK55" s="180"/>
      <c r="AL55" s="180"/>
      <c r="AM55" s="180"/>
      <c r="AN55" s="180"/>
      <c r="AO55" s="180">
        <f t="shared" si="80"/>
        <v>3204673.4833333334</v>
      </c>
      <c r="AP55" s="180">
        <f t="shared" si="80"/>
        <v>3299539.3166666669</v>
      </c>
      <c r="AQ55" s="180">
        <f t="shared" si="80"/>
        <v>3380194.7333333334</v>
      </c>
      <c r="AR55" s="180">
        <f t="shared" si="80"/>
        <v>3448048.4833333334</v>
      </c>
      <c r="AS55" s="180">
        <f t="shared" si="80"/>
        <v>3504494.7333333334</v>
      </c>
      <c r="AT55" s="180">
        <f t="shared" si="80"/>
        <v>3550911.8166666669</v>
      </c>
      <c r="AU55" s="180">
        <f t="shared" si="80"/>
        <v>3588996.8166666669</v>
      </c>
      <c r="AV55" s="202">
        <f t="shared" si="68"/>
        <v>23976859.383333337</v>
      </c>
    </row>
    <row r="56" spans="1:49">
      <c r="A56" s="178">
        <v>0</v>
      </c>
      <c r="B56" s="212" t="s">
        <v>231</v>
      </c>
      <c r="C56" s="186"/>
      <c r="D56" s="180">
        <f>+(($A$36*(1+$A56)*0.6)+(D21*0.5%))</f>
        <v>865372.5</v>
      </c>
      <c r="E56" s="180">
        <f>+D56</f>
        <v>865372.5</v>
      </c>
      <c r="F56" s="180">
        <f>+E56</f>
        <v>865372.5</v>
      </c>
      <c r="G56" s="180">
        <f t="shared" ref="G56:O56" si="82">+F56</f>
        <v>865372.5</v>
      </c>
      <c r="H56" s="180">
        <f t="shared" si="82"/>
        <v>865372.5</v>
      </c>
      <c r="I56" s="180">
        <f t="shared" si="82"/>
        <v>865372.5</v>
      </c>
      <c r="J56" s="180">
        <f t="shared" si="82"/>
        <v>865372.5</v>
      </c>
      <c r="K56" s="180">
        <f t="shared" si="82"/>
        <v>865372.5</v>
      </c>
      <c r="L56" s="180">
        <f t="shared" si="82"/>
        <v>865372.5</v>
      </c>
      <c r="M56" s="180">
        <f t="shared" si="82"/>
        <v>865372.5</v>
      </c>
      <c r="N56" s="180">
        <f t="shared" si="82"/>
        <v>865372.5</v>
      </c>
      <c r="O56" s="180">
        <f t="shared" si="82"/>
        <v>865372.5</v>
      </c>
      <c r="P56" s="202">
        <f>+($A$36*(1+$A56))+(P21*0.5%)</f>
        <v>2722745</v>
      </c>
      <c r="S56" s="178">
        <v>0.3</v>
      </c>
      <c r="T56" s="180">
        <f t="shared" ref="T56:AE56" si="83">+($A$36*(1+$S$36)*(1+$S$56)+(T21*1.5%))</f>
        <v>2808645.5</v>
      </c>
      <c r="U56" s="180">
        <f t="shared" si="83"/>
        <v>2910495.5</v>
      </c>
      <c r="V56" s="180">
        <f t="shared" si="83"/>
        <v>3001142</v>
      </c>
      <c r="W56" s="180">
        <f t="shared" si="83"/>
        <v>3080585</v>
      </c>
      <c r="X56" s="180">
        <f t="shared" si="83"/>
        <v>3148824.5</v>
      </c>
      <c r="Y56" s="180">
        <f t="shared" si="83"/>
        <v>3206879</v>
      </c>
      <c r="Z56" s="180">
        <f t="shared" si="83"/>
        <v>3255767</v>
      </c>
      <c r="AA56" s="180">
        <f t="shared" si="83"/>
        <v>3296507</v>
      </c>
      <c r="AB56" s="180">
        <f t="shared" si="83"/>
        <v>3330117.5</v>
      </c>
      <c r="AC56" s="180">
        <f t="shared" si="83"/>
        <v>3357617</v>
      </c>
      <c r="AD56" s="180">
        <f t="shared" si="83"/>
        <v>3380024</v>
      </c>
      <c r="AE56" s="180">
        <f t="shared" si="83"/>
        <v>3398357</v>
      </c>
      <c r="AF56" s="202">
        <f>+($A$36*(1+$A56))+(AF21*0.5%)</f>
        <v>6299899</v>
      </c>
      <c r="AI56" s="178">
        <v>0.35</v>
      </c>
      <c r="AJ56" s="180">
        <f>+$AH$36*(1+$AI$56)+(0.5%*AJ23)</f>
        <v>3752232.14</v>
      </c>
      <c r="AK56" s="180">
        <f>+$AH$36*(1+$AI$56)+(0.5%*AK23)</f>
        <v>3772938.64</v>
      </c>
      <c r="AL56" s="180">
        <f t="shared" ref="AL56:AU56" si="84">+$AH$36*(1+$AI$56)+(0.5%*AL23)</f>
        <v>3789991.14</v>
      </c>
      <c r="AM56" s="180">
        <f t="shared" si="84"/>
        <v>3803353.14</v>
      </c>
      <c r="AN56" s="180">
        <f t="shared" si="84"/>
        <v>3953698.64</v>
      </c>
      <c r="AO56" s="180">
        <f t="shared" si="84"/>
        <v>4085609.14</v>
      </c>
      <c r="AP56" s="180">
        <f t="shared" si="84"/>
        <v>4199448.1400000006</v>
      </c>
      <c r="AQ56" s="180">
        <f t="shared" si="84"/>
        <v>4296234.6400000006</v>
      </c>
      <c r="AR56" s="180">
        <f t="shared" si="84"/>
        <v>4377659.1400000006</v>
      </c>
      <c r="AS56" s="180">
        <f t="shared" si="84"/>
        <v>4445394.6400000006</v>
      </c>
      <c r="AT56" s="180">
        <f t="shared" si="84"/>
        <v>4501095.1400000006</v>
      </c>
      <c r="AU56" s="180">
        <f t="shared" si="84"/>
        <v>4546797.1400000006</v>
      </c>
      <c r="AV56" s="202">
        <f t="shared" si="68"/>
        <v>49524451.680000007</v>
      </c>
    </row>
    <row r="57" spans="1:49">
      <c r="A57" s="178"/>
      <c r="B57" s="213" t="s">
        <v>256</v>
      </c>
      <c r="C57" s="186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202"/>
      <c r="S57" s="178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202"/>
      <c r="AI57" s="178">
        <v>0.7</v>
      </c>
      <c r="AJ57" s="180">
        <f>+AH36*(1+AI57)</f>
        <v>2720010.8800000004</v>
      </c>
      <c r="AK57" s="180">
        <f>+AJ57</f>
        <v>2720010.8800000004</v>
      </c>
      <c r="AL57" s="180">
        <f t="shared" ref="AL57:AU58" si="85">+AK57</f>
        <v>2720010.8800000004</v>
      </c>
      <c r="AM57" s="180">
        <f t="shared" si="85"/>
        <v>2720010.8800000004</v>
      </c>
      <c r="AN57" s="180">
        <f t="shared" si="85"/>
        <v>2720010.8800000004</v>
      </c>
      <c r="AO57" s="180">
        <f t="shared" si="85"/>
        <v>2720010.8800000004</v>
      </c>
      <c r="AP57" s="180">
        <f t="shared" si="85"/>
        <v>2720010.8800000004</v>
      </c>
      <c r="AQ57" s="180">
        <f t="shared" si="85"/>
        <v>2720010.8800000004</v>
      </c>
      <c r="AR57" s="180">
        <f t="shared" si="85"/>
        <v>2720010.8800000004</v>
      </c>
      <c r="AS57" s="180">
        <f t="shared" si="85"/>
        <v>2720010.8800000004</v>
      </c>
      <c r="AT57" s="180">
        <f t="shared" si="85"/>
        <v>2720010.8800000004</v>
      </c>
      <c r="AU57" s="180">
        <f t="shared" si="85"/>
        <v>2720010.8800000004</v>
      </c>
      <c r="AV57" s="202">
        <f t="shared" si="68"/>
        <v>32640130.559999999</v>
      </c>
    </row>
    <row r="58" spans="1:49">
      <c r="A58" s="178">
        <v>0.35</v>
      </c>
      <c r="B58" s="213" t="s">
        <v>219</v>
      </c>
      <c r="C58" s="186"/>
      <c r="D58" s="180">
        <f t="shared" si="72"/>
        <v>1922400.0000000002</v>
      </c>
      <c r="E58" s="181">
        <f>+D58</f>
        <v>1922400.0000000002</v>
      </c>
      <c r="F58" s="181">
        <f t="shared" ref="F58:O58" si="86">+E58</f>
        <v>1922400.0000000002</v>
      </c>
      <c r="G58" s="181">
        <f t="shared" si="86"/>
        <v>1922400.0000000002</v>
      </c>
      <c r="H58" s="181">
        <f t="shared" si="86"/>
        <v>1922400.0000000002</v>
      </c>
      <c r="I58" s="181">
        <f t="shared" si="86"/>
        <v>1922400.0000000002</v>
      </c>
      <c r="J58" s="181">
        <f t="shared" si="86"/>
        <v>1922400.0000000002</v>
      </c>
      <c r="K58" s="181">
        <f t="shared" si="86"/>
        <v>1922400.0000000002</v>
      </c>
      <c r="L58" s="181">
        <f t="shared" si="86"/>
        <v>1922400.0000000002</v>
      </c>
      <c r="M58" s="181">
        <f t="shared" si="86"/>
        <v>1922400.0000000002</v>
      </c>
      <c r="N58" s="181">
        <f t="shared" si="86"/>
        <v>1922400.0000000002</v>
      </c>
      <c r="O58" s="181">
        <f t="shared" si="86"/>
        <v>1922400.0000000002</v>
      </c>
      <c r="P58" s="202">
        <f>SUM(D58:O58)</f>
        <v>23068800.000000004</v>
      </c>
      <c r="S58" s="178">
        <v>0.25</v>
      </c>
      <c r="T58" s="181">
        <f>+(R36*(1+S58))+(0.8%*T23)</f>
        <v>3241124</v>
      </c>
      <c r="U58" s="181">
        <f>+T58</f>
        <v>3241124</v>
      </c>
      <c r="V58" s="181">
        <f t="shared" ref="V58:AE58" si="87">+U58</f>
        <v>3241124</v>
      </c>
      <c r="W58" s="181">
        <f t="shared" si="87"/>
        <v>3241124</v>
      </c>
      <c r="X58" s="181">
        <f t="shared" si="87"/>
        <v>3241124</v>
      </c>
      <c r="Y58" s="181">
        <f t="shared" si="87"/>
        <v>3241124</v>
      </c>
      <c r="Z58" s="181">
        <f t="shared" si="87"/>
        <v>3241124</v>
      </c>
      <c r="AA58" s="181">
        <f t="shared" si="87"/>
        <v>3241124</v>
      </c>
      <c r="AB58" s="181">
        <f t="shared" si="87"/>
        <v>3241124</v>
      </c>
      <c r="AC58" s="181">
        <f t="shared" si="87"/>
        <v>3241124</v>
      </c>
      <c r="AD58" s="181">
        <f t="shared" si="87"/>
        <v>3241124</v>
      </c>
      <c r="AE58" s="181">
        <f t="shared" si="87"/>
        <v>3241124</v>
      </c>
      <c r="AF58" s="202">
        <f>SUM(T58:AE58)</f>
        <v>38893488</v>
      </c>
      <c r="AI58" s="178"/>
      <c r="AJ58" s="181">
        <v>7000000</v>
      </c>
      <c r="AK58" s="181">
        <f>+AJ58</f>
        <v>7000000</v>
      </c>
      <c r="AL58" s="181">
        <f t="shared" si="85"/>
        <v>7000000</v>
      </c>
      <c r="AM58" s="181">
        <f t="shared" si="85"/>
        <v>7000000</v>
      </c>
      <c r="AN58" s="181">
        <f t="shared" si="85"/>
        <v>7000000</v>
      </c>
      <c r="AO58" s="181">
        <f t="shared" si="85"/>
        <v>7000000</v>
      </c>
      <c r="AP58" s="181">
        <f t="shared" si="85"/>
        <v>7000000</v>
      </c>
      <c r="AQ58" s="181">
        <f t="shared" si="85"/>
        <v>7000000</v>
      </c>
      <c r="AR58" s="181">
        <f t="shared" si="85"/>
        <v>7000000</v>
      </c>
      <c r="AS58" s="181">
        <f t="shared" si="85"/>
        <v>7000000</v>
      </c>
      <c r="AT58" s="181">
        <f t="shared" si="85"/>
        <v>7000000</v>
      </c>
      <c r="AU58" s="181">
        <f t="shared" si="85"/>
        <v>7000000</v>
      </c>
      <c r="AV58" s="202">
        <f t="shared" si="68"/>
        <v>84000000</v>
      </c>
    </row>
    <row r="59" spans="1:49">
      <c r="A59" s="178">
        <v>0</v>
      </c>
      <c r="B59" s="212" t="s">
        <v>236</v>
      </c>
      <c r="C59" s="186"/>
      <c r="D59" s="180">
        <f t="shared" ref="D59:O59" si="88">+($A$36*(1+$A59))+(D23*0.6%)</f>
        <v>1453425.2</v>
      </c>
      <c r="E59" s="180">
        <f t="shared" si="88"/>
        <v>1500543.2</v>
      </c>
      <c r="F59" s="180">
        <f t="shared" si="88"/>
        <v>1552667</v>
      </c>
      <c r="G59" s="180">
        <f t="shared" si="88"/>
        <v>1602521.6</v>
      </c>
      <c r="H59" s="180">
        <f t="shared" si="88"/>
        <v>1652645.6</v>
      </c>
      <c r="I59" s="180">
        <f t="shared" si="88"/>
        <v>1707400.4</v>
      </c>
      <c r="J59" s="180">
        <f t="shared" si="88"/>
        <v>1769468</v>
      </c>
      <c r="K59" s="180">
        <f t="shared" si="88"/>
        <v>1841196.2</v>
      </c>
      <c r="L59" s="180">
        <f t="shared" si="88"/>
        <v>1924910.6</v>
      </c>
      <c r="M59" s="180">
        <f t="shared" si="88"/>
        <v>2022916.4</v>
      </c>
      <c r="N59" s="180">
        <f t="shared" si="88"/>
        <v>2137496.6</v>
      </c>
      <c r="O59" s="180">
        <f t="shared" si="88"/>
        <v>2271730.4</v>
      </c>
      <c r="P59" s="202">
        <f>SUM(D59:O59)</f>
        <v>21436921.199999999</v>
      </c>
      <c r="S59" s="178">
        <v>0.15</v>
      </c>
      <c r="T59" s="181">
        <f>+$R$36*(1+$S$59)+(0.4%*T$23)</f>
        <v>2413018</v>
      </c>
      <c r="U59" s="181">
        <f>+$R$36*(1+$S$59)+(0.4%*U$23)</f>
        <v>2504372.7999999998</v>
      </c>
      <c r="V59" s="181">
        <f t="shared" ref="V59:AE59" si="89">+$R$36*(1+$S$59)+(0.4%*V$23)</f>
        <v>2587496.7999999998</v>
      </c>
      <c r="W59" s="181">
        <f t="shared" si="89"/>
        <v>2661906</v>
      </c>
      <c r="X59" s="181">
        <f t="shared" si="89"/>
        <v>2726546</v>
      </c>
      <c r="Y59" s="181">
        <f t="shared" si="89"/>
        <v>2782230</v>
      </c>
      <c r="Z59" s="181">
        <f t="shared" si="89"/>
        <v>2829229.5999999996</v>
      </c>
      <c r="AA59" s="181">
        <f t="shared" si="89"/>
        <v>2868870.8</v>
      </c>
      <c r="AB59" s="181">
        <f t="shared" si="89"/>
        <v>2901681.5999999996</v>
      </c>
      <c r="AC59" s="181">
        <f t="shared" si="89"/>
        <v>2928702.8</v>
      </c>
      <c r="AD59" s="181">
        <f t="shared" si="89"/>
        <v>2950747.5999999996</v>
      </c>
      <c r="AE59" s="181">
        <f t="shared" si="89"/>
        <v>2968856.8</v>
      </c>
      <c r="AF59" s="202">
        <f>SUM(T59:AE59)</f>
        <v>33123658.800000001</v>
      </c>
      <c r="AI59" s="178">
        <v>0.55000000000000004</v>
      </c>
      <c r="AJ59" s="181">
        <f>($AH$36*(1+$AI$59)+(0.3%*AJ$23))</f>
        <v>3435344.0200000005</v>
      </c>
      <c r="AK59" s="181">
        <f t="shared" ref="AK59:AU59" si="90">($AH$36*(1+$AI$59)+(0.3%*AK$23))</f>
        <v>3447767.9200000004</v>
      </c>
      <c r="AL59" s="181">
        <f t="shared" si="90"/>
        <v>3457999.4200000004</v>
      </c>
      <c r="AM59" s="181">
        <f t="shared" si="90"/>
        <v>3466016.6200000006</v>
      </c>
      <c r="AN59" s="181">
        <f t="shared" si="90"/>
        <v>3556223.9200000004</v>
      </c>
      <c r="AO59" s="181">
        <f t="shared" si="90"/>
        <v>3635370.2200000007</v>
      </c>
      <c r="AP59" s="181">
        <f t="shared" si="90"/>
        <v>3703673.62</v>
      </c>
      <c r="AQ59" s="181">
        <f t="shared" si="90"/>
        <v>3761745.5200000005</v>
      </c>
      <c r="AR59" s="181">
        <f t="shared" si="90"/>
        <v>3810600.2200000007</v>
      </c>
      <c r="AS59" s="181">
        <f t="shared" si="90"/>
        <v>3851241.5200000005</v>
      </c>
      <c r="AT59" s="181">
        <f t="shared" si="90"/>
        <v>3884661.8200000003</v>
      </c>
      <c r="AU59" s="181">
        <f t="shared" si="90"/>
        <v>3912083.0200000005</v>
      </c>
      <c r="AV59" s="202">
        <f t="shared" si="68"/>
        <v>43922727.840000011</v>
      </c>
    </row>
    <row r="60" spans="1:49">
      <c r="A60" s="178"/>
      <c r="B60" s="212" t="s">
        <v>237</v>
      </c>
      <c r="C60" s="186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202">
        <f t="shared" ref="P60:P61" si="91">SUM(D60:O60)</f>
        <v>0</v>
      </c>
      <c r="S60" s="178">
        <v>0.05</v>
      </c>
      <c r="T60" s="181">
        <f t="shared" ref="T60:AE61" si="92">+$R$36*(1+$S$60)+(0.4%*T$23)</f>
        <v>2262074</v>
      </c>
      <c r="U60" s="181">
        <f t="shared" si="92"/>
        <v>2353428.7999999998</v>
      </c>
      <c r="V60" s="181">
        <f t="shared" si="92"/>
        <v>2436552.7999999998</v>
      </c>
      <c r="W60" s="181">
        <f t="shared" si="92"/>
        <v>2510962</v>
      </c>
      <c r="X60" s="181">
        <f t="shared" si="92"/>
        <v>2575602</v>
      </c>
      <c r="Y60" s="181">
        <f t="shared" si="92"/>
        <v>2631286</v>
      </c>
      <c r="Z60" s="181">
        <f t="shared" si="92"/>
        <v>2678285.6</v>
      </c>
      <c r="AA60" s="181">
        <f t="shared" si="92"/>
        <v>2717926.8</v>
      </c>
      <c r="AB60" s="181">
        <f t="shared" si="92"/>
        <v>2750737.6</v>
      </c>
      <c r="AC60" s="181">
        <f t="shared" si="92"/>
        <v>2777758.8</v>
      </c>
      <c r="AD60" s="181">
        <f t="shared" si="92"/>
        <v>2799803.6</v>
      </c>
      <c r="AE60" s="181">
        <f t="shared" si="92"/>
        <v>2817912.8</v>
      </c>
      <c r="AF60" s="202">
        <f t="shared" ref="AF60:AF61" si="93">SUM(T60:AE60)</f>
        <v>31312330.800000004</v>
      </c>
      <c r="AI60" s="178">
        <v>0.2</v>
      </c>
      <c r="AJ60" s="181">
        <f>($AH$36*(1+$AI$60)+(0.3%*AJ$23))</f>
        <v>2875341.7800000003</v>
      </c>
      <c r="AK60" s="181">
        <f t="shared" ref="AK60:AU60" si="94">($AH$36*(1+$AI$60)+(0.3%*AK$23))</f>
        <v>2887765.68</v>
      </c>
      <c r="AL60" s="181">
        <f t="shared" si="94"/>
        <v>2897997.18</v>
      </c>
      <c r="AM60" s="181">
        <f t="shared" si="94"/>
        <v>2906014.3800000004</v>
      </c>
      <c r="AN60" s="181">
        <f t="shared" si="94"/>
        <v>2996221.68</v>
      </c>
      <c r="AO60" s="181">
        <f t="shared" si="94"/>
        <v>3075367.9800000004</v>
      </c>
      <c r="AP60" s="181">
        <f t="shared" si="94"/>
        <v>3143671.38</v>
      </c>
      <c r="AQ60" s="181">
        <f t="shared" si="94"/>
        <v>3201743.2800000003</v>
      </c>
      <c r="AR60" s="181">
        <f t="shared" si="94"/>
        <v>3250597.9800000004</v>
      </c>
      <c r="AS60" s="181">
        <f t="shared" si="94"/>
        <v>3291239.2800000003</v>
      </c>
      <c r="AT60" s="181">
        <f t="shared" si="94"/>
        <v>3324659.58</v>
      </c>
      <c r="AU60" s="181">
        <f t="shared" si="94"/>
        <v>3352080.7800000003</v>
      </c>
      <c r="AV60" s="202">
        <f t="shared" si="68"/>
        <v>37202700.960000001</v>
      </c>
    </row>
    <row r="61" spans="1:49">
      <c r="B61" s="212" t="s">
        <v>245</v>
      </c>
      <c r="C61" s="186"/>
      <c r="P61" s="202">
        <f t="shared" si="91"/>
        <v>0</v>
      </c>
      <c r="S61" s="178">
        <v>0.05</v>
      </c>
      <c r="T61" s="181">
        <f t="shared" si="92"/>
        <v>2262074</v>
      </c>
      <c r="U61" s="181">
        <f t="shared" si="92"/>
        <v>2353428.7999999998</v>
      </c>
      <c r="V61" s="181">
        <f t="shared" si="92"/>
        <v>2436552.7999999998</v>
      </c>
      <c r="W61" s="181">
        <f t="shared" si="92"/>
        <v>2510962</v>
      </c>
      <c r="X61" s="181">
        <f t="shared" si="92"/>
        <v>2575602</v>
      </c>
      <c r="Y61" s="181">
        <f t="shared" si="92"/>
        <v>2631286</v>
      </c>
      <c r="Z61" s="181">
        <f t="shared" si="92"/>
        <v>2678285.6</v>
      </c>
      <c r="AA61" s="181">
        <f t="shared" si="92"/>
        <v>2717926.8</v>
      </c>
      <c r="AB61" s="181">
        <f t="shared" si="92"/>
        <v>2750737.6</v>
      </c>
      <c r="AC61" s="181">
        <f t="shared" si="92"/>
        <v>2777758.8</v>
      </c>
      <c r="AD61" s="181">
        <f t="shared" si="92"/>
        <v>2799803.6</v>
      </c>
      <c r="AE61" s="181">
        <f t="shared" si="92"/>
        <v>2817912.8</v>
      </c>
      <c r="AF61" s="202">
        <f t="shared" si="93"/>
        <v>31312330.800000004</v>
      </c>
      <c r="AI61" s="178">
        <v>0.2</v>
      </c>
      <c r="AJ61" s="181">
        <f>($AH$36*(1+$AI$61)+(0.3%*AJ$23))</f>
        <v>2875341.7800000003</v>
      </c>
      <c r="AK61" s="181">
        <f t="shared" ref="AK61:AU61" si="95">($AH$36*(1+$AI$61)+(0.3%*AK$23))</f>
        <v>2887765.68</v>
      </c>
      <c r="AL61" s="181">
        <f t="shared" si="95"/>
        <v>2897997.18</v>
      </c>
      <c r="AM61" s="181">
        <f t="shared" si="95"/>
        <v>2906014.3800000004</v>
      </c>
      <c r="AN61" s="181">
        <f t="shared" si="95"/>
        <v>2996221.68</v>
      </c>
      <c r="AO61" s="181">
        <f t="shared" si="95"/>
        <v>3075367.9800000004</v>
      </c>
      <c r="AP61" s="181">
        <f t="shared" si="95"/>
        <v>3143671.38</v>
      </c>
      <c r="AQ61" s="181">
        <f t="shared" si="95"/>
        <v>3201743.2800000003</v>
      </c>
      <c r="AR61" s="181">
        <f t="shared" si="95"/>
        <v>3250597.9800000004</v>
      </c>
      <c r="AS61" s="181">
        <f t="shared" si="95"/>
        <v>3291239.2800000003</v>
      </c>
      <c r="AT61" s="181">
        <f t="shared" si="95"/>
        <v>3324659.58</v>
      </c>
      <c r="AU61" s="181">
        <f t="shared" si="95"/>
        <v>3352080.7800000003</v>
      </c>
      <c r="AV61" s="202">
        <f t="shared" si="68"/>
        <v>37202700.960000001</v>
      </c>
    </row>
    <row r="63" spans="1:49">
      <c r="B63" s="211" t="s">
        <v>222</v>
      </c>
      <c r="D63" s="180">
        <v>2000000</v>
      </c>
      <c r="E63" s="180">
        <f>+D63</f>
        <v>2000000</v>
      </c>
      <c r="F63" s="180">
        <f t="shared" ref="F63:O65" si="96">+E63</f>
        <v>2000000</v>
      </c>
      <c r="G63" s="180">
        <f t="shared" si="96"/>
        <v>2000000</v>
      </c>
      <c r="H63" s="180">
        <f t="shared" si="96"/>
        <v>2000000</v>
      </c>
      <c r="I63" s="180">
        <f t="shared" si="96"/>
        <v>2000000</v>
      </c>
      <c r="J63" s="180">
        <f t="shared" si="96"/>
        <v>2000000</v>
      </c>
      <c r="K63" s="180">
        <f t="shared" si="96"/>
        <v>2000000</v>
      </c>
      <c r="L63" s="180">
        <f t="shared" si="96"/>
        <v>2000000</v>
      </c>
      <c r="M63" s="180">
        <f t="shared" si="96"/>
        <v>2000000</v>
      </c>
      <c r="N63" s="180">
        <f t="shared" si="96"/>
        <v>2000000</v>
      </c>
      <c r="O63" s="180">
        <f t="shared" si="96"/>
        <v>2000000</v>
      </c>
      <c r="P63" s="202">
        <f>SUM(D63:O63)</f>
        <v>24000000</v>
      </c>
      <c r="T63" s="180">
        <f>+O63*(1+S36)</f>
        <v>2120000</v>
      </c>
      <c r="U63" s="180">
        <f>+T63</f>
        <v>2120000</v>
      </c>
      <c r="V63" s="180">
        <f t="shared" ref="V63:AE64" si="97">+U63</f>
        <v>2120000</v>
      </c>
      <c r="W63" s="180">
        <f t="shared" si="97"/>
        <v>2120000</v>
      </c>
      <c r="X63" s="180">
        <f t="shared" si="97"/>
        <v>2120000</v>
      </c>
      <c r="Y63" s="180">
        <f t="shared" si="97"/>
        <v>2120000</v>
      </c>
      <c r="Z63" s="180">
        <f t="shared" si="97"/>
        <v>2120000</v>
      </c>
      <c r="AA63" s="180">
        <f t="shared" si="97"/>
        <v>2120000</v>
      </c>
      <c r="AB63" s="180">
        <f t="shared" si="97"/>
        <v>2120000</v>
      </c>
      <c r="AC63" s="180">
        <f t="shared" si="97"/>
        <v>2120000</v>
      </c>
      <c r="AD63" s="180">
        <f t="shared" si="97"/>
        <v>2120000</v>
      </c>
      <c r="AE63" s="180">
        <f t="shared" si="97"/>
        <v>2120000</v>
      </c>
      <c r="AF63" s="202">
        <f>SUM(T63:AE63)</f>
        <v>25440000</v>
      </c>
      <c r="AJ63" s="180">
        <f>+AE63*(1+AI36)</f>
        <v>2247200</v>
      </c>
      <c r="AK63" s="180">
        <f>+AJ63</f>
        <v>2247200</v>
      </c>
      <c r="AL63" s="180">
        <f t="shared" ref="AL63:AU64" si="98">+AK63</f>
        <v>2247200</v>
      </c>
      <c r="AM63" s="180">
        <f t="shared" si="98"/>
        <v>2247200</v>
      </c>
      <c r="AN63" s="180">
        <v>4200000</v>
      </c>
      <c r="AO63" s="180">
        <f t="shared" si="98"/>
        <v>4200000</v>
      </c>
      <c r="AP63" s="180">
        <f t="shared" si="98"/>
        <v>4200000</v>
      </c>
      <c r="AQ63" s="180">
        <f t="shared" si="98"/>
        <v>4200000</v>
      </c>
      <c r="AR63" s="180">
        <f t="shared" si="98"/>
        <v>4200000</v>
      </c>
      <c r="AS63" s="180">
        <f t="shared" si="98"/>
        <v>4200000</v>
      </c>
      <c r="AT63" s="180">
        <f t="shared" si="98"/>
        <v>4200000</v>
      </c>
      <c r="AU63" s="180">
        <f t="shared" si="98"/>
        <v>4200000</v>
      </c>
      <c r="AV63" s="202">
        <f>SUM(AJ63:AU63)</f>
        <v>42588800</v>
      </c>
    </row>
    <row r="64" spans="1:49">
      <c r="B64" s="211" t="s">
        <v>223</v>
      </c>
      <c r="D64" s="180">
        <v>450000</v>
      </c>
      <c r="E64" s="180">
        <f>+D64</f>
        <v>450000</v>
      </c>
      <c r="F64" s="180">
        <f t="shared" si="96"/>
        <v>450000</v>
      </c>
      <c r="G64" s="180">
        <f t="shared" si="96"/>
        <v>450000</v>
      </c>
      <c r="H64" s="180">
        <f t="shared" si="96"/>
        <v>450000</v>
      </c>
      <c r="I64" s="180">
        <f t="shared" si="96"/>
        <v>450000</v>
      </c>
      <c r="J64" s="180">
        <f t="shared" si="96"/>
        <v>450000</v>
      </c>
      <c r="K64" s="180">
        <f t="shared" si="96"/>
        <v>450000</v>
      </c>
      <c r="L64" s="180">
        <f t="shared" si="96"/>
        <v>450000</v>
      </c>
      <c r="M64" s="180">
        <f t="shared" si="96"/>
        <v>450000</v>
      </c>
      <c r="N64" s="180">
        <f t="shared" si="96"/>
        <v>450000</v>
      </c>
      <c r="O64" s="180">
        <f t="shared" si="96"/>
        <v>450000</v>
      </c>
      <c r="P64" s="202">
        <f t="shared" ref="P64:P75" si="99">SUM(D64:O64)</f>
        <v>5400000</v>
      </c>
      <c r="T64" s="180">
        <f>+O64*(1+S36)</f>
        <v>477000</v>
      </c>
      <c r="U64" s="180">
        <f>+T64</f>
        <v>477000</v>
      </c>
      <c r="V64" s="180">
        <f t="shared" si="97"/>
        <v>477000</v>
      </c>
      <c r="W64" s="180">
        <f t="shared" si="97"/>
        <v>477000</v>
      </c>
      <c r="X64" s="180">
        <f t="shared" si="97"/>
        <v>477000</v>
      </c>
      <c r="Y64" s="180">
        <f t="shared" si="97"/>
        <v>477000</v>
      </c>
      <c r="Z64" s="180">
        <f t="shared" si="97"/>
        <v>477000</v>
      </c>
      <c r="AA64" s="180">
        <f t="shared" si="97"/>
        <v>477000</v>
      </c>
      <c r="AB64" s="180">
        <f t="shared" si="97"/>
        <v>477000</v>
      </c>
      <c r="AC64" s="180">
        <f t="shared" si="97"/>
        <v>477000</v>
      </c>
      <c r="AD64" s="180">
        <f t="shared" si="97"/>
        <v>477000</v>
      </c>
      <c r="AE64" s="180">
        <f t="shared" si="97"/>
        <v>477000</v>
      </c>
      <c r="AF64" s="202">
        <f t="shared" ref="AF64:AF75" si="100">SUM(T64:AE64)</f>
        <v>5724000</v>
      </c>
      <c r="AJ64" s="180">
        <f>+AE64*(1+AI36)</f>
        <v>505620</v>
      </c>
      <c r="AK64" s="180">
        <f>+AJ64</f>
        <v>505620</v>
      </c>
      <c r="AL64" s="180">
        <f t="shared" si="98"/>
        <v>505620</v>
      </c>
      <c r="AM64" s="180">
        <f t="shared" si="98"/>
        <v>505620</v>
      </c>
      <c r="AN64" s="180">
        <f t="shared" si="98"/>
        <v>505620</v>
      </c>
      <c r="AO64" s="180">
        <f t="shared" si="98"/>
        <v>505620</v>
      </c>
      <c r="AP64" s="180">
        <f t="shared" si="98"/>
        <v>505620</v>
      </c>
      <c r="AQ64" s="180">
        <f t="shared" si="98"/>
        <v>505620</v>
      </c>
      <c r="AR64" s="180">
        <f t="shared" si="98"/>
        <v>505620</v>
      </c>
      <c r="AS64" s="180">
        <f t="shared" si="98"/>
        <v>505620</v>
      </c>
      <c r="AT64" s="180">
        <f t="shared" si="98"/>
        <v>505620</v>
      </c>
      <c r="AU64" s="180">
        <f t="shared" si="98"/>
        <v>505620</v>
      </c>
      <c r="AV64" s="202">
        <f t="shared" ref="AV64:AV75" si="101">SUM(AJ64:AU64)</f>
        <v>6067440</v>
      </c>
    </row>
    <row r="65" spans="1:49">
      <c r="A65" s="178">
        <v>0.05</v>
      </c>
      <c r="B65" s="210" t="s">
        <v>224</v>
      </c>
      <c r="D65" s="180">
        <v>4000000</v>
      </c>
      <c r="E65" s="181">
        <f>+D65</f>
        <v>4000000</v>
      </c>
      <c r="F65" s="181">
        <f>+E65</f>
        <v>4000000</v>
      </c>
      <c r="G65" s="181">
        <v>4000000</v>
      </c>
      <c r="H65" s="181">
        <f t="shared" si="96"/>
        <v>4000000</v>
      </c>
      <c r="I65" s="181">
        <f>+$A$65*I23</f>
        <v>2361670</v>
      </c>
      <c r="J65" s="181">
        <f t="shared" ref="J65:O65" si="102">+$A$65*J23</f>
        <v>2878900</v>
      </c>
      <c r="K65" s="181">
        <f t="shared" si="102"/>
        <v>3476635</v>
      </c>
      <c r="L65" s="181">
        <f t="shared" si="102"/>
        <v>4174255</v>
      </c>
      <c r="M65" s="181">
        <f t="shared" si="102"/>
        <v>4990970</v>
      </c>
      <c r="N65" s="181">
        <f t="shared" si="102"/>
        <v>5945805</v>
      </c>
      <c r="O65" s="181">
        <f t="shared" si="102"/>
        <v>7064420</v>
      </c>
      <c r="P65" s="202">
        <f t="shared" si="99"/>
        <v>50892655</v>
      </c>
      <c r="S65" s="178">
        <v>0.04</v>
      </c>
      <c r="T65" s="181">
        <f>+$S$65*T23</f>
        <v>6771620</v>
      </c>
      <c r="U65" s="181">
        <f t="shared" ref="U65:AE65" si="103">+$S$65*U23</f>
        <v>7685168</v>
      </c>
      <c r="V65" s="181">
        <f t="shared" si="103"/>
        <v>8516408</v>
      </c>
      <c r="W65" s="181">
        <f t="shared" si="103"/>
        <v>9260500</v>
      </c>
      <c r="X65" s="181">
        <f t="shared" si="103"/>
        <v>9906900</v>
      </c>
      <c r="Y65" s="181">
        <f t="shared" si="103"/>
        <v>10463740</v>
      </c>
      <c r="Z65" s="181">
        <f t="shared" si="103"/>
        <v>10933736</v>
      </c>
      <c r="AA65" s="181">
        <f t="shared" si="103"/>
        <v>11330148</v>
      </c>
      <c r="AB65" s="181">
        <f t="shared" si="103"/>
        <v>11658256</v>
      </c>
      <c r="AC65" s="181">
        <f t="shared" si="103"/>
        <v>11928468</v>
      </c>
      <c r="AD65" s="181">
        <f t="shared" si="103"/>
        <v>12148916</v>
      </c>
      <c r="AE65" s="181">
        <f t="shared" si="103"/>
        <v>12330008</v>
      </c>
      <c r="AF65" s="202">
        <f t="shared" si="100"/>
        <v>122933868</v>
      </c>
      <c r="AI65" s="197">
        <v>0.03</v>
      </c>
      <c r="AJ65" s="181">
        <f>+$AI$65*AJ23</f>
        <v>9553341</v>
      </c>
      <c r="AK65" s="181">
        <f t="shared" ref="AK65:AU65" si="104">+$AI$65*AK23</f>
        <v>9677580</v>
      </c>
      <c r="AL65" s="181">
        <f t="shared" si="104"/>
        <v>9779895</v>
      </c>
      <c r="AM65" s="181">
        <f t="shared" si="104"/>
        <v>9860067</v>
      </c>
      <c r="AN65" s="181">
        <f t="shared" si="104"/>
        <v>10762140</v>
      </c>
      <c r="AO65" s="181">
        <f t="shared" si="104"/>
        <v>11553603</v>
      </c>
      <c r="AP65" s="181">
        <f t="shared" si="104"/>
        <v>12236637</v>
      </c>
      <c r="AQ65" s="181">
        <f t="shared" si="104"/>
        <v>12817356</v>
      </c>
      <c r="AR65" s="181">
        <f t="shared" si="104"/>
        <v>13305903</v>
      </c>
      <c r="AS65" s="181">
        <f t="shared" si="104"/>
        <v>13712316</v>
      </c>
      <c r="AT65" s="181">
        <f t="shared" si="104"/>
        <v>14046519</v>
      </c>
      <c r="AU65" s="181">
        <f t="shared" si="104"/>
        <v>14320731</v>
      </c>
      <c r="AV65" s="202">
        <f t="shared" si="101"/>
        <v>141626088</v>
      </c>
    </row>
    <row r="66" spans="1:49">
      <c r="A66" s="178"/>
      <c r="B66" s="210" t="s">
        <v>243</v>
      </c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202">
        <f t="shared" si="99"/>
        <v>0</v>
      </c>
      <c r="T66" s="181">
        <v>2500000</v>
      </c>
      <c r="U66" s="181">
        <f>+T66</f>
        <v>2500000</v>
      </c>
      <c r="V66" s="181">
        <f t="shared" ref="V66:AE75" si="105">+U66</f>
        <v>2500000</v>
      </c>
      <c r="W66" s="181">
        <f t="shared" si="105"/>
        <v>2500000</v>
      </c>
      <c r="X66" s="181">
        <f t="shared" si="105"/>
        <v>2500000</v>
      </c>
      <c r="Y66" s="181">
        <f t="shared" si="105"/>
        <v>2500000</v>
      </c>
      <c r="Z66" s="181">
        <f t="shared" si="105"/>
        <v>2500000</v>
      </c>
      <c r="AA66" s="181">
        <f t="shared" si="105"/>
        <v>2500000</v>
      </c>
      <c r="AB66" s="181">
        <f t="shared" si="105"/>
        <v>2500000</v>
      </c>
      <c r="AC66" s="181">
        <f t="shared" si="105"/>
        <v>2500000</v>
      </c>
      <c r="AD66" s="181">
        <f t="shared" si="105"/>
        <v>2500000</v>
      </c>
      <c r="AE66" s="181">
        <f t="shared" si="105"/>
        <v>2500000</v>
      </c>
      <c r="AF66" s="202">
        <f t="shared" si="100"/>
        <v>30000000</v>
      </c>
      <c r="AJ66" s="181">
        <f>+AE66*(1+$AI$36)</f>
        <v>2650000</v>
      </c>
      <c r="AK66" s="181">
        <f>+AJ66</f>
        <v>2650000</v>
      </c>
      <c r="AL66" s="181">
        <f t="shared" ref="AL66:AU68" si="106">+AK66</f>
        <v>2650000</v>
      </c>
      <c r="AM66" s="181">
        <f t="shared" si="106"/>
        <v>2650000</v>
      </c>
      <c r="AN66" s="181">
        <f t="shared" si="106"/>
        <v>2650000</v>
      </c>
      <c r="AO66" s="181">
        <f t="shared" si="106"/>
        <v>2650000</v>
      </c>
      <c r="AP66" s="181">
        <f t="shared" si="106"/>
        <v>2650000</v>
      </c>
      <c r="AQ66" s="181">
        <f t="shared" si="106"/>
        <v>2650000</v>
      </c>
      <c r="AR66" s="181">
        <f t="shared" si="106"/>
        <v>2650000</v>
      </c>
      <c r="AS66" s="181">
        <f t="shared" si="106"/>
        <v>2650000</v>
      </c>
      <c r="AT66" s="181">
        <f t="shared" si="106"/>
        <v>2650000</v>
      </c>
      <c r="AU66" s="181">
        <f t="shared" si="106"/>
        <v>2650000</v>
      </c>
      <c r="AV66" s="202">
        <f t="shared" si="101"/>
        <v>31800000</v>
      </c>
    </row>
    <row r="67" spans="1:49">
      <c r="A67" s="178"/>
      <c r="B67" s="211" t="s">
        <v>244</v>
      </c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202">
        <f t="shared" si="99"/>
        <v>0</v>
      </c>
      <c r="T67" s="181"/>
      <c r="U67" s="181"/>
      <c r="V67" s="181">
        <v>650000</v>
      </c>
      <c r="W67" s="181">
        <f t="shared" si="105"/>
        <v>650000</v>
      </c>
      <c r="X67" s="181">
        <f t="shared" si="105"/>
        <v>650000</v>
      </c>
      <c r="Y67" s="181">
        <f t="shared" si="105"/>
        <v>650000</v>
      </c>
      <c r="Z67" s="181">
        <f t="shared" si="105"/>
        <v>650000</v>
      </c>
      <c r="AA67" s="181">
        <f t="shared" si="105"/>
        <v>650000</v>
      </c>
      <c r="AB67" s="181">
        <f t="shared" si="105"/>
        <v>650000</v>
      </c>
      <c r="AC67" s="181">
        <f t="shared" si="105"/>
        <v>650000</v>
      </c>
      <c r="AD67" s="181">
        <f t="shared" si="105"/>
        <v>650000</v>
      </c>
      <c r="AE67" s="181">
        <f t="shared" si="105"/>
        <v>650000</v>
      </c>
      <c r="AF67" s="202">
        <f t="shared" si="100"/>
        <v>6500000</v>
      </c>
      <c r="AJ67" s="181">
        <f>+AE67*(1+$AI$36)</f>
        <v>689000</v>
      </c>
      <c r="AK67" s="181">
        <f>+AJ67</f>
        <v>689000</v>
      </c>
      <c r="AL67" s="181">
        <f>+AK67</f>
        <v>689000</v>
      </c>
      <c r="AM67" s="181">
        <f t="shared" si="106"/>
        <v>689000</v>
      </c>
      <c r="AN67" s="181">
        <f t="shared" si="106"/>
        <v>689000</v>
      </c>
      <c r="AO67" s="181">
        <f t="shared" si="106"/>
        <v>689000</v>
      </c>
      <c r="AP67" s="181">
        <f t="shared" si="106"/>
        <v>689000</v>
      </c>
      <c r="AQ67" s="181">
        <f t="shared" si="106"/>
        <v>689000</v>
      </c>
      <c r="AR67" s="181">
        <f t="shared" si="106"/>
        <v>689000</v>
      </c>
      <c r="AS67" s="181">
        <f t="shared" si="106"/>
        <v>689000</v>
      </c>
      <c r="AT67" s="181">
        <f t="shared" si="106"/>
        <v>689000</v>
      </c>
      <c r="AU67" s="181">
        <f t="shared" si="106"/>
        <v>689000</v>
      </c>
      <c r="AV67" s="202">
        <f t="shared" si="101"/>
        <v>8268000</v>
      </c>
    </row>
    <row r="68" spans="1:49">
      <c r="B68" s="211" t="s">
        <v>225</v>
      </c>
      <c r="D68" s="180">
        <v>450000</v>
      </c>
      <c r="E68" s="181">
        <f>+D68</f>
        <v>450000</v>
      </c>
      <c r="F68" s="181">
        <f t="shared" ref="F68:O68" si="107">+E68</f>
        <v>450000</v>
      </c>
      <c r="G68" s="181">
        <f t="shared" si="107"/>
        <v>450000</v>
      </c>
      <c r="H68" s="181">
        <f t="shared" si="107"/>
        <v>450000</v>
      </c>
      <c r="I68" s="181">
        <f t="shared" si="107"/>
        <v>450000</v>
      </c>
      <c r="J68" s="181">
        <f t="shared" si="107"/>
        <v>450000</v>
      </c>
      <c r="K68" s="181">
        <f t="shared" si="107"/>
        <v>450000</v>
      </c>
      <c r="L68" s="181">
        <f t="shared" si="107"/>
        <v>450000</v>
      </c>
      <c r="M68" s="181">
        <f t="shared" si="107"/>
        <v>450000</v>
      </c>
      <c r="N68" s="181">
        <f t="shared" si="107"/>
        <v>450000</v>
      </c>
      <c r="O68" s="181">
        <f t="shared" si="107"/>
        <v>450000</v>
      </c>
      <c r="P68" s="202">
        <f t="shared" si="99"/>
        <v>5400000</v>
      </c>
      <c r="T68" s="180"/>
      <c r="U68" s="180"/>
      <c r="V68" s="180">
        <v>700000</v>
      </c>
      <c r="W68" s="180">
        <f t="shared" si="105"/>
        <v>700000</v>
      </c>
      <c r="X68" s="180">
        <f t="shared" si="105"/>
        <v>700000</v>
      </c>
      <c r="Y68" s="180">
        <f t="shared" si="105"/>
        <v>700000</v>
      </c>
      <c r="Z68" s="180">
        <f t="shared" si="105"/>
        <v>700000</v>
      </c>
      <c r="AA68" s="180">
        <f t="shared" si="105"/>
        <v>700000</v>
      </c>
      <c r="AB68" s="180">
        <f t="shared" si="105"/>
        <v>700000</v>
      </c>
      <c r="AC68" s="180">
        <f t="shared" si="105"/>
        <v>700000</v>
      </c>
      <c r="AD68" s="180">
        <f t="shared" si="105"/>
        <v>700000</v>
      </c>
      <c r="AE68" s="180">
        <f t="shared" si="105"/>
        <v>700000</v>
      </c>
      <c r="AF68" s="202">
        <f t="shared" si="100"/>
        <v>7000000</v>
      </c>
      <c r="AJ68" s="181">
        <f>+AE68*(1+$AI$36)</f>
        <v>742000</v>
      </c>
      <c r="AK68" s="180">
        <f>+AJ68</f>
        <v>742000</v>
      </c>
      <c r="AL68" s="180">
        <f>+AK68</f>
        <v>742000</v>
      </c>
      <c r="AM68" s="180">
        <f t="shared" si="106"/>
        <v>742000</v>
      </c>
      <c r="AN68" s="180">
        <f t="shared" si="106"/>
        <v>742000</v>
      </c>
      <c r="AO68" s="180">
        <f t="shared" si="106"/>
        <v>742000</v>
      </c>
      <c r="AP68" s="180">
        <f t="shared" si="106"/>
        <v>742000</v>
      </c>
      <c r="AQ68" s="180">
        <f t="shared" si="106"/>
        <v>742000</v>
      </c>
      <c r="AR68" s="180">
        <f t="shared" si="106"/>
        <v>742000</v>
      </c>
      <c r="AS68" s="180">
        <f t="shared" si="106"/>
        <v>742000</v>
      </c>
      <c r="AT68" s="180">
        <f t="shared" si="106"/>
        <v>742000</v>
      </c>
      <c r="AU68" s="180">
        <f t="shared" si="106"/>
        <v>742000</v>
      </c>
      <c r="AV68" s="202">
        <f t="shared" si="101"/>
        <v>8904000</v>
      </c>
    </row>
    <row r="69" spans="1:49">
      <c r="B69" s="211" t="s">
        <v>248</v>
      </c>
      <c r="D69" s="180"/>
      <c r="E69" s="181"/>
      <c r="F69" s="181"/>
      <c r="G69" s="181"/>
      <c r="H69" s="181"/>
      <c r="I69" s="181"/>
      <c r="J69" s="181"/>
      <c r="K69" s="181"/>
      <c r="L69" s="181"/>
      <c r="M69" s="181"/>
      <c r="N69" s="181">
        <v>2000000</v>
      </c>
      <c r="O69" s="181">
        <f>+N69</f>
        <v>2000000</v>
      </c>
      <c r="P69" s="202">
        <f t="shared" si="99"/>
        <v>4000000</v>
      </c>
      <c r="T69" s="180">
        <f>+O69</f>
        <v>2000000</v>
      </c>
      <c r="U69" s="180">
        <f>+T69</f>
        <v>2000000</v>
      </c>
      <c r="V69" s="180">
        <f t="shared" si="105"/>
        <v>2000000</v>
      </c>
      <c r="W69" s="180">
        <f t="shared" si="105"/>
        <v>2000000</v>
      </c>
      <c r="X69" s="180">
        <f t="shared" si="105"/>
        <v>2000000</v>
      </c>
      <c r="Y69" s="180">
        <f t="shared" si="105"/>
        <v>2000000</v>
      </c>
      <c r="Z69" s="180">
        <f t="shared" si="105"/>
        <v>2000000</v>
      </c>
      <c r="AA69" s="180">
        <f t="shared" si="105"/>
        <v>2000000</v>
      </c>
      <c r="AB69" s="180">
        <f t="shared" si="105"/>
        <v>2000000</v>
      </c>
      <c r="AC69" s="180">
        <f t="shared" si="105"/>
        <v>2000000</v>
      </c>
      <c r="AD69" s="180">
        <f t="shared" si="105"/>
        <v>2000000</v>
      </c>
      <c r="AE69" s="180">
        <f t="shared" si="105"/>
        <v>2000000</v>
      </c>
      <c r="AF69" s="202">
        <f t="shared" si="100"/>
        <v>24000000</v>
      </c>
      <c r="AJ69" s="181">
        <v>4500000</v>
      </c>
      <c r="AK69" s="180">
        <f>+AJ69</f>
        <v>4500000</v>
      </c>
      <c r="AL69" s="180">
        <f t="shared" ref="AL69:AU69" si="108">+AK69</f>
        <v>4500000</v>
      </c>
      <c r="AM69" s="180">
        <f t="shared" si="108"/>
        <v>4500000</v>
      </c>
      <c r="AN69" s="180">
        <f t="shared" si="108"/>
        <v>4500000</v>
      </c>
      <c r="AO69" s="180">
        <f t="shared" si="108"/>
        <v>4500000</v>
      </c>
      <c r="AP69" s="180">
        <f t="shared" si="108"/>
        <v>4500000</v>
      </c>
      <c r="AQ69" s="180">
        <f t="shared" si="108"/>
        <v>4500000</v>
      </c>
      <c r="AR69" s="180">
        <f t="shared" si="108"/>
        <v>4500000</v>
      </c>
      <c r="AS69" s="180">
        <f t="shared" si="108"/>
        <v>4500000</v>
      </c>
      <c r="AT69" s="180">
        <f t="shared" si="108"/>
        <v>4500000</v>
      </c>
      <c r="AU69" s="180">
        <f t="shared" si="108"/>
        <v>4500000</v>
      </c>
      <c r="AV69" s="202">
        <f t="shared" si="101"/>
        <v>54000000</v>
      </c>
    </row>
    <row r="70" spans="1:49">
      <c r="A70" s="178">
        <v>0.08</v>
      </c>
      <c r="B70" s="210" t="s">
        <v>255</v>
      </c>
      <c r="D70" s="180">
        <f>+$A$70*D1*D23</f>
        <v>0</v>
      </c>
      <c r="E70" s="180">
        <f t="shared" ref="E70:O70" si="109">+$A$70*E1*E23</f>
        <v>10205.76</v>
      </c>
      <c r="F70" s="180">
        <f t="shared" si="109"/>
        <v>68622.400000000009</v>
      </c>
      <c r="G70" s="180">
        <f t="shared" si="109"/>
        <v>142817.28</v>
      </c>
      <c r="H70" s="180">
        <f t="shared" si="109"/>
        <v>243888.64000000001</v>
      </c>
      <c r="I70" s="180">
        <f t="shared" si="109"/>
        <v>340080.48</v>
      </c>
      <c r="J70" s="180">
        <f t="shared" si="109"/>
        <v>552748.79999999993</v>
      </c>
      <c r="K70" s="180">
        <f t="shared" si="109"/>
        <v>778766.24000000011</v>
      </c>
      <c r="L70" s="180">
        <f t="shared" si="109"/>
        <v>1001821.2000000001</v>
      </c>
      <c r="M70" s="180">
        <f t="shared" si="109"/>
        <v>1197832.8</v>
      </c>
      <c r="N70" s="180">
        <f t="shared" si="109"/>
        <v>1712391.8399999999</v>
      </c>
      <c r="O70" s="180">
        <f t="shared" si="109"/>
        <v>2034552.96</v>
      </c>
      <c r="P70" s="202">
        <f t="shared" si="99"/>
        <v>8083728.4000000004</v>
      </c>
      <c r="T70" s="180">
        <f t="shared" ref="T70:AE70" si="110">+$A$70*T1*T23</f>
        <v>2437783.1999999997</v>
      </c>
      <c r="U70" s="180">
        <f t="shared" si="110"/>
        <v>2766660.48</v>
      </c>
      <c r="V70" s="180">
        <f t="shared" si="110"/>
        <v>3065906.88</v>
      </c>
      <c r="W70" s="180">
        <f t="shared" si="110"/>
        <v>3518990</v>
      </c>
      <c r="X70" s="180">
        <f t="shared" si="110"/>
        <v>3764622</v>
      </c>
      <c r="Y70" s="180">
        <f t="shared" si="110"/>
        <v>4185496</v>
      </c>
      <c r="Z70" s="180">
        <f t="shared" si="110"/>
        <v>4373494.4000000004</v>
      </c>
      <c r="AA70" s="180">
        <f t="shared" si="110"/>
        <v>4532059.2</v>
      </c>
      <c r="AB70" s="180">
        <f t="shared" si="110"/>
        <v>4663302.4000000004</v>
      </c>
      <c r="AC70" s="180">
        <f t="shared" si="110"/>
        <v>5009956.5599999996</v>
      </c>
      <c r="AD70" s="180">
        <f t="shared" si="110"/>
        <v>5831479.6799999997</v>
      </c>
      <c r="AE70" s="180">
        <f t="shared" si="110"/>
        <v>6165004</v>
      </c>
      <c r="AF70" s="202">
        <f t="shared" si="100"/>
        <v>50314754.800000004</v>
      </c>
      <c r="AJ70" s="180">
        <f t="shared" ref="AJ70:AU70" si="111">+$A$70*AJ1*AJ23</f>
        <v>6368894</v>
      </c>
      <c r="AK70" s="180">
        <f t="shared" si="111"/>
        <v>6451720</v>
      </c>
      <c r="AL70" s="180">
        <f t="shared" si="111"/>
        <v>6519930</v>
      </c>
      <c r="AM70" s="180">
        <f t="shared" si="111"/>
        <v>6573378</v>
      </c>
      <c r="AN70" s="180">
        <f t="shared" si="111"/>
        <v>8322721.5999999996</v>
      </c>
      <c r="AO70" s="180">
        <f t="shared" si="111"/>
        <v>9859074.5600000005</v>
      </c>
      <c r="AP70" s="180">
        <f t="shared" si="111"/>
        <v>11094550.880000001</v>
      </c>
      <c r="AQ70" s="180">
        <f t="shared" si="111"/>
        <v>11962865.6</v>
      </c>
      <c r="AR70" s="180">
        <f t="shared" si="111"/>
        <v>12418842.799999999</v>
      </c>
      <c r="AS70" s="180">
        <f t="shared" si="111"/>
        <v>13163823.359999999</v>
      </c>
      <c r="AT70" s="180">
        <f t="shared" si="111"/>
        <v>14233805.92</v>
      </c>
      <c r="AU70" s="180">
        <f t="shared" si="111"/>
        <v>14893560.24</v>
      </c>
      <c r="AV70" s="202">
        <f t="shared" si="101"/>
        <v>121863166.95999999</v>
      </c>
    </row>
    <row r="71" spans="1:49">
      <c r="A71" s="178"/>
      <c r="B71" s="211" t="s">
        <v>263</v>
      </c>
      <c r="D71" s="180">
        <f>+D98</f>
        <v>466666.66666666669</v>
      </c>
      <c r="E71" s="180">
        <f t="shared" ref="E71:O71" si="112">+E98</f>
        <v>466666.66666666669</v>
      </c>
      <c r="F71" s="180">
        <f t="shared" si="112"/>
        <v>466666.66666666669</v>
      </c>
      <c r="G71" s="180">
        <f t="shared" si="112"/>
        <v>466666.66666666669</v>
      </c>
      <c r="H71" s="180">
        <f t="shared" si="112"/>
        <v>466666.66666666669</v>
      </c>
      <c r="I71" s="180">
        <f t="shared" si="112"/>
        <v>466666.66666666669</v>
      </c>
      <c r="J71" s="180">
        <f t="shared" si="112"/>
        <v>466666.66666666669</v>
      </c>
      <c r="K71" s="180">
        <f t="shared" si="112"/>
        <v>466666.66666666669</v>
      </c>
      <c r="L71" s="180">
        <f t="shared" si="112"/>
        <v>466666.66666666669</v>
      </c>
      <c r="M71" s="180">
        <f t="shared" si="112"/>
        <v>466666.66666666669</v>
      </c>
      <c r="N71" s="180">
        <f t="shared" si="112"/>
        <v>466666.66666666669</v>
      </c>
      <c r="O71" s="180">
        <f t="shared" si="112"/>
        <v>466666.66666666669</v>
      </c>
      <c r="P71" s="202">
        <f t="shared" si="99"/>
        <v>5600000.0000000009</v>
      </c>
      <c r="T71" s="180">
        <f>+T98</f>
        <v>466666.66666666669</v>
      </c>
      <c r="U71" s="180">
        <f t="shared" ref="U71:AE71" si="113">+U98</f>
        <v>466666.66666666669</v>
      </c>
      <c r="V71" s="180">
        <f t="shared" si="113"/>
        <v>466666.66666666669</v>
      </c>
      <c r="W71" s="180">
        <f t="shared" si="113"/>
        <v>466666.66666666669</v>
      </c>
      <c r="X71" s="180">
        <f t="shared" si="113"/>
        <v>486666.66666666669</v>
      </c>
      <c r="Y71" s="180">
        <f t="shared" si="113"/>
        <v>486666.66666666669</v>
      </c>
      <c r="Z71" s="180">
        <f t="shared" si="113"/>
        <v>486666.66666666669</v>
      </c>
      <c r="AA71" s="180">
        <f t="shared" si="113"/>
        <v>486666.66666666669</v>
      </c>
      <c r="AB71" s="180">
        <f t="shared" si="113"/>
        <v>486666.66666666669</v>
      </c>
      <c r="AC71" s="180">
        <f t="shared" si="113"/>
        <v>486666.66666666669</v>
      </c>
      <c r="AD71" s="180">
        <f t="shared" si="113"/>
        <v>486666.66666666669</v>
      </c>
      <c r="AE71" s="180">
        <f t="shared" si="113"/>
        <v>486666.66666666669</v>
      </c>
      <c r="AF71" s="202">
        <f t="shared" si="100"/>
        <v>5760000.0000000009</v>
      </c>
      <c r="AJ71" s="180">
        <f>+AE71</f>
        <v>486666.66666666669</v>
      </c>
      <c r="AK71" s="180">
        <f>+AJ71</f>
        <v>486666.66666666669</v>
      </c>
      <c r="AL71" s="180">
        <f t="shared" ref="AL71:AU71" si="114">+AK71</f>
        <v>486666.66666666669</v>
      </c>
      <c r="AM71" s="180">
        <f t="shared" si="114"/>
        <v>486666.66666666669</v>
      </c>
      <c r="AN71" s="180">
        <f t="shared" si="114"/>
        <v>486666.66666666669</v>
      </c>
      <c r="AO71" s="180">
        <f t="shared" si="114"/>
        <v>486666.66666666669</v>
      </c>
      <c r="AP71" s="180">
        <f t="shared" si="114"/>
        <v>486666.66666666669</v>
      </c>
      <c r="AQ71" s="180">
        <f t="shared" si="114"/>
        <v>486666.66666666669</v>
      </c>
      <c r="AR71" s="180">
        <f t="shared" si="114"/>
        <v>486666.66666666669</v>
      </c>
      <c r="AS71" s="180">
        <f t="shared" si="114"/>
        <v>486666.66666666669</v>
      </c>
      <c r="AT71" s="180">
        <f t="shared" si="114"/>
        <v>486666.66666666669</v>
      </c>
      <c r="AU71" s="180">
        <f t="shared" si="114"/>
        <v>486666.66666666669</v>
      </c>
      <c r="AV71" s="202">
        <f t="shared" si="101"/>
        <v>5840000.0000000009</v>
      </c>
    </row>
    <row r="72" spans="1:49">
      <c r="A72" s="178"/>
      <c r="B72" s="211" t="s">
        <v>307</v>
      </c>
      <c r="D72" s="180">
        <v>12000000</v>
      </c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202">
        <f t="shared" si="99"/>
        <v>12000000</v>
      </c>
      <c r="T72" s="180">
        <v>4000000</v>
      </c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202">
        <f t="shared" si="100"/>
        <v>4000000</v>
      </c>
      <c r="AJ72" s="180">
        <v>7000000</v>
      </c>
      <c r="AK72" s="180"/>
      <c r="AL72" s="180"/>
      <c r="AM72" s="180"/>
      <c r="AN72" s="180"/>
      <c r="AO72" s="180"/>
      <c r="AP72" s="180"/>
      <c r="AQ72" s="180"/>
      <c r="AR72" s="180"/>
      <c r="AS72" s="180"/>
      <c r="AT72" s="180"/>
      <c r="AU72" s="180"/>
      <c r="AV72" s="202">
        <f t="shared" si="101"/>
        <v>7000000</v>
      </c>
    </row>
    <row r="73" spans="1:49">
      <c r="A73" s="178"/>
      <c r="B73" s="211" t="s">
        <v>308</v>
      </c>
      <c r="D73" s="180">
        <v>3000000</v>
      </c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202">
        <f t="shared" si="99"/>
        <v>3000000</v>
      </c>
      <c r="T73" s="180">
        <v>600000</v>
      </c>
      <c r="U73" s="180">
        <f>+T73</f>
        <v>600000</v>
      </c>
      <c r="V73" s="180">
        <f t="shared" ref="V73:AE73" si="115">+U73</f>
        <v>600000</v>
      </c>
      <c r="W73" s="180">
        <f t="shared" si="115"/>
        <v>600000</v>
      </c>
      <c r="X73" s="180">
        <f t="shared" si="115"/>
        <v>600000</v>
      </c>
      <c r="Y73" s="180">
        <f t="shared" si="115"/>
        <v>600000</v>
      </c>
      <c r="Z73" s="180">
        <f t="shared" si="115"/>
        <v>600000</v>
      </c>
      <c r="AA73" s="180">
        <f t="shared" si="115"/>
        <v>600000</v>
      </c>
      <c r="AB73" s="180">
        <f t="shared" si="115"/>
        <v>600000</v>
      </c>
      <c r="AC73" s="180">
        <f t="shared" si="115"/>
        <v>600000</v>
      </c>
      <c r="AD73" s="180">
        <f t="shared" si="115"/>
        <v>600000</v>
      </c>
      <c r="AE73" s="180">
        <f t="shared" si="115"/>
        <v>600000</v>
      </c>
      <c r="AF73" s="202">
        <f t="shared" si="100"/>
        <v>7200000</v>
      </c>
      <c r="AJ73" s="180">
        <v>850000</v>
      </c>
      <c r="AK73" s="180">
        <f>+AJ73</f>
        <v>850000</v>
      </c>
      <c r="AL73" s="180">
        <f t="shared" ref="AL73:AU73" si="116">+AK73</f>
        <v>850000</v>
      </c>
      <c r="AM73" s="180">
        <f t="shared" si="116"/>
        <v>850000</v>
      </c>
      <c r="AN73" s="180">
        <f t="shared" si="116"/>
        <v>850000</v>
      </c>
      <c r="AO73" s="180">
        <f t="shared" si="116"/>
        <v>850000</v>
      </c>
      <c r="AP73" s="180">
        <f t="shared" si="116"/>
        <v>850000</v>
      </c>
      <c r="AQ73" s="180">
        <f t="shared" si="116"/>
        <v>850000</v>
      </c>
      <c r="AR73" s="180">
        <f t="shared" si="116"/>
        <v>850000</v>
      </c>
      <c r="AS73" s="180">
        <f t="shared" si="116"/>
        <v>850000</v>
      </c>
      <c r="AT73" s="180">
        <f t="shared" si="116"/>
        <v>850000</v>
      </c>
      <c r="AU73" s="180">
        <f t="shared" si="116"/>
        <v>850000</v>
      </c>
      <c r="AV73" s="202">
        <f t="shared" si="101"/>
        <v>10200000</v>
      </c>
    </row>
    <row r="74" spans="1:49">
      <c r="A74" s="178">
        <v>0.03</v>
      </c>
      <c r="B74" s="210" t="s">
        <v>291</v>
      </c>
      <c r="D74" s="180">
        <f t="shared" ref="D74:O74" si="117">+D23*$A$74</f>
        <v>147126</v>
      </c>
      <c r="E74" s="180">
        <f t="shared" si="117"/>
        <v>382716</v>
      </c>
      <c r="F74" s="180">
        <f t="shared" si="117"/>
        <v>643335</v>
      </c>
      <c r="G74" s="180">
        <f t="shared" si="117"/>
        <v>892608</v>
      </c>
      <c r="H74" s="180">
        <f t="shared" si="117"/>
        <v>1143228</v>
      </c>
      <c r="I74" s="180">
        <f t="shared" si="117"/>
        <v>1417002</v>
      </c>
      <c r="J74" s="180">
        <f t="shared" si="117"/>
        <v>1727340</v>
      </c>
      <c r="K74" s="180">
        <f t="shared" si="117"/>
        <v>2085981</v>
      </c>
      <c r="L74" s="180">
        <f t="shared" si="117"/>
        <v>2504553</v>
      </c>
      <c r="M74" s="180">
        <f t="shared" si="117"/>
        <v>2994582</v>
      </c>
      <c r="N74" s="180">
        <f t="shared" si="117"/>
        <v>3567483</v>
      </c>
      <c r="O74" s="180">
        <f t="shared" si="117"/>
        <v>4238652</v>
      </c>
      <c r="P74" s="202">
        <f t="shared" si="99"/>
        <v>21744606</v>
      </c>
      <c r="T74" s="180">
        <f t="shared" ref="T74:AE74" si="118">+T23*$A$74</f>
        <v>5078715</v>
      </c>
      <c r="U74" s="180">
        <f t="shared" si="118"/>
        <v>5763876</v>
      </c>
      <c r="V74" s="180">
        <f t="shared" si="118"/>
        <v>6387306</v>
      </c>
      <c r="W74" s="180">
        <f t="shared" si="118"/>
        <v>6945375</v>
      </c>
      <c r="X74" s="180">
        <f t="shared" si="118"/>
        <v>7430175</v>
      </c>
      <c r="Y74" s="180">
        <f t="shared" si="118"/>
        <v>7847805</v>
      </c>
      <c r="Z74" s="180">
        <f t="shared" si="118"/>
        <v>8200302</v>
      </c>
      <c r="AA74" s="180">
        <f t="shared" si="118"/>
        <v>8497611</v>
      </c>
      <c r="AB74" s="180">
        <f t="shared" si="118"/>
        <v>8743692</v>
      </c>
      <c r="AC74" s="180">
        <f t="shared" si="118"/>
        <v>8946351</v>
      </c>
      <c r="AD74" s="180">
        <f t="shared" si="118"/>
        <v>9111687</v>
      </c>
      <c r="AE74" s="180">
        <f t="shared" si="118"/>
        <v>9247506</v>
      </c>
      <c r="AF74" s="202">
        <f t="shared" si="100"/>
        <v>92200401</v>
      </c>
      <c r="AJ74" s="180">
        <f t="shared" ref="AJ74:AU74" si="119">+AJ23*$A$74</f>
        <v>9553341</v>
      </c>
      <c r="AK74" s="180">
        <f t="shared" si="119"/>
        <v>9677580</v>
      </c>
      <c r="AL74" s="180">
        <f t="shared" si="119"/>
        <v>9779895</v>
      </c>
      <c r="AM74" s="180">
        <f t="shared" si="119"/>
        <v>9860067</v>
      </c>
      <c r="AN74" s="180">
        <f t="shared" si="119"/>
        <v>10762140</v>
      </c>
      <c r="AO74" s="180">
        <f t="shared" si="119"/>
        <v>11553603</v>
      </c>
      <c r="AP74" s="180">
        <f t="shared" si="119"/>
        <v>12236637</v>
      </c>
      <c r="AQ74" s="180">
        <f t="shared" si="119"/>
        <v>12817356</v>
      </c>
      <c r="AR74" s="180">
        <f t="shared" si="119"/>
        <v>13305903</v>
      </c>
      <c r="AS74" s="180">
        <f t="shared" si="119"/>
        <v>13712316</v>
      </c>
      <c r="AT74" s="180">
        <f t="shared" si="119"/>
        <v>14046519</v>
      </c>
      <c r="AU74" s="180">
        <f t="shared" si="119"/>
        <v>14320731</v>
      </c>
      <c r="AV74" s="202">
        <f t="shared" si="101"/>
        <v>141626088</v>
      </c>
    </row>
    <row r="75" spans="1:49">
      <c r="B75" s="210" t="s">
        <v>247</v>
      </c>
      <c r="D75" s="180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202">
        <f t="shared" si="99"/>
        <v>0</v>
      </c>
      <c r="T75" s="180"/>
      <c r="U75" s="180"/>
      <c r="V75" s="180"/>
      <c r="W75" s="180"/>
      <c r="X75" s="180"/>
      <c r="Y75" s="180"/>
      <c r="Z75" s="180">
        <v>1000000</v>
      </c>
      <c r="AA75" s="180">
        <f t="shared" si="105"/>
        <v>1000000</v>
      </c>
      <c r="AB75" s="180">
        <f t="shared" si="105"/>
        <v>1000000</v>
      </c>
      <c r="AC75" s="180">
        <f t="shared" si="105"/>
        <v>1000000</v>
      </c>
      <c r="AD75" s="180">
        <f t="shared" si="105"/>
        <v>1000000</v>
      </c>
      <c r="AE75" s="180">
        <f t="shared" si="105"/>
        <v>1000000</v>
      </c>
      <c r="AF75" s="202">
        <f t="shared" si="100"/>
        <v>6000000</v>
      </c>
      <c r="AJ75" s="181">
        <v>1600000</v>
      </c>
      <c r="AK75" s="180">
        <f>+AJ75</f>
        <v>1600000</v>
      </c>
      <c r="AL75" s="180">
        <f>+AK75</f>
        <v>1600000</v>
      </c>
      <c r="AM75" s="180">
        <f t="shared" ref="AM75:AU75" si="120">+AL75</f>
        <v>1600000</v>
      </c>
      <c r="AN75" s="180">
        <f t="shared" si="120"/>
        <v>1600000</v>
      </c>
      <c r="AO75" s="180">
        <f t="shared" si="120"/>
        <v>1600000</v>
      </c>
      <c r="AP75" s="180">
        <f t="shared" si="120"/>
        <v>1600000</v>
      </c>
      <c r="AQ75" s="180">
        <f t="shared" si="120"/>
        <v>1600000</v>
      </c>
      <c r="AR75" s="180">
        <f t="shared" si="120"/>
        <v>1600000</v>
      </c>
      <c r="AS75" s="180">
        <f t="shared" si="120"/>
        <v>1600000</v>
      </c>
      <c r="AT75" s="180">
        <f t="shared" si="120"/>
        <v>1600000</v>
      </c>
      <c r="AU75" s="180">
        <f t="shared" si="120"/>
        <v>1600000</v>
      </c>
      <c r="AV75" s="202">
        <f t="shared" si="101"/>
        <v>19200000</v>
      </c>
    </row>
    <row r="77" spans="1:49" s="192" customFormat="1">
      <c r="B77" s="192" t="s">
        <v>229</v>
      </c>
      <c r="D77" s="193">
        <f>+D36+D63+D64+D65+D68+D66+D67+D75+D69+D70+D71+D74+D72+D73</f>
        <v>35274784.116666667</v>
      </c>
      <c r="E77" s="193">
        <f t="shared" ref="E77:P77" si="121">+E36+E63+E64+E65+E68+E66+E67+E75+E69+E70+E71+E74+E72+E73</f>
        <v>20862185.376666669</v>
      </c>
      <c r="F77" s="193">
        <f t="shared" si="121"/>
        <v>21559118.566666666</v>
      </c>
      <c r="G77" s="193">
        <f t="shared" si="121"/>
        <v>21686152.296666671</v>
      </c>
      <c r="H77" s="193">
        <f t="shared" si="121"/>
        <v>22244605.15666667</v>
      </c>
      <c r="I77" s="193">
        <f t="shared" si="121"/>
        <v>24223730.796666667</v>
      </c>
      <c r="J77" s="193">
        <f t="shared" si="121"/>
        <v>25713957.216666669</v>
      </c>
      <c r="K77" s="193">
        <f t="shared" si="121"/>
        <v>27416380.106666666</v>
      </c>
      <c r="L77" s="193">
        <f t="shared" si="121"/>
        <v>29362556.466666669</v>
      </c>
      <c r="M77" s="193">
        <f t="shared" si="121"/>
        <v>35134111.616666667</v>
      </c>
      <c r="N77" s="193">
        <f t="shared" si="121"/>
        <v>43390855.606666662</v>
      </c>
      <c r="O77" s="193">
        <f t="shared" si="121"/>
        <v>48718795.776666656</v>
      </c>
      <c r="P77" s="205">
        <f t="shared" si="121"/>
        <v>355587233.09999996</v>
      </c>
      <c r="T77" s="193">
        <f t="shared" ref="T77:AF77" si="122">+T36+T63+T64+T65+T68+T66+T67+T75+T69+T70+T71+T74+T72+T73</f>
        <v>70052051.429166675</v>
      </c>
      <c r="U77" s="193">
        <f t="shared" si="122"/>
        <v>69185847.74666667</v>
      </c>
      <c r="V77" s="193">
        <f t="shared" si="122"/>
        <v>77644450.646666661</v>
      </c>
      <c r="W77" s="193">
        <f t="shared" si="122"/>
        <v>80551286.916666672</v>
      </c>
      <c r="X77" s="193">
        <f t="shared" si="122"/>
        <v>81089814.416666672</v>
      </c>
      <c r="Y77" s="193">
        <f t="shared" si="122"/>
        <v>88334808.166666672</v>
      </c>
      <c r="Z77" s="193">
        <f t="shared" si="122"/>
        <v>90982626.766666681</v>
      </c>
      <c r="AA77" s="193">
        <f t="shared" si="122"/>
        <v>96760279.716666669</v>
      </c>
      <c r="AB77" s="193">
        <f t="shared" si="122"/>
        <v>97971377.516666681</v>
      </c>
      <c r="AC77" s="193">
        <f t="shared" si="122"/>
        <v>99207071.076666668</v>
      </c>
      <c r="AD77" s="193">
        <f t="shared" si="122"/>
        <v>100753860.29666667</v>
      </c>
      <c r="AE77" s="193">
        <f t="shared" si="122"/>
        <v>101683060.26666667</v>
      </c>
      <c r="AF77" s="205">
        <f t="shared" si="122"/>
        <v>1054216534.9625</v>
      </c>
      <c r="AG77" s="208">
        <f>+(AF77/P77)-1</f>
        <v>1.9647198685168434</v>
      </c>
      <c r="AJ77" s="193">
        <f t="shared" ref="AJ77:AV77" si="123">+AJ36+AJ63+AJ64+AJ65+AJ68+AJ66+AJ67+AJ75+AJ69+AJ70+AJ71+AJ74+AJ72+AJ73</f>
        <v>125795277.29666667</v>
      </c>
      <c r="AK77" s="193">
        <f t="shared" si="123"/>
        <v>119368847.34666666</v>
      </c>
      <c r="AL77" s="193">
        <f t="shared" si="123"/>
        <v>127041230.39666668</v>
      </c>
      <c r="AM77" s="193">
        <f t="shared" si="123"/>
        <v>125357177.17166667</v>
      </c>
      <c r="AN77" s="193">
        <f t="shared" si="123"/>
        <v>135194588.28666669</v>
      </c>
      <c r="AO77" s="193">
        <f t="shared" si="123"/>
        <v>144499342.19666672</v>
      </c>
      <c r="AP77" s="193">
        <f t="shared" si="123"/>
        <v>151792816.25666669</v>
      </c>
      <c r="AQ77" s="193">
        <f t="shared" si="123"/>
        <v>157714982.06666669</v>
      </c>
      <c r="AR77" s="193">
        <f t="shared" si="123"/>
        <v>160100719.91666669</v>
      </c>
      <c r="AS77" s="193">
        <f t="shared" si="123"/>
        <v>162451031.82666668</v>
      </c>
      <c r="AT77" s="193">
        <f t="shared" si="123"/>
        <v>164841116.23666668</v>
      </c>
      <c r="AU77" s="193">
        <f t="shared" si="123"/>
        <v>169944021.39666671</v>
      </c>
      <c r="AV77" s="205">
        <f t="shared" si="123"/>
        <v>1744101150.3950005</v>
      </c>
      <c r="AW77" s="208">
        <f>+(AV77/AF77)-1</f>
        <v>0.65440504161418867</v>
      </c>
    </row>
    <row r="78" spans="1:49" s="192" customFormat="1"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205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205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205"/>
    </row>
    <row r="79" spans="1:49" s="192" customFormat="1">
      <c r="B79" s="192" t="s">
        <v>290</v>
      </c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205">
        <f>+P32-P77</f>
        <v>-48594033.099999964</v>
      </c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205">
        <f>+AF32-AF77</f>
        <v>251507706.07749999</v>
      </c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205">
        <f>+AV32-AV77</f>
        <v>260022371.18355966</v>
      </c>
    </row>
    <row r="81" spans="1:48">
      <c r="B81" s="177" t="s">
        <v>226</v>
      </c>
      <c r="D81" s="180">
        <f>+'prestamo acido'!C7</f>
        <v>1041600</v>
      </c>
      <c r="E81" s="180">
        <f>+'prestamo acido'!D7</f>
        <v>1003530.8160211872</v>
      </c>
      <c r="F81" s="180">
        <f>+'prestamo acido'!E7</f>
        <v>965035.25718181219</v>
      </c>
      <c r="G81" s="180">
        <f>+'prestamo acido'!F7</f>
        <v>926108.54808343586</v>
      </c>
      <c r="H81" s="180">
        <f>+'prestamo acido'!G7</f>
        <v>886745.85984315781</v>
      </c>
      <c r="I81" s="180">
        <f>+'prestamo acido'!H7</f>
        <v>846942.30949458864</v>
      </c>
      <c r="J81" s="180">
        <f>+'prestamo acido'!I7</f>
        <v>806692.9593821154</v>
      </c>
      <c r="K81" s="180">
        <f>+'prestamo acido'!J7</f>
        <v>765992.81654838275</v>
      </c>
      <c r="L81" s="180">
        <f>+'prestamo acido'!K7</f>
        <v>724836.8321149121</v>
      </c>
      <c r="M81" s="180">
        <f>+'prestamo acido'!L7</f>
        <v>683219.90065578639</v>
      </c>
      <c r="N81" s="180">
        <f>+'prestamo acido'!M7</f>
        <v>641136.85956431867</v>
      </c>
      <c r="O81" s="180">
        <f>+'prestamo acido'!N7</f>
        <v>598582.48841262655</v>
      </c>
      <c r="P81" s="202">
        <f>SUM(D81:O81)</f>
        <v>9890424.647302324</v>
      </c>
      <c r="T81" s="180">
        <f>+'prestamo acido'!O7</f>
        <v>555551.50830403552</v>
      </c>
      <c r="U81" s="180">
        <f>+'prestamo acido'!P7</f>
        <v>512038.58121822815</v>
      </c>
      <c r="V81" s="180">
        <f>+'prestamo acido'!Q7</f>
        <v>468038.30934905983</v>
      </c>
      <c r="W81" s="180">
        <f>+'prestamo acido'!R7</f>
        <v>423545.2344349568</v>
      </c>
      <c r="X81" s="180">
        <f>+'prestamo acido'!S7</f>
        <v>378553.8370818157</v>
      </c>
      <c r="Y81" s="180">
        <f>+'prestamo acido'!T7</f>
        <v>333058.53607831954</v>
      </c>
      <c r="Z81" s="180">
        <f>+'prestamo acido'!U7</f>
        <v>287053.68770358415</v>
      </c>
      <c r="AA81" s="180">
        <f>+'prestamo acido'!V7</f>
        <v>240533.5850270518</v>
      </c>
      <c r="AB81" s="180">
        <f>+'prestamo acido'!W7</f>
        <v>193492.45720054227</v>
      </c>
      <c r="AC81" s="180">
        <f>+'prestamo acido'!X7</f>
        <v>145924.46874237582</v>
      </c>
      <c r="AD81" s="180">
        <f>+'prestamo acido'!Y7</f>
        <v>97823.718813477899</v>
      </c>
      <c r="AE81" s="180">
        <f>+'prestamo acido'!Z7</f>
        <v>49184.240485376315</v>
      </c>
      <c r="AF81" s="202">
        <f>SUM(T81:AE81)</f>
        <v>3684798.1644388232</v>
      </c>
      <c r="AM81" s="180">
        <f>+'prestamo acido'!AD7</f>
        <v>672000</v>
      </c>
      <c r="AN81" s="180">
        <f>+'prestamo acido'!AE7</f>
        <v>619366.37995830982</v>
      </c>
      <c r="AO81" s="180">
        <f>+'prestamo acido'!AF7</f>
        <v>566143.26337215258</v>
      </c>
      <c r="AP81" s="180">
        <f>+'prestamo acido'!AG7</f>
        <v>512324.04788023053</v>
      </c>
      <c r="AQ81" s="180">
        <f>+'prestamo acido'!AH7</f>
        <v>457902.0571747988</v>
      </c>
      <c r="AR81" s="180">
        <f>+'prestamo acido'!AI7</f>
        <v>402870.54017346632</v>
      </c>
      <c r="AS81" s="180">
        <f>+'prestamo acido'!AJ7</f>
        <v>347222.67018171889</v>
      </c>
      <c r="AT81" s="180">
        <f>+'prestamo acido'!AK7</f>
        <v>290951.54404606391</v>
      </c>
      <c r="AU81" s="180">
        <f>+'prestamo acido'!AL7</f>
        <v>234050.18129768959</v>
      </c>
      <c r="AV81" s="202">
        <f>SUM(AJ81:AU81)</f>
        <v>4102830.6840844303</v>
      </c>
    </row>
    <row r="82" spans="1:48">
      <c r="B82" s="177" t="s">
        <v>227</v>
      </c>
      <c r="D82" s="180">
        <f t="shared" ref="D82:O82" si="124">+D23*2%</f>
        <v>98084</v>
      </c>
      <c r="E82" s="180">
        <f t="shared" si="124"/>
        <v>255144</v>
      </c>
      <c r="F82" s="180">
        <f t="shared" si="124"/>
        <v>428890</v>
      </c>
      <c r="G82" s="180">
        <f t="shared" si="124"/>
        <v>595072</v>
      </c>
      <c r="H82" s="180">
        <f t="shared" si="124"/>
        <v>762152</v>
      </c>
      <c r="I82" s="180">
        <f t="shared" si="124"/>
        <v>944668</v>
      </c>
      <c r="J82" s="180">
        <f t="shared" si="124"/>
        <v>1151560</v>
      </c>
      <c r="K82" s="180">
        <f t="shared" si="124"/>
        <v>1390654</v>
      </c>
      <c r="L82" s="180">
        <f t="shared" si="124"/>
        <v>1669702</v>
      </c>
      <c r="M82" s="180">
        <f t="shared" si="124"/>
        <v>1996388</v>
      </c>
      <c r="N82" s="180">
        <f t="shared" si="124"/>
        <v>2378322</v>
      </c>
      <c r="O82" s="180">
        <f t="shared" si="124"/>
        <v>2825768</v>
      </c>
      <c r="P82" s="202">
        <f>SUM(D82:O82)</f>
        <v>14496404</v>
      </c>
      <c r="T82" s="180">
        <f t="shared" ref="T82:AE82" si="125">+T23*2%</f>
        <v>3385810</v>
      </c>
      <c r="U82" s="180">
        <f t="shared" si="125"/>
        <v>3842584</v>
      </c>
      <c r="V82" s="180">
        <f t="shared" si="125"/>
        <v>4258204</v>
      </c>
      <c r="W82" s="180">
        <f t="shared" si="125"/>
        <v>4630250</v>
      </c>
      <c r="X82" s="180">
        <f t="shared" si="125"/>
        <v>4953450</v>
      </c>
      <c r="Y82" s="180">
        <f t="shared" si="125"/>
        <v>5231870</v>
      </c>
      <c r="Z82" s="180">
        <f t="shared" si="125"/>
        <v>5466868</v>
      </c>
      <c r="AA82" s="180">
        <f t="shared" si="125"/>
        <v>5665074</v>
      </c>
      <c r="AB82" s="180">
        <f t="shared" si="125"/>
        <v>5829128</v>
      </c>
      <c r="AC82" s="180">
        <f t="shared" si="125"/>
        <v>5964234</v>
      </c>
      <c r="AD82" s="180">
        <f t="shared" si="125"/>
        <v>6074458</v>
      </c>
      <c r="AE82" s="180">
        <f t="shared" si="125"/>
        <v>6165004</v>
      </c>
      <c r="AF82" s="202">
        <f>SUM(T82:AE82)</f>
        <v>61466934</v>
      </c>
      <c r="AJ82" s="180">
        <f t="shared" ref="AJ82:AU82" si="126">+AJ23*2%</f>
        <v>6368894</v>
      </c>
      <c r="AK82" s="180">
        <f t="shared" si="126"/>
        <v>6451720</v>
      </c>
      <c r="AL82" s="180">
        <f t="shared" si="126"/>
        <v>6519930</v>
      </c>
      <c r="AM82" s="180">
        <f t="shared" si="126"/>
        <v>6573378</v>
      </c>
      <c r="AN82" s="180">
        <f t="shared" si="126"/>
        <v>7174760</v>
      </c>
      <c r="AO82" s="180">
        <f t="shared" si="126"/>
        <v>7702402</v>
      </c>
      <c r="AP82" s="180">
        <f t="shared" si="126"/>
        <v>8157758</v>
      </c>
      <c r="AQ82" s="180">
        <f t="shared" si="126"/>
        <v>8544904</v>
      </c>
      <c r="AR82" s="180">
        <f t="shared" si="126"/>
        <v>8870602</v>
      </c>
      <c r="AS82" s="180">
        <f t="shared" si="126"/>
        <v>9141544</v>
      </c>
      <c r="AT82" s="180">
        <f t="shared" si="126"/>
        <v>9364346</v>
      </c>
      <c r="AU82" s="180">
        <f t="shared" si="126"/>
        <v>9547154</v>
      </c>
      <c r="AV82" s="202">
        <f>SUM(AJ82:AU82)</f>
        <v>94417392</v>
      </c>
    </row>
    <row r="84" spans="1:48" s="192" customFormat="1">
      <c r="B84" s="192" t="s">
        <v>228</v>
      </c>
      <c r="D84" s="191">
        <f t="shared" ref="D84:P84" si="127">+D32-D77-D81-D82</f>
        <v>-34334668.116666667</v>
      </c>
      <c r="E84" s="191">
        <f t="shared" si="127"/>
        <v>-16711960.192687856</v>
      </c>
      <c r="F84" s="191">
        <f t="shared" si="127"/>
        <v>-13862243.823848478</v>
      </c>
      <c r="G84" s="191">
        <f t="shared" si="127"/>
        <v>-10596932.844750106</v>
      </c>
      <c r="H84" s="191">
        <f t="shared" si="127"/>
        <v>-7745303.0165098282</v>
      </c>
      <c r="I84" s="191">
        <f t="shared" si="127"/>
        <v>-6002941.1061612554</v>
      </c>
      <c r="J84" s="191">
        <f t="shared" si="127"/>
        <v>-3280310.1760487841</v>
      </c>
      <c r="K84" s="191">
        <f t="shared" si="127"/>
        <v>-120626.92321504839</v>
      </c>
      <c r="L84" s="191">
        <f t="shared" si="127"/>
        <v>3600804.7012184188</v>
      </c>
      <c r="M84" s="191">
        <f t="shared" si="127"/>
        <v>4457080.4826775463</v>
      </c>
      <c r="N84" s="191">
        <f t="shared" si="127"/>
        <v>3941485.5337690199</v>
      </c>
      <c r="O84" s="191">
        <f t="shared" si="127"/>
        <v>7674753.7349207178</v>
      </c>
      <c r="P84" s="205">
        <f t="shared" si="127"/>
        <v>-72980861.747302294</v>
      </c>
      <c r="T84" s="191">
        <f t="shared" ref="T84:AF84" si="128">+T32-T77-T81-T82</f>
        <v>-2049080.8574707119</v>
      </c>
      <c r="U84" s="191">
        <f t="shared" si="128"/>
        <v>8102741.512115106</v>
      </c>
      <c r="V84" s="191">
        <f t="shared" si="128"/>
        <v>8096904.1639842838</v>
      </c>
      <c r="W84" s="191">
        <f t="shared" si="128"/>
        <v>12761417.608898375</v>
      </c>
      <c r="X84" s="191">
        <f t="shared" si="128"/>
        <v>18806153.18625151</v>
      </c>
      <c r="Y84" s="191">
        <f t="shared" si="128"/>
        <v>17238827.697255015</v>
      </c>
      <c r="Z84" s="191">
        <f t="shared" si="128"/>
        <v>19390646.265629735</v>
      </c>
      <c r="AA84" s="191">
        <f t="shared" si="128"/>
        <v>17668839.498306278</v>
      </c>
      <c r="AB84" s="191">
        <f t="shared" si="128"/>
        <v>19823234.826132774</v>
      </c>
      <c r="AC84" s="191">
        <f t="shared" si="128"/>
        <v>21367867.494590949</v>
      </c>
      <c r="AD84" s="191">
        <f t="shared" si="128"/>
        <v>22098729.74451986</v>
      </c>
      <c r="AE84" s="191">
        <f t="shared" si="128"/>
        <v>23049692.772847958</v>
      </c>
      <c r="AF84" s="205">
        <f t="shared" si="128"/>
        <v>186355973.91306117</v>
      </c>
      <c r="AJ84" s="191">
        <f t="shared" ref="AJ84:AU84" si="129">+AJ32-AJ77-AJ81-AJ82</f>
        <v>3040585.1311733276</v>
      </c>
      <c r="AK84" s="191">
        <f t="shared" si="129"/>
        <v>11141334.672213346</v>
      </c>
      <c r="AL84" s="191">
        <f t="shared" si="129"/>
        <v>4847944.4961333275</v>
      </c>
      <c r="AM84" s="191">
        <f t="shared" si="129"/>
        <v>6940463.3979333192</v>
      </c>
      <c r="AN84" s="191">
        <f t="shared" si="129"/>
        <v>9312935.8069749698</v>
      </c>
      <c r="AO84" s="191">
        <f t="shared" si="129"/>
        <v>10727576.21196115</v>
      </c>
      <c r="AP84" s="191">
        <f t="shared" si="129"/>
        <v>12692614.078173101</v>
      </c>
      <c r="AQ84" s="191">
        <f t="shared" si="129"/>
        <v>14650570.095678482</v>
      </c>
      <c r="AR84" s="191">
        <f t="shared" si="129"/>
        <v>18903413.095159832</v>
      </c>
      <c r="AS84" s="191">
        <f t="shared" si="129"/>
        <v>22085432.9729116</v>
      </c>
      <c r="AT84" s="191">
        <f t="shared" si="129"/>
        <v>24255080.081687249</v>
      </c>
      <c r="AU84" s="191">
        <f t="shared" si="129"/>
        <v>22904198.459475636</v>
      </c>
      <c r="AV84" s="205">
        <f>SUM(AJ84:AU84)</f>
        <v>161502148.49947533</v>
      </c>
    </row>
    <row r="85" spans="1:48">
      <c r="B85" s="177" t="s">
        <v>78</v>
      </c>
      <c r="P85" s="202">
        <f>+IF(P84&lt;0,0,P84*'Estados finan base'!$E$4)</f>
        <v>0</v>
      </c>
      <c r="AF85" s="202">
        <f>+IF(AF84&lt;0,0,AF84*'Estados finan base'!$E$4)</f>
        <v>65224590.869571403</v>
      </c>
      <c r="AV85" s="202">
        <f>+IF(AV84&lt;0,0,AV84*'Estados finan base'!$E$4)</f>
        <v>56525751.97481636</v>
      </c>
    </row>
    <row r="87" spans="1:48" s="192" customFormat="1">
      <c r="B87" s="192" t="s">
        <v>80</v>
      </c>
      <c r="D87" s="193">
        <f>+D84-D85</f>
        <v>-34334668.116666667</v>
      </c>
      <c r="E87" s="193">
        <f t="shared" ref="E87:P87" si="130">+E84-E85</f>
        <v>-16711960.192687856</v>
      </c>
      <c r="F87" s="193">
        <f t="shared" si="130"/>
        <v>-13862243.823848478</v>
      </c>
      <c r="G87" s="193">
        <f t="shared" si="130"/>
        <v>-10596932.844750106</v>
      </c>
      <c r="H87" s="193">
        <f t="shared" si="130"/>
        <v>-7745303.0165098282</v>
      </c>
      <c r="I87" s="193">
        <f t="shared" si="130"/>
        <v>-6002941.1061612554</v>
      </c>
      <c r="J87" s="193">
        <f t="shared" si="130"/>
        <v>-3280310.1760487841</v>
      </c>
      <c r="K87" s="193">
        <f t="shared" si="130"/>
        <v>-120626.92321504839</v>
      </c>
      <c r="L87" s="193">
        <f t="shared" si="130"/>
        <v>3600804.7012184188</v>
      </c>
      <c r="M87" s="193">
        <f t="shared" si="130"/>
        <v>4457080.4826775463</v>
      </c>
      <c r="N87" s="193">
        <f t="shared" si="130"/>
        <v>3941485.5337690199</v>
      </c>
      <c r="O87" s="193">
        <f>+O84-O85</f>
        <v>7674753.7349207178</v>
      </c>
      <c r="P87" s="204">
        <f t="shared" si="130"/>
        <v>-72980861.747302294</v>
      </c>
      <c r="T87" s="193">
        <f t="shared" ref="T87:AF87" si="131">+T84-T85</f>
        <v>-2049080.8574707119</v>
      </c>
      <c r="U87" s="193">
        <f t="shared" si="131"/>
        <v>8102741.512115106</v>
      </c>
      <c r="V87" s="193">
        <f t="shared" si="131"/>
        <v>8096904.1639842838</v>
      </c>
      <c r="W87" s="193">
        <f t="shared" si="131"/>
        <v>12761417.608898375</v>
      </c>
      <c r="X87" s="193">
        <f t="shared" si="131"/>
        <v>18806153.18625151</v>
      </c>
      <c r="Y87" s="193">
        <f t="shared" si="131"/>
        <v>17238827.697255015</v>
      </c>
      <c r="Z87" s="193">
        <f t="shared" si="131"/>
        <v>19390646.265629735</v>
      </c>
      <c r="AA87" s="193">
        <f t="shared" si="131"/>
        <v>17668839.498306278</v>
      </c>
      <c r="AB87" s="193">
        <f t="shared" si="131"/>
        <v>19823234.826132774</v>
      </c>
      <c r="AC87" s="193">
        <f t="shared" si="131"/>
        <v>21367867.494590949</v>
      </c>
      <c r="AD87" s="193">
        <f t="shared" si="131"/>
        <v>22098729.74451986</v>
      </c>
      <c r="AE87" s="193">
        <f t="shared" si="131"/>
        <v>23049692.772847958</v>
      </c>
      <c r="AF87" s="204">
        <f t="shared" si="131"/>
        <v>121131383.04348977</v>
      </c>
      <c r="AJ87" s="193">
        <f t="shared" ref="AJ87:AV87" si="132">+AJ84-AJ85</f>
        <v>3040585.1311733276</v>
      </c>
      <c r="AK87" s="193">
        <f t="shared" si="132"/>
        <v>11141334.672213346</v>
      </c>
      <c r="AL87" s="193">
        <f t="shared" si="132"/>
        <v>4847944.4961333275</v>
      </c>
      <c r="AM87" s="193">
        <f t="shared" si="132"/>
        <v>6940463.3979333192</v>
      </c>
      <c r="AN87" s="193">
        <f t="shared" si="132"/>
        <v>9312935.8069749698</v>
      </c>
      <c r="AO87" s="193">
        <f t="shared" si="132"/>
        <v>10727576.21196115</v>
      </c>
      <c r="AP87" s="193">
        <f t="shared" si="132"/>
        <v>12692614.078173101</v>
      </c>
      <c r="AQ87" s="193">
        <f t="shared" si="132"/>
        <v>14650570.095678482</v>
      </c>
      <c r="AR87" s="193">
        <f t="shared" si="132"/>
        <v>18903413.095159832</v>
      </c>
      <c r="AS87" s="193">
        <f t="shared" si="132"/>
        <v>22085432.9729116</v>
      </c>
      <c r="AT87" s="193">
        <f t="shared" si="132"/>
        <v>24255080.081687249</v>
      </c>
      <c r="AU87" s="193">
        <f t="shared" si="132"/>
        <v>22904198.459475636</v>
      </c>
      <c r="AV87" s="204">
        <f t="shared" si="132"/>
        <v>104976396.52465898</v>
      </c>
    </row>
    <row r="90" spans="1:48" s="192" customFormat="1">
      <c r="B90" s="192" t="s">
        <v>264</v>
      </c>
      <c r="C90" s="193">
        <f>+C96+C95+C94+C93+C92+C91+C97-C98</f>
        <v>28000000</v>
      </c>
      <c r="D90" s="193">
        <f>+D96+D95+D94+D93+D92+D91+D97-D98</f>
        <v>27533333.333333332</v>
      </c>
      <c r="E90" s="191">
        <f t="shared" ref="E90:F90" si="133">+E96+E95+E94+E93+E92+E91</f>
        <v>12000000</v>
      </c>
      <c r="F90" s="191">
        <f t="shared" si="133"/>
        <v>12000000</v>
      </c>
      <c r="P90" s="205">
        <f>+P96+P95+P94+P93+P92+P91+P97-P98</f>
        <v>163335904.57550216</v>
      </c>
      <c r="AF90" s="205">
        <f>+AF96+AF95+AF94+AF93+AF92+AF91+AF97-AF98</f>
        <v>137300623.86000001</v>
      </c>
      <c r="AV90" s="205">
        <f>+AV96+AV95+AV94+AV93+AV92+AV91+AV97-AV98</f>
        <v>113197753.26755998</v>
      </c>
    </row>
    <row r="91" spans="1:48">
      <c r="B91" s="186" t="s">
        <v>265</v>
      </c>
      <c r="P91" s="207">
        <f>+P130</f>
        <v>113768474.01994659</v>
      </c>
      <c r="AF91" s="207">
        <f>+AF130</f>
        <v>113860623.86</v>
      </c>
      <c r="AV91" s="207">
        <f>+AV130</f>
        <v>113197753.26755998</v>
      </c>
    </row>
    <row r="92" spans="1:48">
      <c r="A92" s="177">
        <v>0</v>
      </c>
      <c r="B92" s="186" t="s">
        <v>266</v>
      </c>
      <c r="P92" s="207">
        <f>+(A92/360)*P23</f>
        <v>0</v>
      </c>
      <c r="AF92" s="207">
        <f>+(Q92/360)*AF23</f>
        <v>0</v>
      </c>
      <c r="AI92" s="177">
        <v>0</v>
      </c>
      <c r="AV92" s="207">
        <f>+(AG92/360)*AV23</f>
        <v>0</v>
      </c>
    </row>
    <row r="93" spans="1:48">
      <c r="A93" s="177">
        <v>25</v>
      </c>
      <c r="B93" s="186" t="s">
        <v>59</v>
      </c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202">
        <f>+(A93/360)*P28</f>
        <v>27167430.555555556</v>
      </c>
      <c r="AF93" s="202">
        <f>+(Q93/360)*AF28</f>
        <v>0</v>
      </c>
      <c r="AI93" s="177">
        <v>30</v>
      </c>
      <c r="AV93" s="202">
        <f>+(AG93/360)*AV28</f>
        <v>0</v>
      </c>
    </row>
    <row r="94" spans="1:48">
      <c r="B94" s="186" t="s">
        <v>267</v>
      </c>
    </row>
    <row r="95" spans="1:48">
      <c r="B95" s="186" t="s">
        <v>268</v>
      </c>
      <c r="C95" s="180">
        <v>6000000</v>
      </c>
      <c r="D95" s="181">
        <f>+C95</f>
        <v>6000000</v>
      </c>
      <c r="E95" s="181">
        <f t="shared" ref="E95:P97" si="134">+D95</f>
        <v>6000000</v>
      </c>
      <c r="F95" s="181">
        <f t="shared" si="134"/>
        <v>6000000</v>
      </c>
      <c r="G95" s="181">
        <f t="shared" si="134"/>
        <v>6000000</v>
      </c>
      <c r="H95" s="181">
        <f t="shared" si="134"/>
        <v>6000000</v>
      </c>
      <c r="I95" s="181">
        <f t="shared" si="134"/>
        <v>6000000</v>
      </c>
      <c r="J95" s="181">
        <f t="shared" si="134"/>
        <v>6000000</v>
      </c>
      <c r="K95" s="181">
        <f t="shared" si="134"/>
        <v>6000000</v>
      </c>
      <c r="L95" s="181">
        <f t="shared" si="134"/>
        <v>6000000</v>
      </c>
      <c r="M95" s="181">
        <f t="shared" si="134"/>
        <v>6000000</v>
      </c>
      <c r="N95" s="181">
        <f t="shared" si="134"/>
        <v>6000000</v>
      </c>
      <c r="O95" s="181">
        <f t="shared" si="134"/>
        <v>6000000</v>
      </c>
      <c r="P95" s="207">
        <f t="shared" si="134"/>
        <v>6000000</v>
      </c>
      <c r="T95" s="181">
        <f>+O95</f>
        <v>6000000</v>
      </c>
      <c r="U95" s="181">
        <f>+T95</f>
        <v>6000000</v>
      </c>
      <c r="V95" s="181">
        <f t="shared" ref="V95:AF97" si="135">+U95</f>
        <v>6000000</v>
      </c>
      <c r="W95" s="181">
        <f t="shared" si="135"/>
        <v>6000000</v>
      </c>
      <c r="X95" s="181">
        <f t="shared" si="135"/>
        <v>6000000</v>
      </c>
      <c r="Y95" s="181">
        <f t="shared" si="135"/>
        <v>6000000</v>
      </c>
      <c r="Z95" s="181">
        <f t="shared" si="135"/>
        <v>6000000</v>
      </c>
      <c r="AA95" s="181">
        <f t="shared" si="135"/>
        <v>6000000</v>
      </c>
      <c r="AB95" s="181">
        <f t="shared" si="135"/>
        <v>6000000</v>
      </c>
      <c r="AC95" s="181">
        <f t="shared" si="135"/>
        <v>6000000</v>
      </c>
      <c r="AD95" s="181">
        <f t="shared" si="135"/>
        <v>6000000</v>
      </c>
      <c r="AE95" s="181">
        <f t="shared" si="135"/>
        <v>6000000</v>
      </c>
      <c r="AF95" s="207">
        <f t="shared" si="135"/>
        <v>6000000</v>
      </c>
      <c r="AV95" s="207">
        <f t="shared" ref="AV95:AV97" si="136">+AU95</f>
        <v>0</v>
      </c>
    </row>
    <row r="96" spans="1:48">
      <c r="B96" s="186" t="s">
        <v>269</v>
      </c>
      <c r="C96" s="180">
        <v>6000000</v>
      </c>
      <c r="D96" s="181">
        <f>+C96</f>
        <v>6000000</v>
      </c>
      <c r="E96" s="181">
        <f t="shared" si="134"/>
        <v>6000000</v>
      </c>
      <c r="F96" s="181">
        <f t="shared" si="134"/>
        <v>6000000</v>
      </c>
      <c r="G96" s="181">
        <f t="shared" si="134"/>
        <v>6000000</v>
      </c>
      <c r="H96" s="181">
        <f t="shared" si="134"/>
        <v>6000000</v>
      </c>
      <c r="I96" s="181">
        <f t="shared" si="134"/>
        <v>6000000</v>
      </c>
      <c r="J96" s="181">
        <f t="shared" si="134"/>
        <v>6000000</v>
      </c>
      <c r="K96" s="181">
        <f t="shared" si="134"/>
        <v>6000000</v>
      </c>
      <c r="L96" s="181">
        <f t="shared" si="134"/>
        <v>6000000</v>
      </c>
      <c r="M96" s="181">
        <f t="shared" si="134"/>
        <v>6000000</v>
      </c>
      <c r="N96" s="181">
        <f t="shared" si="134"/>
        <v>6000000</v>
      </c>
      <c r="O96" s="181">
        <f t="shared" si="134"/>
        <v>6000000</v>
      </c>
      <c r="P96" s="207">
        <f t="shared" si="134"/>
        <v>6000000</v>
      </c>
      <c r="T96" s="181">
        <f>+O96</f>
        <v>6000000</v>
      </c>
      <c r="U96" s="181">
        <f t="shared" ref="U96:AE98" si="137">+T96</f>
        <v>6000000</v>
      </c>
      <c r="V96" s="181">
        <f t="shared" si="137"/>
        <v>6000000</v>
      </c>
      <c r="W96" s="181">
        <f t="shared" si="137"/>
        <v>6000000</v>
      </c>
      <c r="X96" s="181">
        <f t="shared" si="137"/>
        <v>6000000</v>
      </c>
      <c r="Y96" s="181">
        <f t="shared" si="137"/>
        <v>6000000</v>
      </c>
      <c r="Z96" s="181">
        <f t="shared" si="137"/>
        <v>6000000</v>
      </c>
      <c r="AA96" s="181">
        <f t="shared" si="137"/>
        <v>6000000</v>
      </c>
      <c r="AB96" s="181">
        <f t="shared" si="137"/>
        <v>6000000</v>
      </c>
      <c r="AC96" s="181">
        <f t="shared" si="137"/>
        <v>6000000</v>
      </c>
      <c r="AD96" s="181">
        <f t="shared" si="137"/>
        <v>6000000</v>
      </c>
      <c r="AE96" s="181">
        <f t="shared" si="137"/>
        <v>6000000</v>
      </c>
      <c r="AF96" s="207">
        <f t="shared" si="135"/>
        <v>6000000</v>
      </c>
      <c r="AV96" s="207">
        <f t="shared" si="136"/>
        <v>0</v>
      </c>
    </row>
    <row r="97" spans="1:48">
      <c r="B97" s="186" t="s">
        <v>270</v>
      </c>
      <c r="C97" s="180">
        <v>16000000</v>
      </c>
      <c r="D97" s="181">
        <f>+C97</f>
        <v>16000000</v>
      </c>
      <c r="E97" s="181">
        <f t="shared" si="134"/>
        <v>16000000</v>
      </c>
      <c r="F97" s="181">
        <f t="shared" si="134"/>
        <v>16000000</v>
      </c>
      <c r="G97" s="181">
        <f t="shared" si="134"/>
        <v>16000000</v>
      </c>
      <c r="H97" s="181">
        <f t="shared" si="134"/>
        <v>16000000</v>
      </c>
      <c r="I97" s="181">
        <f t="shared" si="134"/>
        <v>16000000</v>
      </c>
      <c r="J97" s="181">
        <f t="shared" si="134"/>
        <v>16000000</v>
      </c>
      <c r="K97" s="181">
        <f t="shared" si="134"/>
        <v>16000000</v>
      </c>
      <c r="L97" s="181">
        <f t="shared" si="134"/>
        <v>16000000</v>
      </c>
      <c r="M97" s="181">
        <f t="shared" si="134"/>
        <v>16000000</v>
      </c>
      <c r="N97" s="181">
        <f t="shared" si="134"/>
        <v>16000000</v>
      </c>
      <c r="O97" s="181">
        <f t="shared" si="134"/>
        <v>16000000</v>
      </c>
      <c r="P97" s="207">
        <f t="shared" si="134"/>
        <v>16000000</v>
      </c>
      <c r="T97" s="181">
        <f t="shared" ref="T97:T98" si="138">+O97</f>
        <v>16000000</v>
      </c>
      <c r="U97" s="181">
        <f t="shared" si="137"/>
        <v>16000000</v>
      </c>
      <c r="V97" s="181">
        <f t="shared" si="137"/>
        <v>16000000</v>
      </c>
      <c r="W97" s="214">
        <f>+V97+1200000</f>
        <v>17200000</v>
      </c>
      <c r="X97" s="181">
        <f t="shared" si="137"/>
        <v>17200000</v>
      </c>
      <c r="Y97" s="181">
        <f t="shared" si="137"/>
        <v>17200000</v>
      </c>
      <c r="Z97" s="181">
        <f t="shared" si="137"/>
        <v>17200000</v>
      </c>
      <c r="AA97" s="181">
        <f t="shared" si="137"/>
        <v>17200000</v>
      </c>
      <c r="AB97" s="181">
        <f t="shared" si="137"/>
        <v>17200000</v>
      </c>
      <c r="AC97" s="181">
        <f t="shared" si="137"/>
        <v>17200000</v>
      </c>
      <c r="AD97" s="181">
        <f t="shared" si="137"/>
        <v>17200000</v>
      </c>
      <c r="AE97" s="181">
        <f t="shared" si="137"/>
        <v>17200000</v>
      </c>
      <c r="AF97" s="207">
        <f t="shared" si="135"/>
        <v>17200000</v>
      </c>
      <c r="AV97" s="207">
        <f t="shared" si="136"/>
        <v>0</v>
      </c>
    </row>
    <row r="98" spans="1:48">
      <c r="B98" s="186" t="s">
        <v>277</v>
      </c>
      <c r="D98" s="181">
        <f>SUM($C$95:$C$97)/5/12</f>
        <v>466666.66666666669</v>
      </c>
      <c r="E98" s="181">
        <f t="shared" ref="E98:O98" si="139">SUM($C$95:$C$97)/5/12</f>
        <v>466666.66666666669</v>
      </c>
      <c r="F98" s="181">
        <f t="shared" si="139"/>
        <v>466666.66666666669</v>
      </c>
      <c r="G98" s="181">
        <f t="shared" si="139"/>
        <v>466666.66666666669</v>
      </c>
      <c r="H98" s="181">
        <f t="shared" si="139"/>
        <v>466666.66666666669</v>
      </c>
      <c r="I98" s="181">
        <f t="shared" si="139"/>
        <v>466666.66666666669</v>
      </c>
      <c r="J98" s="181">
        <f t="shared" si="139"/>
        <v>466666.66666666669</v>
      </c>
      <c r="K98" s="181">
        <f t="shared" si="139"/>
        <v>466666.66666666669</v>
      </c>
      <c r="L98" s="181">
        <f t="shared" si="139"/>
        <v>466666.66666666669</v>
      </c>
      <c r="M98" s="181">
        <f t="shared" si="139"/>
        <v>466666.66666666669</v>
      </c>
      <c r="N98" s="181">
        <f t="shared" si="139"/>
        <v>466666.66666666669</v>
      </c>
      <c r="O98" s="181">
        <f t="shared" si="139"/>
        <v>466666.66666666669</v>
      </c>
      <c r="P98" s="202">
        <f>SUM(D98:O98)</f>
        <v>5600000.0000000009</v>
      </c>
      <c r="T98" s="181">
        <f t="shared" si="138"/>
        <v>466666.66666666669</v>
      </c>
      <c r="U98" s="181">
        <f t="shared" si="137"/>
        <v>466666.66666666669</v>
      </c>
      <c r="V98" s="181">
        <f t="shared" si="137"/>
        <v>466666.66666666669</v>
      </c>
      <c r="W98" s="181">
        <f t="shared" si="137"/>
        <v>466666.66666666669</v>
      </c>
      <c r="X98" s="181">
        <f>+W98+((W97-V97)/5/12)</f>
        <v>486666.66666666669</v>
      </c>
      <c r="Y98" s="181">
        <f t="shared" si="137"/>
        <v>486666.66666666669</v>
      </c>
      <c r="Z98" s="181">
        <f t="shared" si="137"/>
        <v>486666.66666666669</v>
      </c>
      <c r="AA98" s="181">
        <f t="shared" si="137"/>
        <v>486666.66666666669</v>
      </c>
      <c r="AB98" s="181">
        <f t="shared" si="137"/>
        <v>486666.66666666669</v>
      </c>
      <c r="AC98" s="181">
        <f t="shared" si="137"/>
        <v>486666.66666666669</v>
      </c>
      <c r="AD98" s="181">
        <f t="shared" si="137"/>
        <v>486666.66666666669</v>
      </c>
      <c r="AE98" s="181">
        <f t="shared" si="137"/>
        <v>486666.66666666669</v>
      </c>
      <c r="AF98" s="202">
        <f>SUM(T98:AE98)</f>
        <v>5760000.0000000009</v>
      </c>
      <c r="AV98" s="202">
        <f>SUM(AJ98:AU98)</f>
        <v>0</v>
      </c>
    </row>
    <row r="100" spans="1:48" s="192" customFormat="1">
      <c r="B100" s="192" t="s">
        <v>271</v>
      </c>
      <c r="C100" s="191">
        <f>+C102+C101</f>
        <v>85000000</v>
      </c>
      <c r="D100" s="191">
        <f>+D102+D101</f>
        <v>81893355.762097672</v>
      </c>
      <c r="E100" s="191">
        <f t="shared" ref="E100:O100" si="140">+E102+E101</f>
        <v>78751917.108730838</v>
      </c>
      <c r="F100" s="191">
        <f t="shared" si="140"/>
        <v>75575294.342446297</v>
      </c>
      <c r="G100" s="191">
        <f t="shared" si="140"/>
        <v>72363093.401179373</v>
      </c>
      <c r="H100" s="191">
        <f t="shared" si="140"/>
        <v>69114915.80937025</v>
      </c>
      <c r="I100" s="191">
        <f t="shared" si="140"/>
        <v>65830358.628532864</v>
      </c>
      <c r="J100" s="191">
        <f t="shared" si="140"/>
        <v>62509014.407270104</v>
      </c>
      <c r="K100" s="191">
        <f t="shared" si="140"/>
        <v>59150471.130729198</v>
      </c>
      <c r="L100" s="191">
        <f t="shared" si="140"/>
        <v>55754312.169491038</v>
      </c>
      <c r="M100" s="191">
        <f t="shared" si="140"/>
        <v>52320116.227887005</v>
      </c>
      <c r="N100" s="191">
        <f t="shared" si="140"/>
        <v>48847457.291737013</v>
      </c>
      <c r="O100" s="191">
        <f t="shared" si="140"/>
        <v>45335904.575502142</v>
      </c>
      <c r="P100" s="205">
        <f>+O100</f>
        <v>45335904.575502142</v>
      </c>
      <c r="AF100" s="205">
        <f t="shared" ref="AF100" si="141">+AF102+AF101</f>
        <v>49100623.859999999</v>
      </c>
      <c r="AV100" s="205">
        <f t="shared" ref="AV100" si="142">+AV102+AV101</f>
        <v>128957710.7038576</v>
      </c>
    </row>
    <row r="101" spans="1:48">
      <c r="B101" s="186" t="s">
        <v>265</v>
      </c>
      <c r="C101" s="180">
        <f>+'prestamo base'!B2</f>
        <v>85000000</v>
      </c>
      <c r="D101" s="180">
        <f>+C101-'prestamo base'!C8</f>
        <v>81893355.762097672</v>
      </c>
      <c r="E101" s="180">
        <f>+D101-'prestamo base'!D8</f>
        <v>78751917.108730838</v>
      </c>
      <c r="F101" s="180">
        <f>+E101-'prestamo base'!E8</f>
        <v>75575294.342446297</v>
      </c>
      <c r="G101" s="180">
        <f>+F101-'prestamo base'!F8</f>
        <v>72363093.401179373</v>
      </c>
      <c r="H101" s="180">
        <f>+G101-'prestamo base'!G8</f>
        <v>69114915.80937025</v>
      </c>
      <c r="I101" s="180">
        <f>+H101-'prestamo base'!H8</f>
        <v>65830358.628532864</v>
      </c>
      <c r="J101" s="180">
        <f>+I101-'prestamo base'!I8</f>
        <v>62509014.407270104</v>
      </c>
      <c r="K101" s="180">
        <f>+J101-'prestamo base'!J8</f>
        <v>59150471.130729198</v>
      </c>
      <c r="L101" s="180">
        <f>+K101-'prestamo base'!K8</f>
        <v>55754312.169491038</v>
      </c>
      <c r="M101" s="180">
        <f>+L101-'prestamo base'!L8</f>
        <v>52320116.227887005</v>
      </c>
      <c r="N101" s="180">
        <f>+M101-'prestamo base'!M8</f>
        <v>48847457.291737013</v>
      </c>
      <c r="O101" s="180">
        <f>+N101-'prestamo base'!N8</f>
        <v>45335904.575502142</v>
      </c>
      <c r="P101" s="205">
        <f t="shared" ref="P101:P102" si="143">+O101</f>
        <v>45335904.575502142</v>
      </c>
      <c r="T101" s="180">
        <f>+O101-'prestamo base'!O8</f>
        <v>41785022.468845434</v>
      </c>
      <c r="U101" s="180">
        <f>+T101-'prestamo base'!P8</f>
        <v>38194370.482594177</v>
      </c>
      <c r="V101" s="180">
        <f>+U101-'prestamo base'!Q8</f>
        <v>34563503.194096901</v>
      </c>
      <c r="W101" s="180">
        <f>+V101-'prestamo base'!R8</f>
        <v>30891970.191968456</v>
      </c>
      <c r="X101" s="180">
        <f>+W101-'prestamo base'!S8</f>
        <v>27179316.020216174</v>
      </c>
      <c r="Y101" s="180">
        <f>+X101-'prestamo base'!T8</f>
        <v>23425080.121740267</v>
      </c>
      <c r="Z101" s="180">
        <f>+Y101-'prestamo base'!U8</f>
        <v>19628796.78120143</v>
      </c>
      <c r="AA101" s="180">
        <f>+Z101-'prestamo base'!V8</f>
        <v>15789995.067248557</v>
      </c>
      <c r="AB101" s="180">
        <f>+AA101-'prestamo base'!W8</f>
        <v>11908198.774099413</v>
      </c>
      <c r="AC101" s="180">
        <f>+AB101-'prestamo base'!X8</f>
        <v>7982926.3624669984</v>
      </c>
      <c r="AD101" s="180">
        <f>+AC101-'prestamo base'!Y8</f>
        <v>4013690.8998243003</v>
      </c>
      <c r="AE101" s="180">
        <f>+AD101-'prestamo base'!Z8</f>
        <v>3.7252902984619141E-9</v>
      </c>
      <c r="AF101" s="202">
        <f>+AE101</f>
        <v>3.7252902984619141E-9</v>
      </c>
      <c r="AL101" s="180">
        <f>+'prestamo base'!AE2</f>
        <v>60000000</v>
      </c>
      <c r="AM101" s="180">
        <f>+AL101-'prestamo base'!AD8</f>
        <v>55300569.639134802</v>
      </c>
      <c r="AN101" s="180">
        <f>+AM101-'prestamo base'!AE8</f>
        <v>50548505.658227913</v>
      </c>
      <c r="AO101" s="180">
        <f>+AN101-'prestamo base'!AF8</f>
        <v>45743218.560734868</v>
      </c>
      <c r="AP101" s="180">
        <f>+AO101-'prestamo base'!AG8</f>
        <v>40884112.247749895</v>
      </c>
      <c r="AQ101" s="180">
        <f>+AP101-'prestamo base'!AH8</f>
        <v>35970583.944059491</v>
      </c>
      <c r="AR101" s="180">
        <f>+AQ101-'prestamo base'!AI8</f>
        <v>31002024.123367757</v>
      </c>
      <c r="AS101" s="180">
        <f>+AR101-'prestamo base'!AJ8</f>
        <v>25977816.432684273</v>
      </c>
      <c r="AT101" s="180">
        <f>+AS101-'prestamo base'!AK8</f>
        <v>20897337.615865134</v>
      </c>
      <c r="AU101" s="180">
        <f>+AT101-'prestamo base'!AL8</f>
        <v>15759957.436297622</v>
      </c>
      <c r="AV101" s="202">
        <f>+AU101</f>
        <v>15759957.436297622</v>
      </c>
    </row>
    <row r="102" spans="1:48">
      <c r="A102" s="177">
        <v>0</v>
      </c>
      <c r="B102" s="186" t="s">
        <v>272</v>
      </c>
      <c r="C102" s="180"/>
      <c r="P102" s="205">
        <f t="shared" si="143"/>
        <v>0</v>
      </c>
      <c r="S102" s="177">
        <v>10</v>
      </c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202">
        <f>+($S$102/360)*(AF28+AF30)</f>
        <v>49100623.859999999</v>
      </c>
      <c r="AI102" s="177">
        <v>15</v>
      </c>
      <c r="AV102" s="202">
        <f>+($AI$102/360)*(AV28+AV30)</f>
        <v>113197753.26755998</v>
      </c>
    </row>
    <row r="103" spans="1:48">
      <c r="C103" s="180"/>
    </row>
    <row r="104" spans="1:48" s="192" customFormat="1">
      <c r="B104" s="192" t="s">
        <v>273</v>
      </c>
      <c r="C104" s="191">
        <f>+C107+C106+C105</f>
        <v>59000000</v>
      </c>
      <c r="D104" s="191">
        <f>+D107+D106+D105</f>
        <v>24665331.883333333</v>
      </c>
      <c r="E104" s="191">
        <f t="shared" ref="E104:O104" si="144">+E107+E106+E105</f>
        <v>7953371.6906454787</v>
      </c>
      <c r="F104" s="191">
        <f t="shared" si="144"/>
        <v>-5908872.1332029998</v>
      </c>
      <c r="G104" s="191">
        <f t="shared" si="144"/>
        <v>-16505804.977953106</v>
      </c>
      <c r="H104" s="191">
        <f t="shared" si="144"/>
        <v>-24251107.994462937</v>
      </c>
      <c r="I104" s="191">
        <f t="shared" si="144"/>
        <v>-30254049.100624189</v>
      </c>
      <c r="J104" s="191">
        <f t="shared" si="144"/>
        <v>-33534359.276672974</v>
      </c>
      <c r="K104" s="191">
        <f t="shared" si="144"/>
        <v>-33654986.199888021</v>
      </c>
      <c r="L104" s="191">
        <f t="shared" si="144"/>
        <v>-30054181.498669595</v>
      </c>
      <c r="M104" s="191">
        <f t="shared" si="144"/>
        <v>-25597101.015992045</v>
      </c>
      <c r="N104" s="191">
        <f t="shared" si="144"/>
        <v>-21655615.482223019</v>
      </c>
      <c r="O104" s="191">
        <f t="shared" si="144"/>
        <v>-13980861.747302294</v>
      </c>
      <c r="P104" s="205">
        <f>+P105+P106+P107</f>
        <v>-13980861.747302294</v>
      </c>
      <c r="T104" s="191">
        <f t="shared" ref="T104:AE104" si="145">+T107+T106+T105</f>
        <v>-16029942.604773</v>
      </c>
      <c r="U104" s="191">
        <f t="shared" si="145"/>
        <v>-7927201.0926578939</v>
      </c>
      <c r="V104" s="191">
        <f t="shared" si="145"/>
        <v>169703.07132638991</v>
      </c>
      <c r="W104" s="191">
        <f t="shared" si="145"/>
        <v>12931120.680224761</v>
      </c>
      <c r="X104" s="191">
        <f t="shared" si="145"/>
        <v>31737273.866476271</v>
      </c>
      <c r="Y104" s="191">
        <f t="shared" si="145"/>
        <v>48976101.563731283</v>
      </c>
      <c r="Z104" s="191">
        <f t="shared" si="145"/>
        <v>68366747.829361022</v>
      </c>
      <c r="AA104" s="191">
        <f t="shared" si="145"/>
        <v>86035587.327667296</v>
      </c>
      <c r="AB104" s="191">
        <f t="shared" si="145"/>
        <v>105858822.15380007</v>
      </c>
      <c r="AC104" s="191">
        <f t="shared" si="145"/>
        <v>127226689.64839102</v>
      </c>
      <c r="AD104" s="191">
        <f t="shared" si="145"/>
        <v>149325419.3929109</v>
      </c>
      <c r="AE104" s="191">
        <f t="shared" si="145"/>
        <v>172375112.16575885</v>
      </c>
      <c r="AF104" s="205">
        <f>+AF105+AF106+AF107</f>
        <v>107150521.29618748</v>
      </c>
      <c r="AV104" s="205">
        <f>+AV105+AV106+AV107</f>
        <v>104976396.52465898</v>
      </c>
    </row>
    <row r="105" spans="1:48">
      <c r="B105" s="186" t="s">
        <v>274</v>
      </c>
      <c r="C105" s="180">
        <f>+'Estados finan base'!E93</f>
        <v>59000000</v>
      </c>
      <c r="D105" s="180">
        <f>+C105</f>
        <v>59000000</v>
      </c>
      <c r="E105" s="180">
        <f t="shared" ref="E105:O105" si="146">+D105</f>
        <v>59000000</v>
      </c>
      <c r="F105" s="180">
        <f t="shared" si="146"/>
        <v>59000000</v>
      </c>
      <c r="G105" s="180">
        <f t="shared" si="146"/>
        <v>59000000</v>
      </c>
      <c r="H105" s="180">
        <f t="shared" si="146"/>
        <v>59000000</v>
      </c>
      <c r="I105" s="180">
        <f t="shared" si="146"/>
        <v>59000000</v>
      </c>
      <c r="J105" s="180">
        <f t="shared" si="146"/>
        <v>59000000</v>
      </c>
      <c r="K105" s="180">
        <f t="shared" si="146"/>
        <v>59000000</v>
      </c>
      <c r="L105" s="180">
        <f t="shared" si="146"/>
        <v>59000000</v>
      </c>
      <c r="M105" s="180">
        <f t="shared" si="146"/>
        <v>59000000</v>
      </c>
      <c r="N105" s="180">
        <f t="shared" si="146"/>
        <v>59000000</v>
      </c>
      <c r="O105" s="180">
        <f t="shared" si="146"/>
        <v>59000000</v>
      </c>
      <c r="P105" s="202">
        <f>+O105</f>
        <v>59000000</v>
      </c>
      <c r="T105" s="180">
        <f>+O105</f>
        <v>59000000</v>
      </c>
      <c r="U105" s="180">
        <f t="shared" ref="U105:AE105" si="147">+T105</f>
        <v>59000000</v>
      </c>
      <c r="V105" s="180">
        <f t="shared" si="147"/>
        <v>59000000</v>
      </c>
      <c r="W105" s="180">
        <f t="shared" si="147"/>
        <v>59000000</v>
      </c>
      <c r="X105" s="180">
        <f t="shared" si="147"/>
        <v>59000000</v>
      </c>
      <c r="Y105" s="180">
        <f t="shared" si="147"/>
        <v>59000000</v>
      </c>
      <c r="Z105" s="180">
        <f t="shared" si="147"/>
        <v>59000000</v>
      </c>
      <c r="AA105" s="180">
        <f t="shared" si="147"/>
        <v>59000000</v>
      </c>
      <c r="AB105" s="180">
        <f t="shared" si="147"/>
        <v>59000000</v>
      </c>
      <c r="AC105" s="180">
        <f t="shared" si="147"/>
        <v>59000000</v>
      </c>
      <c r="AD105" s="180">
        <f t="shared" si="147"/>
        <v>59000000</v>
      </c>
      <c r="AE105" s="180">
        <f t="shared" si="147"/>
        <v>59000000</v>
      </c>
      <c r="AF105" s="202">
        <f>+AE105</f>
        <v>59000000</v>
      </c>
      <c r="AV105" s="202">
        <f>+AI105</f>
        <v>0</v>
      </c>
    </row>
    <row r="106" spans="1:48">
      <c r="B106" s="186" t="s">
        <v>275</v>
      </c>
      <c r="C106" s="180"/>
      <c r="D106" s="180">
        <f>+C106+C107</f>
        <v>0</v>
      </c>
      <c r="E106" s="180">
        <f t="shared" ref="E106:O106" si="148">+D106+D107</f>
        <v>-34334668.116666667</v>
      </c>
      <c r="F106" s="180">
        <f t="shared" si="148"/>
        <v>-51046628.309354521</v>
      </c>
      <c r="G106" s="180">
        <f t="shared" si="148"/>
        <v>-64908872.133203</v>
      </c>
      <c r="H106" s="180">
        <f t="shared" si="148"/>
        <v>-75505804.977953106</v>
      </c>
      <c r="I106" s="180">
        <f t="shared" si="148"/>
        <v>-83251107.994462937</v>
      </c>
      <c r="J106" s="180">
        <f t="shared" si="148"/>
        <v>-89254049.100624189</v>
      </c>
      <c r="K106" s="180">
        <f t="shared" si="148"/>
        <v>-92534359.276672974</v>
      </c>
      <c r="L106" s="180">
        <f t="shared" si="148"/>
        <v>-92654986.199888021</v>
      </c>
      <c r="M106" s="180">
        <f t="shared" si="148"/>
        <v>-89054181.498669595</v>
      </c>
      <c r="N106" s="180">
        <f t="shared" si="148"/>
        <v>-84597101.015992045</v>
      </c>
      <c r="O106" s="180">
        <f t="shared" si="148"/>
        <v>-80655615.482223019</v>
      </c>
      <c r="P106" s="198">
        <v>0</v>
      </c>
      <c r="T106" s="180">
        <f>+O106+O107</f>
        <v>-72980861.747302294</v>
      </c>
      <c r="U106" s="180">
        <f t="shared" ref="U106:AE106" si="149">+T106+T107</f>
        <v>-75029942.604773</v>
      </c>
      <c r="V106" s="180">
        <f t="shared" si="149"/>
        <v>-66927201.092657894</v>
      </c>
      <c r="W106" s="180">
        <f t="shared" si="149"/>
        <v>-58830296.92867361</v>
      </c>
      <c r="X106" s="180">
        <f t="shared" si="149"/>
        <v>-46068879.319775239</v>
      </c>
      <c r="Y106" s="180">
        <f t="shared" si="149"/>
        <v>-27262726.133523729</v>
      </c>
      <c r="Z106" s="180">
        <f t="shared" si="149"/>
        <v>-10023898.436268713</v>
      </c>
      <c r="AA106" s="180">
        <f t="shared" si="149"/>
        <v>9366747.8293610215</v>
      </c>
      <c r="AB106" s="180">
        <f t="shared" si="149"/>
        <v>27035587.3276673</v>
      </c>
      <c r="AC106" s="180">
        <f t="shared" si="149"/>
        <v>46858822.15380007</v>
      </c>
      <c r="AD106" s="180">
        <f t="shared" si="149"/>
        <v>68226689.648391023</v>
      </c>
      <c r="AE106" s="180">
        <f t="shared" si="149"/>
        <v>90325419.392910883</v>
      </c>
      <c r="AF106" s="202">
        <f>+P106+P107</f>
        <v>-72980861.747302294</v>
      </c>
      <c r="AV106" s="198">
        <v>0</v>
      </c>
    </row>
    <row r="107" spans="1:48">
      <c r="B107" s="186" t="s">
        <v>276</v>
      </c>
      <c r="C107" s="180"/>
      <c r="D107" s="180">
        <f>+D87</f>
        <v>-34334668.116666667</v>
      </c>
      <c r="E107" s="180">
        <f t="shared" ref="E107:O107" si="150">+E87</f>
        <v>-16711960.192687856</v>
      </c>
      <c r="F107" s="180">
        <f t="shared" si="150"/>
        <v>-13862243.823848478</v>
      </c>
      <c r="G107" s="180">
        <f t="shared" si="150"/>
        <v>-10596932.844750106</v>
      </c>
      <c r="H107" s="180">
        <f t="shared" si="150"/>
        <v>-7745303.0165098282</v>
      </c>
      <c r="I107" s="180">
        <f t="shared" si="150"/>
        <v>-6002941.1061612554</v>
      </c>
      <c r="J107" s="180">
        <f t="shared" si="150"/>
        <v>-3280310.1760487841</v>
      </c>
      <c r="K107" s="180">
        <f t="shared" si="150"/>
        <v>-120626.92321504839</v>
      </c>
      <c r="L107" s="180">
        <f t="shared" si="150"/>
        <v>3600804.7012184188</v>
      </c>
      <c r="M107" s="180">
        <f t="shared" si="150"/>
        <v>4457080.4826775463</v>
      </c>
      <c r="N107" s="180">
        <f t="shared" si="150"/>
        <v>3941485.5337690199</v>
      </c>
      <c r="O107" s="180">
        <f t="shared" si="150"/>
        <v>7674753.7349207178</v>
      </c>
      <c r="P107" s="207">
        <f>+P87</f>
        <v>-72980861.747302294</v>
      </c>
      <c r="T107" s="180">
        <f t="shared" ref="T107:AE107" si="151">+T87</f>
        <v>-2049080.8574707119</v>
      </c>
      <c r="U107" s="180">
        <f t="shared" si="151"/>
        <v>8102741.512115106</v>
      </c>
      <c r="V107" s="180">
        <f t="shared" si="151"/>
        <v>8096904.1639842838</v>
      </c>
      <c r="W107" s="180">
        <f t="shared" si="151"/>
        <v>12761417.608898375</v>
      </c>
      <c r="X107" s="180">
        <f t="shared" si="151"/>
        <v>18806153.18625151</v>
      </c>
      <c r="Y107" s="180">
        <f t="shared" si="151"/>
        <v>17238827.697255015</v>
      </c>
      <c r="Z107" s="180">
        <f t="shared" si="151"/>
        <v>19390646.265629735</v>
      </c>
      <c r="AA107" s="180">
        <f t="shared" si="151"/>
        <v>17668839.498306278</v>
      </c>
      <c r="AB107" s="180">
        <f t="shared" si="151"/>
        <v>19823234.826132774</v>
      </c>
      <c r="AC107" s="180">
        <f t="shared" si="151"/>
        <v>21367867.494590949</v>
      </c>
      <c r="AD107" s="180">
        <f t="shared" si="151"/>
        <v>22098729.74451986</v>
      </c>
      <c r="AE107" s="180">
        <f t="shared" si="151"/>
        <v>23049692.772847958</v>
      </c>
      <c r="AF107" s="202">
        <f>+AF87</f>
        <v>121131383.04348977</v>
      </c>
      <c r="AV107" s="207">
        <f>+AV87</f>
        <v>104976396.52465898</v>
      </c>
    </row>
    <row r="108" spans="1:48">
      <c r="C108" s="180"/>
    </row>
    <row r="110" spans="1:48" s="192" customFormat="1">
      <c r="B110" s="192" t="s">
        <v>278</v>
      </c>
      <c r="P110" s="204">
        <f>+P117</f>
        <v>37432569.444444448</v>
      </c>
      <c r="AF110" s="204">
        <f>+AF117</f>
        <v>113860623.86</v>
      </c>
      <c r="AV110" s="204">
        <f>+AV117</f>
        <v>113197753.26755998</v>
      </c>
    </row>
    <row r="111" spans="1:48">
      <c r="B111" s="177" t="s">
        <v>279</v>
      </c>
      <c r="P111" s="207">
        <f>+P105</f>
        <v>59000000</v>
      </c>
      <c r="AF111" s="207">
        <f>+AF105</f>
        <v>59000000</v>
      </c>
      <c r="AV111" s="207">
        <f>+AV105</f>
        <v>0</v>
      </c>
    </row>
    <row r="112" spans="1:48">
      <c r="B112" s="177" t="s">
        <v>263</v>
      </c>
      <c r="P112" s="207">
        <f>+P98</f>
        <v>5600000.0000000009</v>
      </c>
      <c r="AF112" s="207">
        <f>+AF98</f>
        <v>5760000.0000000009</v>
      </c>
      <c r="AV112" s="207">
        <f>+AV98</f>
        <v>0</v>
      </c>
    </row>
    <row r="113" spans="2:48" s="192" customFormat="1">
      <c r="B113" s="192" t="s">
        <v>280</v>
      </c>
      <c r="P113" s="205">
        <f>+P111+P112</f>
        <v>64600000</v>
      </c>
      <c r="AF113" s="205">
        <f>+AF111+AF112</f>
        <v>64760000</v>
      </c>
      <c r="AV113" s="205">
        <f>+AV111+AV112</f>
        <v>0</v>
      </c>
    </row>
    <row r="114" spans="2:48">
      <c r="B114" s="177" t="s">
        <v>281</v>
      </c>
      <c r="P114" s="207">
        <f>+P92</f>
        <v>0</v>
      </c>
      <c r="AF114" s="207">
        <f>+AF92</f>
        <v>0</v>
      </c>
      <c r="AV114" s="207">
        <f>+AV92</f>
        <v>0</v>
      </c>
    </row>
    <row r="115" spans="2:48">
      <c r="B115" s="177" t="s">
        <v>282</v>
      </c>
      <c r="P115" s="207">
        <f>+P93</f>
        <v>27167430.555555556</v>
      </c>
      <c r="AF115" s="207">
        <f>+AF93</f>
        <v>0</v>
      </c>
      <c r="AV115" s="207">
        <f>+AV93</f>
        <v>0</v>
      </c>
    </row>
    <row r="116" spans="2:48">
      <c r="B116" s="177" t="s">
        <v>283</v>
      </c>
      <c r="P116" s="207">
        <f>+P102</f>
        <v>0</v>
      </c>
      <c r="AF116" s="207">
        <f>+AF102</f>
        <v>49100623.859999999</v>
      </c>
      <c r="AV116" s="207">
        <f>+AV102</f>
        <v>113197753.26755998</v>
      </c>
    </row>
    <row r="117" spans="2:48" s="192" customFormat="1">
      <c r="B117" s="192" t="s">
        <v>284</v>
      </c>
      <c r="P117" s="204">
        <f>+P113-(P114+P115-P116)</f>
        <v>37432569.444444448</v>
      </c>
      <c r="AF117" s="204">
        <f>+AF113-(AF114+AF115-AF116)</f>
        <v>113860623.86</v>
      </c>
      <c r="AV117" s="204">
        <f>+AV113-(AV114+AV115-AV116)</f>
        <v>113197753.26755998</v>
      </c>
    </row>
    <row r="119" spans="2:48" s="192" customFormat="1">
      <c r="B119" s="192" t="s">
        <v>286</v>
      </c>
      <c r="P119" s="204">
        <f>-P120</f>
        <v>-28000000</v>
      </c>
      <c r="AF119" s="204">
        <f>-AF120</f>
        <v>0</v>
      </c>
      <c r="AV119" s="204">
        <f>-AV120</f>
        <v>0</v>
      </c>
    </row>
    <row r="120" spans="2:48">
      <c r="B120" s="177" t="s">
        <v>287</v>
      </c>
      <c r="C120" s="181">
        <f>+C95+C96+C97</f>
        <v>28000000</v>
      </c>
      <c r="P120" s="207">
        <f>+C120</f>
        <v>28000000</v>
      </c>
      <c r="W120" s="180">
        <v>10000000</v>
      </c>
      <c r="AF120" s="207">
        <f>+S120</f>
        <v>0</v>
      </c>
      <c r="AV120" s="207">
        <f>+AI120</f>
        <v>0</v>
      </c>
    </row>
    <row r="122" spans="2:48" s="192" customFormat="1">
      <c r="B122" s="192" t="s">
        <v>285</v>
      </c>
      <c r="C122" s="193"/>
      <c r="P122" s="204">
        <f>+P123-P124+P125</f>
        <v>104335904.57550214</v>
      </c>
      <c r="AF122" s="204">
        <f>+AF123-AF124+AF125</f>
        <v>0</v>
      </c>
      <c r="AV122" s="204">
        <f>+AV123-AV124+AV125</f>
        <v>0</v>
      </c>
    </row>
    <row r="123" spans="2:48">
      <c r="B123" s="177" t="s">
        <v>89</v>
      </c>
      <c r="C123" s="181">
        <f>+C101</f>
        <v>85000000</v>
      </c>
      <c r="D123" s="181">
        <v>0</v>
      </c>
      <c r="E123" s="181">
        <v>0</v>
      </c>
      <c r="F123" s="181">
        <v>0</v>
      </c>
      <c r="G123" s="181">
        <v>0</v>
      </c>
      <c r="H123" s="181">
        <v>0</v>
      </c>
      <c r="I123" s="181">
        <v>0</v>
      </c>
      <c r="J123" s="181">
        <v>0</v>
      </c>
      <c r="K123" s="181">
        <v>0</v>
      </c>
      <c r="L123" s="181">
        <v>0</v>
      </c>
      <c r="M123" s="181">
        <v>0</v>
      </c>
      <c r="N123" s="181">
        <v>0</v>
      </c>
      <c r="O123" s="181">
        <v>0</v>
      </c>
      <c r="P123" s="207">
        <f>+C123</f>
        <v>85000000</v>
      </c>
      <c r="AF123" s="207">
        <f>+S123</f>
        <v>0</v>
      </c>
      <c r="AV123" s="207">
        <f>+AI123</f>
        <v>0</v>
      </c>
    </row>
    <row r="124" spans="2:48">
      <c r="B124" s="177" t="s">
        <v>90</v>
      </c>
      <c r="D124" s="181">
        <f>+C101-D101</f>
        <v>3106644.2379023284</v>
      </c>
      <c r="E124" s="181">
        <f t="shared" ref="E124:O124" si="152">+D101-E101</f>
        <v>3141438.6533668339</v>
      </c>
      <c r="F124" s="181">
        <f t="shared" si="152"/>
        <v>3176622.7662845403</v>
      </c>
      <c r="G124" s="181">
        <f t="shared" si="152"/>
        <v>3212200.9412669241</v>
      </c>
      <c r="H124" s="181">
        <f t="shared" si="152"/>
        <v>3248177.5918091238</v>
      </c>
      <c r="I124" s="181">
        <f t="shared" si="152"/>
        <v>3284557.1808373854</v>
      </c>
      <c r="J124" s="181">
        <f t="shared" si="152"/>
        <v>3321344.2212627605</v>
      </c>
      <c r="K124" s="181">
        <f t="shared" si="152"/>
        <v>3358543.2765409052</v>
      </c>
      <c r="L124" s="181">
        <f t="shared" si="152"/>
        <v>3396158.9612381607</v>
      </c>
      <c r="M124" s="181">
        <f t="shared" si="152"/>
        <v>3434195.9416040331</v>
      </c>
      <c r="N124" s="181">
        <f t="shared" si="152"/>
        <v>3472658.936149992</v>
      </c>
      <c r="O124" s="181">
        <f t="shared" si="152"/>
        <v>3511552.7162348703</v>
      </c>
      <c r="P124" s="207">
        <f>SUM(D124:O124)</f>
        <v>39664095.424497858</v>
      </c>
      <c r="T124" s="181"/>
      <c r="U124" s="181"/>
      <c r="AF124" s="207">
        <f>SUM(T124:AE124)</f>
        <v>0</v>
      </c>
      <c r="AV124" s="207">
        <f>SUM(AJ124:AU124)</f>
        <v>0</v>
      </c>
    </row>
    <row r="125" spans="2:48">
      <c r="B125" s="177" t="s">
        <v>91</v>
      </c>
      <c r="C125" s="181">
        <f>+C105</f>
        <v>59000000</v>
      </c>
      <c r="D125" s="180">
        <v>0</v>
      </c>
      <c r="E125" s="180">
        <v>0</v>
      </c>
      <c r="F125" s="180">
        <v>0</v>
      </c>
      <c r="G125" s="180">
        <v>0</v>
      </c>
      <c r="H125" s="180">
        <v>0</v>
      </c>
      <c r="I125" s="180">
        <v>0</v>
      </c>
      <c r="J125" s="180">
        <v>0</v>
      </c>
      <c r="K125" s="180">
        <v>0</v>
      </c>
      <c r="L125" s="180">
        <v>0</v>
      </c>
      <c r="M125" s="180">
        <v>0</v>
      </c>
      <c r="N125" s="180">
        <v>0</v>
      </c>
      <c r="O125" s="180">
        <v>0</v>
      </c>
      <c r="P125" s="207">
        <f>+C125</f>
        <v>59000000</v>
      </c>
      <c r="AF125" s="207">
        <f>+S125</f>
        <v>0</v>
      </c>
      <c r="AV125" s="207">
        <f>+AI125</f>
        <v>0</v>
      </c>
    </row>
    <row r="126" spans="2:48">
      <c r="B126" s="177" t="s">
        <v>92</v>
      </c>
    </row>
    <row r="128" spans="2:48" s="192" customFormat="1">
      <c r="B128" s="192" t="s">
        <v>288</v>
      </c>
      <c r="P128" s="204">
        <f>+P110+P119+P122</f>
        <v>113768474.01994659</v>
      </c>
      <c r="AF128" s="204">
        <f>+AF110+AF119+AF122</f>
        <v>113860623.86</v>
      </c>
      <c r="AV128" s="204">
        <f>+AV110+AV119+AV122</f>
        <v>113197753.26755998</v>
      </c>
    </row>
    <row r="129" spans="2:48" s="192" customFormat="1">
      <c r="B129" s="192" t="s">
        <v>95</v>
      </c>
      <c r="P129" s="206">
        <f>+O130</f>
        <v>0</v>
      </c>
      <c r="AF129" s="206">
        <f>+AE130</f>
        <v>0</v>
      </c>
      <c r="AV129" s="206">
        <f>+AU130</f>
        <v>0</v>
      </c>
    </row>
    <row r="130" spans="2:48" s="192" customFormat="1">
      <c r="B130" s="192" t="s">
        <v>96</v>
      </c>
      <c r="P130" s="204">
        <f>+P128+P129</f>
        <v>113768474.01994659</v>
      </c>
      <c r="AF130" s="204">
        <f>+AF128+AF129</f>
        <v>113860623.86</v>
      </c>
      <c r="AV130" s="204">
        <f>+AV128+AV129</f>
        <v>113197753.26755998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416C2-6785-45AF-89CE-FA5B52F56C71}">
  <sheetPr codeName="Hoja9"/>
  <dimension ref="A1:BE10"/>
  <sheetViews>
    <sheetView workbookViewId="0">
      <selection activeCell="K15" sqref="K15"/>
    </sheetView>
  </sheetViews>
  <sheetFormatPr baseColWidth="10" defaultRowHeight="15"/>
  <cols>
    <col min="1" max="1" width="12.7109375" bestFit="1" customWidth="1"/>
    <col min="2" max="4" width="13.140625" bestFit="1" customWidth="1"/>
    <col min="30" max="30" width="13.140625" bestFit="1" customWidth="1"/>
  </cols>
  <sheetData>
    <row r="1" spans="1:57">
      <c r="AD1">
        <v>1</v>
      </c>
      <c r="AE1">
        <v>2</v>
      </c>
      <c r="AF1">
        <v>3</v>
      </c>
      <c r="AG1">
        <v>4</v>
      </c>
      <c r="AH1">
        <v>5</v>
      </c>
      <c r="AI1">
        <v>6</v>
      </c>
      <c r="AJ1">
        <v>7</v>
      </c>
      <c r="AK1">
        <v>8</v>
      </c>
      <c r="AL1">
        <v>9</v>
      </c>
      <c r="AM1">
        <v>10</v>
      </c>
      <c r="AN1">
        <v>11</v>
      </c>
      <c r="AO1">
        <v>12</v>
      </c>
      <c r="AP1">
        <v>13</v>
      </c>
      <c r="AQ1">
        <v>14</v>
      </c>
      <c r="AR1">
        <v>15</v>
      </c>
      <c r="AS1">
        <v>16</v>
      </c>
      <c r="AT1">
        <v>17</v>
      </c>
      <c r="AU1">
        <v>18</v>
      </c>
    </row>
    <row r="2" spans="1:57">
      <c r="A2" t="s">
        <v>249</v>
      </c>
      <c r="B2" s="175">
        <v>93000000</v>
      </c>
      <c r="AD2" t="s">
        <v>249</v>
      </c>
      <c r="AE2" s="175">
        <v>60000000</v>
      </c>
    </row>
    <row r="3" spans="1:57">
      <c r="A3" t="s">
        <v>250</v>
      </c>
      <c r="B3">
        <v>24</v>
      </c>
      <c r="AD3" t="s">
        <v>250</v>
      </c>
      <c r="AE3">
        <v>12</v>
      </c>
    </row>
    <row r="4" spans="1:57">
      <c r="A4" t="s">
        <v>251</v>
      </c>
      <c r="B4" s="196">
        <v>1.12E-2</v>
      </c>
      <c r="AD4" t="s">
        <v>251</v>
      </c>
      <c r="AE4" s="196">
        <v>1.12E-2</v>
      </c>
    </row>
    <row r="5" spans="1:57">
      <c r="A5" t="s">
        <v>252</v>
      </c>
      <c r="B5" s="175">
        <f>+PMT(B4,B3,-B2)</f>
        <v>4440634.2838225476</v>
      </c>
      <c r="AD5" t="s">
        <v>252</v>
      </c>
      <c r="AE5" s="175">
        <f>+PMT(AE4,AE3,-AE2)</f>
        <v>5371430.3608652009</v>
      </c>
    </row>
    <row r="6" spans="1:57">
      <c r="C6">
        <v>1</v>
      </c>
      <c r="D6">
        <v>2</v>
      </c>
      <c r="E6">
        <v>3</v>
      </c>
      <c r="F6">
        <v>4</v>
      </c>
      <c r="G6">
        <v>5</v>
      </c>
      <c r="H6">
        <v>6</v>
      </c>
      <c r="I6">
        <v>7</v>
      </c>
      <c r="J6">
        <v>8</v>
      </c>
      <c r="K6">
        <v>9</v>
      </c>
      <c r="L6">
        <v>10</v>
      </c>
      <c r="M6">
        <v>11</v>
      </c>
      <c r="N6">
        <v>12</v>
      </c>
      <c r="O6">
        <v>13</v>
      </c>
      <c r="P6">
        <v>14</v>
      </c>
      <c r="Q6">
        <v>15</v>
      </c>
      <c r="R6">
        <v>16</v>
      </c>
      <c r="S6">
        <v>17</v>
      </c>
      <c r="T6">
        <v>18</v>
      </c>
      <c r="U6">
        <v>19</v>
      </c>
      <c r="V6">
        <v>20</v>
      </c>
      <c r="W6">
        <v>21</v>
      </c>
      <c r="X6">
        <v>22</v>
      </c>
      <c r="Y6">
        <v>23</v>
      </c>
      <c r="Z6">
        <v>24</v>
      </c>
      <c r="AD6">
        <v>28</v>
      </c>
      <c r="AE6">
        <v>29</v>
      </c>
      <c r="AF6">
        <v>30</v>
      </c>
      <c r="AG6">
        <v>31</v>
      </c>
      <c r="AH6">
        <v>32</v>
      </c>
      <c r="AI6">
        <v>33</v>
      </c>
      <c r="AJ6">
        <v>34</v>
      </c>
      <c r="AK6">
        <v>35</v>
      </c>
      <c r="AL6">
        <v>36</v>
      </c>
      <c r="AM6">
        <v>37</v>
      </c>
      <c r="AN6">
        <v>38</v>
      </c>
      <c r="AO6">
        <v>39</v>
      </c>
      <c r="AP6">
        <v>33</v>
      </c>
      <c r="AQ6">
        <v>34</v>
      </c>
      <c r="AR6">
        <v>35</v>
      </c>
      <c r="AS6">
        <v>36</v>
      </c>
      <c r="AT6">
        <v>37</v>
      </c>
      <c r="AU6">
        <v>38</v>
      </c>
      <c r="AV6">
        <v>39</v>
      </c>
      <c r="AW6">
        <v>40</v>
      </c>
      <c r="AX6">
        <v>41</v>
      </c>
      <c r="AY6">
        <v>42</v>
      </c>
      <c r="AZ6">
        <v>43</v>
      </c>
      <c r="BA6">
        <v>44</v>
      </c>
      <c r="BB6">
        <v>45</v>
      </c>
      <c r="BC6">
        <v>46</v>
      </c>
      <c r="BD6">
        <v>47</v>
      </c>
      <c r="BE6">
        <v>48</v>
      </c>
    </row>
    <row r="7" spans="1:57">
      <c r="B7" t="s">
        <v>253</v>
      </c>
      <c r="C7" s="175">
        <f>+IPMT($B$4,C6,$B$3,-$B$2)</f>
        <v>1041600</v>
      </c>
      <c r="D7" s="175">
        <f>+IPMT($B$4,D6,$B$3,-$B$2)</f>
        <v>1003530.8160211872</v>
      </c>
      <c r="E7" s="175">
        <f t="shared" ref="E7:Z7" si="0">+IPMT($B$4,E6,$B$3,-$B$2)</f>
        <v>965035.25718181219</v>
      </c>
      <c r="F7" s="175">
        <f t="shared" si="0"/>
        <v>926108.54808343586</v>
      </c>
      <c r="G7" s="175">
        <f t="shared" si="0"/>
        <v>886745.85984315781</v>
      </c>
      <c r="H7" s="175">
        <f t="shared" si="0"/>
        <v>846942.30949458864</v>
      </c>
      <c r="I7" s="175">
        <f t="shared" si="0"/>
        <v>806692.9593821154</v>
      </c>
      <c r="J7" s="175">
        <f t="shared" si="0"/>
        <v>765992.81654838275</v>
      </c>
      <c r="K7" s="175">
        <f t="shared" si="0"/>
        <v>724836.8321149121</v>
      </c>
      <c r="L7" s="175">
        <f t="shared" si="0"/>
        <v>683219.90065578639</v>
      </c>
      <c r="M7" s="175">
        <f t="shared" si="0"/>
        <v>641136.85956431867</v>
      </c>
      <c r="N7" s="175">
        <f t="shared" si="0"/>
        <v>598582.48841262655</v>
      </c>
      <c r="O7" s="175">
        <f t="shared" si="0"/>
        <v>555551.50830403552</v>
      </c>
      <c r="P7" s="175">
        <f t="shared" si="0"/>
        <v>512038.58121822815</v>
      </c>
      <c r="Q7" s="175">
        <f t="shared" si="0"/>
        <v>468038.30934905983</v>
      </c>
      <c r="R7" s="175">
        <f t="shared" si="0"/>
        <v>423545.2344349568</v>
      </c>
      <c r="S7" s="175">
        <f t="shared" si="0"/>
        <v>378553.8370818157</v>
      </c>
      <c r="T7" s="175">
        <f t="shared" si="0"/>
        <v>333058.53607831954</v>
      </c>
      <c r="U7" s="175">
        <f t="shared" si="0"/>
        <v>287053.68770358415</v>
      </c>
      <c r="V7" s="175">
        <f t="shared" si="0"/>
        <v>240533.5850270518</v>
      </c>
      <c r="W7" s="175">
        <f t="shared" si="0"/>
        <v>193492.45720054227</v>
      </c>
      <c r="X7" s="175">
        <f t="shared" si="0"/>
        <v>145924.46874237582</v>
      </c>
      <c r="Y7" s="175">
        <f t="shared" si="0"/>
        <v>97823.718813477899</v>
      </c>
      <c r="Z7" s="175">
        <f t="shared" si="0"/>
        <v>49184.240485376315</v>
      </c>
      <c r="AA7" s="175"/>
      <c r="AB7" s="175"/>
      <c r="AC7" t="s">
        <v>253</v>
      </c>
      <c r="AD7" s="175">
        <f>+IPMT($AE$4,AD1,$AE$3,-$AE$2)</f>
        <v>672000</v>
      </c>
      <c r="AE7" s="175">
        <f>+IPMT($AE$4,AE1,$AE$3,-$AE$2)</f>
        <v>619366.37995830982</v>
      </c>
      <c r="AF7" s="175">
        <f t="shared" ref="AF7:AO7" si="1">+IPMT($AE$4,AF1,$AE$3,-$AE$2)</f>
        <v>566143.26337215258</v>
      </c>
      <c r="AG7" s="175">
        <f t="shared" si="1"/>
        <v>512324.04788023053</v>
      </c>
      <c r="AH7" s="175">
        <f t="shared" si="1"/>
        <v>457902.0571747988</v>
      </c>
      <c r="AI7" s="175">
        <f t="shared" si="1"/>
        <v>402870.54017346632</v>
      </c>
      <c r="AJ7" s="175">
        <f t="shared" si="1"/>
        <v>347222.67018171889</v>
      </c>
      <c r="AK7" s="175">
        <f t="shared" si="1"/>
        <v>290951.54404606391</v>
      </c>
      <c r="AL7" s="175">
        <f t="shared" si="1"/>
        <v>234050.18129768959</v>
      </c>
      <c r="AM7" s="175">
        <f t="shared" si="1"/>
        <v>176511.52328653345</v>
      </c>
      <c r="AN7" s="175">
        <f t="shared" si="1"/>
        <v>118328.43230565237</v>
      </c>
      <c r="AO7" s="175">
        <f t="shared" si="1"/>
        <v>59493.690705785441</v>
      </c>
      <c r="AP7" s="175"/>
      <c r="AQ7" s="175"/>
      <c r="AR7" s="175"/>
      <c r="AS7" s="175"/>
      <c r="AT7" s="175"/>
      <c r="AU7" s="175"/>
      <c r="AV7" s="175"/>
    </row>
    <row r="8" spans="1:57">
      <c r="B8" t="s">
        <v>254</v>
      </c>
      <c r="C8" s="175">
        <f>+PPMT($B$4,C6,$B$3,-$B$2)</f>
        <v>3399034.2838225486</v>
      </c>
      <c r="D8" s="175">
        <f>+PPMT($B$4,D6,$B$3,-$B$2)</f>
        <v>3437103.4678013599</v>
      </c>
      <c r="E8" s="175">
        <f t="shared" ref="E8:Z8" si="2">+PPMT($B$4,E6,$B$3,-$B$2)</f>
        <v>3475599.0266407356</v>
      </c>
      <c r="F8" s="175">
        <f t="shared" si="2"/>
        <v>3514525.7357391124</v>
      </c>
      <c r="G8" s="175">
        <f t="shared" si="2"/>
        <v>3553888.4239793899</v>
      </c>
      <c r="H8" s="175">
        <f t="shared" si="2"/>
        <v>3593691.9743279591</v>
      </c>
      <c r="I8" s="175">
        <f t="shared" si="2"/>
        <v>3633941.3244404322</v>
      </c>
      <c r="J8" s="175">
        <f t="shared" si="2"/>
        <v>3674641.4672741652</v>
      </c>
      <c r="K8" s="175">
        <f t="shared" si="2"/>
        <v>3715797.4517076355</v>
      </c>
      <c r="L8" s="175">
        <f t="shared" si="2"/>
        <v>3757414.3831667611</v>
      </c>
      <c r="M8" s="175">
        <f t="shared" si="2"/>
        <v>3799497.4242582293</v>
      </c>
      <c r="N8" s="175">
        <f t="shared" si="2"/>
        <v>3842051.7954099206</v>
      </c>
      <c r="O8" s="175">
        <f t="shared" si="2"/>
        <v>3885082.7755185124</v>
      </c>
      <c r="P8" s="175">
        <f t="shared" si="2"/>
        <v>3928595.7026043194</v>
      </c>
      <c r="Q8" s="175">
        <f t="shared" si="2"/>
        <v>3972595.9744734881</v>
      </c>
      <c r="R8" s="175">
        <f t="shared" si="2"/>
        <v>4017089.049387591</v>
      </c>
      <c r="S8" s="175">
        <f t="shared" si="2"/>
        <v>4062080.4467407321</v>
      </c>
      <c r="T8" s="175">
        <f t="shared" si="2"/>
        <v>4107575.7477442278</v>
      </c>
      <c r="U8" s="175">
        <f t="shared" si="2"/>
        <v>4153580.5961189633</v>
      </c>
      <c r="V8" s="175">
        <f t="shared" si="2"/>
        <v>4200100.6987954965</v>
      </c>
      <c r="W8" s="175">
        <f t="shared" si="2"/>
        <v>4247141.8266220046</v>
      </c>
      <c r="X8" s="175">
        <f t="shared" si="2"/>
        <v>4294709.8150801724</v>
      </c>
      <c r="Y8" s="175">
        <f t="shared" si="2"/>
        <v>4342810.5650090696</v>
      </c>
      <c r="Z8" s="175">
        <f t="shared" si="2"/>
        <v>4391450.043337171</v>
      </c>
      <c r="AA8" s="175"/>
      <c r="AB8" s="175"/>
      <c r="AC8" t="s">
        <v>254</v>
      </c>
      <c r="AD8" s="175">
        <f>+PPMT($AE$4,AD1,$AE$3,-$AE$2)</f>
        <v>4699430.3608652009</v>
      </c>
      <c r="AE8" s="175">
        <f>+PPMT($AE$4,AE1,$AE$3,-$AE$2)</f>
        <v>4752063.9809068916</v>
      </c>
      <c r="AF8" s="175">
        <f t="shared" ref="AF8:AO8" si="3">+PPMT($AE$4,AF1,$AE$3,-$AE$2)</f>
        <v>4805287.0974930488</v>
      </c>
      <c r="AG8" s="175">
        <f t="shared" si="3"/>
        <v>4859106.3129849704</v>
      </c>
      <c r="AH8" s="175">
        <f t="shared" si="3"/>
        <v>4913528.3036904028</v>
      </c>
      <c r="AI8" s="175">
        <f t="shared" si="3"/>
        <v>4968559.8206917346</v>
      </c>
      <c r="AJ8" s="175">
        <f t="shared" si="3"/>
        <v>5024207.6906834822</v>
      </c>
      <c r="AK8" s="175">
        <f t="shared" si="3"/>
        <v>5080478.8168191379</v>
      </c>
      <c r="AL8" s="175">
        <f t="shared" si="3"/>
        <v>5137380.1795675112</v>
      </c>
      <c r="AM8" s="175">
        <f t="shared" si="3"/>
        <v>5194918.8375786683</v>
      </c>
      <c r="AN8" s="175">
        <f t="shared" si="3"/>
        <v>5253101.9285595492</v>
      </c>
      <c r="AO8" s="175">
        <f t="shared" si="3"/>
        <v>5311936.6701594153</v>
      </c>
      <c r="AP8" s="175"/>
      <c r="AQ8" s="175"/>
      <c r="AR8" s="175"/>
      <c r="AS8" s="175"/>
      <c r="AT8" s="175"/>
      <c r="AU8" s="175"/>
      <c r="AV8" s="175"/>
    </row>
    <row r="9" spans="1:57">
      <c r="C9" s="175">
        <f>SUM(C7:C8)</f>
        <v>4440634.2838225486</v>
      </c>
      <c r="D9" s="175">
        <f>SUM(D7:D8)</f>
        <v>4440634.2838225476</v>
      </c>
      <c r="E9" s="175">
        <f t="shared" ref="E9:Z9" si="4">SUM(E7:E8)</f>
        <v>4440634.2838225476</v>
      </c>
      <c r="F9" s="175">
        <f t="shared" si="4"/>
        <v>4440634.2838225486</v>
      </c>
      <c r="G9" s="175">
        <f t="shared" si="4"/>
        <v>4440634.2838225476</v>
      </c>
      <c r="H9" s="175">
        <f t="shared" si="4"/>
        <v>4440634.2838225476</v>
      </c>
      <c r="I9" s="175">
        <f t="shared" si="4"/>
        <v>4440634.2838225476</v>
      </c>
      <c r="J9" s="175">
        <f t="shared" si="4"/>
        <v>4440634.2838225476</v>
      </c>
      <c r="K9" s="175">
        <f t="shared" si="4"/>
        <v>4440634.2838225476</v>
      </c>
      <c r="L9" s="175">
        <f t="shared" si="4"/>
        <v>4440634.2838225476</v>
      </c>
      <c r="M9" s="175">
        <f t="shared" si="4"/>
        <v>4440634.2838225476</v>
      </c>
      <c r="N9" s="175">
        <f t="shared" si="4"/>
        <v>4440634.2838225476</v>
      </c>
      <c r="O9" s="175">
        <f t="shared" si="4"/>
        <v>4440634.2838225476</v>
      </c>
      <c r="P9" s="175">
        <f t="shared" si="4"/>
        <v>4440634.2838225476</v>
      </c>
      <c r="Q9" s="175">
        <f t="shared" si="4"/>
        <v>4440634.2838225476</v>
      </c>
      <c r="R9" s="175">
        <f t="shared" si="4"/>
        <v>4440634.2838225476</v>
      </c>
      <c r="S9" s="175">
        <f t="shared" si="4"/>
        <v>4440634.2838225476</v>
      </c>
      <c r="T9" s="175">
        <f t="shared" si="4"/>
        <v>4440634.2838225476</v>
      </c>
      <c r="U9" s="175">
        <f t="shared" si="4"/>
        <v>4440634.2838225476</v>
      </c>
      <c r="V9" s="175">
        <f t="shared" si="4"/>
        <v>4440634.2838225486</v>
      </c>
      <c r="W9" s="175">
        <f t="shared" si="4"/>
        <v>4440634.2838225467</v>
      </c>
      <c r="X9" s="175">
        <f t="shared" si="4"/>
        <v>4440634.2838225486</v>
      </c>
      <c r="Y9" s="175">
        <f t="shared" si="4"/>
        <v>4440634.2838225476</v>
      </c>
      <c r="Z9" s="175">
        <f t="shared" si="4"/>
        <v>4440634.2838225476</v>
      </c>
      <c r="AA9" s="175"/>
      <c r="AB9" s="175"/>
      <c r="AD9" s="176">
        <f>SUM(AD7:AD8)</f>
        <v>5371430.3608652009</v>
      </c>
      <c r="AE9" s="176">
        <f>SUM(AE7:AE8)</f>
        <v>5371430.3608652018</v>
      </c>
      <c r="AF9" s="176">
        <f t="shared" ref="AF9:AO9" si="5">SUM(AF7:AF8)</f>
        <v>5371430.3608652018</v>
      </c>
      <c r="AG9" s="176">
        <f t="shared" si="5"/>
        <v>5371430.3608652009</v>
      </c>
      <c r="AH9" s="176">
        <f t="shared" si="5"/>
        <v>5371430.3608652018</v>
      </c>
      <c r="AI9" s="176">
        <f t="shared" si="5"/>
        <v>5371430.3608652009</v>
      </c>
      <c r="AJ9" s="176">
        <f t="shared" si="5"/>
        <v>5371430.3608652009</v>
      </c>
      <c r="AK9" s="176">
        <f t="shared" si="5"/>
        <v>5371430.3608652018</v>
      </c>
      <c r="AL9" s="176">
        <f t="shared" si="5"/>
        <v>5371430.3608652009</v>
      </c>
      <c r="AM9" s="176">
        <f t="shared" si="5"/>
        <v>5371430.3608652018</v>
      </c>
      <c r="AN9" s="176">
        <f t="shared" si="5"/>
        <v>5371430.3608652018</v>
      </c>
      <c r="AO9" s="176">
        <f t="shared" si="5"/>
        <v>5371430.3608652009</v>
      </c>
      <c r="AP9" s="176"/>
      <c r="AQ9" s="176"/>
      <c r="AR9" s="176"/>
      <c r="AS9" s="176"/>
      <c r="AT9" s="176"/>
      <c r="AU9" s="176"/>
      <c r="AV9" s="176"/>
    </row>
    <row r="10" spans="1:57">
      <c r="C10" s="175">
        <f>+C9-$B$5</f>
        <v>0</v>
      </c>
      <c r="D10" s="175">
        <f>+D9-$B$5</f>
        <v>0</v>
      </c>
      <c r="E10" s="175">
        <f t="shared" ref="E10:Z10" si="6">+E9-$B$5</f>
        <v>0</v>
      </c>
      <c r="F10" s="175">
        <f t="shared" si="6"/>
        <v>0</v>
      </c>
      <c r="G10" s="175">
        <f t="shared" si="6"/>
        <v>0</v>
      </c>
      <c r="H10" s="175">
        <f t="shared" si="6"/>
        <v>0</v>
      </c>
      <c r="I10" s="175">
        <f t="shared" si="6"/>
        <v>0</v>
      </c>
      <c r="J10" s="175">
        <f t="shared" si="6"/>
        <v>0</v>
      </c>
      <c r="K10" s="175">
        <f t="shared" si="6"/>
        <v>0</v>
      </c>
      <c r="L10" s="175">
        <f t="shared" si="6"/>
        <v>0</v>
      </c>
      <c r="M10" s="175">
        <f t="shared" si="6"/>
        <v>0</v>
      </c>
      <c r="N10" s="175">
        <f t="shared" si="6"/>
        <v>0</v>
      </c>
      <c r="O10" s="175">
        <f t="shared" si="6"/>
        <v>0</v>
      </c>
      <c r="P10" s="175">
        <f t="shared" si="6"/>
        <v>0</v>
      </c>
      <c r="Q10" s="175">
        <f t="shared" si="6"/>
        <v>0</v>
      </c>
      <c r="R10" s="175">
        <f t="shared" si="6"/>
        <v>0</v>
      </c>
      <c r="S10" s="175">
        <f t="shared" si="6"/>
        <v>0</v>
      </c>
      <c r="T10" s="175">
        <f t="shared" si="6"/>
        <v>0</v>
      </c>
      <c r="U10" s="175">
        <f t="shared" si="6"/>
        <v>0</v>
      </c>
      <c r="V10" s="175">
        <f t="shared" si="6"/>
        <v>0</v>
      </c>
      <c r="W10" s="175">
        <f t="shared" si="6"/>
        <v>0</v>
      </c>
      <c r="X10" s="175">
        <f t="shared" si="6"/>
        <v>0</v>
      </c>
      <c r="Y10" s="175">
        <f t="shared" si="6"/>
        <v>0</v>
      </c>
      <c r="Z10" s="175">
        <f t="shared" si="6"/>
        <v>0</v>
      </c>
      <c r="AA10" s="175"/>
      <c r="AB10" s="175"/>
      <c r="AD10" s="176">
        <f>+AD9-$AE$5</f>
        <v>0</v>
      </c>
      <c r="AE10" s="176">
        <f>+AE9-$AE$5</f>
        <v>0</v>
      </c>
      <c r="AF10" s="176">
        <f t="shared" ref="AF10:AO10" si="7">+AF9-$AE$5</f>
        <v>0</v>
      </c>
      <c r="AG10" s="176">
        <f t="shared" si="7"/>
        <v>0</v>
      </c>
      <c r="AH10" s="176">
        <f t="shared" si="7"/>
        <v>0</v>
      </c>
      <c r="AI10" s="176">
        <f t="shared" si="7"/>
        <v>0</v>
      </c>
      <c r="AJ10" s="176">
        <f t="shared" si="7"/>
        <v>0</v>
      </c>
      <c r="AK10" s="176">
        <f t="shared" si="7"/>
        <v>0</v>
      </c>
      <c r="AL10" s="176">
        <f t="shared" si="7"/>
        <v>0</v>
      </c>
      <c r="AM10" s="176">
        <f t="shared" si="7"/>
        <v>0</v>
      </c>
      <c r="AN10" s="176">
        <f t="shared" si="7"/>
        <v>0</v>
      </c>
      <c r="AO10" s="176">
        <f t="shared" si="7"/>
        <v>0</v>
      </c>
      <c r="AP10" s="176"/>
      <c r="AQ10" s="176"/>
      <c r="AR10" s="176"/>
      <c r="AS10" s="176"/>
      <c r="AT10" s="176"/>
      <c r="AU10" s="176"/>
      <c r="AV10" s="17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2DF1-C749-4C6A-A2AF-CA62E45F3F19}">
  <sheetPr codeName="Hoja4">
    <pageSetUpPr autoPageBreaks="0"/>
  </sheetPr>
  <dimension ref="A1:O151"/>
  <sheetViews>
    <sheetView showGridLines="0" zoomScale="80" zoomScaleNormal="80" workbookViewId="0">
      <pane xSplit="4" ySplit="1" topLeftCell="E101" activePane="bottomRight" state="frozen"/>
      <selection pane="topRight" activeCell="E1" sqref="E1"/>
      <selection pane="bottomLeft" activeCell="A2" sqref="A2"/>
      <selection pane="bottomRight" activeCell="E131" sqref="E131"/>
    </sheetView>
  </sheetViews>
  <sheetFormatPr baseColWidth="10" defaultColWidth="11.42578125" defaultRowHeight="15" outlineLevelRow="1"/>
  <cols>
    <col min="1" max="1" width="4.28515625" style="6" bestFit="1" customWidth="1"/>
    <col min="2" max="2" width="43.85546875" style="4" customWidth="1"/>
    <col min="3" max="3" width="12.42578125" style="5" customWidth="1"/>
    <col min="4" max="4" width="13.5703125" style="5" customWidth="1"/>
    <col min="5" max="13" width="14.42578125" style="6" customWidth="1"/>
    <col min="14" max="15" width="15.42578125" style="6" customWidth="1"/>
    <col min="16" max="16" width="14.85546875" style="4" customWidth="1"/>
    <col min="17" max="17" width="17.5703125" style="4" customWidth="1"/>
    <col min="18" max="16384" width="11.42578125" style="4"/>
  </cols>
  <sheetData>
    <row r="1" spans="1:15">
      <c r="B1" s="1"/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>
      <c r="F2" s="7"/>
      <c r="G2" s="8"/>
    </row>
    <row r="3" spans="1:15">
      <c r="B3" s="4" t="s">
        <v>13</v>
      </c>
      <c r="E3" s="54">
        <v>0.04</v>
      </c>
      <c r="F3" s="9">
        <f>+E3</f>
        <v>0.04</v>
      </c>
      <c r="G3" s="9">
        <f t="shared" ref="G3:O3" si="0">+F3</f>
        <v>0.04</v>
      </c>
      <c r="H3" s="9">
        <f t="shared" si="0"/>
        <v>0.04</v>
      </c>
      <c r="I3" s="9">
        <f t="shared" si="0"/>
        <v>0.04</v>
      </c>
      <c r="J3" s="9">
        <f t="shared" si="0"/>
        <v>0.04</v>
      </c>
      <c r="K3" s="9">
        <f t="shared" si="0"/>
        <v>0.04</v>
      </c>
      <c r="L3" s="9">
        <f t="shared" si="0"/>
        <v>0.04</v>
      </c>
      <c r="M3" s="9">
        <f t="shared" si="0"/>
        <v>0.04</v>
      </c>
      <c r="N3" s="9">
        <f t="shared" si="0"/>
        <v>0.04</v>
      </c>
      <c r="O3" s="9">
        <f t="shared" si="0"/>
        <v>0.04</v>
      </c>
    </row>
    <row r="4" spans="1:15">
      <c r="B4" s="4" t="s">
        <v>14</v>
      </c>
      <c r="E4" s="54">
        <v>0.35</v>
      </c>
      <c r="F4" s="9">
        <f>+E4</f>
        <v>0.35</v>
      </c>
      <c r="G4" s="9">
        <f t="shared" ref="G4:O4" si="1">+F4</f>
        <v>0.35</v>
      </c>
      <c r="H4" s="9">
        <f t="shared" si="1"/>
        <v>0.35</v>
      </c>
      <c r="I4" s="9">
        <f t="shared" si="1"/>
        <v>0.35</v>
      </c>
      <c r="J4" s="9">
        <f t="shared" si="1"/>
        <v>0.35</v>
      </c>
      <c r="K4" s="9">
        <f t="shared" si="1"/>
        <v>0.35</v>
      </c>
      <c r="L4" s="9">
        <f t="shared" si="1"/>
        <v>0.35</v>
      </c>
      <c r="M4" s="9">
        <f t="shared" si="1"/>
        <v>0.35</v>
      </c>
      <c r="N4" s="9">
        <f t="shared" si="1"/>
        <v>0.35</v>
      </c>
      <c r="O4" s="9">
        <f t="shared" si="1"/>
        <v>0.35</v>
      </c>
    </row>
    <row r="5" spans="1:15">
      <c r="B5" s="4" t="s">
        <v>190</v>
      </c>
      <c r="E5" s="54">
        <v>3.5000000000000003E-2</v>
      </c>
      <c r="F5" s="9">
        <f>+E5</f>
        <v>3.5000000000000003E-2</v>
      </c>
      <c r="G5" s="9">
        <f>+F5</f>
        <v>3.5000000000000003E-2</v>
      </c>
      <c r="H5" s="9">
        <f>+G5</f>
        <v>3.5000000000000003E-2</v>
      </c>
      <c r="I5" s="9">
        <f t="shared" ref="I5" si="2">+H5</f>
        <v>3.5000000000000003E-2</v>
      </c>
      <c r="J5" s="9">
        <f t="shared" ref="J5" si="3">+I5</f>
        <v>3.5000000000000003E-2</v>
      </c>
      <c r="K5" s="9">
        <f t="shared" ref="K5" si="4">+J5</f>
        <v>3.5000000000000003E-2</v>
      </c>
      <c r="L5" s="9">
        <f t="shared" ref="L5" si="5">+K5</f>
        <v>3.5000000000000003E-2</v>
      </c>
      <c r="M5" s="9">
        <f t="shared" ref="M5" si="6">+L5</f>
        <v>3.5000000000000003E-2</v>
      </c>
      <c r="N5" s="9">
        <f t="shared" ref="N5:N6" si="7">+M5</f>
        <v>3.5000000000000003E-2</v>
      </c>
      <c r="O5" s="9">
        <f t="shared" ref="O5:O6" si="8">+N5</f>
        <v>3.5000000000000003E-2</v>
      </c>
    </row>
    <row r="6" spans="1:15">
      <c r="B6" s="4" t="s">
        <v>309</v>
      </c>
      <c r="E6" s="174"/>
      <c r="F6" s="9"/>
      <c r="G6" s="9"/>
      <c r="H6" s="9"/>
      <c r="I6" s="9">
        <v>0.1</v>
      </c>
      <c r="J6" s="9">
        <v>0.06</v>
      </c>
      <c r="K6" s="9">
        <v>0.04</v>
      </c>
      <c r="L6" s="9">
        <v>0.02</v>
      </c>
      <c r="M6" s="9">
        <f>+L6</f>
        <v>0.02</v>
      </c>
      <c r="N6" s="9">
        <f t="shared" si="7"/>
        <v>0.02</v>
      </c>
      <c r="O6" s="9">
        <f t="shared" si="8"/>
        <v>0.02</v>
      </c>
    </row>
    <row r="7" spans="1:15">
      <c r="F7" s="7"/>
      <c r="G7" s="8"/>
    </row>
    <row r="8" spans="1:15" s="15" customFormat="1">
      <c r="A8" s="52"/>
      <c r="B8" s="10" t="s">
        <v>15</v>
      </c>
      <c r="C8" s="11"/>
      <c r="D8" s="11" t="s">
        <v>191</v>
      </c>
      <c r="E8" s="55">
        <v>28000000</v>
      </c>
      <c r="F8" s="12"/>
      <c r="G8" s="13"/>
      <c r="H8" s="14"/>
      <c r="I8" s="14"/>
      <c r="J8" s="14"/>
      <c r="K8" s="14"/>
      <c r="L8" s="14"/>
      <c r="M8" s="14"/>
      <c r="N8" s="14"/>
      <c r="O8" s="14"/>
    </row>
    <row r="9" spans="1:15">
      <c r="E9" s="16"/>
      <c r="F9" s="17"/>
      <c r="G9" s="18"/>
      <c r="H9" s="16"/>
      <c r="I9" s="16"/>
      <c r="J9" s="16"/>
      <c r="K9" s="16"/>
      <c r="L9" s="16"/>
      <c r="M9" s="16"/>
      <c r="N9" s="16"/>
      <c r="O9" s="16"/>
    </row>
    <row r="10" spans="1:15" s="15" customFormat="1">
      <c r="A10" s="52"/>
      <c r="B10" s="15" t="s">
        <v>17</v>
      </c>
      <c r="C10" s="19"/>
      <c r="D10" s="20" t="s">
        <v>191</v>
      </c>
      <c r="E10" s="21">
        <f>+$E$8</f>
        <v>28000000</v>
      </c>
      <c r="F10" s="21">
        <f t="shared" ref="F10:O10" si="9">+$E$8</f>
        <v>28000000</v>
      </c>
      <c r="G10" s="21">
        <f t="shared" si="9"/>
        <v>28000000</v>
      </c>
      <c r="H10" s="21">
        <f t="shared" si="9"/>
        <v>28000000</v>
      </c>
      <c r="I10" s="21">
        <f t="shared" si="9"/>
        <v>28000000</v>
      </c>
      <c r="J10" s="21">
        <f t="shared" si="9"/>
        <v>28000000</v>
      </c>
      <c r="K10" s="21">
        <f t="shared" si="9"/>
        <v>28000000</v>
      </c>
      <c r="L10" s="21">
        <f t="shared" si="9"/>
        <v>28000000</v>
      </c>
      <c r="M10" s="21">
        <f t="shared" si="9"/>
        <v>28000000</v>
      </c>
      <c r="N10" s="21">
        <f t="shared" si="9"/>
        <v>28000000</v>
      </c>
      <c r="O10" s="21">
        <f t="shared" si="9"/>
        <v>28000000</v>
      </c>
    </row>
    <row r="11" spans="1:15">
      <c r="B11" s="4" t="s">
        <v>18</v>
      </c>
      <c r="C11" s="56">
        <v>5</v>
      </c>
      <c r="D11" s="5" t="s">
        <v>191</v>
      </c>
      <c r="E11" s="22"/>
      <c r="F11" s="22">
        <f>+F10/$C$11</f>
        <v>5600000</v>
      </c>
      <c r="G11" s="22">
        <f t="shared" ref="G11:O11" si="10">+G10/$C$11</f>
        <v>5600000</v>
      </c>
      <c r="H11" s="22">
        <f t="shared" si="10"/>
        <v>5600000</v>
      </c>
      <c r="I11" s="22">
        <f t="shared" si="10"/>
        <v>5600000</v>
      </c>
      <c r="J11" s="22">
        <f t="shared" si="10"/>
        <v>5600000</v>
      </c>
      <c r="K11" s="22">
        <f t="shared" si="10"/>
        <v>5600000</v>
      </c>
      <c r="L11" s="22">
        <f t="shared" si="10"/>
        <v>5600000</v>
      </c>
      <c r="M11" s="22">
        <f t="shared" si="10"/>
        <v>5600000</v>
      </c>
      <c r="N11" s="22">
        <f t="shared" si="10"/>
        <v>5600000</v>
      </c>
      <c r="O11" s="22">
        <f t="shared" si="10"/>
        <v>5600000</v>
      </c>
    </row>
    <row r="12" spans="1:15">
      <c r="B12" s="4" t="s">
        <v>19</v>
      </c>
      <c r="C12" s="215">
        <v>8</v>
      </c>
      <c r="D12" s="5" t="s">
        <v>191</v>
      </c>
      <c r="E12" s="23">
        <v>0</v>
      </c>
      <c r="F12" s="22">
        <f>+E12+F11</f>
        <v>5600000</v>
      </c>
      <c r="G12" s="22">
        <f>+F12+G11</f>
        <v>11200000</v>
      </c>
      <c r="H12" s="22">
        <f t="shared" ref="H12:O12" si="11">+G12+H11</f>
        <v>16800000</v>
      </c>
      <c r="I12" s="22">
        <f t="shared" si="11"/>
        <v>22400000</v>
      </c>
      <c r="J12" s="22">
        <f t="shared" si="11"/>
        <v>28000000</v>
      </c>
      <c r="K12" s="22">
        <f t="shared" si="11"/>
        <v>33600000</v>
      </c>
      <c r="L12" s="22">
        <f t="shared" si="11"/>
        <v>39200000</v>
      </c>
      <c r="M12" s="22">
        <f t="shared" si="11"/>
        <v>44800000</v>
      </c>
      <c r="N12" s="22">
        <f t="shared" si="11"/>
        <v>50400000</v>
      </c>
      <c r="O12" s="22">
        <f t="shared" si="11"/>
        <v>56000000</v>
      </c>
    </row>
    <row r="13" spans="1:15" s="15" customFormat="1">
      <c r="A13" s="52"/>
      <c r="B13" s="15" t="s">
        <v>20</v>
      </c>
      <c r="C13" s="19"/>
      <c r="D13" s="5" t="s">
        <v>191</v>
      </c>
      <c r="E13" s="21">
        <f>+E10-E12</f>
        <v>28000000</v>
      </c>
      <c r="F13" s="21">
        <f t="shared" ref="F13:O13" si="12">+F10-F12</f>
        <v>22400000</v>
      </c>
      <c r="G13" s="21">
        <f t="shared" si="12"/>
        <v>16800000</v>
      </c>
      <c r="H13" s="21">
        <f t="shared" si="12"/>
        <v>11200000</v>
      </c>
      <c r="I13" s="21">
        <f t="shared" si="12"/>
        <v>5600000</v>
      </c>
      <c r="J13" s="21">
        <f t="shared" si="12"/>
        <v>0</v>
      </c>
      <c r="K13" s="21">
        <f t="shared" si="12"/>
        <v>-5600000</v>
      </c>
      <c r="L13" s="21">
        <f t="shared" si="12"/>
        <v>-11200000</v>
      </c>
      <c r="M13" s="21">
        <f t="shared" si="12"/>
        <v>-16800000</v>
      </c>
      <c r="N13" s="21">
        <f t="shared" si="12"/>
        <v>-22400000</v>
      </c>
      <c r="O13" s="21">
        <f t="shared" si="12"/>
        <v>-28000000</v>
      </c>
    </row>
    <row r="14" spans="1:15"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>
      <c r="B15" s="24" t="s">
        <v>21</v>
      </c>
      <c r="C15" s="25"/>
      <c r="D15" s="25" t="s">
        <v>191</v>
      </c>
      <c r="E15" s="26"/>
      <c r="F15" s="57"/>
      <c r="G15" s="26">
        <v>16000000</v>
      </c>
      <c r="H15" s="26">
        <f>140000000+40000000</f>
        <v>180000000</v>
      </c>
      <c r="I15" s="26"/>
      <c r="J15" s="26">
        <f>30000000+200000000</f>
        <v>230000000</v>
      </c>
      <c r="K15" s="26">
        <f>+K34*0.1%</f>
        <v>8095701.2640297832</v>
      </c>
      <c r="L15" s="26">
        <f>+L34*0.1%</f>
        <v>8882603.4268934783</v>
      </c>
      <c r="M15" s="26">
        <f t="shared" ref="M15:O15" si="13">+M34*0.1%</f>
        <v>9745992.4799875244</v>
      </c>
      <c r="N15" s="26">
        <f t="shared" si="13"/>
        <v>10693302.949042313</v>
      </c>
      <c r="O15" s="101">
        <f t="shared" si="13"/>
        <v>11732691.995689224</v>
      </c>
    </row>
    <row r="16" spans="1:15" outlineLevel="1">
      <c r="B16" s="4" t="s">
        <v>22</v>
      </c>
      <c r="D16" s="5" t="s">
        <v>191</v>
      </c>
      <c r="E16" s="22"/>
      <c r="F16" s="22">
        <f>+$F$15/$C$11/12*8</f>
        <v>0</v>
      </c>
      <c r="G16" s="22">
        <f t="shared" ref="G16:O16" si="14">+$F$15/$C$11</f>
        <v>0</v>
      </c>
      <c r="H16" s="22">
        <f t="shared" si="14"/>
        <v>0</v>
      </c>
      <c r="I16" s="22">
        <f t="shared" si="14"/>
        <v>0</v>
      </c>
      <c r="J16" s="22">
        <f t="shared" si="14"/>
        <v>0</v>
      </c>
      <c r="K16" s="22">
        <f t="shared" si="14"/>
        <v>0</v>
      </c>
      <c r="L16" s="22">
        <f t="shared" si="14"/>
        <v>0</v>
      </c>
      <c r="M16" s="22">
        <f t="shared" si="14"/>
        <v>0</v>
      </c>
      <c r="N16" s="22">
        <f t="shared" si="14"/>
        <v>0</v>
      </c>
      <c r="O16" s="22">
        <f t="shared" si="14"/>
        <v>0</v>
      </c>
    </row>
    <row r="17" spans="1:15" outlineLevel="1">
      <c r="B17" s="4" t="s">
        <v>22</v>
      </c>
      <c r="D17" s="5" t="s">
        <v>191</v>
      </c>
      <c r="E17" s="27"/>
      <c r="F17" s="22"/>
      <c r="G17" s="22">
        <f>+$G$15/$C$11/12*8</f>
        <v>2133333.3333333335</v>
      </c>
      <c r="H17" s="22">
        <f>+$G$15/$C$11</f>
        <v>3200000</v>
      </c>
      <c r="I17" s="22">
        <f>+$G$15/$C$11</f>
        <v>3200000</v>
      </c>
      <c r="J17" s="22">
        <f>+$G$15/$C$11</f>
        <v>3200000</v>
      </c>
      <c r="K17" s="22">
        <f>+$G$15/$C$11</f>
        <v>3200000</v>
      </c>
      <c r="L17" s="22">
        <f>+H17-G17</f>
        <v>1066666.6666666665</v>
      </c>
      <c r="M17" s="22"/>
      <c r="N17" s="22"/>
      <c r="O17" s="22"/>
    </row>
    <row r="18" spans="1:15" outlineLevel="1">
      <c r="B18" s="4" t="s">
        <v>22</v>
      </c>
      <c r="D18" s="5" t="s">
        <v>191</v>
      </c>
      <c r="E18" s="27"/>
      <c r="F18" s="22"/>
      <c r="G18" s="22"/>
      <c r="H18" s="22">
        <f>+$H$15/$C$12/12*8</f>
        <v>15000000</v>
      </c>
      <c r="I18" s="22">
        <f>+$H$15/$C$12</f>
        <v>22500000</v>
      </c>
      <c r="J18" s="22">
        <f>+$H$15/$C$12</f>
        <v>22500000</v>
      </c>
      <c r="K18" s="22">
        <f t="shared" ref="K18:O18" si="15">+$H$15/$C$12</f>
        <v>22500000</v>
      </c>
      <c r="L18" s="22">
        <f t="shared" si="15"/>
        <v>22500000</v>
      </c>
      <c r="M18" s="22">
        <f t="shared" si="15"/>
        <v>22500000</v>
      </c>
      <c r="N18" s="22">
        <f t="shared" si="15"/>
        <v>22500000</v>
      </c>
      <c r="O18" s="22">
        <f t="shared" si="15"/>
        <v>22500000</v>
      </c>
    </row>
    <row r="19" spans="1:15" outlineLevel="1">
      <c r="B19" s="4" t="s">
        <v>22</v>
      </c>
      <c r="D19" s="5" t="s">
        <v>191</v>
      </c>
      <c r="E19" s="27"/>
      <c r="F19" s="22"/>
      <c r="G19" s="22"/>
      <c r="H19" s="22"/>
      <c r="I19" s="22">
        <f t="shared" ref="I19:O19" si="16">+$I$15/$C$11</f>
        <v>0</v>
      </c>
      <c r="J19" s="22">
        <f t="shared" si="16"/>
        <v>0</v>
      </c>
      <c r="K19" s="22">
        <f t="shared" si="16"/>
        <v>0</v>
      </c>
      <c r="L19" s="22">
        <f t="shared" si="16"/>
        <v>0</v>
      </c>
      <c r="M19" s="22">
        <f t="shared" si="16"/>
        <v>0</v>
      </c>
      <c r="N19" s="22">
        <f t="shared" si="16"/>
        <v>0</v>
      </c>
      <c r="O19" s="22">
        <f t="shared" si="16"/>
        <v>0</v>
      </c>
    </row>
    <row r="20" spans="1:15" outlineLevel="1">
      <c r="B20" s="4" t="s">
        <v>22</v>
      </c>
      <c r="D20" s="5" t="s">
        <v>191</v>
      </c>
      <c r="E20" s="27"/>
      <c r="F20" s="22"/>
      <c r="G20" s="22"/>
      <c r="H20" s="22"/>
      <c r="I20" s="22"/>
      <c r="J20" s="22">
        <f t="shared" ref="J20:O20" si="17">+$J$15/$C$11</f>
        <v>46000000</v>
      </c>
      <c r="K20" s="22">
        <f t="shared" si="17"/>
        <v>46000000</v>
      </c>
      <c r="L20" s="22">
        <f t="shared" si="17"/>
        <v>46000000</v>
      </c>
      <c r="M20" s="22">
        <f t="shared" si="17"/>
        <v>46000000</v>
      </c>
      <c r="N20" s="22">
        <f t="shared" si="17"/>
        <v>46000000</v>
      </c>
      <c r="O20" s="22">
        <f t="shared" si="17"/>
        <v>46000000</v>
      </c>
    </row>
    <row r="21" spans="1:15" outlineLevel="1">
      <c r="B21" s="4" t="s">
        <v>22</v>
      </c>
      <c r="D21" s="5" t="s">
        <v>191</v>
      </c>
      <c r="E21" s="27"/>
      <c r="F21" s="22"/>
      <c r="G21" s="22"/>
      <c r="H21" s="22"/>
      <c r="I21" s="22"/>
      <c r="J21" s="22"/>
      <c r="K21" s="22">
        <f>+$K$15/$C$11</f>
        <v>1619140.2528059566</v>
      </c>
      <c r="L21" s="22">
        <f>+$K$15/$C$11</f>
        <v>1619140.2528059566</v>
      </c>
      <c r="M21" s="22">
        <f>+$K$15/$C$11</f>
        <v>1619140.2528059566</v>
      </c>
      <c r="N21" s="22">
        <f>+$K$15/$C$11</f>
        <v>1619140.2528059566</v>
      </c>
      <c r="O21" s="22">
        <f>+$K$15/$C$11</f>
        <v>1619140.2528059566</v>
      </c>
    </row>
    <row r="22" spans="1:15" outlineLevel="1">
      <c r="B22" s="4" t="s">
        <v>22</v>
      </c>
      <c r="D22" s="5" t="s">
        <v>191</v>
      </c>
      <c r="E22" s="27"/>
      <c r="F22" s="22"/>
      <c r="G22" s="22"/>
      <c r="H22" s="22"/>
      <c r="I22" s="22"/>
      <c r="J22" s="22"/>
      <c r="K22" s="22"/>
      <c r="L22" s="22">
        <f>+$L$15/$C$11</f>
        <v>1776520.6853786956</v>
      </c>
      <c r="M22" s="22">
        <f>+$L$15/$C$11</f>
        <v>1776520.6853786956</v>
      </c>
      <c r="N22" s="22">
        <f>+$L$15/$C$11</f>
        <v>1776520.6853786956</v>
      </c>
      <c r="O22" s="22">
        <f>+$L$15/$C$11</f>
        <v>1776520.6853786956</v>
      </c>
    </row>
    <row r="23" spans="1:15" outlineLevel="1">
      <c r="B23" s="4" t="s">
        <v>22</v>
      </c>
      <c r="D23" s="5" t="s">
        <v>191</v>
      </c>
      <c r="E23" s="27"/>
      <c r="F23" s="22"/>
      <c r="G23" s="22"/>
      <c r="H23" s="22"/>
      <c r="I23" s="22"/>
      <c r="J23" s="22"/>
      <c r="K23" s="22"/>
      <c r="L23" s="22"/>
      <c r="M23" s="22">
        <f>+$M$15/$C$11</f>
        <v>1949198.4959975048</v>
      </c>
      <c r="N23" s="22">
        <f>+$M$15/$C$11</f>
        <v>1949198.4959975048</v>
      </c>
      <c r="O23" s="22">
        <f>+$M$15/$C$11</f>
        <v>1949198.4959975048</v>
      </c>
    </row>
    <row r="24" spans="1:15" outlineLevel="1">
      <c r="B24" s="4" t="s">
        <v>22</v>
      </c>
      <c r="D24" s="5" t="s">
        <v>191</v>
      </c>
      <c r="E24" s="27"/>
      <c r="F24" s="22"/>
      <c r="G24" s="22"/>
      <c r="H24" s="22"/>
      <c r="I24" s="22"/>
      <c r="J24" s="22"/>
      <c r="K24" s="22"/>
      <c r="L24" s="22"/>
      <c r="M24" s="22"/>
      <c r="N24" s="22">
        <f>+$N$15/$C$11</f>
        <v>2138660.5898084627</v>
      </c>
      <c r="O24" s="22">
        <f>+$N$15/$C$11</f>
        <v>2138660.5898084627</v>
      </c>
    </row>
    <row r="25" spans="1:15" outlineLevel="1">
      <c r="B25" s="4" t="s">
        <v>22</v>
      </c>
      <c r="D25" s="5" t="s">
        <v>191</v>
      </c>
      <c r="E25" s="27"/>
      <c r="F25" s="22"/>
      <c r="G25" s="22"/>
      <c r="H25" s="22"/>
      <c r="I25" s="22"/>
      <c r="J25" s="22"/>
      <c r="K25" s="22"/>
      <c r="L25" s="22"/>
      <c r="M25" s="22"/>
      <c r="N25" s="22"/>
      <c r="O25" s="22">
        <f>+$O$15/$C$11</f>
        <v>2346538.3991378448</v>
      </c>
    </row>
    <row r="26" spans="1:15">
      <c r="B26" s="24" t="s">
        <v>23</v>
      </c>
      <c r="C26" s="25"/>
      <c r="D26" s="25" t="s">
        <v>191</v>
      </c>
      <c r="E26" s="26"/>
      <c r="F26" s="26">
        <f t="shared" ref="F26:N26" si="18">+F25+F24+F23+F22+F21+F20+F19+F18+F17+F16</f>
        <v>0</v>
      </c>
      <c r="G26" s="26">
        <f t="shared" si="18"/>
        <v>2133333.3333333335</v>
      </c>
      <c r="H26" s="26">
        <f t="shared" si="18"/>
        <v>18200000</v>
      </c>
      <c r="I26" s="26">
        <f t="shared" si="18"/>
        <v>25700000</v>
      </c>
      <c r="J26" s="26">
        <f t="shared" si="18"/>
        <v>71700000</v>
      </c>
      <c r="K26" s="26">
        <f t="shared" si="18"/>
        <v>73319140.252805948</v>
      </c>
      <c r="L26" s="26">
        <f t="shared" si="18"/>
        <v>72962327.60485132</v>
      </c>
      <c r="M26" s="26">
        <f t="shared" si="18"/>
        <v>73844859.434182167</v>
      </c>
      <c r="N26" s="26">
        <f t="shared" si="18"/>
        <v>75983520.023990616</v>
      </c>
      <c r="O26" s="26">
        <f>+O25+O24+O23+O22+O21+O20+O19+O18+O17+O16</f>
        <v>78330058.423128456</v>
      </c>
    </row>
    <row r="27" spans="1:15">
      <c r="F27" s="17"/>
      <c r="G27" s="18"/>
      <c r="H27" s="16"/>
      <c r="I27" s="16"/>
      <c r="J27" s="16"/>
      <c r="K27" s="16"/>
      <c r="L27" s="16"/>
      <c r="M27" s="16"/>
      <c r="N27" s="16"/>
      <c r="O27" s="16"/>
    </row>
    <row r="28" spans="1:15" ht="15.75" thickBot="1">
      <c r="A28" s="4"/>
      <c r="B28" s="28" t="s">
        <v>24</v>
      </c>
      <c r="C28" s="29"/>
      <c r="D28" s="29" t="s">
        <v>191</v>
      </c>
      <c r="E28" s="31">
        <f>+E15+E8</f>
        <v>28000000</v>
      </c>
      <c r="F28" s="31">
        <f>+F15+F8</f>
        <v>0</v>
      </c>
      <c r="G28" s="31">
        <f t="shared" ref="G28:O28" si="19">+G15+G8</f>
        <v>16000000</v>
      </c>
      <c r="H28" s="31">
        <f t="shared" si="19"/>
        <v>180000000</v>
      </c>
      <c r="I28" s="31">
        <f t="shared" si="19"/>
        <v>0</v>
      </c>
      <c r="J28" s="31">
        <f t="shared" si="19"/>
        <v>230000000</v>
      </c>
      <c r="K28" s="31">
        <f t="shared" si="19"/>
        <v>8095701.2640297832</v>
      </c>
      <c r="L28" s="31">
        <f t="shared" si="19"/>
        <v>8882603.4268934783</v>
      </c>
      <c r="M28" s="31">
        <f t="shared" si="19"/>
        <v>9745992.4799875244</v>
      </c>
      <c r="N28" s="31">
        <f t="shared" si="19"/>
        <v>10693302.949042313</v>
      </c>
      <c r="O28" s="31">
        <f t="shared" si="19"/>
        <v>11732691.995689224</v>
      </c>
    </row>
    <row r="29" spans="1:15" ht="16.5" thickTop="1" thickBot="1">
      <c r="B29" s="28" t="s">
        <v>25</v>
      </c>
      <c r="C29" s="29"/>
      <c r="D29" s="29" t="s">
        <v>191</v>
      </c>
      <c r="E29" s="30"/>
      <c r="F29" s="58">
        <f>+F26+F11</f>
        <v>5600000</v>
      </c>
      <c r="G29" s="58">
        <f t="shared" ref="G29:O29" si="20">+G26+G11</f>
        <v>7733333.333333334</v>
      </c>
      <c r="H29" s="58">
        <f t="shared" si="20"/>
        <v>23800000</v>
      </c>
      <c r="I29" s="58">
        <f t="shared" si="20"/>
        <v>31300000</v>
      </c>
      <c r="J29" s="58">
        <f t="shared" si="20"/>
        <v>77300000</v>
      </c>
      <c r="K29" s="58">
        <f t="shared" si="20"/>
        <v>78919140.252805948</v>
      </c>
      <c r="L29" s="58">
        <f t="shared" si="20"/>
        <v>78562327.60485132</v>
      </c>
      <c r="M29" s="58">
        <f t="shared" si="20"/>
        <v>79444859.434182167</v>
      </c>
      <c r="N29" s="58">
        <f t="shared" si="20"/>
        <v>81583520.023990616</v>
      </c>
      <c r="O29" s="58">
        <f t="shared" si="20"/>
        <v>83930058.423128456</v>
      </c>
    </row>
    <row r="30" spans="1:15" ht="15.75" thickTop="1">
      <c r="F30" s="7"/>
      <c r="G30" s="8"/>
    </row>
    <row r="31" spans="1:15">
      <c r="B31" s="32" t="s">
        <v>26</v>
      </c>
      <c r="F31" s="7"/>
      <c r="G31" s="8">
        <f t="shared" ref="G31:O31" si="21">+(G34/F34)-1</f>
        <v>3.4261093740319808</v>
      </c>
      <c r="H31" s="8">
        <f t="shared" si="21"/>
        <v>0.53879887816530103</v>
      </c>
      <c r="I31" s="8">
        <f t="shared" si="21"/>
        <v>0.18040000000000012</v>
      </c>
      <c r="J31" s="8">
        <f t="shared" si="21"/>
        <v>0.13880000000000003</v>
      </c>
      <c r="K31" s="8">
        <f t="shared" si="21"/>
        <v>0.11799999999999988</v>
      </c>
      <c r="L31" s="8">
        <f t="shared" si="21"/>
        <v>9.7199999999999953E-2</v>
      </c>
      <c r="M31" s="8">
        <f t="shared" si="21"/>
        <v>9.7199999999999953E-2</v>
      </c>
      <c r="N31" s="8">
        <f t="shared" si="21"/>
        <v>9.7200000000000175E-2</v>
      </c>
      <c r="O31" s="8">
        <f t="shared" si="21"/>
        <v>9.7199999999999953E-2</v>
      </c>
    </row>
    <row r="32" spans="1:15">
      <c r="A32" s="6">
        <v>1</v>
      </c>
      <c r="B32" s="4" t="s">
        <v>27</v>
      </c>
      <c r="C32" s="5" t="s">
        <v>28</v>
      </c>
      <c r="D32" s="5" t="s">
        <v>1</v>
      </c>
      <c r="F32" s="59">
        <f>+'Proyectado anual base'!P10</f>
        <v>13058</v>
      </c>
      <c r="G32" s="59">
        <f>+'Proyectado anual base'!AF10</f>
        <v>57099</v>
      </c>
      <c r="H32" s="59">
        <f>+'Proyectado anual base'!AV10</f>
        <v>86405</v>
      </c>
      <c r="I32" s="33">
        <f t="shared" ref="I32:O32" si="22">+H32*(1+(I5+I6))</f>
        <v>98069.675000000003</v>
      </c>
      <c r="J32" s="33">
        <f t="shared" si="22"/>
        <v>107386.294125</v>
      </c>
      <c r="K32" s="33">
        <f t="shared" si="22"/>
        <v>115440.266184375</v>
      </c>
      <c r="L32" s="33">
        <f t="shared" si="22"/>
        <v>121789.48082451562</v>
      </c>
      <c r="M32" s="33">
        <f t="shared" si="22"/>
        <v>128487.90226986397</v>
      </c>
      <c r="N32" s="33">
        <f t="shared" si="22"/>
        <v>135554.7368947065</v>
      </c>
      <c r="O32" s="33">
        <f t="shared" si="22"/>
        <v>143010.24742391534</v>
      </c>
    </row>
    <row r="33" spans="1:15">
      <c r="A33" s="6">
        <v>2</v>
      </c>
      <c r="B33" s="4" t="s">
        <v>29</v>
      </c>
      <c r="C33" s="5" t="s">
        <v>30</v>
      </c>
      <c r="D33" s="5" t="s">
        <v>192</v>
      </c>
      <c r="F33" s="59">
        <f>+'Proyectado anual base'!R23</f>
        <v>60569.689079491502</v>
      </c>
      <c r="G33" s="59">
        <f>+'Proyectado anual base'!AH23</f>
        <v>61309.199810854829</v>
      </c>
      <c r="H33" s="59">
        <f>+'Proyectado anual base'!AX23</f>
        <v>62344.35507204444</v>
      </c>
      <c r="I33" s="33">
        <f t="shared" ref="I33:O33" si="23">+H33*(1+I$3)</f>
        <v>64838.129274926221</v>
      </c>
      <c r="J33" s="33">
        <f t="shared" si="23"/>
        <v>67431.654445923268</v>
      </c>
      <c r="K33" s="33">
        <f t="shared" si="23"/>
        <v>70128.920623760205</v>
      </c>
      <c r="L33" s="33">
        <f t="shared" si="23"/>
        <v>72934.07744871061</v>
      </c>
      <c r="M33" s="33">
        <f t="shared" si="23"/>
        <v>75851.44054665904</v>
      </c>
      <c r="N33" s="33">
        <f t="shared" si="23"/>
        <v>78885.498168525402</v>
      </c>
      <c r="O33" s="33">
        <f t="shared" si="23"/>
        <v>82040.918095266417</v>
      </c>
    </row>
    <row r="34" spans="1:15" s="15" customFormat="1">
      <c r="A34" s="52"/>
      <c r="B34" s="10" t="s">
        <v>32</v>
      </c>
      <c r="C34" s="11"/>
      <c r="D34" s="11" t="s">
        <v>191</v>
      </c>
      <c r="E34" s="34"/>
      <c r="F34" s="34">
        <f t="shared" ref="F34:O34" si="24">+F32*F33</f>
        <v>790919000</v>
      </c>
      <c r="G34" s="34">
        <f t="shared" si="24"/>
        <v>3500694000</v>
      </c>
      <c r="H34" s="34">
        <f t="shared" si="24"/>
        <v>5386864000</v>
      </c>
      <c r="I34" s="34">
        <f t="shared" si="24"/>
        <v>6358654265.6000004</v>
      </c>
      <c r="J34" s="34">
        <f t="shared" si="24"/>
        <v>7241235477.6652803</v>
      </c>
      <c r="K34" s="34">
        <f t="shared" si="24"/>
        <v>8095701264.0297832</v>
      </c>
      <c r="L34" s="34">
        <f t="shared" si="24"/>
        <v>8882603426.8934784</v>
      </c>
      <c r="M34" s="34">
        <f t="shared" si="24"/>
        <v>9745992479.987524</v>
      </c>
      <c r="N34" s="34">
        <f t="shared" si="24"/>
        <v>10693302949.042313</v>
      </c>
      <c r="O34" s="34">
        <f t="shared" si="24"/>
        <v>11732691995.689224</v>
      </c>
    </row>
    <row r="35" spans="1:15" s="15" customFormat="1">
      <c r="A35" s="52"/>
      <c r="C35" s="20"/>
      <c r="D35" s="20"/>
      <c r="E35" s="6"/>
      <c r="F35" s="7"/>
      <c r="G35" s="8"/>
      <c r="H35" s="6"/>
      <c r="I35" s="6"/>
      <c r="J35" s="6"/>
      <c r="K35" s="6"/>
      <c r="L35" s="6"/>
      <c r="M35" s="6"/>
      <c r="N35" s="6"/>
      <c r="O35" s="6"/>
    </row>
    <row r="36" spans="1:15">
      <c r="B36" s="4" t="s">
        <v>33</v>
      </c>
      <c r="C36" s="5" t="s">
        <v>34</v>
      </c>
      <c r="D36" s="5" t="s">
        <v>192</v>
      </c>
      <c r="F36" s="59">
        <f>+'Proyectado anual base'!R28</f>
        <v>32692.779139224996</v>
      </c>
      <c r="G36" s="59">
        <f>+'Proyectado anual base'!AH28</f>
        <v>33070.971838385958</v>
      </c>
      <c r="H36" s="59">
        <f>+'Proyectado anual base'!AX28</f>
        <v>33637.071918106594</v>
      </c>
      <c r="I36" s="33">
        <f t="shared" ref="I36:O38" si="25">+H36*(1+I$3)</f>
        <v>34982.554794830859</v>
      </c>
      <c r="J36" s="33">
        <f t="shared" si="25"/>
        <v>36381.856986624094</v>
      </c>
      <c r="K36" s="33">
        <f t="shared" si="25"/>
        <v>37837.131266089062</v>
      </c>
      <c r="L36" s="33">
        <f t="shared" si="25"/>
        <v>39350.616516732625</v>
      </c>
      <c r="M36" s="33">
        <f t="shared" si="25"/>
        <v>40924.641177401929</v>
      </c>
      <c r="N36" s="33">
        <f t="shared" si="25"/>
        <v>42561.626824498009</v>
      </c>
      <c r="O36" s="33">
        <f t="shared" si="25"/>
        <v>44264.091897477934</v>
      </c>
    </row>
    <row r="37" spans="1:15">
      <c r="B37" s="4" t="s">
        <v>35</v>
      </c>
      <c r="D37" s="5" t="s">
        <v>191</v>
      </c>
      <c r="F37" s="33">
        <f>+(F36*F32)+'Proyectado anual base'!P30</f>
        <v>458241510</v>
      </c>
      <c r="G37" s="33">
        <f>+(G36*G32)+'Proyectado anual base'!AF30</f>
        <v>2023411087.0799997</v>
      </c>
      <c r="H37" s="33">
        <f>+(H36*H32)+'Proyectado anual base'!AV30</f>
        <v>3115744772.3064003</v>
      </c>
      <c r="I37" s="33">
        <f t="shared" ref="I37:O37" si="26">+I36*I32</f>
        <v>3430727779.3987541</v>
      </c>
      <c r="J37" s="33">
        <f t="shared" si="26"/>
        <v>3906912795.1793013</v>
      </c>
      <c r="K37" s="33">
        <f t="shared" si="26"/>
        <v>4367928505.0104589</v>
      </c>
      <c r="L37" s="33">
        <f t="shared" si="26"/>
        <v>4792491155.6974754</v>
      </c>
      <c r="M37" s="33">
        <f t="shared" si="26"/>
        <v>5258321296.03127</v>
      </c>
      <c r="N37" s="33">
        <f t="shared" si="26"/>
        <v>5769430126.0055103</v>
      </c>
      <c r="O37" s="33">
        <f t="shared" si="26"/>
        <v>6330218734.2532454</v>
      </c>
    </row>
    <row r="38" spans="1:15">
      <c r="B38" s="4" t="s">
        <v>36</v>
      </c>
      <c r="D38" s="5" t="s">
        <v>191</v>
      </c>
      <c r="F38" s="59"/>
      <c r="G38" s="59">
        <f>+F38*(1+G$3)</f>
        <v>0</v>
      </c>
      <c r="H38" s="59">
        <f>+G38*(1+H$3)</f>
        <v>0</v>
      </c>
      <c r="I38" s="33">
        <f t="shared" si="25"/>
        <v>0</v>
      </c>
      <c r="J38" s="33">
        <f t="shared" si="25"/>
        <v>0</v>
      </c>
      <c r="K38" s="33">
        <f t="shared" si="25"/>
        <v>0</v>
      </c>
      <c r="L38" s="33">
        <f t="shared" si="25"/>
        <v>0</v>
      </c>
      <c r="M38" s="33">
        <f t="shared" si="25"/>
        <v>0</v>
      </c>
      <c r="N38" s="33">
        <f t="shared" si="25"/>
        <v>0</v>
      </c>
      <c r="O38" s="33">
        <f t="shared" si="25"/>
        <v>0</v>
      </c>
    </row>
    <row r="39" spans="1:15" s="15" customFormat="1">
      <c r="A39" s="52"/>
      <c r="B39" s="10" t="s">
        <v>37</v>
      </c>
      <c r="C39" s="11"/>
      <c r="D39" s="11" t="s">
        <v>191</v>
      </c>
      <c r="E39" s="34"/>
      <c r="F39" s="34">
        <f>+F37+F38</f>
        <v>458241510</v>
      </c>
      <c r="G39" s="34">
        <f t="shared" ref="G39:O39" si="27">+G37+G38</f>
        <v>2023411087.0799997</v>
      </c>
      <c r="H39" s="34">
        <f t="shared" si="27"/>
        <v>3115744772.3064003</v>
      </c>
      <c r="I39" s="34">
        <f t="shared" si="27"/>
        <v>3430727779.3987541</v>
      </c>
      <c r="J39" s="34">
        <f t="shared" si="27"/>
        <v>3906912795.1793013</v>
      </c>
      <c r="K39" s="34">
        <f t="shared" si="27"/>
        <v>4367928505.0104589</v>
      </c>
      <c r="L39" s="34">
        <f t="shared" si="27"/>
        <v>4792491155.6974754</v>
      </c>
      <c r="M39" s="34">
        <f t="shared" si="27"/>
        <v>5258321296.03127</v>
      </c>
      <c r="N39" s="34">
        <f t="shared" si="27"/>
        <v>5769430126.0055103</v>
      </c>
      <c r="O39" s="34">
        <f t="shared" si="27"/>
        <v>6330218734.2532454</v>
      </c>
    </row>
    <row r="40" spans="1:15">
      <c r="F40" s="7"/>
      <c r="G40" s="8"/>
    </row>
    <row r="41" spans="1:15">
      <c r="B41" s="4" t="s">
        <v>38</v>
      </c>
      <c r="C41" s="102">
        <f>+F41/F34</f>
        <v>0.19733740953245527</v>
      </c>
      <c r="D41" s="5" t="s">
        <v>191</v>
      </c>
      <c r="F41" s="33">
        <f>+F43-F42</f>
        <v>156077906.60999998</v>
      </c>
      <c r="G41" s="33">
        <f t="shared" ref="G41:H41" si="28">+G43-G42</f>
        <v>612639357.66666675</v>
      </c>
      <c r="H41" s="33">
        <f t="shared" si="28"/>
        <v>926730276.79999995</v>
      </c>
      <c r="I41" s="33">
        <f t="shared" ref="I41:O41" si="29">+$C$41*I34</f>
        <v>1254800360.8860009</v>
      </c>
      <c r="J41" s="33">
        <f t="shared" si="29"/>
        <v>1428966650.9769778</v>
      </c>
      <c r="K41" s="33">
        <f t="shared" si="29"/>
        <v>1597584715.7922611</v>
      </c>
      <c r="L41" s="33">
        <f t="shared" si="29"/>
        <v>1752869950.167269</v>
      </c>
      <c r="M41" s="33">
        <f t="shared" si="29"/>
        <v>1923248909.3235273</v>
      </c>
      <c r="N41" s="33">
        <f t="shared" si="29"/>
        <v>2110188703.3097744</v>
      </c>
      <c r="O41" s="33">
        <f t="shared" si="29"/>
        <v>2315299045.2714844</v>
      </c>
    </row>
    <row r="42" spans="1:15">
      <c r="B42" s="4" t="s">
        <v>39</v>
      </c>
      <c r="D42" s="5" t="s">
        <v>191</v>
      </c>
      <c r="F42" s="59">
        <f>+'Proyectado anual base'!P77-'Proyectado anual base'!P75-'Proyectado anual base'!P74-'Proyectado anual base'!P70-'Proyectado anual base'!P66-'Proyectado anual base'!P65-'Proyectado anual base'!P61-'Proyectado anual base'!P60-'Proyectado anual base'!P59-'Proyectado anual base'!P56-'Proyectado anual base'!P55-'Proyectado anual base'!P54-'Proyectado anual base'!P53-'Proyectado anual base'!P52-'Proyectado anual base'!P51-'Proyectado anual base'!P50</f>
        <v>208709369.12500003</v>
      </c>
      <c r="G42" s="59">
        <f>+'Proyectado anual base'!AF77-'Proyectado anual base'!AF75-'Proyectado anual base'!AF74-'Proyectado anual base'!AF70-'Proyectado anual base'!AF66-'Proyectado anual base'!AF65-'Proyectado anual base'!AF61-'Proyectado anual base'!AF60-'Proyectado anual base'!AF59-'Proyectado anual base'!AF56-'Proyectado anual base'!AF55-'Proyectado anual base'!AF54-'Proyectado anual base'!AF53-'Proyectado anual base'!AF52-'Proyectado anual base'!AF51-'Proyectado anual base'!AF50</f>
        <v>533644113.83333349</v>
      </c>
      <c r="H42" s="59">
        <f>+'Proyectado anual base'!AV77-'Proyectado anual base'!AV75-'Proyectado anual base'!AV74-'Proyectado anual base'!AV70-'Proyectado anual base'!AV66-'Proyectado anual base'!AV65-'Proyectado anual base'!AV61-'Proyectado anual base'!AV60-'Proyectado anual base'!AV59-'Proyectado anual base'!AV56-'Proyectado anual base'!AV55-'Proyectado anual base'!AV54-'Proyectado anual base'!AV53-'Proyectado anual base'!AV52-'Proyectado anual base'!AV51-'Proyectado anual base'!AV50</f>
        <v>958074408.79999995</v>
      </c>
      <c r="I42" s="33">
        <f>+H42*(1+(I$3+I6))</f>
        <v>1092204826.0320001</v>
      </c>
      <c r="J42" s="33">
        <f t="shared" ref="J42:O42" si="30">+I42*(1+(J$3+J6))</f>
        <v>1201425308.6352003</v>
      </c>
      <c r="K42" s="33">
        <f t="shared" si="30"/>
        <v>1297539333.3260164</v>
      </c>
      <c r="L42" s="33">
        <f t="shared" si="30"/>
        <v>1375391693.3255775</v>
      </c>
      <c r="M42" s="33">
        <f t="shared" si="30"/>
        <v>1457915194.9251122</v>
      </c>
      <c r="N42" s="33">
        <f t="shared" si="30"/>
        <v>1545390106.6206191</v>
      </c>
      <c r="O42" s="33">
        <f t="shared" si="30"/>
        <v>1638113513.0178564</v>
      </c>
    </row>
    <row r="43" spans="1:15" s="15" customFormat="1">
      <c r="A43" s="52"/>
      <c r="B43" s="10" t="s">
        <v>40</v>
      </c>
      <c r="C43" s="11"/>
      <c r="D43" s="11"/>
      <c r="E43" s="34"/>
      <c r="F43" s="34">
        <f>+'Proyectado anual base'!P77-'Proyectado anual base'!P71</f>
        <v>364787275.73500001</v>
      </c>
      <c r="G43" s="34">
        <f>+'Proyectado anual base'!AF77-'Proyectado anual base'!AF71</f>
        <v>1146283471.5000002</v>
      </c>
      <c r="H43" s="34">
        <f>+'Proyectado anual base'!AV77-'Proyectado anual base'!AV71</f>
        <v>1884804685.5999999</v>
      </c>
      <c r="I43" s="34">
        <f t="shared" ref="I43:O43" si="31">+I41+I42</f>
        <v>2347005186.9180012</v>
      </c>
      <c r="J43" s="34">
        <f t="shared" si="31"/>
        <v>2630391959.6121778</v>
      </c>
      <c r="K43" s="34">
        <f t="shared" si="31"/>
        <v>2895124049.1182775</v>
      </c>
      <c r="L43" s="34">
        <f t="shared" si="31"/>
        <v>3128261643.4928465</v>
      </c>
      <c r="M43" s="34">
        <f t="shared" si="31"/>
        <v>3381164104.2486396</v>
      </c>
      <c r="N43" s="34">
        <f t="shared" si="31"/>
        <v>3655578809.9303932</v>
      </c>
      <c r="O43" s="34">
        <f t="shared" si="31"/>
        <v>3953412558.289341</v>
      </c>
    </row>
    <row r="44" spans="1:15">
      <c r="F44" s="7"/>
      <c r="G44" s="8"/>
    </row>
    <row r="45" spans="1:15">
      <c r="B45" s="4" t="s">
        <v>41</v>
      </c>
      <c r="D45" s="5" t="s">
        <v>42</v>
      </c>
      <c r="E45" s="60">
        <f>+EFFECT('prestamo base'!B4*12,12)</f>
        <v>0.14299605449973818</v>
      </c>
      <c r="F45" s="7"/>
      <c r="G45" s="8"/>
      <c r="H45" s="6">
        <v>1</v>
      </c>
      <c r="I45" s="6">
        <v>2</v>
      </c>
      <c r="J45" s="6">
        <v>3</v>
      </c>
      <c r="K45" s="6">
        <v>4</v>
      </c>
      <c r="L45" s="6">
        <v>5</v>
      </c>
      <c r="M45" s="6">
        <v>6</v>
      </c>
      <c r="N45" s="6">
        <v>7</v>
      </c>
    </row>
    <row r="46" spans="1:15">
      <c r="B46" s="4" t="s">
        <v>43</v>
      </c>
      <c r="D46" s="5" t="s">
        <v>44</v>
      </c>
      <c r="E46" s="61">
        <f>+'prestamo base'!B3/12</f>
        <v>2</v>
      </c>
      <c r="F46" s="7"/>
      <c r="G46" s="8"/>
      <c r="H46" s="33">
        <v>180000000</v>
      </c>
      <c r="I46" s="33">
        <v>4</v>
      </c>
      <c r="J46" s="33"/>
    </row>
    <row r="47" spans="1:15">
      <c r="B47" s="4" t="s">
        <v>45</v>
      </c>
      <c r="D47" s="5" t="s">
        <v>44</v>
      </c>
      <c r="F47" s="6">
        <v>1</v>
      </c>
      <c r="G47" s="6">
        <v>2</v>
      </c>
      <c r="H47" s="6">
        <v>3</v>
      </c>
      <c r="I47" s="6">
        <v>4</v>
      </c>
      <c r="J47" s="6">
        <v>5</v>
      </c>
      <c r="K47" s="6">
        <v>6</v>
      </c>
      <c r="L47" s="6">
        <v>7</v>
      </c>
      <c r="M47" s="6">
        <v>8</v>
      </c>
      <c r="N47" s="6">
        <v>9</v>
      </c>
      <c r="O47" s="6">
        <v>10</v>
      </c>
    </row>
    <row r="48" spans="1:15">
      <c r="A48" s="6" t="s">
        <v>46</v>
      </c>
      <c r="B48" s="4" t="s">
        <v>47</v>
      </c>
      <c r="D48" s="5" t="s">
        <v>191</v>
      </c>
      <c r="E48" s="167">
        <f>+'prestamo base'!B2</f>
        <v>85000000</v>
      </c>
      <c r="F48" s="33">
        <f>+E51</f>
        <v>85000000</v>
      </c>
      <c r="G48" s="33">
        <f t="shared" ref="G48:O48" si="32">+F51</f>
        <v>45335904.575502142</v>
      </c>
      <c r="H48" s="33">
        <f>+H46</f>
        <v>180000000</v>
      </c>
      <c r="I48" s="33">
        <f t="shared" ref="I48" si="33">+H51</f>
        <v>143582596.67582527</v>
      </c>
      <c r="J48" s="33">
        <f t="shared" si="32"/>
        <v>101957648.36116788</v>
      </c>
      <c r="K48" s="33">
        <f t="shared" si="32"/>
        <v>54380496.668758959</v>
      </c>
      <c r="L48" s="33">
        <f t="shared" si="32"/>
        <v>2.2351741790771484E-8</v>
      </c>
      <c r="M48" s="33">
        <f t="shared" si="32"/>
        <v>2.2351741790771484E-8</v>
      </c>
      <c r="N48" s="33">
        <f t="shared" si="32"/>
        <v>2.2351741790771484E-8</v>
      </c>
      <c r="O48" s="33">
        <f t="shared" si="32"/>
        <v>2.2351741790771484E-8</v>
      </c>
    </row>
    <row r="49" spans="1:15">
      <c r="B49" s="4" t="s">
        <v>48</v>
      </c>
      <c r="D49" s="5" t="s">
        <v>191</v>
      </c>
      <c r="E49" s="33"/>
      <c r="F49" s="33">
        <f>+'Proyectado anual base'!P81</f>
        <v>9039635.4303300809</v>
      </c>
      <c r="G49" s="33">
        <f>+'Proyectado anual base'!AF81</f>
        <v>3367826.2793258075</v>
      </c>
      <c r="H49" s="33">
        <f>+IFERROR(IPMT($E$45,H45,$I$46,-$H$46),0)</f>
        <v>25739289.809952874</v>
      </c>
      <c r="I49" s="33">
        <f t="shared" ref="I49:K49" si="34">+IFERROR(IPMT($E$45,I45,$I$46,-$H$46),0)</f>
        <v>20531744.81947023</v>
      </c>
      <c r="J49" s="33">
        <f t="shared" si="34"/>
        <v>14579541.441718699</v>
      </c>
      <c r="K49" s="33">
        <f t="shared" si="34"/>
        <v>7776196.4653686834</v>
      </c>
      <c r="L49" s="33">
        <f t="shared" ref="L49:O49" si="35">+IFERROR(IPMT($E$45,L47,$E$46,-$E$48),0)</f>
        <v>0</v>
      </c>
      <c r="M49" s="33">
        <f t="shared" si="35"/>
        <v>0</v>
      </c>
      <c r="N49" s="33">
        <f t="shared" si="35"/>
        <v>0</v>
      </c>
      <c r="O49" s="33">
        <f t="shared" si="35"/>
        <v>0</v>
      </c>
    </row>
    <row r="50" spans="1:15">
      <c r="B50" s="4" t="s">
        <v>49</v>
      </c>
      <c r="D50" s="5" t="s">
        <v>191</v>
      </c>
      <c r="E50" s="33"/>
      <c r="F50" s="33">
        <f>+'Proyectado anual base'!P124</f>
        <v>39664095.424497858</v>
      </c>
      <c r="G50" s="33">
        <f>+F51</f>
        <v>45335904.575502142</v>
      </c>
      <c r="H50" s="33">
        <f>+IFERROR(PPMT($E$45,H45,$I$46,-$H$46),0)</f>
        <v>36417403.324174739</v>
      </c>
      <c r="I50" s="33">
        <f t="shared" ref="I50:K50" si="36">+IFERROR(PPMT($E$45,I45,$I$46,-$H$46),0)</f>
        <v>41624948.314657383</v>
      </c>
      <c r="J50" s="33">
        <f t="shared" si="36"/>
        <v>47577151.692408919</v>
      </c>
      <c r="K50" s="33">
        <f t="shared" si="36"/>
        <v>54380496.668758936</v>
      </c>
      <c r="L50" s="33">
        <f t="shared" ref="L50:O50" si="37">+IFERROR(PPMT($E$45,L47,$E$46,-$E$48),0)</f>
        <v>0</v>
      </c>
      <c r="M50" s="33">
        <f t="shared" si="37"/>
        <v>0</v>
      </c>
      <c r="N50" s="33">
        <f t="shared" si="37"/>
        <v>0</v>
      </c>
      <c r="O50" s="33">
        <f t="shared" si="37"/>
        <v>0</v>
      </c>
    </row>
    <row r="51" spans="1:15">
      <c r="B51" s="4" t="s">
        <v>50</v>
      </c>
      <c r="D51" s="5" t="s">
        <v>191</v>
      </c>
      <c r="E51" s="33">
        <f>+E48-E50</f>
        <v>85000000</v>
      </c>
      <c r="F51" s="33">
        <f>+F48-F50</f>
        <v>45335904.575502142</v>
      </c>
      <c r="G51" s="33">
        <f t="shared" ref="G51" si="38">+G48-G50</f>
        <v>0</v>
      </c>
      <c r="H51" s="33">
        <f>IFERROR(H48-H50,0)</f>
        <v>143582596.67582527</v>
      </c>
      <c r="I51" s="33">
        <f t="shared" ref="I51" si="39">IFERROR(I48-I50,0)</f>
        <v>101957648.36116788</v>
      </c>
      <c r="J51" s="33">
        <f t="shared" ref="J51:O51" si="40">IFERROR(J48-J50,0)</f>
        <v>54380496.668758959</v>
      </c>
      <c r="K51" s="33">
        <f t="shared" si="40"/>
        <v>2.2351741790771484E-8</v>
      </c>
      <c r="L51" s="33">
        <f t="shared" si="40"/>
        <v>2.2351741790771484E-8</v>
      </c>
      <c r="M51" s="33">
        <f t="shared" si="40"/>
        <v>2.2351741790771484E-8</v>
      </c>
      <c r="N51" s="33">
        <f t="shared" si="40"/>
        <v>2.2351741790771484E-8</v>
      </c>
      <c r="O51" s="33">
        <f t="shared" si="40"/>
        <v>2.2351741790771484E-8</v>
      </c>
    </row>
    <row r="52" spans="1:15">
      <c r="B52" s="4" t="s">
        <v>51</v>
      </c>
      <c r="D52" s="5" t="s">
        <v>191</v>
      </c>
      <c r="E52" s="33"/>
      <c r="F52" s="33">
        <f>+PMT($E$45,$E$46,-$E$48)</f>
        <v>51818760.056975596</v>
      </c>
      <c r="G52" s="33">
        <f t="shared" ref="G52" si="41">+PMT($E$45,$E$46,-$E$48)</f>
        <v>51818760.056975596</v>
      </c>
      <c r="H52" s="33"/>
      <c r="I52" s="33"/>
      <c r="J52" s="33"/>
      <c r="K52" s="33"/>
      <c r="L52" s="33"/>
      <c r="M52" s="33"/>
      <c r="N52" s="33"/>
      <c r="O52" s="33"/>
    </row>
    <row r="53" spans="1:15"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5">
      <c r="B54" s="4" t="s">
        <v>52</v>
      </c>
      <c r="C54" s="63">
        <v>0</v>
      </c>
      <c r="D54" s="5" t="s">
        <v>53</v>
      </c>
      <c r="E54" s="33"/>
      <c r="F54" s="33">
        <f>+$C$54</f>
        <v>0</v>
      </c>
      <c r="G54" s="33">
        <f t="shared" ref="G54:O54" si="42">+$C$54</f>
        <v>0</v>
      </c>
      <c r="H54" s="33">
        <f t="shared" si="42"/>
        <v>0</v>
      </c>
      <c r="I54" s="33">
        <f t="shared" si="42"/>
        <v>0</v>
      </c>
      <c r="J54" s="33">
        <f t="shared" si="42"/>
        <v>0</v>
      </c>
      <c r="K54" s="33">
        <f t="shared" si="42"/>
        <v>0</v>
      </c>
      <c r="L54" s="33">
        <f t="shared" si="42"/>
        <v>0</v>
      </c>
      <c r="M54" s="33">
        <f t="shared" si="42"/>
        <v>0</v>
      </c>
      <c r="N54" s="33">
        <f t="shared" si="42"/>
        <v>0</v>
      </c>
      <c r="O54" s="33">
        <f t="shared" si="42"/>
        <v>0</v>
      </c>
    </row>
    <row r="55" spans="1:15">
      <c r="B55" s="4" t="s">
        <v>54</v>
      </c>
      <c r="C55" s="63">
        <v>15</v>
      </c>
      <c r="D55" s="5" t="s">
        <v>55</v>
      </c>
      <c r="E55" s="33"/>
      <c r="F55" s="33">
        <f t="shared" ref="F55" si="43">+$C$55</f>
        <v>15</v>
      </c>
      <c r="G55" s="33">
        <v>25</v>
      </c>
      <c r="H55" s="33">
        <v>30</v>
      </c>
      <c r="I55" s="33">
        <v>35</v>
      </c>
      <c r="J55" s="33">
        <v>40</v>
      </c>
      <c r="K55" s="33">
        <v>45</v>
      </c>
      <c r="L55" s="33">
        <f t="shared" ref="L55:O55" si="44">+K55</f>
        <v>45</v>
      </c>
      <c r="M55" s="33">
        <f t="shared" si="44"/>
        <v>45</v>
      </c>
      <c r="N55" s="33">
        <f t="shared" si="44"/>
        <v>45</v>
      </c>
      <c r="O55" s="33">
        <f t="shared" si="44"/>
        <v>45</v>
      </c>
    </row>
    <row r="56" spans="1:15">
      <c r="B56" s="4" t="s">
        <v>56</v>
      </c>
      <c r="C56" s="63">
        <v>0</v>
      </c>
      <c r="D56" s="5" t="s">
        <v>55</v>
      </c>
      <c r="E56" s="33"/>
      <c r="F56" s="33">
        <v>0</v>
      </c>
      <c r="G56" s="33">
        <v>10</v>
      </c>
      <c r="H56" s="33">
        <v>15</v>
      </c>
      <c r="I56" s="33">
        <f>+H56</f>
        <v>15</v>
      </c>
      <c r="J56" s="33">
        <f t="shared" ref="J56:O56" si="45">+I56</f>
        <v>15</v>
      </c>
      <c r="K56" s="33">
        <f t="shared" si="45"/>
        <v>15</v>
      </c>
      <c r="L56" s="33">
        <f t="shared" si="45"/>
        <v>15</v>
      </c>
      <c r="M56" s="33">
        <f t="shared" si="45"/>
        <v>15</v>
      </c>
      <c r="N56" s="33">
        <f t="shared" si="45"/>
        <v>15</v>
      </c>
      <c r="O56" s="33">
        <f t="shared" si="45"/>
        <v>15</v>
      </c>
    </row>
    <row r="57" spans="1:15"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5">
      <c r="E58" s="33"/>
      <c r="F58" s="33">
        <f>+F62/F34*360</f>
        <v>8.6906783754088597</v>
      </c>
      <c r="G58" s="33">
        <f>+G62/G34*360</f>
        <v>8.6700426561704624</v>
      </c>
      <c r="H58" s="33"/>
      <c r="I58" s="33"/>
      <c r="J58" s="33"/>
      <c r="K58" s="33"/>
      <c r="L58" s="33"/>
      <c r="M58" s="33"/>
      <c r="N58" s="33"/>
      <c r="O58" s="33"/>
    </row>
    <row r="59" spans="1:15">
      <c r="A59" s="6" t="s">
        <v>57</v>
      </c>
      <c r="B59" s="4" t="s">
        <v>58</v>
      </c>
      <c r="D59" s="5" t="s">
        <v>191</v>
      </c>
      <c r="E59" s="62">
        <v>0</v>
      </c>
      <c r="F59" s="33">
        <f t="shared" ref="F59:O59" si="46">+F54/360*F34</f>
        <v>0</v>
      </c>
      <c r="G59" s="33">
        <f t="shared" si="46"/>
        <v>0</v>
      </c>
      <c r="H59" s="33">
        <f t="shared" si="46"/>
        <v>0</v>
      </c>
      <c r="I59" s="33">
        <f t="shared" si="46"/>
        <v>0</v>
      </c>
      <c r="J59" s="33">
        <f t="shared" si="46"/>
        <v>0</v>
      </c>
      <c r="K59" s="33">
        <f t="shared" si="46"/>
        <v>0</v>
      </c>
      <c r="L59" s="33">
        <f t="shared" si="46"/>
        <v>0</v>
      </c>
      <c r="M59" s="33">
        <f t="shared" si="46"/>
        <v>0</v>
      </c>
      <c r="N59" s="33">
        <f t="shared" si="46"/>
        <v>0</v>
      </c>
      <c r="O59" s="33">
        <f t="shared" si="46"/>
        <v>0</v>
      </c>
    </row>
    <row r="60" spans="1:15">
      <c r="A60" s="6" t="s">
        <v>57</v>
      </c>
      <c r="B60" s="4" t="s">
        <v>59</v>
      </c>
      <c r="D60" s="5" t="s">
        <v>191</v>
      </c>
      <c r="E60" s="62">
        <v>0</v>
      </c>
      <c r="F60" s="33">
        <f>+F55/360*F39</f>
        <v>19093396.25</v>
      </c>
      <c r="G60" s="33">
        <f t="shared" ref="G60:O60" si="47">+G55/360*G39</f>
        <v>140514658.82499999</v>
      </c>
      <c r="H60" s="33">
        <f t="shared" si="47"/>
        <v>259645397.69220001</v>
      </c>
      <c r="I60" s="33">
        <f t="shared" si="47"/>
        <v>333542978.55265665</v>
      </c>
      <c r="J60" s="33">
        <f t="shared" si="47"/>
        <v>434101421.686589</v>
      </c>
      <c r="K60" s="33">
        <f t="shared" si="47"/>
        <v>545991063.12630737</v>
      </c>
      <c r="L60" s="33">
        <f t="shared" si="47"/>
        <v>599061394.46218443</v>
      </c>
      <c r="M60" s="33">
        <f t="shared" si="47"/>
        <v>657290162.00390875</v>
      </c>
      <c r="N60" s="33">
        <f t="shared" si="47"/>
        <v>721178765.75068879</v>
      </c>
      <c r="O60" s="33">
        <f t="shared" si="47"/>
        <v>791277341.78165567</v>
      </c>
    </row>
    <row r="61" spans="1:15">
      <c r="A61" s="6" t="s">
        <v>60</v>
      </c>
      <c r="B61" s="4" t="s">
        <v>61</v>
      </c>
      <c r="D61" s="5" t="s">
        <v>191</v>
      </c>
      <c r="E61" s="62">
        <v>0</v>
      </c>
      <c r="F61" s="33">
        <f>+F56/360*F39</f>
        <v>0</v>
      </c>
      <c r="G61" s="33">
        <f t="shared" ref="G61:O61" si="48">+G56/360*G39</f>
        <v>56205863.529999986</v>
      </c>
      <c r="H61" s="33">
        <f t="shared" si="48"/>
        <v>129822698.8461</v>
      </c>
      <c r="I61" s="33">
        <f t="shared" si="48"/>
        <v>142946990.80828142</v>
      </c>
      <c r="J61" s="33">
        <f t="shared" si="48"/>
        <v>162788033.13247088</v>
      </c>
      <c r="K61" s="33">
        <f t="shared" si="48"/>
        <v>181997021.04210246</v>
      </c>
      <c r="L61" s="33">
        <f t="shared" si="48"/>
        <v>199687131.48739481</v>
      </c>
      <c r="M61" s="33">
        <f t="shared" si="48"/>
        <v>219096720.66796958</v>
      </c>
      <c r="N61" s="33">
        <f t="shared" si="48"/>
        <v>240392921.91689625</v>
      </c>
      <c r="O61" s="33">
        <f t="shared" si="48"/>
        <v>263759113.92721856</v>
      </c>
    </row>
    <row r="62" spans="1:15">
      <c r="A62" s="6" t="s">
        <v>62</v>
      </c>
      <c r="B62" s="15" t="s">
        <v>63</v>
      </c>
      <c r="C62" s="20"/>
      <c r="D62" s="20" t="s">
        <v>191</v>
      </c>
      <c r="E62" s="62"/>
      <c r="F62" s="62">
        <f>+F59+F60-F61</f>
        <v>19093396.25</v>
      </c>
      <c r="G62" s="62">
        <f>+G59+G60-G61</f>
        <v>84308795.295000002</v>
      </c>
      <c r="H62" s="62">
        <f t="shared" ref="H62:O62" si="49">+H59+H60-H61</f>
        <v>129822698.8461</v>
      </c>
      <c r="I62" s="62">
        <f t="shared" si="49"/>
        <v>190595987.74437523</v>
      </c>
      <c r="J62" s="62">
        <f t="shared" si="49"/>
        <v>271313388.55411816</v>
      </c>
      <c r="K62" s="62">
        <f t="shared" si="49"/>
        <v>363994042.08420491</v>
      </c>
      <c r="L62" s="62">
        <f t="shared" si="49"/>
        <v>399374262.97478962</v>
      </c>
      <c r="M62" s="62">
        <f t="shared" si="49"/>
        <v>438193441.33593917</v>
      </c>
      <c r="N62" s="62">
        <f t="shared" si="49"/>
        <v>480785843.83379257</v>
      </c>
      <c r="O62" s="62">
        <f t="shared" si="49"/>
        <v>527518227.85443711</v>
      </c>
    </row>
    <row r="63" spans="1:15">
      <c r="A63" s="53" t="s">
        <v>62</v>
      </c>
      <c r="B63" s="10" t="s">
        <v>64</v>
      </c>
      <c r="C63" s="11"/>
      <c r="D63" s="11" t="s">
        <v>191</v>
      </c>
      <c r="E63" s="66"/>
      <c r="F63" s="66">
        <f>+F62-E62</f>
        <v>19093396.25</v>
      </c>
      <c r="G63" s="66">
        <f>+G62-F62</f>
        <v>65215399.045000002</v>
      </c>
      <c r="H63" s="66">
        <f t="shared" ref="H63:O63" si="50">+H62-G62</f>
        <v>45513903.551100001</v>
      </c>
      <c r="I63" s="66">
        <f t="shared" si="50"/>
        <v>60773288.898275226</v>
      </c>
      <c r="J63" s="66">
        <f t="shared" si="50"/>
        <v>80717400.809742928</v>
      </c>
      <c r="K63" s="66">
        <f t="shared" si="50"/>
        <v>92680653.530086756</v>
      </c>
      <c r="L63" s="66">
        <f t="shared" si="50"/>
        <v>35380220.890584707</v>
      </c>
      <c r="M63" s="66">
        <f t="shared" si="50"/>
        <v>38819178.361149549</v>
      </c>
      <c r="N63" s="66">
        <f t="shared" si="50"/>
        <v>42592402.497853398</v>
      </c>
      <c r="O63" s="66">
        <f t="shared" si="50"/>
        <v>46732384.020644546</v>
      </c>
    </row>
    <row r="64" spans="1:15"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1:15">
      <c r="B65" s="37" t="s">
        <v>65</v>
      </c>
      <c r="E65" s="33" t="str">
        <f>+E1</f>
        <v>Año 1</v>
      </c>
      <c r="F65" s="33" t="str">
        <f t="shared" ref="F65:O65" si="51">+F1</f>
        <v>Año 2</v>
      </c>
      <c r="G65" s="33" t="str">
        <f t="shared" si="51"/>
        <v>Año 3</v>
      </c>
      <c r="H65" s="33" t="str">
        <f t="shared" si="51"/>
        <v>Año 4</v>
      </c>
      <c r="I65" s="33" t="str">
        <f t="shared" si="51"/>
        <v>Año 5</v>
      </c>
      <c r="J65" s="33" t="str">
        <f t="shared" si="51"/>
        <v>Año 6</v>
      </c>
      <c r="K65" s="33" t="str">
        <f t="shared" si="51"/>
        <v>Año 7</v>
      </c>
      <c r="L65" s="33" t="str">
        <f t="shared" si="51"/>
        <v>Año 8</v>
      </c>
      <c r="M65" s="33" t="str">
        <f t="shared" si="51"/>
        <v>Año 9</v>
      </c>
      <c r="N65" s="33" t="str">
        <f t="shared" si="51"/>
        <v>Año 10</v>
      </c>
      <c r="O65" s="33" t="str">
        <f t="shared" si="51"/>
        <v>Año 11</v>
      </c>
    </row>
    <row r="66" spans="1:15" s="15" customFormat="1">
      <c r="A66" s="52"/>
      <c r="B66" s="38" t="s">
        <v>66</v>
      </c>
      <c r="C66" s="39"/>
      <c r="D66" s="39" t="s">
        <v>191</v>
      </c>
      <c r="E66" s="64">
        <f>+E34</f>
        <v>0</v>
      </c>
      <c r="F66" s="64">
        <f t="shared" ref="F66:O66" si="52">+F34</f>
        <v>790919000</v>
      </c>
      <c r="G66" s="64">
        <f t="shared" si="52"/>
        <v>3500694000</v>
      </c>
      <c r="H66" s="64">
        <f t="shared" si="52"/>
        <v>5386864000</v>
      </c>
      <c r="I66" s="64">
        <f t="shared" si="52"/>
        <v>6358654265.6000004</v>
      </c>
      <c r="J66" s="64">
        <f t="shared" si="52"/>
        <v>7241235477.6652803</v>
      </c>
      <c r="K66" s="64">
        <f t="shared" si="52"/>
        <v>8095701264.0297832</v>
      </c>
      <c r="L66" s="64">
        <f t="shared" si="52"/>
        <v>8882603426.8934784</v>
      </c>
      <c r="M66" s="64">
        <f t="shared" si="52"/>
        <v>9745992479.987524</v>
      </c>
      <c r="N66" s="64">
        <f t="shared" si="52"/>
        <v>10693302949.042313</v>
      </c>
      <c r="O66" s="64">
        <f t="shared" si="52"/>
        <v>11732691995.689224</v>
      </c>
    </row>
    <row r="67" spans="1:15">
      <c r="B67" s="41" t="s">
        <v>67</v>
      </c>
      <c r="C67" s="42" t="s">
        <v>68</v>
      </c>
      <c r="D67" s="42" t="s">
        <v>191</v>
      </c>
      <c r="E67" s="65">
        <f>+E39</f>
        <v>0</v>
      </c>
      <c r="F67" s="65">
        <f>+F39</f>
        <v>458241510</v>
      </c>
      <c r="G67" s="65">
        <f t="shared" ref="G67:O67" si="53">+G39</f>
        <v>2023411087.0799997</v>
      </c>
      <c r="H67" s="65">
        <f t="shared" si="53"/>
        <v>3115744772.3064003</v>
      </c>
      <c r="I67" s="65">
        <f t="shared" si="53"/>
        <v>3430727779.3987541</v>
      </c>
      <c r="J67" s="65">
        <f t="shared" si="53"/>
        <v>3906912795.1793013</v>
      </c>
      <c r="K67" s="65">
        <f t="shared" si="53"/>
        <v>4367928505.0104589</v>
      </c>
      <c r="L67" s="65">
        <f t="shared" si="53"/>
        <v>4792491155.6974754</v>
      </c>
      <c r="M67" s="65">
        <f t="shared" si="53"/>
        <v>5258321296.03127</v>
      </c>
      <c r="N67" s="65">
        <f t="shared" si="53"/>
        <v>5769430126.0055103</v>
      </c>
      <c r="O67" s="65">
        <f t="shared" si="53"/>
        <v>6330218734.2532454</v>
      </c>
    </row>
    <row r="68" spans="1:15">
      <c r="B68" s="41" t="s">
        <v>69</v>
      </c>
      <c r="C68" s="42" t="s">
        <v>68</v>
      </c>
      <c r="D68" s="42" t="s">
        <v>191</v>
      </c>
      <c r="E68" s="65">
        <f t="shared" ref="E68:O68" si="54">+E43</f>
        <v>0</v>
      </c>
      <c r="F68" s="65">
        <f t="shared" si="54"/>
        <v>364787275.73500001</v>
      </c>
      <c r="G68" s="65">
        <f t="shared" si="54"/>
        <v>1146283471.5000002</v>
      </c>
      <c r="H68" s="65">
        <f t="shared" si="54"/>
        <v>1884804685.5999999</v>
      </c>
      <c r="I68" s="65">
        <f t="shared" si="54"/>
        <v>2347005186.9180012</v>
      </c>
      <c r="J68" s="65">
        <f t="shared" si="54"/>
        <v>2630391959.6121778</v>
      </c>
      <c r="K68" s="65">
        <f t="shared" si="54"/>
        <v>2895124049.1182775</v>
      </c>
      <c r="L68" s="65">
        <f t="shared" si="54"/>
        <v>3128261643.4928465</v>
      </c>
      <c r="M68" s="65">
        <f t="shared" si="54"/>
        <v>3381164104.2486396</v>
      </c>
      <c r="N68" s="65">
        <f t="shared" si="54"/>
        <v>3655578809.9303932</v>
      </c>
      <c r="O68" s="65">
        <f t="shared" si="54"/>
        <v>3953412558.289341</v>
      </c>
    </row>
    <row r="69" spans="1:15" s="15" customFormat="1">
      <c r="A69" s="52"/>
      <c r="B69" s="38" t="s">
        <v>70</v>
      </c>
      <c r="C69" s="39" t="s">
        <v>70</v>
      </c>
      <c r="D69" s="39" t="s">
        <v>191</v>
      </c>
      <c r="E69" s="40">
        <f t="shared" ref="E69:O69" si="55">+E66-E67-E68</f>
        <v>0</v>
      </c>
      <c r="F69" s="40">
        <f t="shared" si="55"/>
        <v>-32109785.735000014</v>
      </c>
      <c r="G69" s="40">
        <f t="shared" si="55"/>
        <v>330999441.42000008</v>
      </c>
      <c r="H69" s="40">
        <f t="shared" si="55"/>
        <v>386314542.0935998</v>
      </c>
      <c r="I69" s="40">
        <f t="shared" si="55"/>
        <v>580921299.28324509</v>
      </c>
      <c r="J69" s="40">
        <f t="shared" si="55"/>
        <v>703930722.87380123</v>
      </c>
      <c r="K69" s="40">
        <f t="shared" si="55"/>
        <v>832648709.90104675</v>
      </c>
      <c r="L69" s="40">
        <f t="shared" si="55"/>
        <v>961850627.70315647</v>
      </c>
      <c r="M69" s="40">
        <f t="shared" si="55"/>
        <v>1106507079.7076144</v>
      </c>
      <c r="N69" s="40">
        <f t="shared" si="55"/>
        <v>1268294013.1064091</v>
      </c>
      <c r="O69" s="40">
        <f t="shared" si="55"/>
        <v>1449060703.1466379</v>
      </c>
    </row>
    <row r="70" spans="1:15">
      <c r="B70" s="41" t="s">
        <v>22</v>
      </c>
      <c r="C70" s="39" t="s">
        <v>71</v>
      </c>
      <c r="D70" s="42" t="s">
        <v>191</v>
      </c>
      <c r="E70" s="65">
        <f t="shared" ref="E70:O70" si="56">+E29</f>
        <v>0</v>
      </c>
      <c r="F70" s="65">
        <f t="shared" si="56"/>
        <v>5600000</v>
      </c>
      <c r="G70" s="65">
        <f t="shared" si="56"/>
        <v>7733333.333333334</v>
      </c>
      <c r="H70" s="65">
        <f t="shared" si="56"/>
        <v>23800000</v>
      </c>
      <c r="I70" s="65">
        <f t="shared" si="56"/>
        <v>31300000</v>
      </c>
      <c r="J70" s="65">
        <f t="shared" si="56"/>
        <v>77300000</v>
      </c>
      <c r="K70" s="65">
        <f t="shared" si="56"/>
        <v>78919140.252805948</v>
      </c>
      <c r="L70" s="65">
        <f t="shared" si="56"/>
        <v>78562327.60485132</v>
      </c>
      <c r="M70" s="65">
        <f t="shared" si="56"/>
        <v>79444859.434182167</v>
      </c>
      <c r="N70" s="65">
        <f t="shared" si="56"/>
        <v>81583520.023990616</v>
      </c>
      <c r="O70" s="65">
        <f t="shared" si="56"/>
        <v>83930058.423128456</v>
      </c>
    </row>
    <row r="71" spans="1:15" s="15" customFormat="1">
      <c r="A71" s="52"/>
      <c r="B71" s="38" t="s">
        <v>72</v>
      </c>
      <c r="C71" s="39" t="s">
        <v>73</v>
      </c>
      <c r="D71" s="39" t="s">
        <v>191</v>
      </c>
      <c r="E71" s="40">
        <f t="shared" ref="E71:O71" si="57">+E69-E70</f>
        <v>0</v>
      </c>
      <c r="F71" s="40">
        <f t="shared" si="57"/>
        <v>-37709785.735000014</v>
      </c>
      <c r="G71" s="40">
        <f t="shared" si="57"/>
        <v>323266108.08666676</v>
      </c>
      <c r="H71" s="40">
        <f t="shared" si="57"/>
        <v>362514542.0935998</v>
      </c>
      <c r="I71" s="40">
        <f t="shared" si="57"/>
        <v>549621299.28324509</v>
      </c>
      <c r="J71" s="40">
        <f t="shared" si="57"/>
        <v>626630722.87380123</v>
      </c>
      <c r="K71" s="40">
        <f t="shared" si="57"/>
        <v>753729569.6482408</v>
      </c>
      <c r="L71" s="40">
        <f t="shared" si="57"/>
        <v>883288300.09830511</v>
      </c>
      <c r="M71" s="40">
        <f t="shared" si="57"/>
        <v>1027062220.2734323</v>
      </c>
      <c r="N71" s="40">
        <f t="shared" si="57"/>
        <v>1186710493.0824184</v>
      </c>
      <c r="O71" s="40">
        <f t="shared" si="57"/>
        <v>1365130644.7235096</v>
      </c>
    </row>
    <row r="72" spans="1:15" s="69" customFormat="1">
      <c r="A72" s="75"/>
      <c r="B72" s="69" t="s">
        <v>74</v>
      </c>
      <c r="C72" s="73" t="s">
        <v>75</v>
      </c>
      <c r="D72" s="71" t="s">
        <v>191</v>
      </c>
      <c r="E72" s="76">
        <f t="shared" ref="E72:O72" si="58">+E49</f>
        <v>0</v>
      </c>
      <c r="F72" s="76">
        <f t="shared" si="58"/>
        <v>9039635.4303300809</v>
      </c>
      <c r="G72" s="76">
        <f t="shared" si="58"/>
        <v>3367826.2793258075</v>
      </c>
      <c r="H72" s="76">
        <f t="shared" si="58"/>
        <v>25739289.809952874</v>
      </c>
      <c r="I72" s="76">
        <f t="shared" si="58"/>
        <v>20531744.81947023</v>
      </c>
      <c r="J72" s="76">
        <f t="shared" si="58"/>
        <v>14579541.441718699</v>
      </c>
      <c r="K72" s="76">
        <f t="shared" si="58"/>
        <v>7776196.4653686834</v>
      </c>
      <c r="L72" s="76">
        <f t="shared" si="58"/>
        <v>0</v>
      </c>
      <c r="M72" s="76">
        <f t="shared" si="58"/>
        <v>0</v>
      </c>
      <c r="N72" s="76">
        <f t="shared" si="58"/>
        <v>0</v>
      </c>
      <c r="O72" s="76">
        <f t="shared" si="58"/>
        <v>0</v>
      </c>
    </row>
    <row r="73" spans="1:15" s="69" customFormat="1">
      <c r="A73" s="75"/>
      <c r="B73" s="69" t="s">
        <v>289</v>
      </c>
      <c r="C73" s="218">
        <v>0.02</v>
      </c>
      <c r="D73" s="71"/>
      <c r="E73" s="76"/>
      <c r="F73" s="76">
        <f>+'Proyectado anual base'!P82</f>
        <v>15818380</v>
      </c>
      <c r="G73" s="76">
        <f>+'Proyectado anual base'!AF82</f>
        <v>70013880</v>
      </c>
      <c r="H73" s="76">
        <f>+'Proyectado anual base'!AV82</f>
        <v>107737280</v>
      </c>
      <c r="I73" s="76">
        <f>+$C$73*I66</f>
        <v>127173085.31200001</v>
      </c>
      <c r="J73" s="76">
        <f t="shared" ref="J73:O73" si="59">+$C$73*J66</f>
        <v>144824709.5533056</v>
      </c>
      <c r="K73" s="76">
        <f t="shared" si="59"/>
        <v>161914025.28059566</v>
      </c>
      <c r="L73" s="76">
        <f t="shared" si="59"/>
        <v>177652068.53786957</v>
      </c>
      <c r="M73" s="76">
        <f t="shared" si="59"/>
        <v>194919849.59975049</v>
      </c>
      <c r="N73" s="76">
        <f t="shared" si="59"/>
        <v>213866058.98084626</v>
      </c>
      <c r="O73" s="76">
        <f t="shared" si="59"/>
        <v>234653839.9137845</v>
      </c>
    </row>
    <row r="74" spans="1:15" s="72" customFormat="1">
      <c r="A74" s="77"/>
      <c r="B74" s="72" t="s">
        <v>76</v>
      </c>
      <c r="C74" s="73" t="s">
        <v>77</v>
      </c>
      <c r="D74" s="73" t="s">
        <v>191</v>
      </c>
      <c r="E74" s="74">
        <f>+E71-E72</f>
        <v>0</v>
      </c>
      <c r="F74" s="74">
        <f t="shared" ref="F74:O74" si="60">+F71-F72-F73</f>
        <v>-62567801.165330097</v>
      </c>
      <c r="G74" s="74">
        <f t="shared" si="60"/>
        <v>249884401.80734098</v>
      </c>
      <c r="H74" s="74">
        <f t="shared" si="60"/>
        <v>229037972.28364694</v>
      </c>
      <c r="I74" s="74">
        <f t="shared" si="60"/>
        <v>401916469.15177488</v>
      </c>
      <c r="J74" s="74">
        <f t="shared" si="60"/>
        <v>467226471.87877691</v>
      </c>
      <c r="K74" s="74">
        <f t="shared" si="60"/>
        <v>584039347.90227652</v>
      </c>
      <c r="L74" s="74">
        <f t="shared" si="60"/>
        <v>705636231.56043553</v>
      </c>
      <c r="M74" s="74">
        <f t="shared" si="60"/>
        <v>832142370.67368174</v>
      </c>
      <c r="N74" s="74">
        <f t="shared" si="60"/>
        <v>972844434.10157216</v>
      </c>
      <c r="O74" s="74">
        <f t="shared" si="60"/>
        <v>1130476804.809725</v>
      </c>
    </row>
    <row r="75" spans="1:15" s="69" customFormat="1">
      <c r="A75" s="75"/>
      <c r="B75" s="69" t="s">
        <v>78</v>
      </c>
      <c r="C75" s="73" t="s">
        <v>79</v>
      </c>
      <c r="D75" s="71" t="s">
        <v>191</v>
      </c>
      <c r="E75" s="76">
        <f>+IF(E74&lt;0,0,E74*$E$4)</f>
        <v>0</v>
      </c>
      <c r="F75" s="76">
        <f t="shared" ref="F75:O75" si="61">+IF(F74&lt;0,0,F74*F4)</f>
        <v>0</v>
      </c>
      <c r="G75" s="76">
        <f t="shared" si="61"/>
        <v>87459540.632569343</v>
      </c>
      <c r="H75" s="76">
        <f t="shared" si="61"/>
        <v>80163290.299276426</v>
      </c>
      <c r="I75" s="76">
        <f t="shared" si="61"/>
        <v>140670764.20312122</v>
      </c>
      <c r="J75" s="76">
        <f t="shared" si="61"/>
        <v>163529265.15757191</v>
      </c>
      <c r="K75" s="76">
        <f t="shared" si="61"/>
        <v>204413771.76579678</v>
      </c>
      <c r="L75" s="76">
        <f t="shared" si="61"/>
        <v>246972681.04615241</v>
      </c>
      <c r="M75" s="76">
        <f t="shared" si="61"/>
        <v>291249829.73578858</v>
      </c>
      <c r="N75" s="76">
        <f t="shared" si="61"/>
        <v>340495551.93555021</v>
      </c>
      <c r="O75" s="76">
        <f t="shared" si="61"/>
        <v>395666881.68340373</v>
      </c>
    </row>
    <row r="76" spans="1:15" s="72" customFormat="1">
      <c r="A76" s="77"/>
      <c r="B76" s="72" t="s">
        <v>80</v>
      </c>
      <c r="C76" s="73" t="s">
        <v>81</v>
      </c>
      <c r="D76" s="73" t="s">
        <v>191</v>
      </c>
      <c r="E76" s="74">
        <f t="shared" ref="E76:O76" si="62">+E74-E75</f>
        <v>0</v>
      </c>
      <c r="F76" s="74">
        <f t="shared" si="62"/>
        <v>-62567801.165330097</v>
      </c>
      <c r="G76" s="74">
        <f t="shared" si="62"/>
        <v>162424861.17477164</v>
      </c>
      <c r="H76" s="74">
        <f t="shared" si="62"/>
        <v>148874681.98437053</v>
      </c>
      <c r="I76" s="74">
        <f t="shared" si="62"/>
        <v>261245704.94865367</v>
      </c>
      <c r="J76" s="74">
        <f t="shared" si="62"/>
        <v>303697206.721205</v>
      </c>
      <c r="K76" s="74">
        <f t="shared" si="62"/>
        <v>379625576.13647974</v>
      </c>
      <c r="L76" s="74">
        <f t="shared" si="62"/>
        <v>458663550.51428312</v>
      </c>
      <c r="M76" s="74">
        <f t="shared" si="62"/>
        <v>540892540.93789315</v>
      </c>
      <c r="N76" s="74">
        <f t="shared" si="62"/>
        <v>632348882.16602194</v>
      </c>
      <c r="O76" s="74">
        <f t="shared" si="62"/>
        <v>734809923.12632132</v>
      </c>
    </row>
    <row r="77" spans="1:15" s="15" customFormat="1">
      <c r="A77" s="52"/>
      <c r="C77" s="20"/>
      <c r="D77" s="20"/>
      <c r="E77" s="33"/>
      <c r="F77" s="190">
        <f t="shared" ref="F77:O77" si="63">+F76/F66</f>
        <v>-7.9107722997336136E-2</v>
      </c>
      <c r="G77" s="190">
        <f t="shared" si="63"/>
        <v>4.6397903151424155E-2</v>
      </c>
      <c r="H77" s="190">
        <f t="shared" si="63"/>
        <v>2.7636614175589085E-2</v>
      </c>
      <c r="I77" s="190">
        <f t="shared" si="63"/>
        <v>4.1085062033012203E-2</v>
      </c>
      <c r="J77" s="190">
        <f t="shared" si="63"/>
        <v>4.1939971108234567E-2</v>
      </c>
      <c r="K77" s="190">
        <f t="shared" si="63"/>
        <v>4.6892241172880704E-2</v>
      </c>
      <c r="L77" s="190">
        <f t="shared" si="63"/>
        <v>5.1636162110491969E-2</v>
      </c>
      <c r="M77" s="190">
        <f t="shared" si="63"/>
        <v>5.5498969658407282E-2</v>
      </c>
      <c r="N77" s="190">
        <f t="shared" si="63"/>
        <v>5.9135038554449147E-2</v>
      </c>
      <c r="O77" s="190">
        <f t="shared" si="63"/>
        <v>6.262926900291102E-2</v>
      </c>
    </row>
    <row r="78" spans="1:15">
      <c r="A78" s="4"/>
      <c r="B78" s="41" t="s">
        <v>82</v>
      </c>
      <c r="C78" s="42" t="s">
        <v>70</v>
      </c>
      <c r="D78" s="42" t="s">
        <v>191</v>
      </c>
      <c r="E78" s="43">
        <f t="shared" ref="E78:O78" si="64">+E71+E70</f>
        <v>0</v>
      </c>
      <c r="F78" s="43">
        <f t="shared" si="64"/>
        <v>-32109785.735000014</v>
      </c>
      <c r="G78" s="43">
        <f t="shared" si="64"/>
        <v>330999441.42000008</v>
      </c>
      <c r="H78" s="43">
        <f t="shared" si="64"/>
        <v>386314542.0935998</v>
      </c>
      <c r="I78" s="43">
        <f t="shared" si="64"/>
        <v>580921299.28324509</v>
      </c>
      <c r="J78" s="43">
        <f t="shared" si="64"/>
        <v>703930722.87380123</v>
      </c>
      <c r="K78" s="43">
        <f t="shared" si="64"/>
        <v>832648709.90104675</v>
      </c>
      <c r="L78" s="43">
        <f t="shared" si="64"/>
        <v>961850627.70315647</v>
      </c>
      <c r="M78" s="43">
        <f t="shared" si="64"/>
        <v>1106507079.7076144</v>
      </c>
      <c r="N78" s="43">
        <f t="shared" si="64"/>
        <v>1268294013.1064091</v>
      </c>
      <c r="O78" s="43">
        <f t="shared" si="64"/>
        <v>1449060703.1466379</v>
      </c>
    </row>
    <row r="79" spans="1:15">
      <c r="A79" s="4"/>
      <c r="B79" s="41" t="s">
        <v>121</v>
      </c>
      <c r="C79" s="39"/>
      <c r="D79" s="42" t="s">
        <v>83</v>
      </c>
      <c r="E79" s="43"/>
      <c r="F79" s="168">
        <f t="shared" ref="F79:O79" si="65">+F71/F72</f>
        <v>-4.1716047096849618</v>
      </c>
      <c r="G79" s="168">
        <f t="shared" si="65"/>
        <v>95.986574506859711</v>
      </c>
      <c r="H79" s="168">
        <f t="shared" si="65"/>
        <v>14.084092636985757</v>
      </c>
      <c r="I79" s="168">
        <f t="shared" si="65"/>
        <v>26.76934201724735</v>
      </c>
      <c r="J79" s="168">
        <f t="shared" si="65"/>
        <v>42.980139353404198</v>
      </c>
      <c r="K79" s="168">
        <f t="shared" si="65"/>
        <v>96.927794070658834</v>
      </c>
      <c r="L79" s="168" t="e">
        <f t="shared" si="65"/>
        <v>#DIV/0!</v>
      </c>
      <c r="M79" s="168" t="e">
        <f t="shared" si="65"/>
        <v>#DIV/0!</v>
      </c>
      <c r="N79" s="168" t="e">
        <f t="shared" si="65"/>
        <v>#DIV/0!</v>
      </c>
      <c r="O79" s="168" t="e">
        <f t="shared" si="65"/>
        <v>#DIV/0!</v>
      </c>
    </row>
    <row r="80" spans="1:15" s="15" customFormat="1">
      <c r="A80" s="52"/>
      <c r="C80" s="20"/>
      <c r="D80" s="20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</row>
    <row r="81" spans="1:15" s="15" customFormat="1">
      <c r="A81" s="52"/>
      <c r="B81" s="109" t="s">
        <v>84</v>
      </c>
      <c r="C81" s="20"/>
      <c r="D81" s="20"/>
      <c r="E81" s="33" t="str">
        <f>+E1</f>
        <v>Año 1</v>
      </c>
      <c r="F81" s="33" t="str">
        <f>+F1</f>
        <v>Año 2</v>
      </c>
      <c r="G81" s="33" t="str">
        <f t="shared" ref="G81:O81" si="66">+G1</f>
        <v>Año 3</v>
      </c>
      <c r="H81" s="33" t="str">
        <f t="shared" si="66"/>
        <v>Año 4</v>
      </c>
      <c r="I81" s="33" t="str">
        <f t="shared" si="66"/>
        <v>Año 5</v>
      </c>
      <c r="J81" s="33" t="str">
        <f t="shared" si="66"/>
        <v>Año 6</v>
      </c>
      <c r="K81" s="33" t="str">
        <f t="shared" si="66"/>
        <v>Año 7</v>
      </c>
      <c r="L81" s="33" t="str">
        <f t="shared" si="66"/>
        <v>Año 8</v>
      </c>
      <c r="M81" s="33" t="str">
        <f t="shared" si="66"/>
        <v>Año 9</v>
      </c>
      <c r="N81" s="33" t="str">
        <f t="shared" si="66"/>
        <v>Año 10</v>
      </c>
      <c r="O81" s="33" t="str">
        <f t="shared" si="66"/>
        <v>Año 11</v>
      </c>
    </row>
    <row r="82" spans="1:15" s="15" customFormat="1">
      <c r="A82" s="52" t="s">
        <v>62</v>
      </c>
      <c r="B82" s="15" t="s">
        <v>85</v>
      </c>
      <c r="C82" s="20"/>
      <c r="D82" s="20" t="s">
        <v>191</v>
      </c>
      <c r="E82" s="46">
        <f t="shared" ref="E82:O82" si="67">+E76</f>
        <v>0</v>
      </c>
      <c r="F82" s="46">
        <f>+F76</f>
        <v>-62567801.165330097</v>
      </c>
      <c r="G82" s="46">
        <f>+G76</f>
        <v>162424861.17477164</v>
      </c>
      <c r="H82" s="46">
        <f t="shared" si="67"/>
        <v>148874681.98437053</v>
      </c>
      <c r="I82" s="46">
        <f t="shared" si="67"/>
        <v>261245704.94865367</v>
      </c>
      <c r="J82" s="46">
        <f t="shared" si="67"/>
        <v>303697206.721205</v>
      </c>
      <c r="K82" s="46">
        <f t="shared" si="67"/>
        <v>379625576.13647974</v>
      </c>
      <c r="L82" s="46">
        <f t="shared" si="67"/>
        <v>458663550.51428312</v>
      </c>
      <c r="M82" s="46">
        <f t="shared" si="67"/>
        <v>540892540.93789315</v>
      </c>
      <c r="N82" s="46">
        <f t="shared" si="67"/>
        <v>632348882.16602194</v>
      </c>
      <c r="O82" s="46">
        <f t="shared" si="67"/>
        <v>734809923.12632132</v>
      </c>
    </row>
    <row r="83" spans="1:15">
      <c r="A83" s="6" t="s">
        <v>57</v>
      </c>
      <c r="B83" s="4" t="s">
        <v>22</v>
      </c>
      <c r="D83" s="5" t="s">
        <v>191</v>
      </c>
      <c r="E83" s="62">
        <f t="shared" ref="E83:O83" si="68">+E70</f>
        <v>0</v>
      </c>
      <c r="F83" s="62">
        <f t="shared" si="68"/>
        <v>5600000</v>
      </c>
      <c r="G83" s="62">
        <f t="shared" si="68"/>
        <v>7733333.333333334</v>
      </c>
      <c r="H83" s="62">
        <f t="shared" si="68"/>
        <v>23800000</v>
      </c>
      <c r="I83" s="62">
        <f t="shared" si="68"/>
        <v>31300000</v>
      </c>
      <c r="J83" s="62">
        <f t="shared" si="68"/>
        <v>77300000</v>
      </c>
      <c r="K83" s="62">
        <f t="shared" si="68"/>
        <v>78919140.252805948</v>
      </c>
      <c r="L83" s="62">
        <f t="shared" si="68"/>
        <v>78562327.60485132</v>
      </c>
      <c r="M83" s="62">
        <f t="shared" si="68"/>
        <v>79444859.434182167</v>
      </c>
      <c r="N83" s="62">
        <f t="shared" si="68"/>
        <v>81583520.023990616</v>
      </c>
      <c r="O83" s="62">
        <f t="shared" si="68"/>
        <v>83930058.423128456</v>
      </c>
    </row>
    <row r="84" spans="1:15" s="15" customFormat="1">
      <c r="A84" s="52" t="s">
        <v>62</v>
      </c>
      <c r="B84" s="15" t="s">
        <v>122</v>
      </c>
      <c r="C84" s="20"/>
      <c r="D84" s="20" t="s">
        <v>191</v>
      </c>
      <c r="E84" s="46">
        <f>+E82+E83</f>
        <v>0</v>
      </c>
      <c r="F84" s="46">
        <f>+F82+F83</f>
        <v>-56967801.165330097</v>
      </c>
      <c r="G84" s="46">
        <f t="shared" ref="G84:O84" si="69">+G82+G83</f>
        <v>170158194.50810498</v>
      </c>
      <c r="H84" s="46">
        <f t="shared" si="69"/>
        <v>172674681.98437053</v>
      </c>
      <c r="I84" s="46">
        <f t="shared" si="69"/>
        <v>292545704.9486537</v>
      </c>
      <c r="J84" s="46">
        <f t="shared" si="69"/>
        <v>380997206.721205</v>
      </c>
      <c r="K84" s="46">
        <f t="shared" si="69"/>
        <v>458544716.38928568</v>
      </c>
      <c r="L84" s="46">
        <f t="shared" si="69"/>
        <v>537225878.11913443</v>
      </c>
      <c r="M84" s="46">
        <f t="shared" si="69"/>
        <v>620337400.37207532</v>
      </c>
      <c r="N84" s="46">
        <f t="shared" si="69"/>
        <v>713932402.19001257</v>
      </c>
      <c r="O84" s="46">
        <f t="shared" si="69"/>
        <v>818739981.5494498</v>
      </c>
    </row>
    <row r="85" spans="1:15">
      <c r="A85" s="6" t="s">
        <v>60</v>
      </c>
      <c r="B85" s="4" t="s">
        <v>64</v>
      </c>
      <c r="D85" s="5" t="s">
        <v>191</v>
      </c>
      <c r="E85" s="62">
        <f t="shared" ref="E85:O85" si="70">+E63</f>
        <v>0</v>
      </c>
      <c r="F85" s="62">
        <f t="shared" si="70"/>
        <v>19093396.25</v>
      </c>
      <c r="G85" s="62">
        <f t="shared" si="70"/>
        <v>65215399.045000002</v>
      </c>
      <c r="H85" s="62">
        <f t="shared" si="70"/>
        <v>45513903.551100001</v>
      </c>
      <c r="I85" s="62">
        <f t="shared" si="70"/>
        <v>60773288.898275226</v>
      </c>
      <c r="J85" s="62">
        <f t="shared" si="70"/>
        <v>80717400.809742928</v>
      </c>
      <c r="K85" s="62">
        <f t="shared" si="70"/>
        <v>92680653.530086756</v>
      </c>
      <c r="L85" s="62">
        <f t="shared" si="70"/>
        <v>35380220.890584707</v>
      </c>
      <c r="M85" s="62">
        <f t="shared" si="70"/>
        <v>38819178.361149549</v>
      </c>
      <c r="N85" s="62">
        <f t="shared" si="70"/>
        <v>42592402.497853398</v>
      </c>
      <c r="O85" s="62">
        <f t="shared" si="70"/>
        <v>46732384.020644546</v>
      </c>
    </row>
    <row r="86" spans="1:15" s="15" customFormat="1">
      <c r="A86" s="103" t="s">
        <v>62</v>
      </c>
      <c r="B86" s="104" t="s">
        <v>123</v>
      </c>
      <c r="C86" s="105"/>
      <c r="D86" s="105" t="s">
        <v>191</v>
      </c>
      <c r="E86" s="106">
        <f>+E84-E85</f>
        <v>0</v>
      </c>
      <c r="F86" s="106">
        <f>+F84-F85</f>
        <v>-76061197.415330097</v>
      </c>
      <c r="G86" s="106">
        <f>+G84-G85</f>
        <v>104942795.46310498</v>
      </c>
      <c r="H86" s="106">
        <f t="shared" ref="H86:O86" si="71">+H84-H85</f>
        <v>127160778.43327053</v>
      </c>
      <c r="I86" s="106">
        <f t="shared" si="71"/>
        <v>231772416.05037847</v>
      </c>
      <c r="J86" s="106">
        <f t="shared" si="71"/>
        <v>300279805.91146207</v>
      </c>
      <c r="K86" s="106">
        <f t="shared" si="71"/>
        <v>365864062.85919893</v>
      </c>
      <c r="L86" s="106">
        <f t="shared" si="71"/>
        <v>501845657.22854972</v>
      </c>
      <c r="M86" s="106">
        <f t="shared" si="71"/>
        <v>581518222.01092577</v>
      </c>
      <c r="N86" s="106">
        <f t="shared" si="71"/>
        <v>671339999.69215918</v>
      </c>
      <c r="O86" s="106">
        <f t="shared" si="71"/>
        <v>772007597.52880526</v>
      </c>
    </row>
    <row r="87" spans="1:15" s="15" customFormat="1">
      <c r="A87" s="52"/>
      <c r="C87" s="20"/>
      <c r="D87" s="20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1:15">
      <c r="A88" s="6" t="s">
        <v>60</v>
      </c>
      <c r="B88" s="4" t="s">
        <v>87</v>
      </c>
      <c r="D88" s="5" t="s">
        <v>191</v>
      </c>
      <c r="E88" s="62">
        <f t="shared" ref="E88:O88" si="72">+E28</f>
        <v>28000000</v>
      </c>
      <c r="F88" s="62">
        <f t="shared" si="72"/>
        <v>0</v>
      </c>
      <c r="G88" s="62">
        <f t="shared" si="72"/>
        <v>16000000</v>
      </c>
      <c r="H88" s="62">
        <f t="shared" si="72"/>
        <v>180000000</v>
      </c>
      <c r="I88" s="62">
        <f t="shared" si="72"/>
        <v>0</v>
      </c>
      <c r="J88" s="62">
        <f t="shared" si="72"/>
        <v>230000000</v>
      </c>
      <c r="K88" s="62">
        <f t="shared" si="72"/>
        <v>8095701.2640297832</v>
      </c>
      <c r="L88" s="62">
        <f t="shared" si="72"/>
        <v>8882603.4268934783</v>
      </c>
      <c r="M88" s="62">
        <f t="shared" si="72"/>
        <v>9745992.4799875244</v>
      </c>
      <c r="N88" s="62">
        <f t="shared" si="72"/>
        <v>10693302.949042313</v>
      </c>
      <c r="O88" s="62">
        <f t="shared" si="72"/>
        <v>11732691.995689224</v>
      </c>
    </row>
    <row r="89" spans="1:15" s="15" customFormat="1">
      <c r="A89" s="103" t="s">
        <v>62</v>
      </c>
      <c r="B89" s="104" t="s">
        <v>88</v>
      </c>
      <c r="C89" s="105"/>
      <c r="D89" s="105" t="s">
        <v>191</v>
      </c>
      <c r="E89" s="106">
        <f>-E88</f>
        <v>-28000000</v>
      </c>
      <c r="F89" s="106">
        <f t="shared" ref="F89:O89" si="73">-F88</f>
        <v>0</v>
      </c>
      <c r="G89" s="106">
        <f t="shared" si="73"/>
        <v>-16000000</v>
      </c>
      <c r="H89" s="106">
        <f t="shared" si="73"/>
        <v>-180000000</v>
      </c>
      <c r="I89" s="106">
        <f t="shared" si="73"/>
        <v>0</v>
      </c>
      <c r="J89" s="106">
        <f t="shared" si="73"/>
        <v>-230000000</v>
      </c>
      <c r="K89" s="106">
        <f t="shared" si="73"/>
        <v>-8095701.2640297832</v>
      </c>
      <c r="L89" s="106">
        <f t="shared" si="73"/>
        <v>-8882603.4268934783</v>
      </c>
      <c r="M89" s="106">
        <f t="shared" si="73"/>
        <v>-9745992.4799875244</v>
      </c>
      <c r="N89" s="106">
        <f t="shared" si="73"/>
        <v>-10693302.949042313</v>
      </c>
      <c r="O89" s="106">
        <f t="shared" si="73"/>
        <v>-11732691.995689224</v>
      </c>
    </row>
    <row r="90" spans="1:15" s="15" customFormat="1">
      <c r="A90" s="52"/>
      <c r="C90" s="20"/>
      <c r="D90" s="20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5">
      <c r="A91" s="6" t="s">
        <v>57</v>
      </c>
      <c r="B91" s="4" t="s">
        <v>89</v>
      </c>
      <c r="D91" s="5" t="s">
        <v>191</v>
      </c>
      <c r="E91" s="62">
        <f>+E48</f>
        <v>85000000</v>
      </c>
      <c r="F91" s="62"/>
      <c r="G91" s="62"/>
      <c r="H91" s="62">
        <f>+H48</f>
        <v>180000000</v>
      </c>
      <c r="I91" s="62"/>
      <c r="J91" s="62"/>
      <c r="K91" s="62"/>
      <c r="L91" s="62"/>
      <c r="M91" s="62"/>
      <c r="N91" s="62"/>
      <c r="O91" s="62"/>
    </row>
    <row r="92" spans="1:15">
      <c r="A92" s="6" t="s">
        <v>60</v>
      </c>
      <c r="B92" s="4" t="s">
        <v>90</v>
      </c>
      <c r="D92" s="5" t="s">
        <v>191</v>
      </c>
      <c r="E92" s="62">
        <f t="shared" ref="E92:O92" si="74">+E50</f>
        <v>0</v>
      </c>
      <c r="F92" s="62">
        <f t="shared" si="74"/>
        <v>39664095.424497858</v>
      </c>
      <c r="G92" s="62">
        <f t="shared" si="74"/>
        <v>45335904.575502142</v>
      </c>
      <c r="H92" s="62">
        <f t="shared" si="74"/>
        <v>36417403.324174739</v>
      </c>
      <c r="I92" s="62">
        <f t="shared" si="74"/>
        <v>41624948.314657383</v>
      </c>
      <c r="J92" s="62">
        <f t="shared" si="74"/>
        <v>47577151.692408919</v>
      </c>
      <c r="K92" s="62">
        <f t="shared" si="74"/>
        <v>54380496.668758936</v>
      </c>
      <c r="L92" s="62">
        <f t="shared" si="74"/>
        <v>0</v>
      </c>
      <c r="M92" s="62">
        <f t="shared" si="74"/>
        <v>0</v>
      </c>
      <c r="N92" s="62">
        <f t="shared" si="74"/>
        <v>0</v>
      </c>
      <c r="O92" s="62">
        <f t="shared" si="74"/>
        <v>0</v>
      </c>
    </row>
    <row r="93" spans="1:15">
      <c r="A93" s="6" t="s">
        <v>57</v>
      </c>
      <c r="B93" s="4" t="s">
        <v>91</v>
      </c>
      <c r="D93" s="5" t="s">
        <v>191</v>
      </c>
      <c r="E93" s="62">
        <v>59000000</v>
      </c>
      <c r="F93" s="62"/>
      <c r="G93" s="62"/>
      <c r="H93" s="62"/>
      <c r="I93" s="62"/>
      <c r="J93" s="62"/>
      <c r="K93" s="62"/>
      <c r="L93" s="62"/>
      <c r="M93" s="62"/>
      <c r="N93" s="62"/>
      <c r="O93" s="62"/>
    </row>
    <row r="94" spans="1:15">
      <c r="A94" s="6" t="s">
        <v>60</v>
      </c>
      <c r="B94" s="4" t="s">
        <v>92</v>
      </c>
      <c r="D94" s="5" t="s">
        <v>191</v>
      </c>
      <c r="E94" s="62"/>
      <c r="F94" s="62"/>
      <c r="G94" s="62">
        <f t="shared" ref="G94:O94" si="75">+(G86+G89-G92)*0.3</f>
        <v>13082067.26628085</v>
      </c>
      <c r="H94" s="62">
        <f t="shared" si="75"/>
        <v>-26776987.467271265</v>
      </c>
      <c r="I94" s="62">
        <f t="shared" si="75"/>
        <v>57044240.320716321</v>
      </c>
      <c r="J94" s="62">
        <f t="shared" si="75"/>
        <v>6810796.2657159446</v>
      </c>
      <c r="K94" s="62">
        <f t="shared" si="75"/>
        <v>91016359.477923051</v>
      </c>
      <c r="L94" s="62">
        <f t="shared" si="75"/>
        <v>147888916.14049688</v>
      </c>
      <c r="M94" s="62">
        <f t="shared" si="75"/>
        <v>171531668.85928148</v>
      </c>
      <c r="N94" s="62">
        <f t="shared" si="75"/>
        <v>198194009.02293506</v>
      </c>
      <c r="O94" s="62">
        <f t="shared" si="75"/>
        <v>228082471.65993479</v>
      </c>
    </row>
    <row r="95" spans="1:15" s="15" customFormat="1">
      <c r="A95" s="103" t="s">
        <v>62</v>
      </c>
      <c r="B95" s="104" t="s">
        <v>93</v>
      </c>
      <c r="C95" s="105"/>
      <c r="D95" s="105" t="s">
        <v>191</v>
      </c>
      <c r="E95" s="106">
        <f>+E91-E92+E93-E94</f>
        <v>144000000</v>
      </c>
      <c r="F95" s="106">
        <f>+F91-F92+F93-F94</f>
        <v>-39664095.424497858</v>
      </c>
      <c r="G95" s="106">
        <f t="shared" ref="G95:O95" si="76">+G91-G92+G93-G94</f>
        <v>-58417971.841782995</v>
      </c>
      <c r="H95" s="106">
        <f t="shared" si="76"/>
        <v>170359584.14309654</v>
      </c>
      <c r="I95" s="106">
        <f t="shared" si="76"/>
        <v>-98669188.635373712</v>
      </c>
      <c r="J95" s="106">
        <f t="shared" si="76"/>
        <v>-54387947.958124861</v>
      </c>
      <c r="K95" s="106">
        <f t="shared" si="76"/>
        <v>-145396856.14668199</v>
      </c>
      <c r="L95" s="106">
        <f t="shared" si="76"/>
        <v>-147888916.14049688</v>
      </c>
      <c r="M95" s="106">
        <f t="shared" si="76"/>
        <v>-171531668.85928148</v>
      </c>
      <c r="N95" s="106">
        <f t="shared" si="76"/>
        <v>-198194009.02293506</v>
      </c>
      <c r="O95" s="106">
        <f t="shared" si="76"/>
        <v>-228082471.65993479</v>
      </c>
    </row>
    <row r="96" spans="1:15" s="15" customFormat="1">
      <c r="A96" s="52"/>
      <c r="C96" s="20"/>
      <c r="D96" s="20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1:15" s="15" customFormat="1">
      <c r="A97" s="52" t="s">
        <v>62</v>
      </c>
      <c r="B97" s="15" t="s">
        <v>94</v>
      </c>
      <c r="C97" s="20"/>
      <c r="D97" s="20" t="s">
        <v>191</v>
      </c>
      <c r="E97" s="46">
        <f t="shared" ref="E97:O97" si="77">+E86+E89+E95</f>
        <v>116000000</v>
      </c>
      <c r="F97" s="46">
        <f>+F86+F89+F95</f>
        <v>-115725292.83982795</v>
      </c>
      <c r="G97" s="46">
        <f>+G86+G89+G95</f>
        <v>30524823.621321984</v>
      </c>
      <c r="H97" s="46">
        <f t="shared" si="77"/>
        <v>117520362.57636707</v>
      </c>
      <c r="I97" s="46">
        <f t="shared" si="77"/>
        <v>133103227.41500476</v>
      </c>
      <c r="J97" s="46">
        <f t="shared" si="77"/>
        <v>15891857.953337207</v>
      </c>
      <c r="K97" s="46">
        <f t="shared" si="77"/>
        <v>212371505.44848713</v>
      </c>
      <c r="L97" s="46">
        <f t="shared" si="77"/>
        <v>345074137.6611594</v>
      </c>
      <c r="M97" s="46">
        <f t="shared" si="77"/>
        <v>400240560.67165679</v>
      </c>
      <c r="N97" s="46">
        <f t="shared" si="77"/>
        <v>462452687.72018182</v>
      </c>
      <c r="O97" s="46">
        <f t="shared" si="77"/>
        <v>532192433.87318122</v>
      </c>
    </row>
    <row r="98" spans="1:15">
      <c r="A98" s="6" t="s">
        <v>57</v>
      </c>
      <c r="B98" s="4" t="s">
        <v>95</v>
      </c>
      <c r="D98" s="5" t="s">
        <v>191</v>
      </c>
      <c r="E98" s="108">
        <v>0</v>
      </c>
      <c r="F98" s="46">
        <f>+E99</f>
        <v>116000000</v>
      </c>
      <c r="G98" s="46">
        <f>+F99</f>
        <v>274707.16017204523</v>
      </c>
      <c r="H98" s="46">
        <f t="shared" ref="H98:O98" si="78">+G99</f>
        <v>30799530.781494029</v>
      </c>
      <c r="I98" s="46">
        <f t="shared" si="78"/>
        <v>148319893.3578611</v>
      </c>
      <c r="J98" s="46">
        <f t="shared" si="78"/>
        <v>281423120.77286589</v>
      </c>
      <c r="K98" s="46">
        <f t="shared" si="78"/>
        <v>297314978.72620308</v>
      </c>
      <c r="L98" s="46">
        <f t="shared" si="78"/>
        <v>509686484.17469025</v>
      </c>
      <c r="M98" s="46">
        <f t="shared" si="78"/>
        <v>854760621.83584964</v>
      </c>
      <c r="N98" s="46">
        <f t="shared" si="78"/>
        <v>1255001182.5075064</v>
      </c>
      <c r="O98" s="46">
        <f t="shared" si="78"/>
        <v>1717453870.2276883</v>
      </c>
    </row>
    <row r="99" spans="1:15" s="15" customFormat="1">
      <c r="A99" s="52" t="s">
        <v>62</v>
      </c>
      <c r="B99" s="15" t="s">
        <v>96</v>
      </c>
      <c r="C99" s="20"/>
      <c r="D99" s="20" t="s">
        <v>191</v>
      </c>
      <c r="E99" s="46">
        <f>+E97+E98</f>
        <v>116000000</v>
      </c>
      <c r="F99" s="46">
        <f>+F97+F98</f>
        <v>274707.16017204523</v>
      </c>
      <c r="G99" s="46">
        <f t="shared" ref="G99:O99" si="79">+G97+G98</f>
        <v>30799530.781494029</v>
      </c>
      <c r="H99" s="46">
        <f t="shared" si="79"/>
        <v>148319893.3578611</v>
      </c>
      <c r="I99" s="46">
        <f t="shared" si="79"/>
        <v>281423120.77286589</v>
      </c>
      <c r="J99" s="46">
        <f t="shared" si="79"/>
        <v>297314978.72620308</v>
      </c>
      <c r="K99" s="46">
        <f t="shared" si="79"/>
        <v>509686484.17469025</v>
      </c>
      <c r="L99" s="46">
        <f t="shared" si="79"/>
        <v>854760621.83584964</v>
      </c>
      <c r="M99" s="46">
        <f t="shared" si="79"/>
        <v>1255001182.5075064</v>
      </c>
      <c r="N99" s="46">
        <f t="shared" si="79"/>
        <v>1717453870.2276883</v>
      </c>
      <c r="O99" s="46">
        <f t="shared" si="79"/>
        <v>2249646304.1008697</v>
      </c>
    </row>
    <row r="100" spans="1:15" s="47" customFormat="1">
      <c r="A100" s="68"/>
      <c r="C100" s="48"/>
      <c r="D100" s="48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</row>
    <row r="101" spans="1:15">
      <c r="B101" s="109" t="s">
        <v>97</v>
      </c>
      <c r="E101" s="33" t="str">
        <f>+E1</f>
        <v>Año 1</v>
      </c>
      <c r="F101" s="33" t="str">
        <f>+F1</f>
        <v>Año 2</v>
      </c>
      <c r="G101" s="33" t="str">
        <f t="shared" ref="G101:O101" si="80">+G1</f>
        <v>Año 3</v>
      </c>
      <c r="H101" s="33" t="str">
        <f t="shared" si="80"/>
        <v>Año 4</v>
      </c>
      <c r="I101" s="33" t="str">
        <f t="shared" si="80"/>
        <v>Año 5</v>
      </c>
      <c r="J101" s="33" t="str">
        <f t="shared" si="80"/>
        <v>Año 6</v>
      </c>
      <c r="K101" s="33" t="str">
        <f t="shared" si="80"/>
        <v>Año 7</v>
      </c>
      <c r="L101" s="33" t="str">
        <f t="shared" si="80"/>
        <v>Año 8</v>
      </c>
      <c r="M101" s="33" t="str">
        <f t="shared" si="80"/>
        <v>Año 9</v>
      </c>
      <c r="N101" s="33" t="str">
        <f t="shared" si="80"/>
        <v>Año 10</v>
      </c>
      <c r="O101" s="33" t="str">
        <f t="shared" si="80"/>
        <v>Año 11</v>
      </c>
    </row>
    <row r="102" spans="1:15">
      <c r="B102" s="4" t="s">
        <v>98</v>
      </c>
      <c r="D102" s="5" t="s">
        <v>191</v>
      </c>
      <c r="E102" s="62">
        <f>+E99</f>
        <v>116000000</v>
      </c>
      <c r="F102" s="62">
        <f t="shared" ref="F102:O102" si="81">+F99</f>
        <v>274707.16017204523</v>
      </c>
      <c r="G102" s="62">
        <f t="shared" si="81"/>
        <v>30799530.781494029</v>
      </c>
      <c r="H102" s="62">
        <f t="shared" si="81"/>
        <v>148319893.3578611</v>
      </c>
      <c r="I102" s="62">
        <f t="shared" si="81"/>
        <v>281423120.77286589</v>
      </c>
      <c r="J102" s="62">
        <f t="shared" si="81"/>
        <v>297314978.72620308</v>
      </c>
      <c r="K102" s="62">
        <f t="shared" si="81"/>
        <v>509686484.17469025</v>
      </c>
      <c r="L102" s="62">
        <f t="shared" si="81"/>
        <v>854760621.83584964</v>
      </c>
      <c r="M102" s="62">
        <f t="shared" si="81"/>
        <v>1255001182.5075064</v>
      </c>
      <c r="N102" s="62">
        <f t="shared" si="81"/>
        <v>1717453870.2276883</v>
      </c>
      <c r="O102" s="62">
        <f t="shared" si="81"/>
        <v>2249646304.1008697</v>
      </c>
    </row>
    <row r="103" spans="1:15">
      <c r="B103" s="4" t="s">
        <v>99</v>
      </c>
      <c r="D103" s="5" t="s">
        <v>191</v>
      </c>
      <c r="E103" s="62">
        <f t="shared" ref="E103:O103" si="82">+E59</f>
        <v>0</v>
      </c>
      <c r="F103" s="62">
        <f t="shared" si="82"/>
        <v>0</v>
      </c>
      <c r="G103" s="62">
        <f t="shared" si="82"/>
        <v>0</v>
      </c>
      <c r="H103" s="62">
        <f t="shared" si="82"/>
        <v>0</v>
      </c>
      <c r="I103" s="62">
        <f t="shared" si="82"/>
        <v>0</v>
      </c>
      <c r="J103" s="62">
        <f t="shared" si="82"/>
        <v>0</v>
      </c>
      <c r="K103" s="62">
        <f t="shared" si="82"/>
        <v>0</v>
      </c>
      <c r="L103" s="62">
        <f t="shared" si="82"/>
        <v>0</v>
      </c>
      <c r="M103" s="62">
        <f t="shared" si="82"/>
        <v>0</v>
      </c>
      <c r="N103" s="62">
        <f t="shared" si="82"/>
        <v>0</v>
      </c>
      <c r="O103" s="62">
        <f t="shared" si="82"/>
        <v>0</v>
      </c>
    </row>
    <row r="104" spans="1:15">
      <c r="B104" s="4" t="s">
        <v>59</v>
      </c>
      <c r="D104" s="5" t="s">
        <v>191</v>
      </c>
      <c r="E104" s="62">
        <f t="shared" ref="E104:O104" si="83">+E60</f>
        <v>0</v>
      </c>
      <c r="F104" s="62">
        <f t="shared" si="83"/>
        <v>19093396.25</v>
      </c>
      <c r="G104" s="62">
        <f t="shared" si="83"/>
        <v>140514658.82499999</v>
      </c>
      <c r="H104" s="62">
        <f t="shared" si="83"/>
        <v>259645397.69220001</v>
      </c>
      <c r="I104" s="62">
        <f t="shared" si="83"/>
        <v>333542978.55265665</v>
      </c>
      <c r="J104" s="62">
        <f t="shared" si="83"/>
        <v>434101421.686589</v>
      </c>
      <c r="K104" s="62">
        <f t="shared" si="83"/>
        <v>545991063.12630737</v>
      </c>
      <c r="L104" s="62">
        <f t="shared" si="83"/>
        <v>599061394.46218443</v>
      </c>
      <c r="M104" s="62">
        <f t="shared" si="83"/>
        <v>657290162.00390875</v>
      </c>
      <c r="N104" s="62">
        <f t="shared" si="83"/>
        <v>721178765.75068879</v>
      </c>
      <c r="O104" s="62">
        <f t="shared" si="83"/>
        <v>791277341.78165567</v>
      </c>
    </row>
    <row r="105" spans="1:15">
      <c r="B105" s="4" t="s">
        <v>100</v>
      </c>
      <c r="D105" s="36">
        <v>0</v>
      </c>
      <c r="E105" s="62">
        <f>+D105+E88-E83</f>
        <v>28000000</v>
      </c>
      <c r="F105" s="62">
        <f>+E105+F88-F83</f>
        <v>22400000</v>
      </c>
      <c r="G105" s="62">
        <f t="shared" ref="G105:O105" si="84">+F105+G88-G83</f>
        <v>30666666.666666664</v>
      </c>
      <c r="H105" s="62">
        <f t="shared" si="84"/>
        <v>186866666.66666666</v>
      </c>
      <c r="I105" s="62">
        <f t="shared" si="84"/>
        <v>155566666.66666666</v>
      </c>
      <c r="J105" s="62">
        <f t="shared" si="84"/>
        <v>308266666.66666663</v>
      </c>
      <c r="K105" s="62">
        <f t="shared" si="84"/>
        <v>237443227.67789048</v>
      </c>
      <c r="L105" s="62">
        <f t="shared" si="84"/>
        <v>167763503.49993265</v>
      </c>
      <c r="M105" s="62">
        <f t="shared" si="84"/>
        <v>98064636.545738012</v>
      </c>
      <c r="N105" s="62">
        <f t="shared" si="84"/>
        <v>27174419.470789716</v>
      </c>
      <c r="O105" s="62">
        <f t="shared" si="84"/>
        <v>-45022946.956649512</v>
      </c>
    </row>
    <row r="106" spans="1:15" s="15" customFormat="1">
      <c r="A106" s="52"/>
      <c r="B106" s="10" t="s">
        <v>101</v>
      </c>
      <c r="C106" s="11"/>
      <c r="D106" s="11" t="s">
        <v>191</v>
      </c>
      <c r="E106" s="34">
        <f>+E102+E103+E104+E105</f>
        <v>144000000</v>
      </c>
      <c r="F106" s="34">
        <f t="shared" ref="F106:O106" si="85">+F102+F103+F104+F105</f>
        <v>41768103.410172045</v>
      </c>
      <c r="G106" s="34">
        <f t="shared" si="85"/>
        <v>201980856.27316067</v>
      </c>
      <c r="H106" s="34">
        <f t="shared" si="85"/>
        <v>594831957.71672773</v>
      </c>
      <c r="I106" s="34">
        <f t="shared" si="85"/>
        <v>770532765.99218917</v>
      </c>
      <c r="J106" s="34">
        <f t="shared" si="85"/>
        <v>1039683067.0794587</v>
      </c>
      <c r="K106" s="34">
        <f t="shared" si="85"/>
        <v>1293120774.978888</v>
      </c>
      <c r="L106" s="34">
        <f t="shared" si="85"/>
        <v>1621585519.797967</v>
      </c>
      <c r="M106" s="34">
        <f t="shared" si="85"/>
        <v>2010355981.057153</v>
      </c>
      <c r="N106" s="34">
        <f t="shared" si="85"/>
        <v>2465807055.4491673</v>
      </c>
      <c r="O106" s="34">
        <f t="shared" si="85"/>
        <v>2995900698.9258761</v>
      </c>
    </row>
    <row r="107" spans="1:15">
      <c r="B107" s="4" t="s">
        <v>61</v>
      </c>
      <c r="D107" s="5" t="s">
        <v>191</v>
      </c>
      <c r="E107" s="62">
        <f t="shared" ref="E107:O107" si="86">+E61</f>
        <v>0</v>
      </c>
      <c r="F107" s="62">
        <f t="shared" si="86"/>
        <v>0</v>
      </c>
      <c r="G107" s="62">
        <f t="shared" si="86"/>
        <v>56205863.529999986</v>
      </c>
      <c r="H107" s="62">
        <f t="shared" si="86"/>
        <v>129822698.8461</v>
      </c>
      <c r="I107" s="62">
        <f t="shared" si="86"/>
        <v>142946990.80828142</v>
      </c>
      <c r="J107" s="62">
        <f t="shared" si="86"/>
        <v>162788033.13247088</v>
      </c>
      <c r="K107" s="62">
        <f t="shared" si="86"/>
        <v>181997021.04210246</v>
      </c>
      <c r="L107" s="62">
        <f t="shared" si="86"/>
        <v>199687131.48739481</v>
      </c>
      <c r="M107" s="62">
        <f t="shared" si="86"/>
        <v>219096720.66796958</v>
      </c>
      <c r="N107" s="62">
        <f t="shared" si="86"/>
        <v>240392921.91689625</v>
      </c>
      <c r="O107" s="62">
        <f t="shared" si="86"/>
        <v>263759113.92721856</v>
      </c>
    </row>
    <row r="108" spans="1:15">
      <c r="B108" s="4" t="s">
        <v>102</v>
      </c>
      <c r="D108" s="36">
        <v>0</v>
      </c>
      <c r="E108" s="62">
        <f>+D108+E91-E92</f>
        <v>85000000</v>
      </c>
      <c r="F108" s="62">
        <f>+E108+F91-F92</f>
        <v>45335904.575502142</v>
      </c>
      <c r="G108" s="62">
        <f t="shared" ref="G108:O108" si="87">+F108+G91-G92</f>
        <v>0</v>
      </c>
      <c r="H108" s="62">
        <f t="shared" si="87"/>
        <v>143582596.67582527</v>
      </c>
      <c r="I108" s="62">
        <f>+H108+I91-I92</f>
        <v>101957648.36116788</v>
      </c>
      <c r="J108" s="62">
        <f t="shared" si="87"/>
        <v>54380496.668758959</v>
      </c>
      <c r="K108" s="62">
        <f t="shared" si="87"/>
        <v>0</v>
      </c>
      <c r="L108" s="62">
        <f t="shared" si="87"/>
        <v>0</v>
      </c>
      <c r="M108" s="62">
        <f t="shared" si="87"/>
        <v>0</v>
      </c>
      <c r="N108" s="62">
        <f t="shared" si="87"/>
        <v>0</v>
      </c>
      <c r="O108" s="62">
        <f t="shared" si="87"/>
        <v>0</v>
      </c>
    </row>
    <row r="109" spans="1:15" s="15" customFormat="1">
      <c r="A109" s="52"/>
      <c r="B109" s="10" t="s">
        <v>103</v>
      </c>
      <c r="C109" s="11"/>
      <c r="D109" s="11" t="s">
        <v>191</v>
      </c>
      <c r="E109" s="34">
        <f>+E107+E108</f>
        <v>85000000</v>
      </c>
      <c r="F109" s="34">
        <f t="shared" ref="F109:O109" si="88">+F107+F108</f>
        <v>45335904.575502142</v>
      </c>
      <c r="G109" s="34">
        <f t="shared" si="88"/>
        <v>56205863.529999986</v>
      </c>
      <c r="H109" s="34">
        <f t="shared" si="88"/>
        <v>273405295.52192527</v>
      </c>
      <c r="I109" s="34">
        <f t="shared" si="88"/>
        <v>244904639.1694493</v>
      </c>
      <c r="J109" s="34">
        <f t="shared" si="88"/>
        <v>217168529.80122983</v>
      </c>
      <c r="K109" s="34">
        <f t="shared" si="88"/>
        <v>181997021.04210246</v>
      </c>
      <c r="L109" s="34">
        <f t="shared" si="88"/>
        <v>199687131.48739481</v>
      </c>
      <c r="M109" s="34">
        <f t="shared" si="88"/>
        <v>219096720.66796958</v>
      </c>
      <c r="N109" s="34">
        <f t="shared" si="88"/>
        <v>240392921.91689625</v>
      </c>
      <c r="O109" s="34">
        <f t="shared" si="88"/>
        <v>263759113.92721856</v>
      </c>
    </row>
    <row r="110" spans="1:15">
      <c r="B110" s="4" t="s">
        <v>80</v>
      </c>
      <c r="D110" s="36">
        <v>0</v>
      </c>
      <c r="E110" s="62">
        <f>+E76</f>
        <v>0</v>
      </c>
      <c r="F110" s="62">
        <f t="shared" ref="F110:O110" si="89">+F76</f>
        <v>-62567801.165330097</v>
      </c>
      <c r="G110" s="62">
        <f t="shared" si="89"/>
        <v>162424861.17477164</v>
      </c>
      <c r="H110" s="62">
        <f t="shared" si="89"/>
        <v>148874681.98437053</v>
      </c>
      <c r="I110" s="62">
        <f t="shared" si="89"/>
        <v>261245704.94865367</v>
      </c>
      <c r="J110" s="62">
        <f t="shared" si="89"/>
        <v>303697206.721205</v>
      </c>
      <c r="K110" s="62">
        <f t="shared" si="89"/>
        <v>379625576.13647974</v>
      </c>
      <c r="L110" s="62">
        <f t="shared" si="89"/>
        <v>458663550.51428312</v>
      </c>
      <c r="M110" s="62">
        <f t="shared" si="89"/>
        <v>540892540.93789315</v>
      </c>
      <c r="N110" s="62">
        <f t="shared" si="89"/>
        <v>632348882.16602194</v>
      </c>
      <c r="O110" s="62">
        <f t="shared" si="89"/>
        <v>734809923.12632132</v>
      </c>
    </row>
    <row r="111" spans="1:15">
      <c r="B111" s="4" t="s">
        <v>104</v>
      </c>
      <c r="D111" s="36">
        <v>0</v>
      </c>
      <c r="E111" s="62">
        <f>+D111+D110-E94</f>
        <v>0</v>
      </c>
      <c r="F111" s="62">
        <f>+E111+E110-F94</f>
        <v>0</v>
      </c>
      <c r="G111" s="62">
        <f t="shared" ref="G111:O111" si="90">+F111+F110-G94</f>
        <v>-75649868.431610942</v>
      </c>
      <c r="H111" s="62">
        <f t="shared" si="90"/>
        <v>113551980.21043196</v>
      </c>
      <c r="I111" s="62">
        <f t="shared" si="90"/>
        <v>205382421.87408617</v>
      </c>
      <c r="J111" s="62">
        <f t="shared" si="90"/>
        <v>459817330.55702388</v>
      </c>
      <c r="K111" s="62">
        <f t="shared" si="90"/>
        <v>672498177.80030584</v>
      </c>
      <c r="L111" s="62">
        <f t="shared" si="90"/>
        <v>904234837.79628873</v>
      </c>
      <c r="M111" s="62">
        <f t="shared" si="90"/>
        <v>1191366719.4512904</v>
      </c>
      <c r="N111" s="62">
        <f t="shared" si="90"/>
        <v>1534065251.3662484</v>
      </c>
      <c r="O111" s="62">
        <f t="shared" si="90"/>
        <v>1938331661.8723357</v>
      </c>
    </row>
    <row r="112" spans="1:15">
      <c r="B112" s="4" t="s">
        <v>105</v>
      </c>
      <c r="D112" s="36">
        <v>0</v>
      </c>
      <c r="E112" s="62">
        <f t="shared" ref="E112:O112" si="91">+D112+E93</f>
        <v>59000000</v>
      </c>
      <c r="F112" s="62">
        <f>+E112+F93</f>
        <v>59000000</v>
      </c>
      <c r="G112" s="62">
        <f t="shared" si="91"/>
        <v>59000000</v>
      </c>
      <c r="H112" s="62">
        <f t="shared" si="91"/>
        <v>59000000</v>
      </c>
      <c r="I112" s="62">
        <f t="shared" si="91"/>
        <v>59000000</v>
      </c>
      <c r="J112" s="62">
        <f t="shared" si="91"/>
        <v>59000000</v>
      </c>
      <c r="K112" s="62">
        <f t="shared" si="91"/>
        <v>59000000</v>
      </c>
      <c r="L112" s="62">
        <f t="shared" si="91"/>
        <v>59000000</v>
      </c>
      <c r="M112" s="62">
        <f t="shared" si="91"/>
        <v>59000000</v>
      </c>
      <c r="N112" s="62">
        <f t="shared" si="91"/>
        <v>59000000</v>
      </c>
      <c r="O112" s="62">
        <f t="shared" si="91"/>
        <v>59000000</v>
      </c>
    </row>
    <row r="113" spans="1:15" s="15" customFormat="1">
      <c r="A113" s="52"/>
      <c r="B113" s="10" t="s">
        <v>106</v>
      </c>
      <c r="C113" s="11"/>
      <c r="D113" s="11" t="s">
        <v>191</v>
      </c>
      <c r="E113" s="34">
        <f>+E110+E111+E112</f>
        <v>59000000</v>
      </c>
      <c r="F113" s="34">
        <f t="shared" ref="F113:O113" si="92">+F110+F111+F112</f>
        <v>-3567801.1653300971</v>
      </c>
      <c r="G113" s="34">
        <f t="shared" si="92"/>
        <v>145774992.74316069</v>
      </c>
      <c r="H113" s="34">
        <f t="shared" si="92"/>
        <v>321426662.19480252</v>
      </c>
      <c r="I113" s="34">
        <f t="shared" si="92"/>
        <v>525628126.82273984</v>
      </c>
      <c r="J113" s="34">
        <f t="shared" si="92"/>
        <v>822514537.27822888</v>
      </c>
      <c r="K113" s="34">
        <f t="shared" si="92"/>
        <v>1111123753.9367857</v>
      </c>
      <c r="L113" s="34">
        <f t="shared" si="92"/>
        <v>1421898388.3105719</v>
      </c>
      <c r="M113" s="34">
        <f t="shared" si="92"/>
        <v>1791259260.3891835</v>
      </c>
      <c r="N113" s="34">
        <f t="shared" si="92"/>
        <v>2225414133.5322704</v>
      </c>
      <c r="O113" s="34">
        <f t="shared" si="92"/>
        <v>2732141584.9986572</v>
      </c>
    </row>
    <row r="114" spans="1:15">
      <c r="B114" s="4" t="s">
        <v>107</v>
      </c>
      <c r="E114" s="50">
        <f>+E106-E109-E113</f>
        <v>0</v>
      </c>
      <c r="F114" s="50">
        <f>+F106-F109-F113</f>
        <v>0</v>
      </c>
      <c r="G114" s="50">
        <f t="shared" ref="G114:O114" si="93">+G106-G109-G113</f>
        <v>0</v>
      </c>
      <c r="H114" s="50">
        <f t="shared" si="93"/>
        <v>0</v>
      </c>
      <c r="I114" s="50">
        <f t="shared" si="93"/>
        <v>0</v>
      </c>
      <c r="J114" s="50">
        <f t="shared" si="93"/>
        <v>0</v>
      </c>
      <c r="K114" s="50">
        <f t="shared" si="93"/>
        <v>0</v>
      </c>
      <c r="L114" s="50">
        <f t="shared" si="93"/>
        <v>0</v>
      </c>
      <c r="M114" s="50">
        <f t="shared" si="93"/>
        <v>0</v>
      </c>
      <c r="N114" s="50">
        <f t="shared" si="93"/>
        <v>0</v>
      </c>
      <c r="O114" s="50">
        <f t="shared" si="93"/>
        <v>0</v>
      </c>
    </row>
    <row r="116" spans="1:15" s="78" customFormat="1">
      <c r="A116" s="80"/>
      <c r="B116" s="110" t="s">
        <v>108</v>
      </c>
      <c r="C116" s="79"/>
      <c r="D116" s="79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1:15" s="112" customFormat="1">
      <c r="A117" s="111" t="s">
        <v>62</v>
      </c>
      <c r="B117" s="112" t="s">
        <v>72</v>
      </c>
      <c r="C117" s="113" t="s">
        <v>73</v>
      </c>
      <c r="D117" s="113" t="s">
        <v>191</v>
      </c>
      <c r="E117" s="114">
        <f t="shared" ref="E117:O117" si="94">+E71</f>
        <v>0</v>
      </c>
      <c r="F117" s="114">
        <f t="shared" si="94"/>
        <v>-37709785.735000014</v>
      </c>
      <c r="G117" s="114">
        <f t="shared" si="94"/>
        <v>323266108.08666676</v>
      </c>
      <c r="H117" s="114">
        <f t="shared" si="94"/>
        <v>362514542.0935998</v>
      </c>
      <c r="I117" s="114">
        <f t="shared" si="94"/>
        <v>549621299.28324509</v>
      </c>
      <c r="J117" s="114">
        <f t="shared" si="94"/>
        <v>626630722.87380123</v>
      </c>
      <c r="K117" s="114">
        <f t="shared" si="94"/>
        <v>753729569.6482408</v>
      </c>
      <c r="L117" s="114">
        <f t="shared" si="94"/>
        <v>883288300.09830511</v>
      </c>
      <c r="M117" s="114">
        <f t="shared" si="94"/>
        <v>1027062220.2734323</v>
      </c>
      <c r="N117" s="114">
        <f t="shared" si="94"/>
        <v>1186710493.0824184</v>
      </c>
      <c r="O117" s="114">
        <f t="shared" si="94"/>
        <v>1365130644.7235096</v>
      </c>
    </row>
    <row r="118" spans="1:15" s="78" customFormat="1">
      <c r="A118" s="80" t="s">
        <v>60</v>
      </c>
      <c r="B118" s="78" t="s">
        <v>109</v>
      </c>
      <c r="C118" s="79" t="s">
        <v>110</v>
      </c>
      <c r="D118" s="79" t="s">
        <v>191</v>
      </c>
      <c r="E118" s="89">
        <f>+IF(E117&lt;0,0,E117*$E$4)</f>
        <v>0</v>
      </c>
      <c r="F118" s="89">
        <f t="shared" ref="F118:O118" si="95">+IF(F117&lt;0,0,F117*$E$4)</f>
        <v>0</v>
      </c>
      <c r="G118" s="89">
        <f t="shared" si="95"/>
        <v>113143137.83033337</v>
      </c>
      <c r="H118" s="89">
        <f t="shared" si="95"/>
        <v>126880089.73275992</v>
      </c>
      <c r="I118" s="89">
        <f t="shared" si="95"/>
        <v>192367454.74913576</v>
      </c>
      <c r="J118" s="89">
        <f t="shared" si="95"/>
        <v>219320753.00583041</v>
      </c>
      <c r="K118" s="89">
        <f t="shared" si="95"/>
        <v>263805349.37688425</v>
      </c>
      <c r="L118" s="89">
        <f t="shared" si="95"/>
        <v>309150905.03440678</v>
      </c>
      <c r="M118" s="89">
        <f t="shared" si="95"/>
        <v>359471777.09570128</v>
      </c>
      <c r="N118" s="89">
        <f t="shared" si="95"/>
        <v>415348672.57884645</v>
      </c>
      <c r="O118" s="89">
        <f t="shared" si="95"/>
        <v>477795725.65322828</v>
      </c>
    </row>
    <row r="119" spans="1:15" s="81" customFormat="1">
      <c r="A119" s="83" t="s">
        <v>62</v>
      </c>
      <c r="B119" s="81" t="s">
        <v>111</v>
      </c>
      <c r="C119" s="82" t="s">
        <v>112</v>
      </c>
      <c r="D119" s="79" t="s">
        <v>191</v>
      </c>
      <c r="E119" s="90">
        <f>+E117-E118</f>
        <v>0</v>
      </c>
      <c r="F119" s="90">
        <f t="shared" ref="F119:O119" si="96">+F117-F118</f>
        <v>-37709785.735000014</v>
      </c>
      <c r="G119" s="90">
        <f t="shared" si="96"/>
        <v>210122970.25633341</v>
      </c>
      <c r="H119" s="90">
        <f t="shared" si="96"/>
        <v>235634452.36083987</v>
      </c>
      <c r="I119" s="90">
        <f t="shared" si="96"/>
        <v>357253844.53410935</v>
      </c>
      <c r="J119" s="90">
        <f t="shared" si="96"/>
        <v>407309969.86797082</v>
      </c>
      <c r="K119" s="90">
        <f t="shared" si="96"/>
        <v>489924220.27135658</v>
      </c>
      <c r="L119" s="90">
        <f t="shared" si="96"/>
        <v>574137395.06389832</v>
      </c>
      <c r="M119" s="90">
        <f t="shared" si="96"/>
        <v>667590443.17773104</v>
      </c>
      <c r="N119" s="90">
        <f t="shared" si="96"/>
        <v>771361820.50357199</v>
      </c>
      <c r="O119" s="90">
        <f t="shared" si="96"/>
        <v>887334919.07028127</v>
      </c>
    </row>
    <row r="120" spans="1:15" s="81" customFormat="1">
      <c r="A120" s="80" t="s">
        <v>57</v>
      </c>
      <c r="B120" s="78" t="s">
        <v>22</v>
      </c>
      <c r="C120" s="82"/>
      <c r="D120" s="79"/>
      <c r="E120" s="90">
        <f>+E83</f>
        <v>0</v>
      </c>
      <c r="F120" s="90">
        <f>+F83</f>
        <v>5600000</v>
      </c>
      <c r="G120" s="90">
        <f t="shared" ref="G120:O120" si="97">+G83</f>
        <v>7733333.333333334</v>
      </c>
      <c r="H120" s="90">
        <f t="shared" si="97"/>
        <v>23800000</v>
      </c>
      <c r="I120" s="90">
        <f t="shared" si="97"/>
        <v>31300000</v>
      </c>
      <c r="J120" s="90">
        <f t="shared" si="97"/>
        <v>77300000</v>
      </c>
      <c r="K120" s="90">
        <f t="shared" si="97"/>
        <v>78919140.252805948</v>
      </c>
      <c r="L120" s="90">
        <f t="shared" si="97"/>
        <v>78562327.60485132</v>
      </c>
      <c r="M120" s="90">
        <f t="shared" si="97"/>
        <v>79444859.434182167</v>
      </c>
      <c r="N120" s="90">
        <f t="shared" si="97"/>
        <v>81583520.023990616</v>
      </c>
      <c r="O120" s="90">
        <f t="shared" si="97"/>
        <v>83930058.423128456</v>
      </c>
    </row>
    <row r="121" spans="1:15" s="78" customFormat="1">
      <c r="A121" s="80" t="s">
        <v>60</v>
      </c>
      <c r="B121" s="78" t="s">
        <v>113</v>
      </c>
      <c r="C121" s="79"/>
      <c r="D121" s="79" t="s">
        <v>191</v>
      </c>
      <c r="E121" s="89">
        <f t="shared" ref="E121:O121" si="98">+E28</f>
        <v>28000000</v>
      </c>
      <c r="F121" s="89">
        <f t="shared" si="98"/>
        <v>0</v>
      </c>
      <c r="G121" s="89">
        <f t="shared" si="98"/>
        <v>16000000</v>
      </c>
      <c r="H121" s="89">
        <f t="shared" si="98"/>
        <v>180000000</v>
      </c>
      <c r="I121" s="89">
        <f t="shared" si="98"/>
        <v>0</v>
      </c>
      <c r="J121" s="89">
        <f t="shared" si="98"/>
        <v>230000000</v>
      </c>
      <c r="K121" s="89">
        <f t="shared" si="98"/>
        <v>8095701.2640297832</v>
      </c>
      <c r="L121" s="89">
        <f t="shared" si="98"/>
        <v>8882603.4268934783</v>
      </c>
      <c r="M121" s="89">
        <f t="shared" si="98"/>
        <v>9745992.4799875244</v>
      </c>
      <c r="N121" s="89">
        <f t="shared" si="98"/>
        <v>10693302.949042313</v>
      </c>
      <c r="O121" s="89">
        <f t="shared" si="98"/>
        <v>11732691.995689224</v>
      </c>
    </row>
    <row r="122" spans="1:15" s="78" customFormat="1">
      <c r="A122" s="80" t="s">
        <v>60</v>
      </c>
      <c r="B122" s="78" t="s">
        <v>114</v>
      </c>
      <c r="C122" s="79"/>
      <c r="D122" s="79" t="s">
        <v>191</v>
      </c>
      <c r="E122" s="89">
        <f>+E84-E86</f>
        <v>0</v>
      </c>
      <c r="F122" s="89">
        <f>+F84-F86</f>
        <v>19093396.25</v>
      </c>
      <c r="G122" s="89">
        <f t="shared" ref="G122:O122" si="99">+G84-G86</f>
        <v>65215399.045000002</v>
      </c>
      <c r="H122" s="89">
        <f t="shared" si="99"/>
        <v>45513903.551100001</v>
      </c>
      <c r="I122" s="89">
        <f t="shared" si="99"/>
        <v>60773288.898275226</v>
      </c>
      <c r="J122" s="89">
        <f t="shared" si="99"/>
        <v>80717400.809742928</v>
      </c>
      <c r="K122" s="89">
        <f t="shared" si="99"/>
        <v>92680653.530086756</v>
      </c>
      <c r="L122" s="89">
        <f t="shared" si="99"/>
        <v>35380220.890584707</v>
      </c>
      <c r="M122" s="89">
        <f t="shared" si="99"/>
        <v>38819178.361149549</v>
      </c>
      <c r="N122" s="89">
        <f t="shared" si="99"/>
        <v>42592402.497853398</v>
      </c>
      <c r="O122" s="89">
        <f t="shared" si="99"/>
        <v>46732384.020644546</v>
      </c>
    </row>
    <row r="123" spans="1:15" s="81" customFormat="1">
      <c r="A123" s="91" t="s">
        <v>62</v>
      </c>
      <c r="B123" s="92" t="s">
        <v>115</v>
      </c>
      <c r="C123" s="93"/>
      <c r="D123" s="93"/>
      <c r="E123" s="94">
        <f>+E119+E120-E121-E122</f>
        <v>-28000000</v>
      </c>
      <c r="F123" s="94">
        <f t="shared" ref="F123:O123" si="100">+F119+F120-F121-F122</f>
        <v>-51203181.985000014</v>
      </c>
      <c r="G123" s="94">
        <f t="shared" si="100"/>
        <v>136640904.54466677</v>
      </c>
      <c r="H123" s="94">
        <f t="shared" si="100"/>
        <v>33920548.809739873</v>
      </c>
      <c r="I123" s="94">
        <f t="shared" si="100"/>
        <v>327780555.6358341</v>
      </c>
      <c r="J123" s="94">
        <f t="shared" si="100"/>
        <v>173892569.0582279</v>
      </c>
      <c r="K123" s="94">
        <f t="shared" si="100"/>
        <v>468067005.73004603</v>
      </c>
      <c r="L123" s="94">
        <f t="shared" si="100"/>
        <v>608436898.35127151</v>
      </c>
      <c r="M123" s="94">
        <f t="shared" si="100"/>
        <v>698470131.77077615</v>
      </c>
      <c r="N123" s="94">
        <f t="shared" si="100"/>
        <v>799659635.0806669</v>
      </c>
      <c r="O123" s="94">
        <f t="shared" si="100"/>
        <v>912799901.47707593</v>
      </c>
    </row>
    <row r="124" spans="1:15" s="78" customFormat="1">
      <c r="A124" s="80"/>
      <c r="B124" s="78" t="s">
        <v>116</v>
      </c>
      <c r="C124" s="79"/>
      <c r="D124" s="7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216">
        <f>+(O123*(1+D129))/(D128-D129)</f>
        <v>9493118975.3615894</v>
      </c>
    </row>
    <row r="125" spans="1:15" s="81" customFormat="1">
      <c r="A125" s="91" t="s">
        <v>62</v>
      </c>
      <c r="B125" s="92" t="s">
        <v>115</v>
      </c>
      <c r="C125" s="93"/>
      <c r="D125" s="93"/>
      <c r="E125" s="94">
        <f>+E123+E124</f>
        <v>-28000000</v>
      </c>
      <c r="F125" s="94">
        <f t="shared" ref="F125:O125" si="101">+F123+F124</f>
        <v>-51203181.985000014</v>
      </c>
      <c r="G125" s="94">
        <f t="shared" si="101"/>
        <v>136640904.54466677</v>
      </c>
      <c r="H125" s="94">
        <f t="shared" si="101"/>
        <v>33920548.809739873</v>
      </c>
      <c r="I125" s="94">
        <f t="shared" si="101"/>
        <v>327780555.6358341</v>
      </c>
      <c r="J125" s="94">
        <f t="shared" si="101"/>
        <v>173892569.0582279</v>
      </c>
      <c r="K125" s="94">
        <f t="shared" si="101"/>
        <v>468067005.73004603</v>
      </c>
      <c r="L125" s="94">
        <f t="shared" si="101"/>
        <v>608436898.35127151</v>
      </c>
      <c r="M125" s="94">
        <f t="shared" si="101"/>
        <v>698470131.77077615</v>
      </c>
      <c r="N125" s="94">
        <f t="shared" si="101"/>
        <v>799659635.0806669</v>
      </c>
      <c r="O125" s="94">
        <f t="shared" si="101"/>
        <v>10405918876.838665</v>
      </c>
    </row>
    <row r="126" spans="1:15" s="81" customFormat="1">
      <c r="A126" s="83"/>
      <c r="B126" s="81" t="s">
        <v>117</v>
      </c>
      <c r="C126" s="82"/>
      <c r="D126" s="82"/>
      <c r="E126" s="96">
        <f>+IRR(E125:O125)</f>
        <v>1.3224207488266755</v>
      </c>
      <c r="F126" s="169" t="s">
        <v>185</v>
      </c>
      <c r="G126" s="90" t="s">
        <v>186</v>
      </c>
      <c r="H126" s="90"/>
      <c r="I126" s="90"/>
      <c r="J126" s="90"/>
      <c r="K126" s="90"/>
      <c r="L126" s="90"/>
      <c r="M126" s="90"/>
      <c r="N126" s="90"/>
      <c r="O126" s="90"/>
    </row>
    <row r="127" spans="1:15" s="78" customFormat="1">
      <c r="A127" s="80"/>
      <c r="C127" s="79"/>
      <c r="D127" s="79"/>
      <c r="E127" s="80" t="s">
        <v>187</v>
      </c>
      <c r="F127" s="171" t="s">
        <v>188</v>
      </c>
      <c r="G127" s="80"/>
      <c r="H127" s="80"/>
      <c r="I127" s="80"/>
      <c r="J127" s="80"/>
      <c r="K127" s="80"/>
      <c r="L127" s="80"/>
      <c r="M127" s="80"/>
      <c r="N127" s="80"/>
      <c r="O127" s="80"/>
    </row>
    <row r="128" spans="1:15" s="78" customFormat="1">
      <c r="A128" s="80"/>
      <c r="B128" s="78" t="s">
        <v>118</v>
      </c>
      <c r="C128" s="79"/>
      <c r="D128" s="97">
        <v>0.14000000000000001</v>
      </c>
      <c r="E128" s="170">
        <f>+((E45*(1-E4)))</f>
        <v>9.2947435424829819E-2</v>
      </c>
      <c r="F128" s="170">
        <f>+(D128-(E128*0.5))/0.5</f>
        <v>0.18705256457517022</v>
      </c>
      <c r="G128" s="170">
        <f>+(E128*0.5)+(F128*0.5)</f>
        <v>0.14000000000000001</v>
      </c>
      <c r="H128" s="172">
        <f>+D128-G128</f>
        <v>0</v>
      </c>
      <c r="I128" s="80"/>
      <c r="J128" s="80"/>
      <c r="K128" s="80"/>
      <c r="L128" s="80"/>
      <c r="M128" s="80"/>
      <c r="N128" s="80"/>
      <c r="O128" s="80"/>
    </row>
    <row r="129" spans="1:15" s="78" customFormat="1">
      <c r="A129" s="80"/>
      <c r="B129" s="78" t="s">
        <v>119</v>
      </c>
      <c r="C129" s="79"/>
      <c r="D129" s="97">
        <v>0.04</v>
      </c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</row>
    <row r="130" spans="1:15" s="78" customFormat="1">
      <c r="A130" s="80"/>
      <c r="C130" s="79"/>
      <c r="D130" s="79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</row>
    <row r="131" spans="1:15" s="78" customFormat="1">
      <c r="B131" s="78" t="s">
        <v>120</v>
      </c>
      <c r="C131" s="79"/>
      <c r="D131" s="79" t="s">
        <v>191</v>
      </c>
      <c r="E131" s="98">
        <f>+NPV(D128,F125:O125)+E125</f>
        <v>4093595867.2771082</v>
      </c>
      <c r="F131" s="80" t="s">
        <v>185</v>
      </c>
      <c r="G131" s="80">
        <v>0</v>
      </c>
      <c r="H131" s="80"/>
      <c r="I131" s="80"/>
      <c r="J131" s="80"/>
      <c r="K131" s="80"/>
      <c r="L131" s="80"/>
      <c r="M131" s="80"/>
      <c r="N131" s="80"/>
      <c r="O131" s="80"/>
    </row>
    <row r="133" spans="1:15">
      <c r="A133" s="80"/>
      <c r="B133" s="51" t="s">
        <v>92</v>
      </c>
    </row>
    <row r="134" spans="1:15">
      <c r="A134" s="6" t="s">
        <v>60</v>
      </c>
      <c r="B134" s="4" t="s">
        <v>91</v>
      </c>
      <c r="D134" s="5" t="s">
        <v>191</v>
      </c>
      <c r="E134" s="33">
        <f>E93</f>
        <v>59000000</v>
      </c>
      <c r="F134" s="27"/>
      <c r="G134" s="27"/>
      <c r="H134" s="27"/>
      <c r="I134" s="27"/>
      <c r="J134" s="27"/>
      <c r="K134" s="27"/>
      <c r="L134" s="27"/>
    </row>
    <row r="135" spans="1:15">
      <c r="A135" s="6" t="s">
        <v>57</v>
      </c>
      <c r="B135" s="4" t="s">
        <v>92</v>
      </c>
      <c r="D135" s="5" t="s">
        <v>191</v>
      </c>
      <c r="E135" s="33">
        <f>+E94</f>
        <v>0</v>
      </c>
      <c r="F135" s="33">
        <f t="shared" ref="F135:O135" si="102">+F94</f>
        <v>0</v>
      </c>
      <c r="G135" s="33">
        <f t="shared" si="102"/>
        <v>13082067.26628085</v>
      </c>
      <c r="H135" s="33">
        <f t="shared" si="102"/>
        <v>-26776987.467271265</v>
      </c>
      <c r="I135" s="33">
        <f t="shared" si="102"/>
        <v>57044240.320716321</v>
      </c>
      <c r="J135" s="33">
        <f t="shared" si="102"/>
        <v>6810796.2657159446</v>
      </c>
      <c r="K135" s="33">
        <f t="shared" si="102"/>
        <v>91016359.477923051</v>
      </c>
      <c r="L135" s="33">
        <f t="shared" si="102"/>
        <v>147888916.14049688</v>
      </c>
      <c r="M135" s="33">
        <f t="shared" si="102"/>
        <v>171531668.85928148</v>
      </c>
      <c r="N135" s="33">
        <f t="shared" si="102"/>
        <v>198194009.02293506</v>
      </c>
      <c r="O135" s="33">
        <f t="shared" si="102"/>
        <v>228082471.65993479</v>
      </c>
    </row>
    <row r="136" spans="1:15" s="15" customFormat="1">
      <c r="A136" s="52" t="s">
        <v>62</v>
      </c>
      <c r="B136" s="15" t="s">
        <v>124</v>
      </c>
      <c r="C136" s="20"/>
      <c r="D136" s="20" t="s">
        <v>191</v>
      </c>
      <c r="E136" s="46">
        <f>-E134+E135</f>
        <v>-59000000</v>
      </c>
      <c r="F136" s="46">
        <f t="shared" ref="F136:O136" si="103">-F134+F135</f>
        <v>0</v>
      </c>
      <c r="G136" s="46">
        <f>-G134+G135</f>
        <v>13082067.26628085</v>
      </c>
      <c r="H136" s="46">
        <f t="shared" si="103"/>
        <v>-26776987.467271265</v>
      </c>
      <c r="I136" s="46">
        <f t="shared" si="103"/>
        <v>57044240.320716321</v>
      </c>
      <c r="J136" s="46">
        <f t="shared" si="103"/>
        <v>6810796.2657159446</v>
      </c>
      <c r="K136" s="46">
        <f t="shared" si="103"/>
        <v>91016359.477923051</v>
      </c>
      <c r="L136" s="46">
        <f t="shared" si="103"/>
        <v>147888916.14049688</v>
      </c>
      <c r="M136" s="46">
        <f t="shared" si="103"/>
        <v>171531668.85928148</v>
      </c>
      <c r="N136" s="46">
        <f t="shared" si="103"/>
        <v>198194009.02293506</v>
      </c>
      <c r="O136" s="46">
        <f t="shared" si="103"/>
        <v>228082471.65993479</v>
      </c>
    </row>
    <row r="137" spans="1:15">
      <c r="A137" s="6" t="s">
        <v>57</v>
      </c>
      <c r="B137" s="4" t="s">
        <v>116</v>
      </c>
      <c r="D137" s="5" t="s">
        <v>191</v>
      </c>
      <c r="O137" s="33">
        <f>+O136*(1+D142)/(D141-D142)</f>
        <v>2496902847.6456022</v>
      </c>
    </row>
    <row r="138" spans="1:15" s="15" customFormat="1">
      <c r="A138" s="52" t="s">
        <v>62</v>
      </c>
      <c r="B138" s="15" t="s">
        <v>124</v>
      </c>
      <c r="C138" s="20"/>
      <c r="D138" s="20" t="s">
        <v>191</v>
      </c>
      <c r="E138" s="46">
        <f t="shared" ref="E138:N138" si="104">+E136+E137</f>
        <v>-59000000</v>
      </c>
      <c r="F138" s="46">
        <f t="shared" si="104"/>
        <v>0</v>
      </c>
      <c r="G138" s="46">
        <f t="shared" si="104"/>
        <v>13082067.26628085</v>
      </c>
      <c r="H138" s="46">
        <f t="shared" si="104"/>
        <v>-26776987.467271265</v>
      </c>
      <c r="I138" s="46">
        <f t="shared" si="104"/>
        <v>57044240.320716321</v>
      </c>
      <c r="J138" s="46">
        <f t="shared" si="104"/>
        <v>6810796.2657159446</v>
      </c>
      <c r="K138" s="46">
        <f t="shared" si="104"/>
        <v>91016359.477923051</v>
      </c>
      <c r="L138" s="46">
        <f t="shared" si="104"/>
        <v>147888916.14049688</v>
      </c>
      <c r="M138" s="46">
        <f t="shared" si="104"/>
        <v>171531668.85928148</v>
      </c>
      <c r="N138" s="46">
        <f t="shared" si="104"/>
        <v>198194009.02293506</v>
      </c>
      <c r="O138" s="46">
        <f>+O136+O137</f>
        <v>2724985319.3055372</v>
      </c>
    </row>
    <row r="139" spans="1:15" s="15" customFormat="1">
      <c r="A139" s="52"/>
      <c r="B139" s="81" t="s">
        <v>117</v>
      </c>
      <c r="C139" s="82"/>
      <c r="D139" s="82"/>
      <c r="E139" s="96">
        <f>+IRR(E138:O138)</f>
        <v>0.56958298728310752</v>
      </c>
      <c r="F139" s="46"/>
      <c r="G139" s="46"/>
      <c r="H139" s="46"/>
      <c r="I139" s="46"/>
      <c r="J139" s="46"/>
      <c r="K139" s="46"/>
      <c r="L139" s="46"/>
      <c r="M139" s="46"/>
      <c r="N139" s="46"/>
      <c r="O139" s="46"/>
    </row>
    <row r="141" spans="1:15">
      <c r="B141" s="78" t="s">
        <v>118</v>
      </c>
      <c r="C141" s="79"/>
      <c r="D141" s="97">
        <v>0.13500000000000001</v>
      </c>
    </row>
    <row r="142" spans="1:15">
      <c r="B142" s="78" t="s">
        <v>119</v>
      </c>
      <c r="C142" s="79"/>
      <c r="D142" s="97">
        <v>0.04</v>
      </c>
    </row>
    <row r="144" spans="1:15">
      <c r="B144" s="51" t="s">
        <v>125</v>
      </c>
    </row>
    <row r="145" spans="1:15">
      <c r="A145" s="6" t="s">
        <v>57</v>
      </c>
      <c r="B145" s="4" t="s">
        <v>126</v>
      </c>
      <c r="D145" s="5" t="s">
        <v>191</v>
      </c>
      <c r="E145" s="89">
        <f t="shared" ref="E145:O145" si="105">+E71*(1-E4)</f>
        <v>0</v>
      </c>
      <c r="F145" s="89">
        <f t="shared" si="105"/>
        <v>-24511360.727750011</v>
      </c>
      <c r="G145" s="89">
        <f t="shared" si="105"/>
        <v>210122970.25633341</v>
      </c>
      <c r="H145" s="89">
        <f t="shared" si="105"/>
        <v>235634452.36083987</v>
      </c>
      <c r="I145" s="89">
        <f t="shared" si="105"/>
        <v>357253844.53410929</v>
      </c>
      <c r="J145" s="89">
        <f t="shared" si="105"/>
        <v>407309969.86797082</v>
      </c>
      <c r="K145" s="89">
        <f t="shared" si="105"/>
        <v>489924220.27135652</v>
      </c>
      <c r="L145" s="89">
        <f t="shared" si="105"/>
        <v>574137395.06389832</v>
      </c>
      <c r="M145" s="89">
        <f t="shared" si="105"/>
        <v>667590443.17773104</v>
      </c>
      <c r="N145" s="89">
        <f t="shared" si="105"/>
        <v>771361820.50357199</v>
      </c>
      <c r="O145" s="89">
        <f t="shared" si="105"/>
        <v>887334919.07028127</v>
      </c>
    </row>
    <row r="146" spans="1:15">
      <c r="A146" s="6" t="s">
        <v>60</v>
      </c>
      <c r="B146" s="4" t="s">
        <v>127</v>
      </c>
      <c r="D146" s="5" t="s">
        <v>191</v>
      </c>
      <c r="E146" s="89">
        <f t="shared" ref="E146:O146" si="106">+E28-E83</f>
        <v>28000000</v>
      </c>
      <c r="F146" s="89">
        <f t="shared" si="106"/>
        <v>-5600000</v>
      </c>
      <c r="G146" s="89">
        <f t="shared" si="106"/>
        <v>8266666.666666666</v>
      </c>
      <c r="H146" s="89">
        <f t="shared" si="106"/>
        <v>156200000</v>
      </c>
      <c r="I146" s="89">
        <f t="shared" si="106"/>
        <v>-31300000</v>
      </c>
      <c r="J146" s="89">
        <f t="shared" si="106"/>
        <v>152700000</v>
      </c>
      <c r="K146" s="89">
        <f t="shared" si="106"/>
        <v>-70823438.988776162</v>
      </c>
      <c r="L146" s="89">
        <f t="shared" si="106"/>
        <v>-69679724.177957848</v>
      </c>
      <c r="M146" s="89">
        <f t="shared" si="106"/>
        <v>-69698866.954194635</v>
      </c>
      <c r="N146" s="89">
        <f t="shared" si="106"/>
        <v>-70890217.074948311</v>
      </c>
      <c r="O146" s="89">
        <f t="shared" si="106"/>
        <v>-72197366.427439228</v>
      </c>
    </row>
    <row r="147" spans="1:15">
      <c r="A147" s="6" t="s">
        <v>60</v>
      </c>
      <c r="B147" s="4" t="s">
        <v>128</v>
      </c>
      <c r="D147" s="5" t="s">
        <v>191</v>
      </c>
      <c r="E147" s="89">
        <f>+E85</f>
        <v>0</v>
      </c>
      <c r="F147" s="89">
        <f t="shared" ref="F147:O147" si="107">+F85</f>
        <v>19093396.25</v>
      </c>
      <c r="G147" s="89">
        <f t="shared" si="107"/>
        <v>65215399.045000002</v>
      </c>
      <c r="H147" s="89">
        <f t="shared" si="107"/>
        <v>45513903.551100001</v>
      </c>
      <c r="I147" s="89">
        <f t="shared" si="107"/>
        <v>60773288.898275226</v>
      </c>
      <c r="J147" s="89">
        <f t="shared" si="107"/>
        <v>80717400.809742928</v>
      </c>
      <c r="K147" s="89">
        <f t="shared" si="107"/>
        <v>92680653.530086756</v>
      </c>
      <c r="L147" s="89">
        <f t="shared" si="107"/>
        <v>35380220.890584707</v>
      </c>
      <c r="M147" s="89">
        <f t="shared" si="107"/>
        <v>38819178.361149549</v>
      </c>
      <c r="N147" s="89">
        <f t="shared" si="107"/>
        <v>42592402.497853398</v>
      </c>
      <c r="O147" s="89">
        <f t="shared" si="107"/>
        <v>46732384.020644546</v>
      </c>
    </row>
    <row r="148" spans="1:15" s="15" customFormat="1">
      <c r="A148" s="52" t="s">
        <v>62</v>
      </c>
      <c r="B148" s="15" t="s">
        <v>129</v>
      </c>
      <c r="C148" s="20"/>
      <c r="D148" s="20" t="s">
        <v>191</v>
      </c>
      <c r="E148" s="46">
        <f>+E145-E146-E147</f>
        <v>-28000000</v>
      </c>
      <c r="F148" s="46">
        <f t="shared" ref="F148:O148" si="108">+F145-F146-F147</f>
        <v>-38004756.977750011</v>
      </c>
      <c r="G148" s="46">
        <f t="shared" si="108"/>
        <v>136640904.54466677</v>
      </c>
      <c r="H148" s="46">
        <f t="shared" si="108"/>
        <v>33920548.809739873</v>
      </c>
      <c r="I148" s="46">
        <f t="shared" si="108"/>
        <v>327780555.6358341</v>
      </c>
      <c r="J148" s="46">
        <f t="shared" si="108"/>
        <v>173892569.0582279</v>
      </c>
      <c r="K148" s="46">
        <f t="shared" si="108"/>
        <v>468067005.73004591</v>
      </c>
      <c r="L148" s="46">
        <f t="shared" si="108"/>
        <v>608436898.35127151</v>
      </c>
      <c r="M148" s="46">
        <f t="shared" si="108"/>
        <v>698470131.77077615</v>
      </c>
      <c r="N148" s="46">
        <f t="shared" si="108"/>
        <v>799659635.0806669</v>
      </c>
      <c r="O148" s="46">
        <f t="shared" si="108"/>
        <v>912799901.47707593</v>
      </c>
    </row>
    <row r="151" spans="1:15">
      <c r="D151" s="5" t="s">
        <v>189</v>
      </c>
      <c r="E151" s="7">
        <f>+IRR(E148:O148)</f>
        <v>1.385776570191382</v>
      </c>
      <c r="F151" s="173">
        <f>+E126-E151</f>
        <v>-6.3355821364706522E-2</v>
      </c>
    </row>
  </sheetData>
  <phoneticPr fontId="32" type="noConversion"/>
  <pageMargins left="0.7" right="0.7" top="0.75" bottom="0.75" header="0.3" footer="0.3"/>
  <pageSetup orientation="portrait" horizontalDpi="1200" verticalDpi="12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3B46-E3F1-4B9A-A56D-16819A22CB79}">
  <sheetPr codeName="Hoja5"/>
  <dimension ref="A1:AX130"/>
  <sheetViews>
    <sheetView showGridLines="0" zoomScale="70" zoomScaleNormal="70" workbookViewId="0">
      <pane xSplit="2" ySplit="6" topLeftCell="C85" activePane="bottomRight" state="frozen"/>
      <selection pane="topRight" activeCell="C1" sqref="C1"/>
      <selection pane="bottomLeft" activeCell="A6" sqref="A6"/>
      <selection pane="bottomRight" activeCell="P93" sqref="P93"/>
    </sheetView>
  </sheetViews>
  <sheetFormatPr baseColWidth="10" defaultRowHeight="15.75"/>
  <cols>
    <col min="1" max="1" width="12.42578125" style="177" bestFit="1" customWidth="1"/>
    <col min="2" max="2" width="40.85546875" style="177" bestFit="1" customWidth="1"/>
    <col min="3" max="3" width="14.85546875" style="177" customWidth="1"/>
    <col min="4" max="12" width="14.28515625" style="177" customWidth="1"/>
    <col min="13" max="15" width="14.85546875" style="177" customWidth="1"/>
    <col min="16" max="16" width="16.7109375" style="198" bestFit="1" customWidth="1"/>
    <col min="17" max="17" width="13.5703125" style="177" bestFit="1" customWidth="1"/>
    <col min="18" max="18" width="14.85546875" style="177" bestFit="1" customWidth="1"/>
    <col min="19" max="19" width="9.28515625" style="177" bestFit="1" customWidth="1"/>
    <col min="20" max="20" width="15" style="177" bestFit="1" customWidth="1"/>
    <col min="21" max="25" width="14.85546875" style="177" bestFit="1" customWidth="1"/>
    <col min="26" max="26" width="14.85546875" style="177" customWidth="1"/>
    <col min="27" max="31" width="14.85546875" style="177" bestFit="1" customWidth="1"/>
    <col min="32" max="32" width="16.7109375" style="198" bestFit="1" customWidth="1"/>
    <col min="33" max="34" width="14.85546875" style="177" bestFit="1" customWidth="1"/>
    <col min="35" max="35" width="9.28515625" style="177" bestFit="1" customWidth="1"/>
    <col min="36" max="41" width="14.85546875" style="177" bestFit="1" customWidth="1"/>
    <col min="42" max="42" width="14.85546875" style="177" customWidth="1"/>
    <col min="43" max="47" width="14.85546875" style="177" bestFit="1" customWidth="1"/>
    <col min="48" max="48" width="16.7109375" style="198" bestFit="1" customWidth="1"/>
    <col min="49" max="49" width="14.85546875" style="177" bestFit="1" customWidth="1"/>
    <col min="50" max="16384" width="11.42578125" style="177"/>
  </cols>
  <sheetData>
    <row r="1" spans="1:49">
      <c r="D1" s="183">
        <v>0</v>
      </c>
      <c r="E1" s="183">
        <v>0.01</v>
      </c>
      <c r="F1" s="183">
        <v>0.04</v>
      </c>
      <c r="G1" s="183">
        <v>0.06</v>
      </c>
      <c r="H1" s="183">
        <v>0.08</v>
      </c>
      <c r="I1" s="183">
        <v>0.09</v>
      </c>
      <c r="J1" s="183">
        <v>0.12</v>
      </c>
      <c r="K1" s="183">
        <v>0.14000000000000001</v>
      </c>
      <c r="L1" s="183">
        <v>0.15</v>
      </c>
      <c r="M1" s="183">
        <v>0.15</v>
      </c>
      <c r="N1" s="183">
        <v>0.18</v>
      </c>
      <c r="O1" s="183">
        <v>0.18</v>
      </c>
      <c r="T1" s="183">
        <v>0.18</v>
      </c>
      <c r="U1" s="183">
        <v>0.18</v>
      </c>
      <c r="V1" s="183">
        <v>0.18</v>
      </c>
      <c r="W1" s="183">
        <v>0.19</v>
      </c>
      <c r="X1" s="183">
        <v>0.19</v>
      </c>
      <c r="Y1" s="183">
        <v>0.2</v>
      </c>
      <c r="Z1" s="183">
        <v>0.2</v>
      </c>
      <c r="AA1" s="183">
        <v>0.2</v>
      </c>
      <c r="AB1" s="183">
        <v>0.2</v>
      </c>
      <c r="AC1" s="183">
        <v>0.21</v>
      </c>
      <c r="AD1" s="183">
        <v>0.24</v>
      </c>
      <c r="AE1" s="183">
        <v>0.25</v>
      </c>
      <c r="AJ1" s="183">
        <v>0.25</v>
      </c>
      <c r="AK1" s="183">
        <v>0.25</v>
      </c>
      <c r="AL1" s="183">
        <v>0.25</v>
      </c>
      <c r="AM1" s="183">
        <v>0.25</v>
      </c>
      <c r="AN1" s="183">
        <v>0.28999999999999998</v>
      </c>
      <c r="AO1" s="183">
        <v>0.32</v>
      </c>
      <c r="AP1" s="183">
        <v>0.34</v>
      </c>
      <c r="AQ1" s="183">
        <v>0.35</v>
      </c>
      <c r="AR1" s="183">
        <v>0.35</v>
      </c>
      <c r="AS1" s="183">
        <v>0.36</v>
      </c>
      <c r="AT1" s="183">
        <v>0.38</v>
      </c>
      <c r="AU1" s="183">
        <v>0.39</v>
      </c>
    </row>
    <row r="2" spans="1:49">
      <c r="F2" s="178">
        <v>0.57999999999999996</v>
      </c>
      <c r="G2" s="178">
        <v>0.4</v>
      </c>
      <c r="H2" s="178">
        <v>0.28000000000000003</v>
      </c>
      <c r="I2" s="178">
        <v>0.16</v>
      </c>
      <c r="J2" s="178">
        <v>0.09</v>
      </c>
      <c r="K2" s="178">
        <v>0.06</v>
      </c>
      <c r="L2" s="178">
        <v>0.04</v>
      </c>
      <c r="M2" s="178">
        <v>0.03</v>
      </c>
      <c r="N2" s="178">
        <v>0.03</v>
      </c>
      <c r="O2" s="182">
        <v>0.02</v>
      </c>
      <c r="P2" s="199"/>
      <c r="Q2" s="182"/>
      <c r="AF2" s="199"/>
      <c r="AG2" s="182"/>
      <c r="AV2" s="199"/>
      <c r="AW2" s="182"/>
    </row>
    <row r="3" spans="1:49" s="182" customFormat="1">
      <c r="A3" s="177"/>
      <c r="B3" s="177"/>
      <c r="C3" s="177"/>
      <c r="D3" s="177"/>
      <c r="E3" s="178">
        <v>2.08</v>
      </c>
      <c r="F3" s="183">
        <f>+E3*(1-F$2)</f>
        <v>0.87360000000000015</v>
      </c>
      <c r="G3" s="183">
        <f t="shared" ref="G3:O3" si="0">+F3*(1-G$2)</f>
        <v>0.52416000000000007</v>
      </c>
      <c r="H3" s="183">
        <f t="shared" si="0"/>
        <v>0.37739520000000004</v>
      </c>
      <c r="I3" s="183">
        <f t="shared" si="0"/>
        <v>0.31701196800000003</v>
      </c>
      <c r="J3" s="183">
        <f t="shared" si="0"/>
        <v>0.28848089088000006</v>
      </c>
      <c r="K3" s="183">
        <f t="shared" si="0"/>
        <v>0.27117203742720003</v>
      </c>
      <c r="L3" s="183">
        <f t="shared" si="0"/>
        <v>0.26032515593011202</v>
      </c>
      <c r="M3" s="183">
        <f t="shared" si="0"/>
        <v>0.25251540125220867</v>
      </c>
      <c r="N3" s="183">
        <f t="shared" si="0"/>
        <v>0.24493993921464241</v>
      </c>
      <c r="O3" s="183">
        <f t="shared" si="0"/>
        <v>0.24004114043034955</v>
      </c>
      <c r="P3" s="200"/>
      <c r="Q3" s="180">
        <v>901800</v>
      </c>
      <c r="R3" s="177"/>
      <c r="S3" s="177"/>
      <c r="T3" s="182">
        <v>0.2</v>
      </c>
      <c r="U3" s="189">
        <v>0.16</v>
      </c>
      <c r="V3" s="189">
        <f t="shared" ref="V3:AE3" si="1">+U3*0.8</f>
        <v>0.128</v>
      </c>
      <c r="W3" s="189">
        <f t="shared" si="1"/>
        <v>0.1024</v>
      </c>
      <c r="X3" s="189">
        <f t="shared" si="1"/>
        <v>8.1920000000000007E-2</v>
      </c>
      <c r="Y3" s="189">
        <f t="shared" si="1"/>
        <v>6.5536000000000011E-2</v>
      </c>
      <c r="Z3" s="189">
        <f t="shared" si="1"/>
        <v>5.2428800000000012E-2</v>
      </c>
      <c r="AA3" s="189">
        <f t="shared" si="1"/>
        <v>4.1943040000000015E-2</v>
      </c>
      <c r="AB3" s="189">
        <f t="shared" si="1"/>
        <v>3.3554432000000016E-2</v>
      </c>
      <c r="AC3" s="189">
        <f t="shared" si="1"/>
        <v>2.6843545600000015E-2</v>
      </c>
      <c r="AD3" s="189">
        <f t="shared" si="1"/>
        <v>2.1474836480000013E-2</v>
      </c>
      <c r="AE3" s="189">
        <f t="shared" si="1"/>
        <v>1.717986918400001E-2</v>
      </c>
      <c r="AF3" s="200"/>
      <c r="AG3" s="180">
        <f>+Q3*(1+6%)</f>
        <v>955908</v>
      </c>
      <c r="AJ3" s="182">
        <v>1.4999999999999999E-2</v>
      </c>
      <c r="AK3" s="182">
        <v>1.4999999999999999E-2</v>
      </c>
      <c r="AL3" s="189">
        <f>+AK3*0.8</f>
        <v>1.2E-2</v>
      </c>
      <c r="AM3" s="189">
        <f>+AL3*0.8</f>
        <v>9.6000000000000009E-3</v>
      </c>
      <c r="AN3" s="189">
        <f>+AM3*11</f>
        <v>0.10560000000000001</v>
      </c>
      <c r="AO3" s="189">
        <f t="shared" ref="AO3:AU3" si="2">+AN3*0.8</f>
        <v>8.4480000000000013E-2</v>
      </c>
      <c r="AP3" s="189">
        <f t="shared" si="2"/>
        <v>6.7584000000000019E-2</v>
      </c>
      <c r="AQ3" s="189">
        <f t="shared" si="2"/>
        <v>5.4067200000000017E-2</v>
      </c>
      <c r="AR3" s="189">
        <f t="shared" si="2"/>
        <v>4.3253760000000016E-2</v>
      </c>
      <c r="AS3" s="189">
        <f t="shared" si="2"/>
        <v>3.4603008000000011E-2</v>
      </c>
      <c r="AT3" s="189">
        <f t="shared" si="2"/>
        <v>2.7682406400000012E-2</v>
      </c>
      <c r="AU3" s="189">
        <f t="shared" si="2"/>
        <v>2.214592512000001E-2</v>
      </c>
      <c r="AV3" s="200"/>
      <c r="AW3" s="180">
        <f>+AG3*(1+6%)</f>
        <v>1013262.4800000001</v>
      </c>
    </row>
    <row r="4" spans="1:49" s="182" customFormat="1">
      <c r="A4" s="177"/>
      <c r="B4" s="177"/>
      <c r="C4" s="177"/>
      <c r="D4" s="177"/>
      <c r="E4" s="178">
        <v>1.56</v>
      </c>
      <c r="F4" s="183">
        <f t="shared" ref="F4:F5" si="3">+E4*(1-F$2)</f>
        <v>0.65520000000000012</v>
      </c>
      <c r="G4" s="183">
        <f t="shared" ref="G4:O5" si="4">+F4*(1-G$2)</f>
        <v>0.39312000000000008</v>
      </c>
      <c r="H4" s="183">
        <f t="shared" si="4"/>
        <v>0.28304640000000003</v>
      </c>
      <c r="I4" s="183">
        <f t="shared" si="4"/>
        <v>0.23775897600000001</v>
      </c>
      <c r="J4" s="183">
        <f t="shared" si="4"/>
        <v>0.21636066816000002</v>
      </c>
      <c r="K4" s="183">
        <f t="shared" si="4"/>
        <v>0.20337902807040001</v>
      </c>
      <c r="L4" s="183">
        <f t="shared" si="4"/>
        <v>0.195243866947584</v>
      </c>
      <c r="M4" s="183">
        <f t="shared" si="4"/>
        <v>0.18938655093915646</v>
      </c>
      <c r="N4" s="183">
        <f t="shared" si="4"/>
        <v>0.18370495441098175</v>
      </c>
      <c r="O4" s="183">
        <f t="shared" si="4"/>
        <v>0.18003085532276211</v>
      </c>
      <c r="P4" s="200"/>
      <c r="Q4" s="180">
        <f>+Q3*2</f>
        <v>1803600</v>
      </c>
      <c r="R4" s="180">
        <f>+Q3*1.86</f>
        <v>1677348</v>
      </c>
      <c r="S4" s="177"/>
      <c r="T4" s="182">
        <v>0.16</v>
      </c>
      <c r="U4" s="189">
        <v>0.12</v>
      </c>
      <c r="V4" s="189">
        <f t="shared" ref="V4:V5" si="5">+U4*0.8</f>
        <v>9.6000000000000002E-2</v>
      </c>
      <c r="W4" s="189">
        <f t="shared" ref="W4:AB4" si="6">+V4*0.8</f>
        <v>7.6800000000000007E-2</v>
      </c>
      <c r="X4" s="189">
        <f t="shared" si="6"/>
        <v>6.1440000000000008E-2</v>
      </c>
      <c r="Y4" s="189">
        <f t="shared" si="6"/>
        <v>4.9152000000000008E-2</v>
      </c>
      <c r="Z4" s="189">
        <f t="shared" si="6"/>
        <v>3.9321600000000012E-2</v>
      </c>
      <c r="AA4" s="189">
        <f t="shared" si="6"/>
        <v>3.1457280000000011E-2</v>
      </c>
      <c r="AB4" s="189">
        <f t="shared" si="6"/>
        <v>2.516582400000001E-2</v>
      </c>
      <c r="AC4" s="189">
        <f t="shared" ref="AC4:AE4" si="7">+AB4*0.8</f>
        <v>2.013265920000001E-2</v>
      </c>
      <c r="AD4" s="189">
        <f t="shared" si="7"/>
        <v>1.610612736000001E-2</v>
      </c>
      <c r="AE4" s="189">
        <f t="shared" si="7"/>
        <v>1.2884901888000009E-2</v>
      </c>
      <c r="AF4" s="200"/>
      <c r="AG4" s="180">
        <f>+AG3*2</f>
        <v>1911816</v>
      </c>
      <c r="AJ4" s="182">
        <v>1.2E-2</v>
      </c>
      <c r="AK4" s="182">
        <v>1.2E-2</v>
      </c>
      <c r="AL4" s="189">
        <f t="shared" ref="AL4:AU5" si="8">+AK4*0.8</f>
        <v>9.6000000000000009E-3</v>
      </c>
      <c r="AM4" s="189">
        <f t="shared" si="8"/>
        <v>7.6800000000000011E-3</v>
      </c>
      <c r="AN4" s="189">
        <f t="shared" ref="AN4:AN5" si="9">+AM4*11</f>
        <v>8.4480000000000013E-2</v>
      </c>
      <c r="AO4" s="189">
        <f t="shared" ref="AO4:AP5" si="10">+AN4*0.8</f>
        <v>6.7584000000000019E-2</v>
      </c>
      <c r="AP4" s="189">
        <f t="shared" si="10"/>
        <v>5.4067200000000017E-2</v>
      </c>
      <c r="AQ4" s="189">
        <f t="shared" si="8"/>
        <v>4.3253760000000016E-2</v>
      </c>
      <c r="AR4" s="189">
        <f t="shared" si="8"/>
        <v>3.4603008000000011E-2</v>
      </c>
      <c r="AS4" s="189">
        <f t="shared" si="8"/>
        <v>2.7682406400000012E-2</v>
      </c>
      <c r="AT4" s="189">
        <f t="shared" si="8"/>
        <v>2.214592512000001E-2</v>
      </c>
      <c r="AU4" s="189">
        <f t="shared" si="8"/>
        <v>1.7716740096000008E-2</v>
      </c>
      <c r="AV4" s="200"/>
      <c r="AW4" s="180">
        <f>+AW3*2</f>
        <v>2026524.9600000002</v>
      </c>
    </row>
    <row r="5" spans="1:49" s="182" customFormat="1">
      <c r="A5" s="177"/>
      <c r="B5" s="177"/>
      <c r="C5" s="177"/>
      <c r="D5" s="177"/>
      <c r="E5" s="178">
        <v>1.67</v>
      </c>
      <c r="F5" s="183">
        <f t="shared" si="3"/>
        <v>0.70140000000000002</v>
      </c>
      <c r="G5" s="183">
        <v>0.28999999999999998</v>
      </c>
      <c r="H5" s="183">
        <f t="shared" si="4"/>
        <v>0.20879999999999999</v>
      </c>
      <c r="I5" s="183">
        <f t="shared" si="4"/>
        <v>0.17539199999999999</v>
      </c>
      <c r="J5" s="183">
        <f t="shared" si="4"/>
        <v>0.15960672000000001</v>
      </c>
      <c r="K5" s="183">
        <f t="shared" si="4"/>
        <v>0.15003031680000001</v>
      </c>
      <c r="L5" s="183">
        <f t="shared" si="4"/>
        <v>0.14402910412799999</v>
      </c>
      <c r="M5" s="183">
        <f t="shared" si="4"/>
        <v>0.13970823100415999</v>
      </c>
      <c r="N5" s="183">
        <f t="shared" si="4"/>
        <v>0.1355169840740352</v>
      </c>
      <c r="O5" s="183">
        <f t="shared" si="4"/>
        <v>0.13280664439255449</v>
      </c>
      <c r="P5" s="200"/>
      <c r="Q5" s="183"/>
      <c r="R5" s="177"/>
      <c r="S5" s="177"/>
      <c r="T5" s="182">
        <v>0.12</v>
      </c>
      <c r="U5" s="189">
        <v>8.3984392263482074E-2</v>
      </c>
      <c r="V5" s="189">
        <f t="shared" si="5"/>
        <v>6.7187513810785665E-2</v>
      </c>
      <c r="W5" s="189">
        <f t="shared" ref="W5:AB5" si="11">+V5*0.8</f>
        <v>5.3750011048628532E-2</v>
      </c>
      <c r="X5" s="189">
        <f t="shared" si="11"/>
        <v>4.3000008838902828E-2</v>
      </c>
      <c r="Y5" s="189">
        <f t="shared" si="11"/>
        <v>3.4400007071122264E-2</v>
      </c>
      <c r="Z5" s="189">
        <f t="shared" si="11"/>
        <v>2.7520005656897814E-2</v>
      </c>
      <c r="AA5" s="189">
        <f t="shared" si="11"/>
        <v>2.2016004525518253E-2</v>
      </c>
      <c r="AB5" s="189">
        <f t="shared" si="11"/>
        <v>1.7612803620414601E-2</v>
      </c>
      <c r="AC5" s="189">
        <f t="shared" ref="AC5:AE5" si="12">+AB5*0.8</f>
        <v>1.4090242896331682E-2</v>
      </c>
      <c r="AD5" s="189">
        <f t="shared" si="12"/>
        <v>1.1272194317065345E-2</v>
      </c>
      <c r="AE5" s="189">
        <f t="shared" si="12"/>
        <v>9.017755453652276E-3</v>
      </c>
      <c r="AF5" s="200"/>
      <c r="AG5" s="189"/>
      <c r="AJ5" s="182">
        <v>6.0000000000000001E-3</v>
      </c>
      <c r="AK5" s="182">
        <v>6.0000000000000001E-3</v>
      </c>
      <c r="AL5" s="189">
        <f t="shared" si="8"/>
        <v>4.8000000000000004E-3</v>
      </c>
      <c r="AM5" s="189">
        <f t="shared" si="8"/>
        <v>3.8400000000000005E-3</v>
      </c>
      <c r="AN5" s="189">
        <f t="shared" si="9"/>
        <v>4.2240000000000007E-2</v>
      </c>
      <c r="AO5" s="189">
        <f t="shared" si="10"/>
        <v>3.379200000000001E-2</v>
      </c>
      <c r="AP5" s="189">
        <f t="shared" si="10"/>
        <v>2.7033600000000008E-2</v>
      </c>
      <c r="AQ5" s="189">
        <f t="shared" si="8"/>
        <v>2.1626880000000008E-2</v>
      </c>
      <c r="AR5" s="189">
        <f t="shared" si="8"/>
        <v>1.7301504000000006E-2</v>
      </c>
      <c r="AS5" s="189">
        <f t="shared" si="8"/>
        <v>1.3841203200000006E-2</v>
      </c>
      <c r="AT5" s="189">
        <f t="shared" si="8"/>
        <v>1.1072962560000005E-2</v>
      </c>
      <c r="AU5" s="189">
        <f t="shared" si="8"/>
        <v>8.8583700480000041E-3</v>
      </c>
      <c r="AV5" s="200"/>
      <c r="AW5" s="189"/>
    </row>
    <row r="6" spans="1:49" s="179" customFormat="1">
      <c r="A6" s="179" t="s">
        <v>213</v>
      </c>
      <c r="B6" s="195">
        <v>0.46</v>
      </c>
      <c r="C6" s="195"/>
      <c r="D6" s="179" t="s">
        <v>196</v>
      </c>
      <c r="E6" s="179" t="s">
        <v>197</v>
      </c>
      <c r="F6" s="179" t="s">
        <v>198</v>
      </c>
      <c r="G6" s="179" t="s">
        <v>199</v>
      </c>
      <c r="H6" s="179" t="s">
        <v>200</v>
      </c>
      <c r="I6" s="179" t="s">
        <v>201</v>
      </c>
      <c r="J6" s="179" t="s">
        <v>202</v>
      </c>
      <c r="K6" s="179" t="s">
        <v>203</v>
      </c>
      <c r="L6" s="179" t="s">
        <v>204</v>
      </c>
      <c r="M6" s="179" t="s">
        <v>205</v>
      </c>
      <c r="N6" s="179" t="s">
        <v>206</v>
      </c>
      <c r="O6" s="179" t="s">
        <v>207</v>
      </c>
      <c r="P6" s="201" t="s">
        <v>212</v>
      </c>
      <c r="Q6" s="179" t="s">
        <v>214</v>
      </c>
      <c r="T6" s="179" t="s">
        <v>196</v>
      </c>
      <c r="U6" s="179" t="s">
        <v>197</v>
      </c>
      <c r="V6" s="179" t="s">
        <v>198</v>
      </c>
      <c r="W6" s="179" t="s">
        <v>199</v>
      </c>
      <c r="X6" s="179" t="s">
        <v>200</v>
      </c>
      <c r="Y6" s="179" t="s">
        <v>201</v>
      </c>
      <c r="Z6" s="179" t="s">
        <v>202</v>
      </c>
      <c r="AA6" s="179" t="s">
        <v>203</v>
      </c>
      <c r="AB6" s="179" t="s">
        <v>204</v>
      </c>
      <c r="AC6" s="179" t="s">
        <v>205</v>
      </c>
      <c r="AD6" s="179" t="s">
        <v>206</v>
      </c>
      <c r="AE6" s="179" t="s">
        <v>207</v>
      </c>
      <c r="AF6" s="201" t="s">
        <v>212</v>
      </c>
      <c r="AG6" s="179" t="s">
        <v>214</v>
      </c>
      <c r="AJ6" s="179" t="s">
        <v>196</v>
      </c>
      <c r="AK6" s="179" t="s">
        <v>197</v>
      </c>
      <c r="AL6" s="179" t="s">
        <v>198</v>
      </c>
      <c r="AM6" s="179" t="s">
        <v>199</v>
      </c>
      <c r="AN6" s="179" t="s">
        <v>200</v>
      </c>
      <c r="AO6" s="179" t="s">
        <v>201</v>
      </c>
      <c r="AP6" s="179" t="s">
        <v>202</v>
      </c>
      <c r="AQ6" s="179" t="s">
        <v>203</v>
      </c>
      <c r="AR6" s="179" t="s">
        <v>204</v>
      </c>
      <c r="AS6" s="179" t="s">
        <v>205</v>
      </c>
      <c r="AT6" s="179" t="s">
        <v>206</v>
      </c>
      <c r="AU6" s="179" t="s">
        <v>207</v>
      </c>
      <c r="AV6" s="201" t="s">
        <v>212</v>
      </c>
      <c r="AW6" s="179" t="s">
        <v>214</v>
      </c>
    </row>
    <row r="7" spans="1:49">
      <c r="B7" s="177" t="s">
        <v>193</v>
      </c>
      <c r="D7" s="179">
        <v>22</v>
      </c>
      <c r="E7" s="179">
        <f>ROUND(D7*(1+E3),0)</f>
        <v>68</v>
      </c>
      <c r="F7" s="179">
        <f t="shared" ref="F7:O7" si="13">ROUND(E7*(1+F3),0)</f>
        <v>127</v>
      </c>
      <c r="G7" s="179">
        <f t="shared" si="13"/>
        <v>194</v>
      </c>
      <c r="H7" s="179">
        <f t="shared" si="13"/>
        <v>267</v>
      </c>
      <c r="I7" s="179">
        <f t="shared" si="13"/>
        <v>352</v>
      </c>
      <c r="J7" s="179">
        <f t="shared" si="13"/>
        <v>454</v>
      </c>
      <c r="K7" s="179">
        <f t="shared" si="13"/>
        <v>577</v>
      </c>
      <c r="L7" s="179">
        <f t="shared" si="13"/>
        <v>727</v>
      </c>
      <c r="M7" s="179">
        <f t="shared" si="13"/>
        <v>911</v>
      </c>
      <c r="N7" s="179">
        <f t="shared" si="13"/>
        <v>1134</v>
      </c>
      <c r="O7" s="179">
        <f t="shared" si="13"/>
        <v>1406</v>
      </c>
      <c r="P7" s="201">
        <f>SUM(D7:O7)</f>
        <v>6239</v>
      </c>
      <c r="Q7" s="184">
        <f>+P7/12</f>
        <v>519.91666666666663</v>
      </c>
      <c r="T7" s="179">
        <f>ROUND(O7*(1+T3),0)</f>
        <v>1687</v>
      </c>
      <c r="U7" s="179">
        <f>ROUND(T7*(1+U3),0)</f>
        <v>1957</v>
      </c>
      <c r="V7" s="179">
        <f>ROUND(U7*(1+V3),0)</f>
        <v>2207</v>
      </c>
      <c r="W7" s="179">
        <f t="shared" ref="W7:Z7" si="14">ROUND(V7*(1+W3),0)</f>
        <v>2433</v>
      </c>
      <c r="X7" s="179">
        <f t="shared" si="14"/>
        <v>2632</v>
      </c>
      <c r="Y7" s="179">
        <f t="shared" si="14"/>
        <v>2804</v>
      </c>
      <c r="Z7" s="179">
        <f t="shared" si="14"/>
        <v>2951</v>
      </c>
      <c r="AA7" s="179">
        <f t="shared" ref="AA7:AE7" si="15">ROUND(Z7*(1+AA3),0)</f>
        <v>3075</v>
      </c>
      <c r="AB7" s="179">
        <f t="shared" si="15"/>
        <v>3178</v>
      </c>
      <c r="AC7" s="179">
        <f t="shared" si="15"/>
        <v>3263</v>
      </c>
      <c r="AD7" s="179">
        <f t="shared" si="15"/>
        <v>3333</v>
      </c>
      <c r="AE7" s="179">
        <f t="shared" si="15"/>
        <v>3390</v>
      </c>
      <c r="AF7" s="201">
        <f>SUM(T7:AE7)</f>
        <v>32910</v>
      </c>
      <c r="AG7" s="184">
        <f>+AF7/12</f>
        <v>2742.5</v>
      </c>
      <c r="AJ7" s="179">
        <f>ROUND(AE7*(1+AJ3),0)</f>
        <v>3441</v>
      </c>
      <c r="AK7" s="179">
        <f>ROUND(AJ7*(1+AK3),0)</f>
        <v>3493</v>
      </c>
      <c r="AL7" s="179">
        <f>ROUND(AK7*(1+AL3),0)</f>
        <v>3535</v>
      </c>
      <c r="AM7" s="179">
        <f t="shared" ref="AM7:AU7" si="16">ROUND(AL7*(1+AM3),0)</f>
        <v>3569</v>
      </c>
      <c r="AN7" s="179">
        <f t="shared" si="16"/>
        <v>3946</v>
      </c>
      <c r="AO7" s="179">
        <f t="shared" si="16"/>
        <v>4279</v>
      </c>
      <c r="AP7" s="179">
        <f t="shared" si="16"/>
        <v>4568</v>
      </c>
      <c r="AQ7" s="179">
        <f t="shared" si="16"/>
        <v>4815</v>
      </c>
      <c r="AR7" s="179">
        <f t="shared" si="16"/>
        <v>5023</v>
      </c>
      <c r="AS7" s="179">
        <f t="shared" si="16"/>
        <v>5197</v>
      </c>
      <c r="AT7" s="179">
        <f t="shared" si="16"/>
        <v>5341</v>
      </c>
      <c r="AU7" s="179">
        <f t="shared" si="16"/>
        <v>5459</v>
      </c>
      <c r="AV7" s="201">
        <f>SUM(AJ7:AU7)</f>
        <v>52666</v>
      </c>
      <c r="AW7" s="184">
        <f>+AV7/12</f>
        <v>4388.833333333333</v>
      </c>
    </row>
    <row r="8" spans="1:49">
      <c r="A8" s="177" t="s">
        <v>1</v>
      </c>
      <c r="B8" s="177" t="s">
        <v>194</v>
      </c>
      <c r="D8" s="179">
        <v>33</v>
      </c>
      <c r="E8" s="179">
        <f>ROUND(D8*(1+E4),0)</f>
        <v>84</v>
      </c>
      <c r="F8" s="179">
        <f t="shared" ref="F8:O8" si="17">ROUND(E8*(1+F4),0)</f>
        <v>139</v>
      </c>
      <c r="G8" s="179">
        <f t="shared" si="17"/>
        <v>194</v>
      </c>
      <c r="H8" s="179">
        <f t="shared" si="17"/>
        <v>249</v>
      </c>
      <c r="I8" s="179">
        <f t="shared" si="17"/>
        <v>308</v>
      </c>
      <c r="J8" s="179">
        <f t="shared" si="17"/>
        <v>375</v>
      </c>
      <c r="K8" s="179">
        <f t="shared" si="17"/>
        <v>451</v>
      </c>
      <c r="L8" s="179">
        <f t="shared" si="17"/>
        <v>539</v>
      </c>
      <c r="M8" s="179">
        <f t="shared" si="17"/>
        <v>641</v>
      </c>
      <c r="N8" s="179">
        <f t="shared" si="17"/>
        <v>759</v>
      </c>
      <c r="O8" s="179">
        <f t="shared" si="17"/>
        <v>896</v>
      </c>
      <c r="P8" s="201">
        <f>SUM(D8:O8)</f>
        <v>4668</v>
      </c>
      <c r="Q8" s="184">
        <f t="shared" ref="Q8:Q10" si="18">+P8/12</f>
        <v>389</v>
      </c>
      <c r="T8" s="179">
        <f t="shared" ref="T8:T9" si="19">ROUND(O8*(1+T4),0)</f>
        <v>1039</v>
      </c>
      <c r="U8" s="179">
        <f t="shared" ref="U8:V9" si="20">ROUND(T8*(1+U4),0)</f>
        <v>1164</v>
      </c>
      <c r="V8" s="179">
        <f t="shared" si="20"/>
        <v>1276</v>
      </c>
      <c r="W8" s="179">
        <f t="shared" ref="W8:Z8" si="21">ROUND(V8*(1+W4),0)</f>
        <v>1374</v>
      </c>
      <c r="X8" s="179">
        <f t="shared" si="21"/>
        <v>1458</v>
      </c>
      <c r="Y8" s="179">
        <f t="shared" si="21"/>
        <v>1530</v>
      </c>
      <c r="Z8" s="179">
        <f t="shared" si="21"/>
        <v>1590</v>
      </c>
      <c r="AA8" s="179">
        <f t="shared" ref="AA8:AE8" si="22">ROUND(Z8*(1+AA4),0)</f>
        <v>1640</v>
      </c>
      <c r="AB8" s="179">
        <f t="shared" si="22"/>
        <v>1681</v>
      </c>
      <c r="AC8" s="179">
        <f t="shared" si="22"/>
        <v>1715</v>
      </c>
      <c r="AD8" s="179">
        <f t="shared" si="22"/>
        <v>1743</v>
      </c>
      <c r="AE8" s="179">
        <f t="shared" si="22"/>
        <v>1765</v>
      </c>
      <c r="AF8" s="201">
        <f>SUM(T8:AE8)</f>
        <v>17975</v>
      </c>
      <c r="AG8" s="184">
        <f t="shared" ref="AG8:AG10" si="23">+AF8/12</f>
        <v>1497.9166666666667</v>
      </c>
      <c r="AJ8" s="179">
        <f t="shared" ref="AJ8:AJ9" si="24">ROUND(AE8*(1+AJ4),0)</f>
        <v>1786</v>
      </c>
      <c r="AK8" s="179">
        <f t="shared" ref="AK8:AU8" si="25">ROUND(AJ8*(1+AK4),0)</f>
        <v>1807</v>
      </c>
      <c r="AL8" s="179">
        <f t="shared" si="25"/>
        <v>1824</v>
      </c>
      <c r="AM8" s="179">
        <f t="shared" si="25"/>
        <v>1838</v>
      </c>
      <c r="AN8" s="179">
        <f t="shared" si="25"/>
        <v>1993</v>
      </c>
      <c r="AO8" s="179">
        <f t="shared" si="25"/>
        <v>2128</v>
      </c>
      <c r="AP8" s="179">
        <f t="shared" si="25"/>
        <v>2243</v>
      </c>
      <c r="AQ8" s="179">
        <f t="shared" si="25"/>
        <v>2340</v>
      </c>
      <c r="AR8" s="179">
        <f t="shared" si="25"/>
        <v>2421</v>
      </c>
      <c r="AS8" s="179">
        <f t="shared" si="25"/>
        <v>2488</v>
      </c>
      <c r="AT8" s="179">
        <f t="shared" si="25"/>
        <v>2543</v>
      </c>
      <c r="AU8" s="179">
        <f t="shared" si="25"/>
        <v>2588</v>
      </c>
      <c r="AV8" s="201">
        <f>SUM(AJ8:AU8)</f>
        <v>25999</v>
      </c>
      <c r="AW8" s="184">
        <f t="shared" ref="AW8:AW10" si="26">+AV8/12</f>
        <v>2166.5833333333335</v>
      </c>
    </row>
    <row r="9" spans="1:49">
      <c r="B9" s="177" t="s">
        <v>195</v>
      </c>
      <c r="D9" s="179">
        <v>19</v>
      </c>
      <c r="E9" s="179">
        <f>ROUND(D9*(1+E5),0)</f>
        <v>51</v>
      </c>
      <c r="F9" s="179">
        <f t="shared" ref="F9:O9" si="27">ROUND(E9*(1+F5),0)</f>
        <v>87</v>
      </c>
      <c r="G9" s="179">
        <f t="shared" si="27"/>
        <v>112</v>
      </c>
      <c r="H9" s="179">
        <f t="shared" si="27"/>
        <v>135</v>
      </c>
      <c r="I9" s="179">
        <f t="shared" si="27"/>
        <v>159</v>
      </c>
      <c r="J9" s="179">
        <f t="shared" si="27"/>
        <v>184</v>
      </c>
      <c r="K9" s="179">
        <f t="shared" si="27"/>
        <v>212</v>
      </c>
      <c r="L9" s="179">
        <f t="shared" si="27"/>
        <v>243</v>
      </c>
      <c r="M9" s="179">
        <f t="shared" si="27"/>
        <v>277</v>
      </c>
      <c r="N9" s="179">
        <f t="shared" si="27"/>
        <v>315</v>
      </c>
      <c r="O9" s="179">
        <f t="shared" si="27"/>
        <v>357</v>
      </c>
      <c r="P9" s="201">
        <f>SUM(D9:O9)</f>
        <v>2151</v>
      </c>
      <c r="Q9" s="184">
        <f t="shared" si="18"/>
        <v>179.25</v>
      </c>
      <c r="T9" s="179">
        <f t="shared" si="19"/>
        <v>400</v>
      </c>
      <c r="U9" s="179">
        <f t="shared" si="20"/>
        <v>434</v>
      </c>
      <c r="V9" s="179">
        <f t="shared" si="20"/>
        <v>463</v>
      </c>
      <c r="W9" s="179">
        <f t="shared" ref="W9:Z9" si="28">ROUND(V9*(1+W5),0)</f>
        <v>488</v>
      </c>
      <c r="X9" s="179">
        <f t="shared" si="28"/>
        <v>509</v>
      </c>
      <c r="Y9" s="179">
        <f t="shared" si="28"/>
        <v>527</v>
      </c>
      <c r="Z9" s="179">
        <f t="shared" si="28"/>
        <v>542</v>
      </c>
      <c r="AA9" s="179">
        <f t="shared" ref="AA9:AE9" si="29">ROUND(Z9*(1+AA5),0)</f>
        <v>554</v>
      </c>
      <c r="AB9" s="179">
        <f t="shared" si="29"/>
        <v>564</v>
      </c>
      <c r="AC9" s="179">
        <f t="shared" si="29"/>
        <v>572</v>
      </c>
      <c r="AD9" s="179">
        <f t="shared" si="29"/>
        <v>578</v>
      </c>
      <c r="AE9" s="179">
        <f t="shared" si="29"/>
        <v>583</v>
      </c>
      <c r="AF9" s="201">
        <f>SUM(T9:AE9)</f>
        <v>6214</v>
      </c>
      <c r="AG9" s="184">
        <f t="shared" si="23"/>
        <v>517.83333333333337</v>
      </c>
      <c r="AJ9" s="179">
        <f t="shared" si="24"/>
        <v>586</v>
      </c>
      <c r="AK9" s="179">
        <f t="shared" ref="AK9:AU9" si="30">ROUND(AJ9*(1+AK5),0)</f>
        <v>590</v>
      </c>
      <c r="AL9" s="179">
        <f t="shared" si="30"/>
        <v>593</v>
      </c>
      <c r="AM9" s="179">
        <f t="shared" si="30"/>
        <v>595</v>
      </c>
      <c r="AN9" s="179">
        <f t="shared" si="30"/>
        <v>620</v>
      </c>
      <c r="AO9" s="179">
        <f t="shared" si="30"/>
        <v>641</v>
      </c>
      <c r="AP9" s="179">
        <f t="shared" si="30"/>
        <v>658</v>
      </c>
      <c r="AQ9" s="179">
        <f t="shared" si="30"/>
        <v>672</v>
      </c>
      <c r="AR9" s="179">
        <f t="shared" si="30"/>
        <v>684</v>
      </c>
      <c r="AS9" s="179">
        <f t="shared" si="30"/>
        <v>693</v>
      </c>
      <c r="AT9" s="179">
        <f t="shared" si="30"/>
        <v>701</v>
      </c>
      <c r="AU9" s="179">
        <f t="shared" si="30"/>
        <v>707</v>
      </c>
      <c r="AV9" s="201">
        <f>SUM(AJ9:AU9)</f>
        <v>7740</v>
      </c>
      <c r="AW9" s="184">
        <f t="shared" si="26"/>
        <v>645</v>
      </c>
    </row>
    <row r="10" spans="1:49">
      <c r="D10" s="179">
        <f>+D7+D8+D9</f>
        <v>74</v>
      </c>
      <c r="E10" s="179">
        <f t="shared" ref="E10:P10" si="31">+E7+E8+E9</f>
        <v>203</v>
      </c>
      <c r="F10" s="179">
        <f t="shared" si="31"/>
        <v>353</v>
      </c>
      <c r="G10" s="179">
        <f t="shared" si="31"/>
        <v>500</v>
      </c>
      <c r="H10" s="179">
        <f t="shared" si="31"/>
        <v>651</v>
      </c>
      <c r="I10" s="179">
        <f t="shared" si="31"/>
        <v>819</v>
      </c>
      <c r="J10" s="179">
        <f t="shared" si="31"/>
        <v>1013</v>
      </c>
      <c r="K10" s="179">
        <f t="shared" si="31"/>
        <v>1240</v>
      </c>
      <c r="L10" s="179">
        <f t="shared" si="31"/>
        <v>1509</v>
      </c>
      <c r="M10" s="179">
        <f t="shared" si="31"/>
        <v>1829</v>
      </c>
      <c r="N10" s="179">
        <f t="shared" si="31"/>
        <v>2208</v>
      </c>
      <c r="O10" s="179">
        <f t="shared" si="31"/>
        <v>2659</v>
      </c>
      <c r="P10" s="201">
        <f t="shared" si="31"/>
        <v>13058</v>
      </c>
      <c r="Q10" s="184">
        <f t="shared" si="18"/>
        <v>1088.1666666666667</v>
      </c>
      <c r="T10" s="179">
        <f t="shared" ref="T10:V10" si="32">+T7+T8+T9</f>
        <v>3126</v>
      </c>
      <c r="U10" s="179">
        <f t="shared" si="32"/>
        <v>3555</v>
      </c>
      <c r="V10" s="179">
        <f t="shared" si="32"/>
        <v>3946</v>
      </c>
      <c r="W10" s="179">
        <f t="shared" ref="W10" si="33">+W7+W8+W9</f>
        <v>4295</v>
      </c>
      <c r="X10" s="179">
        <f t="shared" ref="X10" si="34">+X7+X8+X9</f>
        <v>4599</v>
      </c>
      <c r="Y10" s="179">
        <f t="shared" ref="Y10" si="35">+Y7+Y8+Y9</f>
        <v>4861</v>
      </c>
      <c r="Z10" s="179">
        <f t="shared" ref="Z10" si="36">+Z7+Z8+Z9</f>
        <v>5083</v>
      </c>
      <c r="AA10" s="179">
        <f t="shared" ref="AA10" si="37">+AA7+AA8+AA9</f>
        <v>5269</v>
      </c>
      <c r="AB10" s="179">
        <f t="shared" ref="AB10" si="38">+AB7+AB8+AB9</f>
        <v>5423</v>
      </c>
      <c r="AC10" s="179">
        <f t="shared" ref="AC10" si="39">+AC7+AC8+AC9</f>
        <v>5550</v>
      </c>
      <c r="AD10" s="179">
        <f t="shared" ref="AD10" si="40">+AD7+AD8+AD9</f>
        <v>5654</v>
      </c>
      <c r="AE10" s="179">
        <f t="shared" ref="AE10:AF10" si="41">+AE7+AE8+AE9</f>
        <v>5738</v>
      </c>
      <c r="AF10" s="201">
        <f t="shared" si="41"/>
        <v>57099</v>
      </c>
      <c r="AG10" s="184">
        <f t="shared" si="23"/>
        <v>4758.25</v>
      </c>
      <c r="AJ10" s="179">
        <f t="shared" ref="AJ10" si="42">+AJ7+AJ8+AJ9</f>
        <v>5813</v>
      </c>
      <c r="AK10" s="179">
        <f t="shared" ref="AK10" si="43">+AK7+AK8+AK9</f>
        <v>5890</v>
      </c>
      <c r="AL10" s="179">
        <f t="shared" ref="AL10" si="44">+AL7+AL8+AL9</f>
        <v>5952</v>
      </c>
      <c r="AM10" s="179">
        <f t="shared" ref="AM10" si="45">+AM7+AM8+AM9</f>
        <v>6002</v>
      </c>
      <c r="AN10" s="179">
        <f t="shared" ref="AN10" si="46">+AN7+AN8+AN9</f>
        <v>6559</v>
      </c>
      <c r="AO10" s="179">
        <f t="shared" ref="AO10" si="47">+AO7+AO8+AO9</f>
        <v>7048</v>
      </c>
      <c r="AP10" s="179">
        <f t="shared" ref="AP10" si="48">+AP7+AP8+AP9</f>
        <v>7469</v>
      </c>
      <c r="AQ10" s="179">
        <f t="shared" ref="AQ10" si="49">+AQ7+AQ8+AQ9</f>
        <v>7827</v>
      </c>
      <c r="AR10" s="179">
        <f t="shared" ref="AR10" si="50">+AR7+AR8+AR9</f>
        <v>8128</v>
      </c>
      <c r="AS10" s="179">
        <f t="shared" ref="AS10" si="51">+AS7+AS8+AS9</f>
        <v>8378</v>
      </c>
      <c r="AT10" s="179">
        <f t="shared" ref="AT10" si="52">+AT7+AT8+AT9</f>
        <v>8585</v>
      </c>
      <c r="AU10" s="179">
        <f t="shared" ref="AU10:AV10" si="53">+AU7+AU8+AU9</f>
        <v>8754</v>
      </c>
      <c r="AV10" s="201">
        <f t="shared" si="53"/>
        <v>86405</v>
      </c>
      <c r="AW10" s="184">
        <f t="shared" si="26"/>
        <v>7200.416666666667</v>
      </c>
    </row>
    <row r="11" spans="1:49">
      <c r="Q11" s="208">
        <f>+P10/Q4</f>
        <v>7.2399645154136169E-3</v>
      </c>
      <c r="R11" s="208">
        <f>+P10/R4</f>
        <v>7.7849080810899109E-3</v>
      </c>
      <c r="AG11" s="208">
        <f>+AF10/AG4</f>
        <v>2.9866367893144528E-2</v>
      </c>
      <c r="AW11" s="208">
        <f>+AV10/AW4</f>
        <v>4.2637027278459964E-2</v>
      </c>
    </row>
    <row r="12" spans="1:49">
      <c r="B12" s="177" t="s">
        <v>193</v>
      </c>
      <c r="D12" s="180">
        <f t="shared" ref="D12:E14" si="54">ROUNDUP(D16/(1-$B$6),-2)</f>
        <v>58300</v>
      </c>
      <c r="E12" s="180">
        <f t="shared" si="54"/>
        <v>58300</v>
      </c>
      <c r="F12" s="180">
        <f t="shared" ref="F12:O12" si="55">ROUNDUP(F16/(1-$B$6),-2)</f>
        <v>58300</v>
      </c>
      <c r="G12" s="180">
        <f t="shared" si="55"/>
        <v>58300</v>
      </c>
      <c r="H12" s="180">
        <f t="shared" si="55"/>
        <v>58300</v>
      </c>
      <c r="I12" s="180">
        <f t="shared" si="55"/>
        <v>58300</v>
      </c>
      <c r="J12" s="180">
        <f t="shared" si="55"/>
        <v>58300</v>
      </c>
      <c r="K12" s="180">
        <f t="shared" si="55"/>
        <v>58300</v>
      </c>
      <c r="L12" s="180">
        <f t="shared" si="55"/>
        <v>58300</v>
      </c>
      <c r="M12" s="180">
        <f t="shared" si="55"/>
        <v>58300</v>
      </c>
      <c r="N12" s="180">
        <f t="shared" si="55"/>
        <v>58300</v>
      </c>
      <c r="O12" s="180">
        <f t="shared" si="55"/>
        <v>58300</v>
      </c>
      <c r="P12" s="202">
        <f>SUM(D12:O12)</f>
        <v>699600</v>
      </c>
      <c r="Q12" s="185"/>
      <c r="T12" s="180">
        <f t="shared" ref="T12" si="56">ROUNDUP(T16/(1-$B$6),-2)</f>
        <v>59500</v>
      </c>
      <c r="U12" s="180">
        <f>ROUNDUP(U16/(1-$B$6),-2)</f>
        <v>59500</v>
      </c>
      <c r="V12" s="180">
        <f>ROUNDUP(V16/(1-$B$6),-2)</f>
        <v>59500</v>
      </c>
      <c r="W12" s="180">
        <f t="shared" ref="W12:Z12" si="57">ROUNDUP(W16/(1-$B$6),-2)</f>
        <v>59500</v>
      </c>
      <c r="X12" s="180">
        <f t="shared" si="57"/>
        <v>59500</v>
      </c>
      <c r="Y12" s="180">
        <f t="shared" si="57"/>
        <v>59500</v>
      </c>
      <c r="Z12" s="180">
        <f t="shared" si="57"/>
        <v>59500</v>
      </c>
      <c r="AA12" s="180">
        <f t="shared" ref="AA12:AE12" si="58">ROUNDUP(AA16/(1-$B$6),-2)</f>
        <v>59500</v>
      </c>
      <c r="AB12" s="180">
        <f t="shared" si="58"/>
        <v>59500</v>
      </c>
      <c r="AC12" s="180">
        <f t="shared" si="58"/>
        <v>59500</v>
      </c>
      <c r="AD12" s="180">
        <f t="shared" si="58"/>
        <v>59500</v>
      </c>
      <c r="AE12" s="180">
        <f t="shared" si="58"/>
        <v>59500</v>
      </c>
      <c r="AF12" s="202">
        <f>SUM(T12:AE12)</f>
        <v>714000</v>
      </c>
      <c r="AG12" s="185"/>
      <c r="AJ12" s="180">
        <f>ROUNDUP(AJ16/(1-$B$6),-2)</f>
        <v>60700</v>
      </c>
      <c r="AK12" s="180">
        <f>ROUNDUP(AK16/(1-$B$6),-2)</f>
        <v>60700</v>
      </c>
      <c r="AL12" s="180">
        <f>ROUNDUP(AL16/(1-$B$6),-2)</f>
        <v>60700</v>
      </c>
      <c r="AM12" s="180">
        <f t="shared" ref="AM12:AU12" si="59">ROUNDUP(AM16/(1-$B$6),-2)</f>
        <v>60700</v>
      </c>
      <c r="AN12" s="180">
        <f t="shared" si="59"/>
        <v>60700</v>
      </c>
      <c r="AO12" s="180">
        <f t="shared" si="59"/>
        <v>60700</v>
      </c>
      <c r="AP12" s="180">
        <f t="shared" si="59"/>
        <v>60700</v>
      </c>
      <c r="AQ12" s="180">
        <f t="shared" si="59"/>
        <v>60700</v>
      </c>
      <c r="AR12" s="180">
        <f t="shared" si="59"/>
        <v>60700</v>
      </c>
      <c r="AS12" s="180">
        <f t="shared" si="59"/>
        <v>60700</v>
      </c>
      <c r="AT12" s="180">
        <f t="shared" si="59"/>
        <v>60700</v>
      </c>
      <c r="AU12" s="180">
        <f t="shared" si="59"/>
        <v>60700</v>
      </c>
      <c r="AV12" s="202">
        <f>SUM(AJ12:AU12)</f>
        <v>728400</v>
      </c>
      <c r="AW12" s="185"/>
    </row>
    <row r="13" spans="1:49">
      <c r="A13" s="177" t="s">
        <v>208</v>
      </c>
      <c r="B13" s="177" t="s">
        <v>194</v>
      </c>
      <c r="D13" s="180">
        <f t="shared" si="54"/>
        <v>61700</v>
      </c>
      <c r="E13" s="180">
        <f t="shared" si="54"/>
        <v>61700</v>
      </c>
      <c r="F13" s="180">
        <f t="shared" ref="F13:O13" si="60">ROUNDUP(F17/(1-$B$6),-2)</f>
        <v>61700</v>
      </c>
      <c r="G13" s="180">
        <f t="shared" si="60"/>
        <v>61700</v>
      </c>
      <c r="H13" s="180">
        <f t="shared" si="60"/>
        <v>61700</v>
      </c>
      <c r="I13" s="180">
        <f t="shared" si="60"/>
        <v>61700</v>
      </c>
      <c r="J13" s="180">
        <f t="shared" si="60"/>
        <v>61700</v>
      </c>
      <c r="K13" s="180">
        <f t="shared" si="60"/>
        <v>61700</v>
      </c>
      <c r="L13" s="180">
        <f t="shared" si="60"/>
        <v>61700</v>
      </c>
      <c r="M13" s="180">
        <f t="shared" si="60"/>
        <v>61700</v>
      </c>
      <c r="N13" s="180">
        <f t="shared" si="60"/>
        <v>61700</v>
      </c>
      <c r="O13" s="180">
        <f t="shared" si="60"/>
        <v>61700</v>
      </c>
      <c r="P13" s="202">
        <f>SUM(D13:O13)</f>
        <v>740400</v>
      </c>
      <c r="Q13" s="185"/>
      <c r="T13" s="180">
        <f t="shared" ref="T13:U13" si="61">ROUNDUP(T17/(1-$B$6),-2)</f>
        <v>63000</v>
      </c>
      <c r="U13" s="180">
        <f t="shared" si="61"/>
        <v>63000</v>
      </c>
      <c r="V13" s="180">
        <f t="shared" ref="V13:W13" si="62">ROUNDUP(V17/(1-$B$6),-2)</f>
        <v>63000</v>
      </c>
      <c r="W13" s="180">
        <f t="shared" si="62"/>
        <v>63000</v>
      </c>
      <c r="X13" s="180">
        <f t="shared" ref="X13:Z13" si="63">ROUNDUP(X17/(1-$B$6),-2)</f>
        <v>63000</v>
      </c>
      <c r="Y13" s="180">
        <f t="shared" si="63"/>
        <v>63000</v>
      </c>
      <c r="Z13" s="180">
        <f t="shared" si="63"/>
        <v>63000</v>
      </c>
      <c r="AA13" s="180">
        <f t="shared" ref="AA13:AE13" si="64">ROUNDUP(AA17/(1-$B$6),-2)</f>
        <v>63000</v>
      </c>
      <c r="AB13" s="180">
        <f t="shared" si="64"/>
        <v>63000</v>
      </c>
      <c r="AC13" s="180">
        <f t="shared" si="64"/>
        <v>63000</v>
      </c>
      <c r="AD13" s="180">
        <f t="shared" si="64"/>
        <v>63000</v>
      </c>
      <c r="AE13" s="180">
        <f t="shared" si="64"/>
        <v>63000</v>
      </c>
      <c r="AF13" s="202">
        <f>SUM(T13:AE13)</f>
        <v>756000</v>
      </c>
      <c r="AG13" s="185"/>
      <c r="AJ13" s="180">
        <f t="shared" ref="AJ13:AU13" si="65">ROUNDUP(AJ17/(1-$B$6),-2)</f>
        <v>64200</v>
      </c>
      <c r="AK13" s="180">
        <f t="shared" si="65"/>
        <v>64200</v>
      </c>
      <c r="AL13" s="180">
        <f t="shared" si="65"/>
        <v>64200</v>
      </c>
      <c r="AM13" s="180">
        <f t="shared" si="65"/>
        <v>64200</v>
      </c>
      <c r="AN13" s="180">
        <f t="shared" si="65"/>
        <v>64200</v>
      </c>
      <c r="AO13" s="180">
        <f t="shared" si="65"/>
        <v>64200</v>
      </c>
      <c r="AP13" s="180">
        <f t="shared" si="65"/>
        <v>64200</v>
      </c>
      <c r="AQ13" s="180">
        <f t="shared" si="65"/>
        <v>64200</v>
      </c>
      <c r="AR13" s="180">
        <f t="shared" si="65"/>
        <v>64200</v>
      </c>
      <c r="AS13" s="180">
        <f t="shared" si="65"/>
        <v>64200</v>
      </c>
      <c r="AT13" s="180">
        <f t="shared" si="65"/>
        <v>64200</v>
      </c>
      <c r="AU13" s="180">
        <f t="shared" si="65"/>
        <v>64200</v>
      </c>
      <c r="AV13" s="202">
        <f>SUM(AJ13:AU13)</f>
        <v>770400</v>
      </c>
      <c r="AW13" s="185"/>
    </row>
    <row r="14" spans="1:49">
      <c r="B14" s="177" t="s">
        <v>195</v>
      </c>
      <c r="D14" s="180">
        <f t="shared" si="54"/>
        <v>64700</v>
      </c>
      <c r="E14" s="180">
        <f t="shared" si="54"/>
        <v>64700</v>
      </c>
      <c r="F14" s="180">
        <f t="shared" ref="F14:O14" si="66">ROUNDUP(F18/(1-$B$6),-2)</f>
        <v>64700</v>
      </c>
      <c r="G14" s="180">
        <f t="shared" si="66"/>
        <v>64700</v>
      </c>
      <c r="H14" s="180">
        <f t="shared" si="66"/>
        <v>64700</v>
      </c>
      <c r="I14" s="180">
        <f t="shared" si="66"/>
        <v>64700</v>
      </c>
      <c r="J14" s="180">
        <f t="shared" si="66"/>
        <v>64700</v>
      </c>
      <c r="K14" s="180">
        <f t="shared" si="66"/>
        <v>64700</v>
      </c>
      <c r="L14" s="180">
        <f t="shared" si="66"/>
        <v>64700</v>
      </c>
      <c r="M14" s="180">
        <f t="shared" si="66"/>
        <v>64700</v>
      </c>
      <c r="N14" s="180">
        <f t="shared" si="66"/>
        <v>64700</v>
      </c>
      <c r="O14" s="180">
        <f t="shared" si="66"/>
        <v>64700</v>
      </c>
      <c r="P14" s="202">
        <f>SUM(D14:O14)</f>
        <v>776400</v>
      </c>
      <c r="Q14" s="185"/>
      <c r="T14" s="180">
        <f t="shared" ref="T14:U14" si="67">ROUNDUP(T18/(1-$B$6),-2)</f>
        <v>66000</v>
      </c>
      <c r="U14" s="180">
        <f t="shared" si="67"/>
        <v>66000</v>
      </c>
      <c r="V14" s="180">
        <f t="shared" ref="V14:W14" si="68">ROUNDUP(V18/(1-$B$6),-2)</f>
        <v>66000</v>
      </c>
      <c r="W14" s="180">
        <f t="shared" si="68"/>
        <v>66000</v>
      </c>
      <c r="X14" s="180">
        <f t="shared" ref="X14:Z14" si="69">ROUNDUP(X18/(1-$B$6),-2)</f>
        <v>66000</v>
      </c>
      <c r="Y14" s="180">
        <f t="shared" si="69"/>
        <v>66000</v>
      </c>
      <c r="Z14" s="180">
        <f t="shared" si="69"/>
        <v>66000</v>
      </c>
      <c r="AA14" s="180">
        <f t="shared" ref="AA14:AE14" si="70">ROUNDUP(AA18/(1-$B$6),-2)</f>
        <v>66000</v>
      </c>
      <c r="AB14" s="180">
        <f t="shared" si="70"/>
        <v>66000</v>
      </c>
      <c r="AC14" s="180">
        <f t="shared" si="70"/>
        <v>66000</v>
      </c>
      <c r="AD14" s="180">
        <f t="shared" si="70"/>
        <v>66000</v>
      </c>
      <c r="AE14" s="180">
        <f t="shared" si="70"/>
        <v>66000</v>
      </c>
      <c r="AF14" s="202">
        <f>SUM(T14:AE14)</f>
        <v>792000</v>
      </c>
      <c r="AG14" s="185"/>
      <c r="AJ14" s="180">
        <f t="shared" ref="AJ14:AU14" si="71">ROUNDUP(AJ18/(1-$B$6),-2)</f>
        <v>67300</v>
      </c>
      <c r="AK14" s="180">
        <f t="shared" si="71"/>
        <v>67300</v>
      </c>
      <c r="AL14" s="180">
        <f t="shared" si="71"/>
        <v>67300</v>
      </c>
      <c r="AM14" s="180">
        <f t="shared" si="71"/>
        <v>67300</v>
      </c>
      <c r="AN14" s="180">
        <f t="shared" si="71"/>
        <v>67300</v>
      </c>
      <c r="AO14" s="180">
        <f t="shared" si="71"/>
        <v>67300</v>
      </c>
      <c r="AP14" s="180">
        <f t="shared" si="71"/>
        <v>67300</v>
      </c>
      <c r="AQ14" s="180">
        <f t="shared" si="71"/>
        <v>67300</v>
      </c>
      <c r="AR14" s="180">
        <f t="shared" si="71"/>
        <v>67300</v>
      </c>
      <c r="AS14" s="180">
        <f t="shared" si="71"/>
        <v>67300</v>
      </c>
      <c r="AT14" s="180">
        <f t="shared" si="71"/>
        <v>67300</v>
      </c>
      <c r="AU14" s="180">
        <f t="shared" si="71"/>
        <v>67300</v>
      </c>
      <c r="AV14" s="202">
        <f>SUM(AJ14:AU14)</f>
        <v>807600</v>
      </c>
      <c r="AW14" s="185"/>
    </row>
    <row r="15" spans="1:49"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202"/>
      <c r="Q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202"/>
      <c r="AG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202"/>
      <c r="AW15" s="180"/>
    </row>
    <row r="16" spans="1:49">
      <c r="B16" s="177" t="s">
        <v>193</v>
      </c>
      <c r="D16" s="180">
        <v>31470</v>
      </c>
      <c r="E16" s="180">
        <f>+D16</f>
        <v>31470</v>
      </c>
      <c r="F16" s="180">
        <f t="shared" ref="F16:O16" si="72">+E16</f>
        <v>31470</v>
      </c>
      <c r="G16" s="180">
        <f t="shared" si="72"/>
        <v>31470</v>
      </c>
      <c r="H16" s="180">
        <f t="shared" si="72"/>
        <v>31470</v>
      </c>
      <c r="I16" s="180">
        <f t="shared" si="72"/>
        <v>31470</v>
      </c>
      <c r="J16" s="180">
        <f t="shared" si="72"/>
        <v>31470</v>
      </c>
      <c r="K16" s="180">
        <f t="shared" si="72"/>
        <v>31470</v>
      </c>
      <c r="L16" s="180">
        <f t="shared" si="72"/>
        <v>31470</v>
      </c>
      <c r="M16" s="180">
        <f t="shared" si="72"/>
        <v>31470</v>
      </c>
      <c r="N16" s="180">
        <f t="shared" si="72"/>
        <v>31470</v>
      </c>
      <c r="O16" s="180">
        <f t="shared" si="72"/>
        <v>31470</v>
      </c>
      <c r="P16" s="202">
        <f>SUM(D16:O16)</f>
        <v>377640</v>
      </c>
      <c r="Q16" s="185"/>
      <c r="R16" s="182">
        <v>0.02</v>
      </c>
      <c r="S16" s="180">
        <f>+O16*(1+$R$16)</f>
        <v>32099.4</v>
      </c>
      <c r="T16" s="180">
        <f t="shared" ref="T16" si="73">+S16</f>
        <v>32099.4</v>
      </c>
      <c r="U16" s="180">
        <f>+T16</f>
        <v>32099.4</v>
      </c>
      <c r="V16" s="180">
        <f>+U16</f>
        <v>32099.4</v>
      </c>
      <c r="W16" s="180">
        <f t="shared" ref="W16:Z16" si="74">+V16</f>
        <v>32099.4</v>
      </c>
      <c r="X16" s="180">
        <f t="shared" si="74"/>
        <v>32099.4</v>
      </c>
      <c r="Y16" s="180">
        <f t="shared" si="74"/>
        <v>32099.4</v>
      </c>
      <c r="Z16" s="180">
        <f t="shared" si="74"/>
        <v>32099.4</v>
      </c>
      <c r="AA16" s="180">
        <f t="shared" ref="AA16:AE16" si="75">+Z16</f>
        <v>32099.4</v>
      </c>
      <c r="AB16" s="180">
        <f t="shared" si="75"/>
        <v>32099.4</v>
      </c>
      <c r="AC16" s="180">
        <f t="shared" si="75"/>
        <v>32099.4</v>
      </c>
      <c r="AD16" s="180">
        <f t="shared" si="75"/>
        <v>32099.4</v>
      </c>
      <c r="AE16" s="180">
        <f t="shared" si="75"/>
        <v>32099.4</v>
      </c>
      <c r="AF16" s="202">
        <f>SUM(T16:AE16)</f>
        <v>385192.80000000005</v>
      </c>
      <c r="AG16" s="185"/>
      <c r="AH16" s="182">
        <v>0.02</v>
      </c>
      <c r="AI16" s="180">
        <f>+AE16*(1+$R$16)</f>
        <v>32741.388000000003</v>
      </c>
      <c r="AJ16" s="180">
        <f>+AI16</f>
        <v>32741.388000000003</v>
      </c>
      <c r="AK16" s="180">
        <f>+AJ16</f>
        <v>32741.388000000003</v>
      </c>
      <c r="AL16" s="180">
        <f>+AK16</f>
        <v>32741.388000000003</v>
      </c>
      <c r="AM16" s="180">
        <f t="shared" ref="AM16:AU16" si="76">+AL16</f>
        <v>32741.388000000003</v>
      </c>
      <c r="AN16" s="180">
        <f t="shared" si="76"/>
        <v>32741.388000000003</v>
      </c>
      <c r="AO16" s="180">
        <f t="shared" si="76"/>
        <v>32741.388000000003</v>
      </c>
      <c r="AP16" s="180">
        <f t="shared" si="76"/>
        <v>32741.388000000003</v>
      </c>
      <c r="AQ16" s="180">
        <f t="shared" si="76"/>
        <v>32741.388000000003</v>
      </c>
      <c r="AR16" s="180">
        <f t="shared" si="76"/>
        <v>32741.388000000003</v>
      </c>
      <c r="AS16" s="180">
        <f t="shared" si="76"/>
        <v>32741.388000000003</v>
      </c>
      <c r="AT16" s="180">
        <f t="shared" si="76"/>
        <v>32741.388000000003</v>
      </c>
      <c r="AU16" s="180">
        <f t="shared" si="76"/>
        <v>32741.388000000003</v>
      </c>
      <c r="AV16" s="202">
        <f>SUM(AJ16:AU16)</f>
        <v>392896.65599999996</v>
      </c>
      <c r="AW16" s="185"/>
    </row>
    <row r="17" spans="1:50">
      <c r="A17" s="177" t="s">
        <v>209</v>
      </c>
      <c r="B17" s="177" t="s">
        <v>194</v>
      </c>
      <c r="D17" s="180">
        <v>33310</v>
      </c>
      <c r="E17" s="180">
        <f>+D17</f>
        <v>33310</v>
      </c>
      <c r="F17" s="180">
        <f t="shared" ref="F17:O17" si="77">+E17</f>
        <v>33310</v>
      </c>
      <c r="G17" s="180">
        <f t="shared" si="77"/>
        <v>33310</v>
      </c>
      <c r="H17" s="180">
        <f t="shared" si="77"/>
        <v>33310</v>
      </c>
      <c r="I17" s="180">
        <f t="shared" si="77"/>
        <v>33310</v>
      </c>
      <c r="J17" s="180">
        <f t="shared" si="77"/>
        <v>33310</v>
      </c>
      <c r="K17" s="180">
        <f t="shared" si="77"/>
        <v>33310</v>
      </c>
      <c r="L17" s="180">
        <f t="shared" si="77"/>
        <v>33310</v>
      </c>
      <c r="M17" s="180">
        <f t="shared" si="77"/>
        <v>33310</v>
      </c>
      <c r="N17" s="180">
        <f t="shared" si="77"/>
        <v>33310</v>
      </c>
      <c r="O17" s="180">
        <f t="shared" si="77"/>
        <v>33310</v>
      </c>
      <c r="P17" s="202">
        <f>SUM(D17:O17)</f>
        <v>399720</v>
      </c>
      <c r="Q17" s="185"/>
      <c r="S17" s="180">
        <f t="shared" ref="S17:S18" si="78">+O17*(1+$R$16)</f>
        <v>33976.199999999997</v>
      </c>
      <c r="T17" s="180">
        <f t="shared" ref="T17:U17" si="79">+S17</f>
        <v>33976.199999999997</v>
      </c>
      <c r="U17" s="180">
        <f t="shared" si="79"/>
        <v>33976.199999999997</v>
      </c>
      <c r="V17" s="180">
        <f t="shared" ref="V17:W17" si="80">+U17</f>
        <v>33976.199999999997</v>
      </c>
      <c r="W17" s="180">
        <f t="shared" si="80"/>
        <v>33976.199999999997</v>
      </c>
      <c r="X17" s="180">
        <f t="shared" ref="X17:Z17" si="81">+W17</f>
        <v>33976.199999999997</v>
      </c>
      <c r="Y17" s="180">
        <f t="shared" si="81"/>
        <v>33976.199999999997</v>
      </c>
      <c r="Z17" s="180">
        <f t="shared" si="81"/>
        <v>33976.199999999997</v>
      </c>
      <c r="AA17" s="180">
        <f t="shared" ref="AA17:AE17" si="82">+Z17</f>
        <v>33976.199999999997</v>
      </c>
      <c r="AB17" s="180">
        <f t="shared" si="82"/>
        <v>33976.199999999997</v>
      </c>
      <c r="AC17" s="180">
        <f t="shared" si="82"/>
        <v>33976.199999999997</v>
      </c>
      <c r="AD17" s="180">
        <f t="shared" si="82"/>
        <v>33976.199999999997</v>
      </c>
      <c r="AE17" s="180">
        <f t="shared" si="82"/>
        <v>33976.199999999997</v>
      </c>
      <c r="AF17" s="202">
        <f>SUM(T17:AE17)</f>
        <v>407714.40000000008</v>
      </c>
      <c r="AG17" s="185"/>
      <c r="AI17" s="180">
        <f t="shared" ref="AI17:AI18" si="83">+AE17*(1+$R$16)</f>
        <v>34655.723999999995</v>
      </c>
      <c r="AJ17" s="180">
        <f t="shared" ref="AJ17:AU17" si="84">+AI17</f>
        <v>34655.723999999995</v>
      </c>
      <c r="AK17" s="180">
        <f t="shared" si="84"/>
        <v>34655.723999999995</v>
      </c>
      <c r="AL17" s="180">
        <f t="shared" si="84"/>
        <v>34655.723999999995</v>
      </c>
      <c r="AM17" s="180">
        <f t="shared" si="84"/>
        <v>34655.723999999995</v>
      </c>
      <c r="AN17" s="180">
        <f t="shared" si="84"/>
        <v>34655.723999999995</v>
      </c>
      <c r="AO17" s="180">
        <f t="shared" si="84"/>
        <v>34655.723999999995</v>
      </c>
      <c r="AP17" s="180">
        <f t="shared" si="84"/>
        <v>34655.723999999995</v>
      </c>
      <c r="AQ17" s="180">
        <f t="shared" si="84"/>
        <v>34655.723999999995</v>
      </c>
      <c r="AR17" s="180">
        <f t="shared" si="84"/>
        <v>34655.723999999995</v>
      </c>
      <c r="AS17" s="180">
        <f t="shared" si="84"/>
        <v>34655.723999999995</v>
      </c>
      <c r="AT17" s="180">
        <f t="shared" si="84"/>
        <v>34655.723999999995</v>
      </c>
      <c r="AU17" s="180">
        <f t="shared" si="84"/>
        <v>34655.723999999995</v>
      </c>
      <c r="AV17" s="202">
        <f>SUM(AJ17:AU17)</f>
        <v>415868.68799999991</v>
      </c>
      <c r="AW17" s="185"/>
    </row>
    <row r="18" spans="1:50">
      <c r="B18" s="177" t="s">
        <v>195</v>
      </c>
      <c r="D18" s="180">
        <v>34900</v>
      </c>
      <c r="E18" s="180">
        <f>+D18</f>
        <v>34900</v>
      </c>
      <c r="F18" s="180">
        <f t="shared" ref="F18:O18" si="85">+E18</f>
        <v>34900</v>
      </c>
      <c r="G18" s="180">
        <f t="shared" si="85"/>
        <v>34900</v>
      </c>
      <c r="H18" s="180">
        <f t="shared" si="85"/>
        <v>34900</v>
      </c>
      <c r="I18" s="180">
        <f t="shared" si="85"/>
        <v>34900</v>
      </c>
      <c r="J18" s="180">
        <f t="shared" si="85"/>
        <v>34900</v>
      </c>
      <c r="K18" s="180">
        <f t="shared" si="85"/>
        <v>34900</v>
      </c>
      <c r="L18" s="180">
        <f t="shared" si="85"/>
        <v>34900</v>
      </c>
      <c r="M18" s="180">
        <f t="shared" si="85"/>
        <v>34900</v>
      </c>
      <c r="N18" s="180">
        <f t="shared" si="85"/>
        <v>34900</v>
      </c>
      <c r="O18" s="180">
        <f t="shared" si="85"/>
        <v>34900</v>
      </c>
      <c r="P18" s="202">
        <f>SUM(D18:O18)</f>
        <v>418800</v>
      </c>
      <c r="Q18" s="185"/>
      <c r="S18" s="180">
        <f t="shared" si="78"/>
        <v>35598</v>
      </c>
      <c r="T18" s="180">
        <f t="shared" ref="T18:U18" si="86">+S18</f>
        <v>35598</v>
      </c>
      <c r="U18" s="180">
        <f t="shared" si="86"/>
        <v>35598</v>
      </c>
      <c r="V18" s="180">
        <f t="shared" ref="V18:W18" si="87">+U18</f>
        <v>35598</v>
      </c>
      <c r="W18" s="180">
        <f t="shared" si="87"/>
        <v>35598</v>
      </c>
      <c r="X18" s="180">
        <f t="shared" ref="X18:Z18" si="88">+W18</f>
        <v>35598</v>
      </c>
      <c r="Y18" s="180">
        <f t="shared" si="88"/>
        <v>35598</v>
      </c>
      <c r="Z18" s="180">
        <f t="shared" si="88"/>
        <v>35598</v>
      </c>
      <c r="AA18" s="180">
        <f t="shared" ref="AA18:AE18" si="89">+Z18</f>
        <v>35598</v>
      </c>
      <c r="AB18" s="180">
        <f t="shared" si="89"/>
        <v>35598</v>
      </c>
      <c r="AC18" s="180">
        <f t="shared" si="89"/>
        <v>35598</v>
      </c>
      <c r="AD18" s="180">
        <f t="shared" si="89"/>
        <v>35598</v>
      </c>
      <c r="AE18" s="180">
        <f t="shared" si="89"/>
        <v>35598</v>
      </c>
      <c r="AF18" s="202">
        <f>SUM(T18:AE18)</f>
        <v>427176</v>
      </c>
      <c r="AG18" s="185"/>
      <c r="AI18" s="180">
        <f t="shared" si="83"/>
        <v>36309.96</v>
      </c>
      <c r="AJ18" s="180">
        <f t="shared" ref="AJ18:AU18" si="90">+AI18</f>
        <v>36309.96</v>
      </c>
      <c r="AK18" s="180">
        <f t="shared" si="90"/>
        <v>36309.96</v>
      </c>
      <c r="AL18" s="180">
        <f t="shared" si="90"/>
        <v>36309.96</v>
      </c>
      <c r="AM18" s="180">
        <f t="shared" si="90"/>
        <v>36309.96</v>
      </c>
      <c r="AN18" s="180">
        <f t="shared" si="90"/>
        <v>36309.96</v>
      </c>
      <c r="AO18" s="180">
        <f t="shared" si="90"/>
        <v>36309.96</v>
      </c>
      <c r="AP18" s="180">
        <f t="shared" si="90"/>
        <v>36309.96</v>
      </c>
      <c r="AQ18" s="180">
        <f t="shared" si="90"/>
        <v>36309.96</v>
      </c>
      <c r="AR18" s="180">
        <f t="shared" si="90"/>
        <v>36309.96</v>
      </c>
      <c r="AS18" s="180">
        <f t="shared" si="90"/>
        <v>36309.96</v>
      </c>
      <c r="AT18" s="180">
        <f t="shared" si="90"/>
        <v>36309.96</v>
      </c>
      <c r="AU18" s="180">
        <f t="shared" si="90"/>
        <v>36309.96</v>
      </c>
      <c r="AV18" s="202">
        <f>SUM(AJ18:AU18)</f>
        <v>435719.52000000008</v>
      </c>
      <c r="AW18" s="185"/>
    </row>
    <row r="19" spans="1:50"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202"/>
      <c r="Q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202"/>
      <c r="AG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202"/>
      <c r="AW19" s="180"/>
    </row>
    <row r="20" spans="1:50">
      <c r="B20" s="177" t="s">
        <v>193</v>
      </c>
      <c r="D20" s="180">
        <f t="shared" ref="D20:E22" si="91">+SUMPRODUCT(D7,D12)</f>
        <v>1282600</v>
      </c>
      <c r="E20" s="180">
        <f t="shared" si="91"/>
        <v>3964400</v>
      </c>
      <c r="F20" s="180">
        <f t="shared" ref="F20:O20" si="92">+SUMPRODUCT(F7,F12)</f>
        <v>7404100</v>
      </c>
      <c r="G20" s="180">
        <f t="shared" si="92"/>
        <v>11310200</v>
      </c>
      <c r="H20" s="180">
        <f t="shared" si="92"/>
        <v>15566100</v>
      </c>
      <c r="I20" s="180">
        <f t="shared" si="92"/>
        <v>20521600</v>
      </c>
      <c r="J20" s="180">
        <f t="shared" si="92"/>
        <v>26468200</v>
      </c>
      <c r="K20" s="180">
        <f t="shared" si="92"/>
        <v>33639100</v>
      </c>
      <c r="L20" s="180">
        <f t="shared" si="92"/>
        <v>42384100</v>
      </c>
      <c r="M20" s="180">
        <f t="shared" si="92"/>
        <v>53111300</v>
      </c>
      <c r="N20" s="180">
        <f t="shared" si="92"/>
        <v>66112200</v>
      </c>
      <c r="O20" s="180">
        <f t="shared" si="92"/>
        <v>81969800</v>
      </c>
      <c r="P20" s="202">
        <f>SUM(D20:O20)</f>
        <v>363733700</v>
      </c>
      <c r="Q20" s="180">
        <f>+P20/12</f>
        <v>30311141.666666668</v>
      </c>
      <c r="T20" s="180">
        <f t="shared" ref="T20" si="93">+SUMPRODUCT(T7,T12)</f>
        <v>100376500</v>
      </c>
      <c r="U20" s="180">
        <f t="shared" ref="U20:V22" si="94">+SUMPRODUCT(U7,U12)</f>
        <v>116441500</v>
      </c>
      <c r="V20" s="180">
        <f t="shared" si="94"/>
        <v>131316500</v>
      </c>
      <c r="W20" s="180">
        <f t="shared" ref="W20:Z20" si="95">+SUMPRODUCT(W7,W12)</f>
        <v>144763500</v>
      </c>
      <c r="X20" s="180">
        <f t="shared" si="95"/>
        <v>156604000</v>
      </c>
      <c r="Y20" s="180">
        <f t="shared" si="95"/>
        <v>166838000</v>
      </c>
      <c r="Z20" s="180">
        <f t="shared" si="95"/>
        <v>175584500</v>
      </c>
      <c r="AA20" s="180">
        <f t="shared" ref="AA20:AE20" si="96">+SUMPRODUCT(AA7,AA12)</f>
        <v>182962500</v>
      </c>
      <c r="AB20" s="180">
        <f t="shared" si="96"/>
        <v>189091000</v>
      </c>
      <c r="AC20" s="180">
        <f t="shared" si="96"/>
        <v>194148500</v>
      </c>
      <c r="AD20" s="180">
        <f t="shared" si="96"/>
        <v>198313500</v>
      </c>
      <c r="AE20" s="180">
        <f t="shared" si="96"/>
        <v>201705000</v>
      </c>
      <c r="AF20" s="202">
        <f>SUM(T20:AE20)</f>
        <v>1958145000</v>
      </c>
      <c r="AG20" s="180">
        <f>+AF20/12</f>
        <v>163178750</v>
      </c>
      <c r="AJ20" s="180">
        <f>+SUMPRODUCT(AJ7,AJ12)</f>
        <v>208868700</v>
      </c>
      <c r="AK20" s="180">
        <f>+SUMPRODUCT(AK7,AK12)</f>
        <v>212025100</v>
      </c>
      <c r="AL20" s="180">
        <f>+SUMPRODUCT(AL7,AL12)</f>
        <v>214574500</v>
      </c>
      <c r="AM20" s="180">
        <f t="shared" ref="AM20:AU20" si="97">+SUMPRODUCT(AM7,AM12)</f>
        <v>216638300</v>
      </c>
      <c r="AN20" s="180">
        <f t="shared" si="97"/>
        <v>239522200</v>
      </c>
      <c r="AO20" s="180">
        <f t="shared" si="97"/>
        <v>259735300</v>
      </c>
      <c r="AP20" s="180">
        <f t="shared" si="97"/>
        <v>277277600</v>
      </c>
      <c r="AQ20" s="180">
        <f t="shared" si="97"/>
        <v>292270500</v>
      </c>
      <c r="AR20" s="180">
        <f t="shared" si="97"/>
        <v>304896100</v>
      </c>
      <c r="AS20" s="180">
        <f t="shared" si="97"/>
        <v>315457900</v>
      </c>
      <c r="AT20" s="180">
        <f t="shared" si="97"/>
        <v>324198700</v>
      </c>
      <c r="AU20" s="180">
        <f t="shared" si="97"/>
        <v>331361300</v>
      </c>
      <c r="AV20" s="202">
        <f>SUM(AJ20:AU20)</f>
        <v>3196826200</v>
      </c>
      <c r="AW20" s="180">
        <f>+AV20/12</f>
        <v>266402183.33333334</v>
      </c>
    </row>
    <row r="21" spans="1:50">
      <c r="A21" s="177" t="s">
        <v>210</v>
      </c>
      <c r="B21" s="177" t="s">
        <v>194</v>
      </c>
      <c r="D21" s="180">
        <f t="shared" si="91"/>
        <v>2036100</v>
      </c>
      <c r="E21" s="180">
        <f t="shared" si="91"/>
        <v>5182800</v>
      </c>
      <c r="F21" s="180">
        <f t="shared" ref="F21:O21" si="98">+SUMPRODUCT(F8,F13)</f>
        <v>8576300</v>
      </c>
      <c r="G21" s="180">
        <f t="shared" si="98"/>
        <v>11969800</v>
      </c>
      <c r="H21" s="180">
        <f t="shared" si="98"/>
        <v>15363300</v>
      </c>
      <c r="I21" s="180">
        <f t="shared" si="98"/>
        <v>19003600</v>
      </c>
      <c r="J21" s="180">
        <f t="shared" si="98"/>
        <v>23137500</v>
      </c>
      <c r="K21" s="180">
        <f t="shared" si="98"/>
        <v>27826700</v>
      </c>
      <c r="L21" s="180">
        <f t="shared" si="98"/>
        <v>33256300</v>
      </c>
      <c r="M21" s="180">
        <f t="shared" si="98"/>
        <v>39549700</v>
      </c>
      <c r="N21" s="180">
        <f t="shared" si="98"/>
        <v>46830300</v>
      </c>
      <c r="O21" s="180">
        <f t="shared" si="98"/>
        <v>55283200</v>
      </c>
      <c r="P21" s="202">
        <f>SUM(D21:O21)</f>
        <v>288015600</v>
      </c>
      <c r="Q21" s="180">
        <f>+P21/12</f>
        <v>24001300</v>
      </c>
      <c r="T21" s="180">
        <f t="shared" ref="T21" si="99">+SUMPRODUCT(T8,T13)</f>
        <v>65457000</v>
      </c>
      <c r="U21" s="180">
        <f t="shared" si="94"/>
        <v>73332000</v>
      </c>
      <c r="V21" s="180">
        <f t="shared" si="94"/>
        <v>80388000</v>
      </c>
      <c r="W21" s="180">
        <f t="shared" ref="W21:Z21" si="100">+SUMPRODUCT(W8,W13)</f>
        <v>86562000</v>
      </c>
      <c r="X21" s="180">
        <f t="shared" si="100"/>
        <v>91854000</v>
      </c>
      <c r="Y21" s="180">
        <f t="shared" si="100"/>
        <v>96390000</v>
      </c>
      <c r="Z21" s="180">
        <f t="shared" si="100"/>
        <v>100170000</v>
      </c>
      <c r="AA21" s="180">
        <f t="shared" ref="AA21:AE21" si="101">+SUMPRODUCT(AA8,AA13)</f>
        <v>103320000</v>
      </c>
      <c r="AB21" s="180">
        <f t="shared" si="101"/>
        <v>105903000</v>
      </c>
      <c r="AC21" s="180">
        <f t="shared" si="101"/>
        <v>108045000</v>
      </c>
      <c r="AD21" s="180">
        <f t="shared" si="101"/>
        <v>109809000</v>
      </c>
      <c r="AE21" s="180">
        <f t="shared" si="101"/>
        <v>111195000</v>
      </c>
      <c r="AF21" s="202">
        <f>SUM(T21:AE21)</f>
        <v>1132425000</v>
      </c>
      <c r="AG21" s="180">
        <f>+AF21/12</f>
        <v>94368750</v>
      </c>
      <c r="AJ21" s="180">
        <f t="shared" ref="AJ21:AJ22" si="102">+SUMPRODUCT(AJ8,AJ13)</f>
        <v>114661200</v>
      </c>
      <c r="AK21" s="180">
        <f>+SUMPRODUCT(AK8,AK13)</f>
        <v>116009400</v>
      </c>
      <c r="AL21" s="180">
        <f>+SUMPRODUCT(AL8,AL13)</f>
        <v>117100800</v>
      </c>
      <c r="AM21" s="180">
        <f t="shared" ref="AM21:AU21" si="103">+SUMPRODUCT(AM8,AM13)</f>
        <v>117999600</v>
      </c>
      <c r="AN21" s="180">
        <f t="shared" si="103"/>
        <v>127950600</v>
      </c>
      <c r="AO21" s="180">
        <f t="shared" si="103"/>
        <v>136617600</v>
      </c>
      <c r="AP21" s="180">
        <f t="shared" si="103"/>
        <v>144000600</v>
      </c>
      <c r="AQ21" s="180">
        <f t="shared" si="103"/>
        <v>150228000</v>
      </c>
      <c r="AR21" s="180">
        <f t="shared" si="103"/>
        <v>155428200</v>
      </c>
      <c r="AS21" s="180">
        <f t="shared" si="103"/>
        <v>159729600</v>
      </c>
      <c r="AT21" s="180">
        <f t="shared" si="103"/>
        <v>163260600</v>
      </c>
      <c r="AU21" s="180">
        <f t="shared" si="103"/>
        <v>166149600</v>
      </c>
      <c r="AV21" s="202">
        <f>SUM(AJ21:AU21)</f>
        <v>1669135800</v>
      </c>
      <c r="AW21" s="180">
        <f>+AV21/12</f>
        <v>139094650</v>
      </c>
    </row>
    <row r="22" spans="1:50">
      <c r="B22" s="177" t="s">
        <v>195</v>
      </c>
      <c r="D22" s="180">
        <f t="shared" si="91"/>
        <v>1229300</v>
      </c>
      <c r="E22" s="180">
        <f t="shared" si="91"/>
        <v>3299700</v>
      </c>
      <c r="F22" s="180">
        <f t="shared" ref="F22:O22" si="104">+SUMPRODUCT(F9,F14)</f>
        <v>5628900</v>
      </c>
      <c r="G22" s="180">
        <f t="shared" si="104"/>
        <v>7246400</v>
      </c>
      <c r="H22" s="180">
        <f t="shared" si="104"/>
        <v>8734500</v>
      </c>
      <c r="I22" s="180">
        <f t="shared" si="104"/>
        <v>10287300</v>
      </c>
      <c r="J22" s="180">
        <f t="shared" si="104"/>
        <v>11904800</v>
      </c>
      <c r="K22" s="180">
        <f t="shared" si="104"/>
        <v>13716400</v>
      </c>
      <c r="L22" s="180">
        <f t="shared" si="104"/>
        <v>15722100</v>
      </c>
      <c r="M22" s="180">
        <f t="shared" si="104"/>
        <v>17921900</v>
      </c>
      <c r="N22" s="180">
        <f t="shared" si="104"/>
        <v>20380500</v>
      </c>
      <c r="O22" s="180">
        <f t="shared" si="104"/>
        <v>23097900</v>
      </c>
      <c r="P22" s="202">
        <f>SUM(D22:O22)</f>
        <v>139169700</v>
      </c>
      <c r="Q22" s="180">
        <f>+P22/12</f>
        <v>11597475</v>
      </c>
      <c r="T22" s="180">
        <f t="shared" ref="T22" si="105">+SUMPRODUCT(T9,T14)</f>
        <v>26400000</v>
      </c>
      <c r="U22" s="180">
        <f t="shared" si="94"/>
        <v>28644000</v>
      </c>
      <c r="V22" s="180">
        <f t="shared" si="94"/>
        <v>30558000</v>
      </c>
      <c r="W22" s="180">
        <f t="shared" ref="W22:Z22" si="106">+SUMPRODUCT(W9,W14)</f>
        <v>32208000</v>
      </c>
      <c r="X22" s="180">
        <f t="shared" si="106"/>
        <v>33594000</v>
      </c>
      <c r="Y22" s="180">
        <f t="shared" si="106"/>
        <v>34782000</v>
      </c>
      <c r="Z22" s="180">
        <f t="shared" si="106"/>
        <v>35772000</v>
      </c>
      <c r="AA22" s="180">
        <f t="shared" ref="AA22:AE22" si="107">+SUMPRODUCT(AA9,AA14)</f>
        <v>36564000</v>
      </c>
      <c r="AB22" s="180">
        <f t="shared" si="107"/>
        <v>37224000</v>
      </c>
      <c r="AC22" s="180">
        <f t="shared" si="107"/>
        <v>37752000</v>
      </c>
      <c r="AD22" s="180">
        <f t="shared" si="107"/>
        <v>38148000</v>
      </c>
      <c r="AE22" s="180">
        <f t="shared" si="107"/>
        <v>38478000</v>
      </c>
      <c r="AF22" s="202">
        <f>SUM(T22:AE22)</f>
        <v>410124000</v>
      </c>
      <c r="AG22" s="180">
        <f>+AF22/12</f>
        <v>34177000</v>
      </c>
      <c r="AJ22" s="180">
        <f t="shared" si="102"/>
        <v>39437800</v>
      </c>
      <c r="AK22" s="180">
        <f>+SUMPRODUCT(AK9,AK14)</f>
        <v>39707000</v>
      </c>
      <c r="AL22" s="180">
        <f>+SUMPRODUCT(AL9,AL14)</f>
        <v>39908900</v>
      </c>
      <c r="AM22" s="180">
        <f t="shared" ref="AM22:AU22" si="108">+SUMPRODUCT(AM9,AM14)</f>
        <v>40043500</v>
      </c>
      <c r="AN22" s="180">
        <f t="shared" si="108"/>
        <v>41726000</v>
      </c>
      <c r="AO22" s="180">
        <f t="shared" si="108"/>
        <v>43139300</v>
      </c>
      <c r="AP22" s="180">
        <f t="shared" si="108"/>
        <v>44283400</v>
      </c>
      <c r="AQ22" s="180">
        <f t="shared" si="108"/>
        <v>45225600</v>
      </c>
      <c r="AR22" s="180">
        <f t="shared" si="108"/>
        <v>46033200</v>
      </c>
      <c r="AS22" s="180">
        <f t="shared" si="108"/>
        <v>46638900</v>
      </c>
      <c r="AT22" s="180">
        <f t="shared" si="108"/>
        <v>47177300</v>
      </c>
      <c r="AU22" s="180">
        <f t="shared" si="108"/>
        <v>47581100</v>
      </c>
      <c r="AV22" s="202">
        <f>SUM(AJ22:AU22)</f>
        <v>520902000</v>
      </c>
      <c r="AW22" s="180">
        <f>+AV22/12</f>
        <v>43408500</v>
      </c>
    </row>
    <row r="23" spans="1:50">
      <c r="D23" s="180">
        <f>+D20+D21+D22</f>
        <v>4548000</v>
      </c>
      <c r="E23" s="180">
        <f>+E20+E21+E22</f>
        <v>12446900</v>
      </c>
      <c r="F23" s="180">
        <f t="shared" ref="F23:O23" si="109">+F20+F21+F22</f>
        <v>21609300</v>
      </c>
      <c r="G23" s="180">
        <f t="shared" si="109"/>
        <v>30526400</v>
      </c>
      <c r="H23" s="180">
        <f t="shared" si="109"/>
        <v>39663900</v>
      </c>
      <c r="I23" s="180">
        <f t="shared" si="109"/>
        <v>49812500</v>
      </c>
      <c r="J23" s="180">
        <f t="shared" si="109"/>
        <v>61510500</v>
      </c>
      <c r="K23" s="180">
        <f t="shared" si="109"/>
        <v>75182200</v>
      </c>
      <c r="L23" s="180">
        <f t="shared" si="109"/>
        <v>91362500</v>
      </c>
      <c r="M23" s="180">
        <f t="shared" si="109"/>
        <v>110582900</v>
      </c>
      <c r="N23" s="180">
        <f t="shared" si="109"/>
        <v>133323000</v>
      </c>
      <c r="O23" s="180">
        <f t="shared" si="109"/>
        <v>160350900</v>
      </c>
      <c r="P23" s="202">
        <f>SUM(D23:O23)</f>
        <v>790919000</v>
      </c>
      <c r="Q23" s="180">
        <f>+P23/12</f>
        <v>65909916.666666664</v>
      </c>
      <c r="R23" s="180">
        <f>+P23/P10</f>
        <v>60569.689079491502</v>
      </c>
      <c r="T23" s="180">
        <f t="shared" ref="T23:V23" si="110">+T20+T21+T22</f>
        <v>192233500</v>
      </c>
      <c r="U23" s="180">
        <f t="shared" si="110"/>
        <v>218417500</v>
      </c>
      <c r="V23" s="180">
        <f t="shared" si="110"/>
        <v>242262500</v>
      </c>
      <c r="W23" s="180">
        <f t="shared" ref="W23" si="111">+W20+W21+W22</f>
        <v>263533500</v>
      </c>
      <c r="X23" s="180">
        <f t="shared" ref="X23" si="112">+X20+X21+X22</f>
        <v>282052000</v>
      </c>
      <c r="Y23" s="180">
        <f t="shared" ref="Y23" si="113">+Y20+Y21+Y22</f>
        <v>298010000</v>
      </c>
      <c r="Z23" s="180">
        <f t="shared" ref="Z23" si="114">+Z20+Z21+Z22</f>
        <v>311526500</v>
      </c>
      <c r="AA23" s="180">
        <f t="shared" ref="AA23" si="115">+AA20+AA21+AA22</f>
        <v>322846500</v>
      </c>
      <c r="AB23" s="180">
        <f t="shared" ref="AB23" si="116">+AB20+AB21+AB22</f>
        <v>332218000</v>
      </c>
      <c r="AC23" s="180">
        <f t="shared" ref="AC23" si="117">+AC20+AC21+AC22</f>
        <v>339945500</v>
      </c>
      <c r="AD23" s="180">
        <f t="shared" ref="AD23" si="118">+AD20+AD21+AD22</f>
        <v>346270500</v>
      </c>
      <c r="AE23" s="180">
        <f t="shared" ref="AE23" si="119">+AE20+AE21+AE22</f>
        <v>351378000</v>
      </c>
      <c r="AF23" s="202">
        <f>SUM(T23:AE23)</f>
        <v>3500694000</v>
      </c>
      <c r="AG23" s="180">
        <f>+AF23/12</f>
        <v>291724500</v>
      </c>
      <c r="AH23" s="180">
        <f>+AF23/AF10</f>
        <v>61309.199810854829</v>
      </c>
      <c r="AJ23" s="180">
        <f t="shared" ref="AJ23" si="120">+AJ20+AJ21+AJ22</f>
        <v>362967700</v>
      </c>
      <c r="AK23" s="180">
        <f t="shared" ref="AK23" si="121">+AK20+AK21+AK22</f>
        <v>367741500</v>
      </c>
      <c r="AL23" s="180">
        <f t="shared" ref="AL23" si="122">+AL20+AL21+AL22</f>
        <v>371584200</v>
      </c>
      <c r="AM23" s="180">
        <f t="shared" ref="AM23" si="123">+AM20+AM21+AM22</f>
        <v>374681400</v>
      </c>
      <c r="AN23" s="180">
        <f t="shared" ref="AN23" si="124">+AN20+AN21+AN22</f>
        <v>409198800</v>
      </c>
      <c r="AO23" s="180">
        <f t="shared" ref="AO23" si="125">+AO20+AO21+AO22</f>
        <v>439492200</v>
      </c>
      <c r="AP23" s="180">
        <f t="shared" ref="AP23" si="126">+AP20+AP21+AP22</f>
        <v>465561600</v>
      </c>
      <c r="AQ23" s="180">
        <f t="shared" ref="AQ23" si="127">+AQ20+AQ21+AQ22</f>
        <v>487724100</v>
      </c>
      <c r="AR23" s="180">
        <f t="shared" ref="AR23" si="128">+AR20+AR21+AR22</f>
        <v>506357500</v>
      </c>
      <c r="AS23" s="180">
        <f t="shared" ref="AS23" si="129">+AS20+AS21+AS22</f>
        <v>521826400</v>
      </c>
      <c r="AT23" s="180">
        <f t="shared" ref="AT23" si="130">+AT20+AT21+AT22</f>
        <v>534636600</v>
      </c>
      <c r="AU23" s="180">
        <f t="shared" ref="AU23" si="131">+AU20+AU21+AU22</f>
        <v>545092000</v>
      </c>
      <c r="AV23" s="202">
        <f>SUM(AJ23:AU23)</f>
        <v>5386864000</v>
      </c>
      <c r="AW23" s="180">
        <f>+AV23/12</f>
        <v>448905333.33333331</v>
      </c>
      <c r="AX23" s="180">
        <f>+AV23/AV10</f>
        <v>62344.35507204444</v>
      </c>
    </row>
    <row r="24" spans="1:50"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202"/>
      <c r="Q24" s="180"/>
      <c r="R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202"/>
      <c r="AG24" s="208">
        <f>+(AF23/P23)-1</f>
        <v>3.4261093740319808</v>
      </c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202"/>
      <c r="AW24" s="208">
        <f>+(AV23/AF23)-1</f>
        <v>0.53879887816530103</v>
      </c>
    </row>
    <row r="25" spans="1:50">
      <c r="B25" s="177" t="s">
        <v>193</v>
      </c>
      <c r="D25" s="180">
        <f t="shared" ref="D25:E27" si="132">+SUMPRODUCT(D7,D16)</f>
        <v>692340</v>
      </c>
      <c r="E25" s="180">
        <f t="shared" si="132"/>
        <v>2139960</v>
      </c>
      <c r="F25" s="180">
        <f t="shared" ref="F25:O25" si="133">+SUMPRODUCT(F7,F16)</f>
        <v>3996690</v>
      </c>
      <c r="G25" s="180">
        <f t="shared" si="133"/>
        <v>6105180</v>
      </c>
      <c r="H25" s="180">
        <f t="shared" si="133"/>
        <v>8402490</v>
      </c>
      <c r="I25" s="180">
        <f t="shared" si="133"/>
        <v>11077440</v>
      </c>
      <c r="J25" s="180">
        <f t="shared" si="133"/>
        <v>14287380</v>
      </c>
      <c r="K25" s="180">
        <f t="shared" si="133"/>
        <v>18158190</v>
      </c>
      <c r="L25" s="180">
        <f t="shared" si="133"/>
        <v>22878690</v>
      </c>
      <c r="M25" s="180">
        <f t="shared" si="133"/>
        <v>28669170</v>
      </c>
      <c r="N25" s="180">
        <f t="shared" si="133"/>
        <v>35686980</v>
      </c>
      <c r="O25" s="180">
        <f t="shared" si="133"/>
        <v>44246820</v>
      </c>
      <c r="P25" s="202">
        <f>SUM(D25:O25)</f>
        <v>196341330</v>
      </c>
      <c r="Q25" s="180">
        <f>+P25/12</f>
        <v>16361777.5</v>
      </c>
      <c r="R25" s="180"/>
      <c r="T25" s="180">
        <f t="shared" ref="T25" si="134">+SUMPRODUCT(T7,T16)</f>
        <v>54151687.800000004</v>
      </c>
      <c r="U25" s="180">
        <f>+SUMPRODUCT(U7,U16)</f>
        <v>62818525.800000004</v>
      </c>
      <c r="V25" s="180">
        <f>+SUMPRODUCT(V7,V16)</f>
        <v>70843375.799999997</v>
      </c>
      <c r="W25" s="180">
        <f t="shared" ref="W25:Z25" si="135">+SUMPRODUCT(W7,W16)</f>
        <v>78097840.200000003</v>
      </c>
      <c r="X25" s="180">
        <f t="shared" si="135"/>
        <v>84485620.799999997</v>
      </c>
      <c r="Y25" s="180">
        <f t="shared" si="135"/>
        <v>90006717.600000009</v>
      </c>
      <c r="Z25" s="180">
        <f t="shared" si="135"/>
        <v>94725329.400000006</v>
      </c>
      <c r="AA25" s="180">
        <f t="shared" ref="AA25:AE25" si="136">+SUMPRODUCT(AA7,AA16)</f>
        <v>98705655</v>
      </c>
      <c r="AB25" s="180">
        <f t="shared" si="136"/>
        <v>102011893.2</v>
      </c>
      <c r="AC25" s="180">
        <f t="shared" si="136"/>
        <v>104740342.2</v>
      </c>
      <c r="AD25" s="180">
        <f t="shared" si="136"/>
        <v>106987300.2</v>
      </c>
      <c r="AE25" s="180">
        <f t="shared" si="136"/>
        <v>108816966</v>
      </c>
      <c r="AF25" s="202">
        <f>SUM(T25:AE25)</f>
        <v>1056391254.0000002</v>
      </c>
      <c r="AG25" s="180">
        <f>+AF25/12</f>
        <v>88032604.500000015</v>
      </c>
      <c r="AH25" s="180"/>
      <c r="AJ25" s="180">
        <f t="shared" ref="AJ25" si="137">+SUMPRODUCT(AJ7,AJ16)</f>
        <v>112663116.10800001</v>
      </c>
      <c r="AK25" s="180">
        <f>+SUMPRODUCT(AK7,AK16)</f>
        <v>114365668.28400001</v>
      </c>
      <c r="AL25" s="180">
        <f>+SUMPRODUCT(AL7,AL16)</f>
        <v>115740806.58000001</v>
      </c>
      <c r="AM25" s="180">
        <f t="shared" ref="AM25:AU25" si="138">+SUMPRODUCT(AM7,AM16)</f>
        <v>116854013.77200001</v>
      </c>
      <c r="AN25" s="180">
        <f t="shared" si="138"/>
        <v>129197517.04800001</v>
      </c>
      <c r="AO25" s="180">
        <f t="shared" si="138"/>
        <v>140100399.252</v>
      </c>
      <c r="AP25" s="180">
        <f t="shared" si="138"/>
        <v>149562660.384</v>
      </c>
      <c r="AQ25" s="180">
        <f t="shared" si="138"/>
        <v>157649783.22</v>
      </c>
      <c r="AR25" s="180">
        <f t="shared" si="138"/>
        <v>164459991.92400002</v>
      </c>
      <c r="AS25" s="180">
        <f t="shared" si="138"/>
        <v>170156993.43600002</v>
      </c>
      <c r="AT25" s="180">
        <f t="shared" si="138"/>
        <v>174871753.30800003</v>
      </c>
      <c r="AU25" s="180">
        <f t="shared" si="138"/>
        <v>178735237.09200001</v>
      </c>
      <c r="AV25" s="202">
        <f>SUM(AJ25:AU25)</f>
        <v>1724357940.4080002</v>
      </c>
      <c r="AW25" s="180">
        <f>+AV25/12</f>
        <v>143696495.03400001</v>
      </c>
      <c r="AX25" s="180"/>
    </row>
    <row r="26" spans="1:50">
      <c r="A26" s="177" t="s">
        <v>211</v>
      </c>
      <c r="B26" s="177" t="s">
        <v>194</v>
      </c>
      <c r="D26" s="180">
        <f t="shared" si="132"/>
        <v>1099230</v>
      </c>
      <c r="E26" s="180">
        <f t="shared" si="132"/>
        <v>2798040</v>
      </c>
      <c r="F26" s="180">
        <f t="shared" ref="F26:O26" si="139">+SUMPRODUCT(F8,F17)</f>
        <v>4630090</v>
      </c>
      <c r="G26" s="180">
        <f t="shared" si="139"/>
        <v>6462140</v>
      </c>
      <c r="H26" s="180">
        <f t="shared" si="139"/>
        <v>8294190</v>
      </c>
      <c r="I26" s="180">
        <f t="shared" si="139"/>
        <v>10259480</v>
      </c>
      <c r="J26" s="180">
        <f t="shared" si="139"/>
        <v>12491250</v>
      </c>
      <c r="K26" s="180">
        <f t="shared" si="139"/>
        <v>15022810</v>
      </c>
      <c r="L26" s="180">
        <f t="shared" si="139"/>
        <v>17954090</v>
      </c>
      <c r="M26" s="180">
        <f t="shared" si="139"/>
        <v>21351710</v>
      </c>
      <c r="N26" s="180">
        <f t="shared" si="139"/>
        <v>25282290</v>
      </c>
      <c r="O26" s="180">
        <f t="shared" si="139"/>
        <v>29845760</v>
      </c>
      <c r="P26" s="202">
        <f>SUM(D26:O26)</f>
        <v>155491080</v>
      </c>
      <c r="Q26" s="180">
        <f>+P26/12</f>
        <v>12957590</v>
      </c>
      <c r="R26" s="180"/>
      <c r="T26" s="180">
        <f t="shared" ref="T26:U26" si="140">+SUMPRODUCT(T8,T17)</f>
        <v>35301271.799999997</v>
      </c>
      <c r="U26" s="180">
        <f t="shared" si="140"/>
        <v>39548296.799999997</v>
      </c>
      <c r="V26" s="180">
        <f t="shared" ref="V26:W26" si="141">+SUMPRODUCT(V8,V17)</f>
        <v>43353631.199999996</v>
      </c>
      <c r="W26" s="180">
        <f t="shared" si="141"/>
        <v>46683298.799999997</v>
      </c>
      <c r="X26" s="180">
        <f t="shared" ref="X26:Z26" si="142">+SUMPRODUCT(X8,X17)</f>
        <v>49537299.599999994</v>
      </c>
      <c r="Y26" s="180">
        <f t="shared" si="142"/>
        <v>51983585.999999993</v>
      </c>
      <c r="Z26" s="180">
        <f t="shared" si="142"/>
        <v>54022157.999999993</v>
      </c>
      <c r="AA26" s="180">
        <f t="shared" ref="AA26:AE26" si="143">+SUMPRODUCT(AA8,AA17)</f>
        <v>55720967.999999993</v>
      </c>
      <c r="AB26" s="180">
        <f t="shared" si="143"/>
        <v>57113992.199999996</v>
      </c>
      <c r="AC26" s="180">
        <f t="shared" si="143"/>
        <v>58269182.999999993</v>
      </c>
      <c r="AD26" s="180">
        <f t="shared" si="143"/>
        <v>59220516.599999994</v>
      </c>
      <c r="AE26" s="180">
        <f t="shared" si="143"/>
        <v>59967992.999999993</v>
      </c>
      <c r="AF26" s="202">
        <f>SUM(T26:AE26)</f>
        <v>610722194.99999988</v>
      </c>
      <c r="AG26" s="180">
        <f>+AF26/12</f>
        <v>50893516.249999993</v>
      </c>
      <c r="AH26" s="180"/>
      <c r="AJ26" s="180">
        <f t="shared" ref="AJ26:AU26" si="144">+SUMPRODUCT(AJ8,AJ17)</f>
        <v>61895123.063999988</v>
      </c>
      <c r="AK26" s="180">
        <f t="shared" si="144"/>
        <v>62622893.267999992</v>
      </c>
      <c r="AL26" s="180">
        <f t="shared" si="144"/>
        <v>63212040.57599999</v>
      </c>
      <c r="AM26" s="180">
        <f t="shared" si="144"/>
        <v>63697220.71199999</v>
      </c>
      <c r="AN26" s="180">
        <f t="shared" si="144"/>
        <v>69068857.931999996</v>
      </c>
      <c r="AO26" s="180">
        <f t="shared" si="144"/>
        <v>73747380.671999991</v>
      </c>
      <c r="AP26" s="180">
        <f t="shared" si="144"/>
        <v>77732788.931999981</v>
      </c>
      <c r="AQ26" s="180">
        <f t="shared" si="144"/>
        <v>81094394.159999982</v>
      </c>
      <c r="AR26" s="180">
        <f t="shared" si="144"/>
        <v>83901507.80399999</v>
      </c>
      <c r="AS26" s="180">
        <f t="shared" si="144"/>
        <v>86223441.311999992</v>
      </c>
      <c r="AT26" s="180">
        <f t="shared" si="144"/>
        <v>88129506.131999984</v>
      </c>
      <c r="AU26" s="180">
        <f t="shared" si="144"/>
        <v>89689013.711999983</v>
      </c>
      <c r="AV26" s="202">
        <f>SUM(AJ26:AU26)</f>
        <v>901014168.27600002</v>
      </c>
      <c r="AW26" s="180">
        <f>+AV26/12</f>
        <v>75084514.023000002</v>
      </c>
      <c r="AX26" s="180"/>
    </row>
    <row r="27" spans="1:50">
      <c r="B27" s="177" t="s">
        <v>195</v>
      </c>
      <c r="D27" s="180">
        <f t="shared" si="132"/>
        <v>663100</v>
      </c>
      <c r="E27" s="180">
        <f t="shared" si="132"/>
        <v>1779900</v>
      </c>
      <c r="F27" s="180">
        <f t="shared" ref="F27:O27" si="145">+SUMPRODUCT(F9,F18)</f>
        <v>3036300</v>
      </c>
      <c r="G27" s="180">
        <f t="shared" si="145"/>
        <v>3908800</v>
      </c>
      <c r="H27" s="180">
        <f t="shared" si="145"/>
        <v>4711500</v>
      </c>
      <c r="I27" s="180">
        <f t="shared" si="145"/>
        <v>5549100</v>
      </c>
      <c r="J27" s="180">
        <f t="shared" si="145"/>
        <v>6421600</v>
      </c>
      <c r="K27" s="180">
        <f t="shared" si="145"/>
        <v>7398800</v>
      </c>
      <c r="L27" s="180">
        <f t="shared" si="145"/>
        <v>8480700</v>
      </c>
      <c r="M27" s="180">
        <f t="shared" si="145"/>
        <v>9667300</v>
      </c>
      <c r="N27" s="180">
        <f t="shared" si="145"/>
        <v>10993500</v>
      </c>
      <c r="O27" s="180">
        <f t="shared" si="145"/>
        <v>12459300</v>
      </c>
      <c r="P27" s="202">
        <f>SUM(D27:O27)</f>
        <v>75069900</v>
      </c>
      <c r="Q27" s="180">
        <f>+P27/12</f>
        <v>6255825</v>
      </c>
      <c r="R27" s="180"/>
      <c r="T27" s="180">
        <f t="shared" ref="T27:U27" si="146">+SUMPRODUCT(T9,T18)</f>
        <v>14239200</v>
      </c>
      <c r="U27" s="180">
        <f t="shared" si="146"/>
        <v>15449532</v>
      </c>
      <c r="V27" s="180">
        <f t="shared" ref="V27:W27" si="147">+SUMPRODUCT(V9,V18)</f>
        <v>16481874</v>
      </c>
      <c r="W27" s="180">
        <f t="shared" si="147"/>
        <v>17371824</v>
      </c>
      <c r="X27" s="180">
        <f t="shared" ref="X27:Z27" si="148">+SUMPRODUCT(X9,X18)</f>
        <v>18119382</v>
      </c>
      <c r="Y27" s="180">
        <f t="shared" si="148"/>
        <v>18760146</v>
      </c>
      <c r="Z27" s="180">
        <f t="shared" si="148"/>
        <v>19294116</v>
      </c>
      <c r="AA27" s="180">
        <f t="shared" ref="AA27:AE27" si="149">+SUMPRODUCT(AA9,AA18)</f>
        <v>19721292</v>
      </c>
      <c r="AB27" s="180">
        <f t="shared" si="149"/>
        <v>20077272</v>
      </c>
      <c r="AC27" s="180">
        <f t="shared" si="149"/>
        <v>20362056</v>
      </c>
      <c r="AD27" s="180">
        <f t="shared" si="149"/>
        <v>20575644</v>
      </c>
      <c r="AE27" s="180">
        <f t="shared" si="149"/>
        <v>20753634</v>
      </c>
      <c r="AF27" s="202">
        <f>SUM(T27:AE27)</f>
        <v>221205972</v>
      </c>
      <c r="AG27" s="180">
        <f>+AF27/12</f>
        <v>18433831</v>
      </c>
      <c r="AH27" s="180"/>
      <c r="AJ27" s="180">
        <f t="shared" ref="AJ27:AU27" si="150">+SUMPRODUCT(AJ9,AJ18)</f>
        <v>21277636.559999999</v>
      </c>
      <c r="AK27" s="180">
        <f t="shared" si="150"/>
        <v>21422876.399999999</v>
      </c>
      <c r="AL27" s="180">
        <f t="shared" si="150"/>
        <v>21531806.280000001</v>
      </c>
      <c r="AM27" s="180">
        <f t="shared" si="150"/>
        <v>21604426.199999999</v>
      </c>
      <c r="AN27" s="180">
        <f t="shared" si="150"/>
        <v>22512175.199999999</v>
      </c>
      <c r="AO27" s="180">
        <f t="shared" si="150"/>
        <v>23274684.359999999</v>
      </c>
      <c r="AP27" s="180">
        <f t="shared" si="150"/>
        <v>23891953.68</v>
      </c>
      <c r="AQ27" s="180">
        <f t="shared" si="150"/>
        <v>24400293.120000001</v>
      </c>
      <c r="AR27" s="180">
        <f t="shared" si="150"/>
        <v>24836012.640000001</v>
      </c>
      <c r="AS27" s="180">
        <f t="shared" si="150"/>
        <v>25162802.280000001</v>
      </c>
      <c r="AT27" s="180">
        <f t="shared" si="150"/>
        <v>25453281.960000001</v>
      </c>
      <c r="AU27" s="180">
        <f t="shared" si="150"/>
        <v>25671141.719999999</v>
      </c>
      <c r="AV27" s="202">
        <f>SUM(AJ27:AU27)</f>
        <v>281039090.39999998</v>
      </c>
      <c r="AW27" s="180">
        <f>+AV27/12</f>
        <v>23419924.199999999</v>
      </c>
      <c r="AX27" s="180"/>
    </row>
    <row r="28" spans="1:50">
      <c r="D28" s="180">
        <f>+D25+D26+D27</f>
        <v>2454670</v>
      </c>
      <c r="E28" s="180">
        <f>+E25+E26+E27</f>
        <v>6717900</v>
      </c>
      <c r="F28" s="180">
        <f t="shared" ref="F28:O28" si="151">+F25+F26+F27</f>
        <v>11663080</v>
      </c>
      <c r="G28" s="180">
        <f t="shared" si="151"/>
        <v>16476120</v>
      </c>
      <c r="H28" s="180">
        <f t="shared" si="151"/>
        <v>21408180</v>
      </c>
      <c r="I28" s="180">
        <f t="shared" si="151"/>
        <v>26886020</v>
      </c>
      <c r="J28" s="180">
        <f t="shared" si="151"/>
        <v>33200230</v>
      </c>
      <c r="K28" s="180">
        <f t="shared" si="151"/>
        <v>40579800</v>
      </c>
      <c r="L28" s="180">
        <f t="shared" si="151"/>
        <v>49313480</v>
      </c>
      <c r="M28" s="180">
        <f t="shared" si="151"/>
        <v>59688180</v>
      </c>
      <c r="N28" s="180">
        <f t="shared" si="151"/>
        <v>71962770</v>
      </c>
      <c r="O28" s="180">
        <f t="shared" si="151"/>
        <v>86551880</v>
      </c>
      <c r="P28" s="202">
        <f>SUM(D28:O28)</f>
        <v>426902310</v>
      </c>
      <c r="Q28" s="180">
        <f>+P28/12</f>
        <v>35575192.5</v>
      </c>
      <c r="R28" s="180">
        <f>+P28/P10</f>
        <v>32692.779139224996</v>
      </c>
      <c r="T28" s="180">
        <f t="shared" ref="T28:V28" si="152">+T25+T26+T27</f>
        <v>103692159.59999999</v>
      </c>
      <c r="U28" s="180">
        <f t="shared" si="152"/>
        <v>117816354.59999999</v>
      </c>
      <c r="V28" s="180">
        <f t="shared" si="152"/>
        <v>130678881</v>
      </c>
      <c r="W28" s="180">
        <f t="shared" ref="W28" si="153">+W25+W26+W27</f>
        <v>142152963</v>
      </c>
      <c r="X28" s="180">
        <f t="shared" ref="X28" si="154">+X25+X26+X27</f>
        <v>152142302.39999998</v>
      </c>
      <c r="Y28" s="180">
        <f t="shared" ref="Y28" si="155">+Y25+Y26+Y27</f>
        <v>160750449.59999999</v>
      </c>
      <c r="Z28" s="180">
        <f t="shared" ref="Z28" si="156">+Z25+Z26+Z27</f>
        <v>168041603.40000001</v>
      </c>
      <c r="AA28" s="180">
        <f t="shared" ref="AA28" si="157">+AA25+AA26+AA27</f>
        <v>174147915</v>
      </c>
      <c r="AB28" s="180">
        <f t="shared" ref="AB28" si="158">+AB25+AB26+AB27</f>
        <v>179203157.40000001</v>
      </c>
      <c r="AC28" s="180">
        <f t="shared" ref="AC28" si="159">+AC25+AC26+AC27</f>
        <v>183371581.19999999</v>
      </c>
      <c r="AD28" s="180">
        <f t="shared" ref="AD28" si="160">+AD25+AD26+AD27</f>
        <v>186783460.80000001</v>
      </c>
      <c r="AE28" s="180">
        <f t="shared" ref="AE28" si="161">+AE25+AE26+AE27</f>
        <v>189538593</v>
      </c>
      <c r="AF28" s="202">
        <f>SUM(T28:AE28)</f>
        <v>1888319421</v>
      </c>
      <c r="AG28" s="180">
        <f>+AF28/12</f>
        <v>157359951.75</v>
      </c>
      <c r="AH28" s="180">
        <f>+AF28/AF10</f>
        <v>33070.971838385958</v>
      </c>
      <c r="AJ28" s="180">
        <f t="shared" ref="AJ28" si="162">+AJ25+AJ26+AJ27</f>
        <v>195835875.73199999</v>
      </c>
      <c r="AK28" s="180">
        <f t="shared" ref="AK28" si="163">+AK25+AK26+AK27</f>
        <v>198411437.95199999</v>
      </c>
      <c r="AL28" s="180">
        <f t="shared" ref="AL28" si="164">+AL25+AL26+AL27</f>
        <v>200484653.43600002</v>
      </c>
      <c r="AM28" s="180">
        <f t="shared" ref="AM28" si="165">+AM25+AM26+AM27</f>
        <v>202155660.68399999</v>
      </c>
      <c r="AN28" s="180">
        <f t="shared" ref="AN28" si="166">+AN25+AN26+AN27</f>
        <v>220778550.18000001</v>
      </c>
      <c r="AO28" s="180">
        <f t="shared" ref="AO28" si="167">+AO25+AO26+AO27</f>
        <v>237122464.28399998</v>
      </c>
      <c r="AP28" s="180">
        <f t="shared" ref="AP28" si="168">+AP25+AP26+AP27</f>
        <v>251187402.99599999</v>
      </c>
      <c r="AQ28" s="180">
        <f t="shared" ref="AQ28" si="169">+AQ25+AQ26+AQ27</f>
        <v>263144470.5</v>
      </c>
      <c r="AR28" s="180">
        <f t="shared" ref="AR28" si="170">+AR25+AR26+AR27</f>
        <v>273197512.36800003</v>
      </c>
      <c r="AS28" s="180">
        <f t="shared" ref="AS28" si="171">+AS25+AS26+AS27</f>
        <v>281543237.028</v>
      </c>
      <c r="AT28" s="180">
        <f t="shared" ref="AT28" si="172">+AT25+AT26+AT27</f>
        <v>288454541.39999998</v>
      </c>
      <c r="AU28" s="180">
        <f t="shared" ref="AU28" si="173">+AU25+AU26+AU27</f>
        <v>294095392.52399999</v>
      </c>
      <c r="AV28" s="202">
        <f>SUM(AJ28:AU28)</f>
        <v>2906411199.0840001</v>
      </c>
      <c r="AW28" s="180">
        <f>+AV28/12</f>
        <v>242200933.257</v>
      </c>
      <c r="AX28" s="180">
        <f>+AV28/AV10</f>
        <v>33637.071918106594</v>
      </c>
    </row>
    <row r="29" spans="1:50"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202"/>
      <c r="Q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202"/>
      <c r="AG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202"/>
      <c r="AW29" s="180"/>
    </row>
    <row r="30" spans="1:50">
      <c r="A30" s="180">
        <v>2400</v>
      </c>
      <c r="B30" s="177" t="s">
        <v>238</v>
      </c>
      <c r="D30" s="180">
        <f>+$A$30*(D10)</f>
        <v>177600</v>
      </c>
      <c r="E30" s="180">
        <f t="shared" ref="E30:O30" si="174">+$A$30*(E10)</f>
        <v>487200</v>
      </c>
      <c r="F30" s="180">
        <f t="shared" si="174"/>
        <v>847200</v>
      </c>
      <c r="G30" s="180">
        <f t="shared" si="174"/>
        <v>1200000</v>
      </c>
      <c r="H30" s="180">
        <f t="shared" si="174"/>
        <v>1562400</v>
      </c>
      <c r="I30" s="180">
        <f t="shared" si="174"/>
        <v>1965600</v>
      </c>
      <c r="J30" s="180">
        <f t="shared" si="174"/>
        <v>2431200</v>
      </c>
      <c r="K30" s="180">
        <f t="shared" si="174"/>
        <v>2976000</v>
      </c>
      <c r="L30" s="180">
        <f t="shared" si="174"/>
        <v>3621600</v>
      </c>
      <c r="M30" s="180">
        <f t="shared" si="174"/>
        <v>4389600</v>
      </c>
      <c r="N30" s="180">
        <f t="shared" si="174"/>
        <v>5299200</v>
      </c>
      <c r="O30" s="180">
        <f t="shared" si="174"/>
        <v>6381600</v>
      </c>
      <c r="P30" s="202">
        <f>SUM(D30:O30)</f>
        <v>31339200</v>
      </c>
      <c r="Q30" s="180"/>
      <c r="S30" s="180">
        <f>+A30*(1+$S$36)*0.93</f>
        <v>2365.92</v>
      </c>
      <c r="T30" s="180">
        <f>+$S$30*T10</f>
        <v>7395865.9199999999</v>
      </c>
      <c r="U30" s="180">
        <f>+$S$30*U10</f>
        <v>8410845.5999999996</v>
      </c>
      <c r="V30" s="180">
        <f>+$S$30*V10</f>
        <v>9335920.3200000003</v>
      </c>
      <c r="W30" s="180">
        <f t="shared" ref="W30:Z30" si="175">+$S$30*W10</f>
        <v>10161626.4</v>
      </c>
      <c r="X30" s="180">
        <f t="shared" si="175"/>
        <v>10880866.08</v>
      </c>
      <c r="Y30" s="180">
        <f t="shared" si="175"/>
        <v>11500737.120000001</v>
      </c>
      <c r="Z30" s="180">
        <f t="shared" si="175"/>
        <v>12025971.360000001</v>
      </c>
      <c r="AA30" s="180">
        <f t="shared" ref="AA30:AE30" si="176">+$S$30*AA10</f>
        <v>12466032.48</v>
      </c>
      <c r="AB30" s="180">
        <f t="shared" si="176"/>
        <v>12830384.16</v>
      </c>
      <c r="AC30" s="180">
        <f t="shared" si="176"/>
        <v>13130856</v>
      </c>
      <c r="AD30" s="180">
        <f t="shared" si="176"/>
        <v>13376911.68</v>
      </c>
      <c r="AE30" s="180">
        <f t="shared" si="176"/>
        <v>13575648.960000001</v>
      </c>
      <c r="AF30" s="202">
        <f>SUM(T30:AE30)</f>
        <v>135091666.08000001</v>
      </c>
      <c r="AG30" s="180">
        <f>+AF30/12</f>
        <v>11257638.840000002</v>
      </c>
      <c r="AI30" s="180">
        <f>+S30*1.024</f>
        <v>2422.70208</v>
      </c>
      <c r="AJ30" s="180">
        <f>+$AI$30*AJ10</f>
        <v>14083167.19104</v>
      </c>
      <c r="AK30" s="180">
        <f t="shared" ref="AK30:AU30" si="177">+$AI$30*AK10</f>
        <v>14269715.2512</v>
      </c>
      <c r="AL30" s="180">
        <f t="shared" si="177"/>
        <v>14419922.780160001</v>
      </c>
      <c r="AM30" s="180">
        <f t="shared" si="177"/>
        <v>14541057.884160001</v>
      </c>
      <c r="AN30" s="180">
        <f t="shared" si="177"/>
        <v>15890502.94272</v>
      </c>
      <c r="AO30" s="180">
        <f t="shared" si="177"/>
        <v>17075204.25984</v>
      </c>
      <c r="AP30" s="180">
        <f t="shared" si="177"/>
        <v>18095161.835519999</v>
      </c>
      <c r="AQ30" s="180">
        <f t="shared" si="177"/>
        <v>18962489.180160001</v>
      </c>
      <c r="AR30" s="180">
        <f t="shared" si="177"/>
        <v>19691722.506239999</v>
      </c>
      <c r="AS30" s="180">
        <f t="shared" si="177"/>
        <v>20297398.026239999</v>
      </c>
      <c r="AT30" s="180">
        <f t="shared" si="177"/>
        <v>20798897.356800001</v>
      </c>
      <c r="AU30" s="180">
        <f t="shared" si="177"/>
        <v>21208334.00832</v>
      </c>
      <c r="AV30" s="202">
        <f>SUM(AJ30:AU30)</f>
        <v>209333573.22239998</v>
      </c>
      <c r="AW30" s="180">
        <f>+AV30/12</f>
        <v>17444464.435199998</v>
      </c>
    </row>
    <row r="31" spans="1:50"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203"/>
      <c r="AF31" s="203"/>
      <c r="AV31" s="203"/>
    </row>
    <row r="32" spans="1:50" s="192" customFormat="1">
      <c r="B32" s="192" t="s">
        <v>215</v>
      </c>
      <c r="D32" s="193">
        <f>+D23-D28-D30</f>
        <v>1915730</v>
      </c>
      <c r="E32" s="193">
        <f t="shared" ref="E32:O32" si="178">+E23-E28-E30</f>
        <v>5241800</v>
      </c>
      <c r="F32" s="193">
        <f t="shared" si="178"/>
        <v>9099020</v>
      </c>
      <c r="G32" s="193">
        <f t="shared" si="178"/>
        <v>12850280</v>
      </c>
      <c r="H32" s="193">
        <f t="shared" si="178"/>
        <v>16693320</v>
      </c>
      <c r="I32" s="193">
        <f t="shared" si="178"/>
        <v>20960880</v>
      </c>
      <c r="J32" s="193">
        <f t="shared" si="178"/>
        <v>25879070</v>
      </c>
      <c r="K32" s="193">
        <f t="shared" si="178"/>
        <v>31626400</v>
      </c>
      <c r="L32" s="193">
        <f t="shared" si="178"/>
        <v>38427420</v>
      </c>
      <c r="M32" s="193">
        <f t="shared" si="178"/>
        <v>46505120</v>
      </c>
      <c r="N32" s="193">
        <f t="shared" si="178"/>
        <v>56061030</v>
      </c>
      <c r="O32" s="193">
        <f t="shared" si="178"/>
        <v>67417420</v>
      </c>
      <c r="P32" s="204">
        <f>SUM(D32:O32)</f>
        <v>332677490</v>
      </c>
      <c r="Q32" s="191">
        <f>+P32/12</f>
        <v>27723124.166666668</v>
      </c>
      <c r="T32" s="193">
        <f t="shared" ref="T32:U32" si="179">+T23-T28-T30</f>
        <v>81145474.480000004</v>
      </c>
      <c r="U32" s="193">
        <f t="shared" si="179"/>
        <v>92190299.800000012</v>
      </c>
      <c r="V32" s="193">
        <f t="shared" ref="V32:W32" si="180">+V23-V28-V30</f>
        <v>102247698.68000001</v>
      </c>
      <c r="W32" s="193">
        <f t="shared" si="180"/>
        <v>111218910.59999999</v>
      </c>
      <c r="X32" s="193">
        <f t="shared" ref="X32:Z32" si="181">+X23-X28-X30</f>
        <v>119028831.52000003</v>
      </c>
      <c r="Y32" s="193">
        <f t="shared" si="181"/>
        <v>125758813.28</v>
      </c>
      <c r="Z32" s="193">
        <f t="shared" si="181"/>
        <v>131458925.23999999</v>
      </c>
      <c r="AA32" s="193">
        <f t="shared" ref="AA32:AF32" si="182">+AA23-AA28-AA30</f>
        <v>136232552.52000001</v>
      </c>
      <c r="AB32" s="193">
        <f t="shared" si="182"/>
        <v>140184458.44</v>
      </c>
      <c r="AC32" s="193">
        <f t="shared" si="182"/>
        <v>143443062.80000001</v>
      </c>
      <c r="AD32" s="193">
        <f t="shared" si="182"/>
        <v>146110127.51999998</v>
      </c>
      <c r="AE32" s="193">
        <f t="shared" si="182"/>
        <v>148263758.03999999</v>
      </c>
      <c r="AF32" s="204">
        <f t="shared" si="182"/>
        <v>1477282912.9200001</v>
      </c>
      <c r="AG32" s="191">
        <f>+AF32/12</f>
        <v>123106909.41000001</v>
      </c>
      <c r="AJ32" s="193">
        <f>+AJ23-AJ28-AJ30</f>
        <v>153048657.07696</v>
      </c>
      <c r="AK32" s="193">
        <f t="shared" ref="AK32:AU32" si="183">+AK23-AK28-AK30</f>
        <v>155060346.79680002</v>
      </c>
      <c r="AL32" s="193">
        <f t="shared" si="183"/>
        <v>156679623.78383997</v>
      </c>
      <c r="AM32" s="193">
        <f t="shared" si="183"/>
        <v>157984681.43184</v>
      </c>
      <c r="AN32" s="193">
        <f t="shared" si="183"/>
        <v>172529746.87728</v>
      </c>
      <c r="AO32" s="193">
        <f t="shared" si="183"/>
        <v>185294531.45616001</v>
      </c>
      <c r="AP32" s="193">
        <f t="shared" si="183"/>
        <v>196279035.16848001</v>
      </c>
      <c r="AQ32" s="193">
        <f t="shared" si="183"/>
        <v>205617140.31984001</v>
      </c>
      <c r="AR32" s="193">
        <f t="shared" si="183"/>
        <v>213468265.12575996</v>
      </c>
      <c r="AS32" s="193">
        <f t="shared" si="183"/>
        <v>219985764.94576001</v>
      </c>
      <c r="AT32" s="193">
        <f t="shared" si="183"/>
        <v>225383161.24320003</v>
      </c>
      <c r="AU32" s="193">
        <f t="shared" si="183"/>
        <v>229788273.46768001</v>
      </c>
      <c r="AV32" s="204">
        <f>SUM(AJ32:AU32)</f>
        <v>2271119227.6935997</v>
      </c>
      <c r="AW32" s="191">
        <f>+AV32/12</f>
        <v>189259935.64113331</v>
      </c>
    </row>
    <row r="34" spans="1:49">
      <c r="D34" s="177">
        <v>1</v>
      </c>
      <c r="E34" s="187">
        <f>+D34</f>
        <v>1</v>
      </c>
      <c r="F34" s="187">
        <f>+E34</f>
        <v>1</v>
      </c>
      <c r="G34" s="177">
        <v>2</v>
      </c>
      <c r="H34" s="187">
        <f t="shared" ref="H34:O34" si="184">+G34</f>
        <v>2</v>
      </c>
      <c r="I34" s="187">
        <f t="shared" si="184"/>
        <v>2</v>
      </c>
      <c r="J34" s="187">
        <f t="shared" si="184"/>
        <v>2</v>
      </c>
      <c r="K34" s="187">
        <f t="shared" si="184"/>
        <v>2</v>
      </c>
      <c r="L34" s="177">
        <v>2</v>
      </c>
      <c r="M34" s="187">
        <v>3</v>
      </c>
      <c r="N34" s="187">
        <f t="shared" si="184"/>
        <v>3</v>
      </c>
      <c r="O34" s="187">
        <f t="shared" si="184"/>
        <v>3</v>
      </c>
      <c r="T34" s="187">
        <v>4</v>
      </c>
      <c r="U34" s="187">
        <v>4</v>
      </c>
      <c r="V34" s="187">
        <v>4</v>
      </c>
      <c r="W34" s="187">
        <v>4</v>
      </c>
      <c r="X34" s="187">
        <v>5</v>
      </c>
      <c r="Y34" s="187">
        <f>+X34</f>
        <v>5</v>
      </c>
      <c r="Z34" s="187">
        <f t="shared" ref="Z34:AD34" si="185">+Y34</f>
        <v>5</v>
      </c>
      <c r="AA34" s="187">
        <f t="shared" si="185"/>
        <v>5</v>
      </c>
      <c r="AB34" s="187">
        <f t="shared" si="185"/>
        <v>5</v>
      </c>
      <c r="AC34" s="187">
        <f t="shared" si="185"/>
        <v>5</v>
      </c>
      <c r="AD34" s="187">
        <f t="shared" si="185"/>
        <v>5</v>
      </c>
      <c r="AE34" s="187">
        <f>+AD34</f>
        <v>5</v>
      </c>
      <c r="AJ34" s="187">
        <v>5</v>
      </c>
      <c r="AK34" s="187">
        <v>5</v>
      </c>
      <c r="AL34" s="187">
        <v>5</v>
      </c>
      <c r="AM34" s="187">
        <v>6</v>
      </c>
      <c r="AN34" s="187">
        <f>+AM34</f>
        <v>6</v>
      </c>
      <c r="AO34" s="187">
        <f>+AN34</f>
        <v>6</v>
      </c>
      <c r="AP34" s="187">
        <f>+AO34</f>
        <v>6</v>
      </c>
      <c r="AQ34" s="187">
        <f t="shared" ref="AQ34:AU34" si="186">+AP34</f>
        <v>6</v>
      </c>
      <c r="AR34" s="187">
        <f t="shared" si="186"/>
        <v>6</v>
      </c>
      <c r="AS34" s="187">
        <f t="shared" si="186"/>
        <v>6</v>
      </c>
      <c r="AT34" s="187">
        <f t="shared" si="186"/>
        <v>6</v>
      </c>
      <c r="AU34" s="187">
        <f t="shared" si="186"/>
        <v>6</v>
      </c>
    </row>
    <row r="35" spans="1:49">
      <c r="D35" s="180">
        <f>+D23/D34</f>
        <v>4548000</v>
      </c>
      <c r="E35" s="180">
        <f t="shared" ref="E35:O35" si="187">+E23/E34</f>
        <v>12446900</v>
      </c>
      <c r="F35" s="180">
        <f t="shared" si="187"/>
        <v>21609300</v>
      </c>
      <c r="G35" s="180">
        <f t="shared" si="187"/>
        <v>15263200</v>
      </c>
      <c r="H35" s="180">
        <f t="shared" si="187"/>
        <v>19831950</v>
      </c>
      <c r="I35" s="180">
        <f t="shared" si="187"/>
        <v>24906250</v>
      </c>
      <c r="J35" s="180">
        <f t="shared" si="187"/>
        <v>30755250</v>
      </c>
      <c r="K35" s="180">
        <f t="shared" si="187"/>
        <v>37591100</v>
      </c>
      <c r="L35" s="180">
        <f t="shared" si="187"/>
        <v>45681250</v>
      </c>
      <c r="M35" s="180">
        <f t="shared" si="187"/>
        <v>36860966.666666664</v>
      </c>
      <c r="N35" s="180">
        <f t="shared" si="187"/>
        <v>44441000</v>
      </c>
      <c r="O35" s="180">
        <f t="shared" si="187"/>
        <v>53450300</v>
      </c>
      <c r="P35" s="202"/>
      <c r="T35" s="180">
        <f t="shared" ref="T35:U35" si="188">+T23/T34</f>
        <v>48058375</v>
      </c>
      <c r="U35" s="180">
        <f t="shared" si="188"/>
        <v>54604375</v>
      </c>
      <c r="V35" s="180">
        <f>+V23/V34</f>
        <v>60565625</v>
      </c>
      <c r="W35" s="180">
        <f t="shared" ref="W35" si="189">+W23/W34</f>
        <v>65883375</v>
      </c>
      <c r="X35" s="180">
        <f t="shared" ref="X35" si="190">+X23/X34</f>
        <v>56410400</v>
      </c>
      <c r="Y35" s="180">
        <f t="shared" ref="Y35" si="191">+Y23/Y34</f>
        <v>59602000</v>
      </c>
      <c r="Z35" s="180">
        <f t="shared" ref="Z35" si="192">+Z23/Z34</f>
        <v>62305300</v>
      </c>
      <c r="AA35" s="180">
        <f t="shared" ref="AA35" si="193">+AA23/AA34</f>
        <v>64569300</v>
      </c>
      <c r="AB35" s="180">
        <f t="shared" ref="AB35" si="194">+AB23/AB34</f>
        <v>66443600</v>
      </c>
      <c r="AC35" s="180">
        <f t="shared" ref="AC35" si="195">+AC23/AC34</f>
        <v>67989100</v>
      </c>
      <c r="AD35" s="180">
        <f t="shared" ref="AD35" si="196">+AD23/AD34</f>
        <v>69254100</v>
      </c>
      <c r="AE35" s="180">
        <f t="shared" ref="AE35" si="197">+AE23/AE34</f>
        <v>70275600</v>
      </c>
      <c r="AF35" s="202"/>
      <c r="AJ35" s="180">
        <f t="shared" ref="AJ35" si="198">+AJ23/AJ34</f>
        <v>72593540</v>
      </c>
      <c r="AK35" s="180">
        <f t="shared" ref="AK35" si="199">+AK23/AK34</f>
        <v>73548300</v>
      </c>
      <c r="AL35" s="180">
        <f>+AL23/AL34</f>
        <v>74316840</v>
      </c>
      <c r="AM35" s="180">
        <f t="shared" ref="AM35" si="200">+AM23/AM34</f>
        <v>62446900</v>
      </c>
      <c r="AN35" s="180">
        <f t="shared" ref="AN35" si="201">+AN23/AN34</f>
        <v>68199800</v>
      </c>
      <c r="AO35" s="180">
        <f t="shared" ref="AO35" si="202">+AO23/AO34</f>
        <v>73248700</v>
      </c>
      <c r="AP35" s="180">
        <f t="shared" ref="AP35" si="203">+AP23/AP34</f>
        <v>77593600</v>
      </c>
      <c r="AQ35" s="180">
        <f t="shared" ref="AQ35" si="204">+AQ23/AQ34</f>
        <v>81287350</v>
      </c>
      <c r="AR35" s="180">
        <f t="shared" ref="AR35" si="205">+AR23/AR34</f>
        <v>84392916.666666672</v>
      </c>
      <c r="AS35" s="180">
        <f t="shared" ref="AS35" si="206">+AS23/AS34</f>
        <v>86971066.666666672</v>
      </c>
      <c r="AT35" s="180">
        <f t="shared" ref="AT35" si="207">+AT23/AT34</f>
        <v>89106100</v>
      </c>
      <c r="AU35" s="180">
        <f t="shared" ref="AU35" si="208">+AU23/AU34</f>
        <v>90848666.666666672</v>
      </c>
      <c r="AV35" s="202"/>
    </row>
    <row r="36" spans="1:49" s="192" customFormat="1">
      <c r="A36" s="191">
        <v>1424000</v>
      </c>
      <c r="B36" s="209" t="s">
        <v>216</v>
      </c>
      <c r="D36" s="193">
        <f>(SUM(D37:D58)*1.5)+D59</f>
        <v>12744308.75</v>
      </c>
      <c r="E36" s="193">
        <f t="shared" ref="E36:N36" si="209">(SUM(E37:E58)*1.5)+E59</f>
        <v>13087910.9</v>
      </c>
      <c r="F36" s="193">
        <f t="shared" si="209"/>
        <v>13486475.300000001</v>
      </c>
      <c r="G36" s="193">
        <f t="shared" si="209"/>
        <v>13301999.15</v>
      </c>
      <c r="H36" s="193">
        <f t="shared" si="209"/>
        <v>13528152.275</v>
      </c>
      <c r="I36" s="193">
        <f t="shared" si="209"/>
        <v>16849314.5</v>
      </c>
      <c r="J36" s="193">
        <f t="shared" si="209"/>
        <v>17358177.5</v>
      </c>
      <c r="K36" s="193">
        <f t="shared" si="209"/>
        <v>17952896.449999999</v>
      </c>
      <c r="L36" s="193">
        <f t="shared" si="209"/>
        <v>23462739.5</v>
      </c>
      <c r="M36" s="193">
        <f t="shared" si="209"/>
        <v>26434826.899999995</v>
      </c>
      <c r="N36" s="193">
        <f t="shared" si="209"/>
        <v>27424021.25</v>
      </c>
      <c r="O36" s="193">
        <f>(SUM(O37:O58)*1.5)+O59</f>
        <v>28599734.899999999</v>
      </c>
      <c r="P36" s="205">
        <f>SUM(D36:O36)</f>
        <v>224230557.375</v>
      </c>
      <c r="R36" s="193">
        <f>+A36*(1+S36)</f>
        <v>1509440</v>
      </c>
      <c r="S36" s="194">
        <v>0.06</v>
      </c>
      <c r="T36" s="193">
        <f>(SUM(T37:T61)*1.5)</f>
        <v>49203399.75</v>
      </c>
      <c r="U36" s="193">
        <f>(SUM(U37:U61)*1.5)</f>
        <v>50833799.25</v>
      </c>
      <c r="V36" s="193">
        <f t="shared" ref="V36:AE36" si="210">(SUM(V37:V61)*1.5)</f>
        <v>55032948.75</v>
      </c>
      <c r="W36" s="193">
        <f t="shared" si="210"/>
        <v>56352404.25</v>
      </c>
      <c r="X36" s="193">
        <f t="shared" si="210"/>
        <v>59763411</v>
      </c>
      <c r="Y36" s="193">
        <f t="shared" si="210"/>
        <v>60751140</v>
      </c>
      <c r="Z36" s="193">
        <f t="shared" si="210"/>
        <v>63963723.75</v>
      </c>
      <c r="AA36" s="193">
        <f t="shared" si="210"/>
        <v>64662858.75</v>
      </c>
      <c r="AB36" s="193">
        <f t="shared" si="210"/>
        <v>65241094.5</v>
      </c>
      <c r="AC36" s="193">
        <f t="shared" si="210"/>
        <v>65718165.75</v>
      </c>
      <c r="AD36" s="193">
        <f t="shared" si="210"/>
        <v>66108893.25</v>
      </c>
      <c r="AE36" s="193">
        <f t="shared" si="210"/>
        <v>66423544.5</v>
      </c>
      <c r="AF36" s="205">
        <f>SUM(T36:AE36)</f>
        <v>724055383.5</v>
      </c>
      <c r="AG36" s="180">
        <f>+AF36/12</f>
        <v>60337948.625</v>
      </c>
      <c r="AH36" s="193">
        <f>+R36*(1+AI36)</f>
        <v>1600006.4000000001</v>
      </c>
      <c r="AI36" s="194">
        <v>0.06</v>
      </c>
      <c r="AJ36" s="193">
        <f>(SUM(AJ37:AJ61)*1.5)</f>
        <v>81653810.129999995</v>
      </c>
      <c r="AK36" s="193">
        <f>(SUM(AK37:AK61)*1.5)</f>
        <v>85293090.870000005</v>
      </c>
      <c r="AL36" s="193">
        <f t="shared" ref="AL36" si="211">(SUM(AL37:AL61)*1.5)</f>
        <v>92717917.620000005</v>
      </c>
      <c r="AM36" s="193">
        <f t="shared" ref="AM36" si="212">(SUM(AM37:AM61)*1.5)</f>
        <v>95299113.420000002</v>
      </c>
      <c r="AN36" s="193">
        <f t="shared" ref="AN36" si="213">(SUM(AN37:AN61)*1.5)</f>
        <v>100078392.35999998</v>
      </c>
      <c r="AO36" s="193">
        <f t="shared" ref="AO36" si="214">(SUM(AO37:AO61)*1.5)</f>
        <v>105210569.69999999</v>
      </c>
      <c r="AP36" s="193">
        <f t="shared" ref="AP36" si="215">(SUM(AP37:AP61)*1.5)</f>
        <v>106735629.60000001</v>
      </c>
      <c r="AQ36" s="193">
        <f t="shared" ref="AQ36" si="216">(SUM(AQ37:AQ61)*1.5)</f>
        <v>110792146.89000002</v>
      </c>
      <c r="AR36" s="193">
        <f t="shared" ref="AR36" si="217">(SUM(AR37:AR61)*1.5)</f>
        <v>111882200.78999999</v>
      </c>
      <c r="AS36" s="193">
        <f t="shared" ref="AS36" si="218">(SUM(AS37:AS61)*1.5)</f>
        <v>112787131.43999997</v>
      </c>
      <c r="AT36" s="193">
        <f t="shared" ref="AT36" si="219">(SUM(AT37:AT61)*1.5)</f>
        <v>113536528.14000002</v>
      </c>
      <c r="AU36" s="193">
        <f t="shared" ref="AU36" si="220">(SUM(AU37:AU61)*1.5)</f>
        <v>117508182.48000002</v>
      </c>
      <c r="AV36" s="205">
        <f>SUM(AJ36:AU36)</f>
        <v>1233494713.4399998</v>
      </c>
      <c r="AW36" s="180">
        <f>+AV36/12</f>
        <v>102791226.11999999</v>
      </c>
    </row>
    <row r="37" spans="1:49">
      <c r="A37" s="178">
        <v>0.05</v>
      </c>
      <c r="B37" s="213" t="s">
        <v>239</v>
      </c>
      <c r="C37" s="186"/>
      <c r="D37" s="180">
        <f>+$A$36*(1+A37)</f>
        <v>1495200</v>
      </c>
      <c r="E37" s="181">
        <f>+D37</f>
        <v>1495200</v>
      </c>
      <c r="F37" s="181">
        <f t="shared" ref="F37:O37" si="221">+E37</f>
        <v>1495200</v>
      </c>
      <c r="G37" s="181">
        <f t="shared" si="221"/>
        <v>1495200</v>
      </c>
      <c r="H37" s="181">
        <f t="shared" si="221"/>
        <v>1495200</v>
      </c>
      <c r="I37" s="181">
        <f t="shared" si="221"/>
        <v>1495200</v>
      </c>
      <c r="J37" s="181">
        <f t="shared" si="221"/>
        <v>1495200</v>
      </c>
      <c r="K37" s="181">
        <f t="shared" si="221"/>
        <v>1495200</v>
      </c>
      <c r="L37" s="181">
        <f t="shared" si="221"/>
        <v>1495200</v>
      </c>
      <c r="M37" s="181">
        <f t="shared" si="221"/>
        <v>1495200</v>
      </c>
      <c r="N37" s="181">
        <f t="shared" si="221"/>
        <v>1495200</v>
      </c>
      <c r="O37" s="181">
        <f t="shared" si="221"/>
        <v>1495200</v>
      </c>
      <c r="P37" s="202">
        <f>SUM(D37:O37)</f>
        <v>17942400</v>
      </c>
      <c r="T37" s="181">
        <f>+O37*(1+$S$36)</f>
        <v>1584912</v>
      </c>
      <c r="U37" s="181">
        <f>+T37</f>
        <v>1584912</v>
      </c>
      <c r="V37" s="181">
        <f t="shared" ref="V37:AE37" si="222">+U37</f>
        <v>1584912</v>
      </c>
      <c r="W37" s="181">
        <f t="shared" si="222"/>
        <v>1584912</v>
      </c>
      <c r="X37" s="181">
        <f t="shared" si="222"/>
        <v>1584912</v>
      </c>
      <c r="Y37" s="181">
        <f t="shared" si="222"/>
        <v>1584912</v>
      </c>
      <c r="Z37" s="181">
        <f t="shared" si="222"/>
        <v>1584912</v>
      </c>
      <c r="AA37" s="181">
        <f t="shared" si="222"/>
        <v>1584912</v>
      </c>
      <c r="AB37" s="181">
        <f t="shared" si="222"/>
        <v>1584912</v>
      </c>
      <c r="AC37" s="181">
        <f t="shared" si="222"/>
        <v>1584912</v>
      </c>
      <c r="AD37" s="181">
        <f t="shared" si="222"/>
        <v>1584912</v>
      </c>
      <c r="AE37" s="181">
        <f t="shared" si="222"/>
        <v>1584912</v>
      </c>
      <c r="AF37" s="202">
        <f>SUM(T37:AE37)</f>
        <v>19018944</v>
      </c>
      <c r="AI37" s="178">
        <v>0.15</v>
      </c>
      <c r="AJ37" s="181">
        <f>+AH36*(1+AI37)</f>
        <v>1840007.36</v>
      </c>
      <c r="AK37" s="181">
        <f>+AJ37</f>
        <v>1840007.36</v>
      </c>
      <c r="AL37" s="181">
        <f t="shared" ref="AL37:AU37" si="223">+AK37</f>
        <v>1840007.36</v>
      </c>
      <c r="AM37" s="181">
        <f t="shared" si="223"/>
        <v>1840007.36</v>
      </c>
      <c r="AN37" s="181">
        <f t="shared" si="223"/>
        <v>1840007.36</v>
      </c>
      <c r="AO37" s="181">
        <f t="shared" si="223"/>
        <v>1840007.36</v>
      </c>
      <c r="AP37" s="181">
        <f t="shared" si="223"/>
        <v>1840007.36</v>
      </c>
      <c r="AQ37" s="181">
        <f t="shared" si="223"/>
        <v>1840007.36</v>
      </c>
      <c r="AR37" s="181">
        <f t="shared" si="223"/>
        <v>1840007.36</v>
      </c>
      <c r="AS37" s="181">
        <f t="shared" si="223"/>
        <v>1840007.36</v>
      </c>
      <c r="AT37" s="181">
        <f t="shared" si="223"/>
        <v>1840007.36</v>
      </c>
      <c r="AU37" s="181">
        <f t="shared" si="223"/>
        <v>1840007.36</v>
      </c>
      <c r="AV37" s="202">
        <f>SUM(AJ37:AU37)</f>
        <v>22080088.319999997</v>
      </c>
    </row>
    <row r="38" spans="1:49">
      <c r="A38" s="178"/>
      <c r="B38" s="213" t="s">
        <v>240</v>
      </c>
      <c r="C38" s="186"/>
      <c r="D38" s="180"/>
      <c r="J38" s="180"/>
      <c r="K38" s="181"/>
      <c r="L38" s="181">
        <f>+L37</f>
        <v>1495200</v>
      </c>
      <c r="M38" s="181">
        <f t="shared" ref="M38:O38" si="224">+L38</f>
        <v>1495200</v>
      </c>
      <c r="N38" s="181">
        <f t="shared" si="224"/>
        <v>1495200</v>
      </c>
      <c r="O38" s="181">
        <f t="shared" si="224"/>
        <v>1495200</v>
      </c>
      <c r="P38" s="202">
        <f>SUM(D38:O38)</f>
        <v>5980800</v>
      </c>
      <c r="T38" s="181">
        <f>+T37</f>
        <v>1584912</v>
      </c>
      <c r="U38" s="181">
        <f>+T38</f>
        <v>1584912</v>
      </c>
      <c r="V38" s="181">
        <f t="shared" ref="V38:AE38" si="225">+U38</f>
        <v>1584912</v>
      </c>
      <c r="W38" s="181">
        <f t="shared" si="225"/>
        <v>1584912</v>
      </c>
      <c r="X38" s="181">
        <f t="shared" si="225"/>
        <v>1584912</v>
      </c>
      <c r="Y38" s="181">
        <f t="shared" si="225"/>
        <v>1584912</v>
      </c>
      <c r="Z38" s="181">
        <f t="shared" si="225"/>
        <v>1584912</v>
      </c>
      <c r="AA38" s="181">
        <f t="shared" si="225"/>
        <v>1584912</v>
      </c>
      <c r="AB38" s="181">
        <f t="shared" si="225"/>
        <v>1584912</v>
      </c>
      <c r="AC38" s="181">
        <f t="shared" si="225"/>
        <v>1584912</v>
      </c>
      <c r="AD38" s="181">
        <f t="shared" si="225"/>
        <v>1584912</v>
      </c>
      <c r="AE38" s="181">
        <f t="shared" si="225"/>
        <v>1584912</v>
      </c>
      <c r="AF38" s="202">
        <f>SUM(T38:AE38)</f>
        <v>19018944</v>
      </c>
      <c r="AJ38" s="181">
        <f>+AH36*(1+AI37)</f>
        <v>1840007.36</v>
      </c>
      <c r="AK38" s="181">
        <f>+AJ38</f>
        <v>1840007.36</v>
      </c>
      <c r="AL38" s="181">
        <f t="shared" ref="AL38:AU38" si="226">+AK38</f>
        <v>1840007.36</v>
      </c>
      <c r="AM38" s="181">
        <f t="shared" si="226"/>
        <v>1840007.36</v>
      </c>
      <c r="AN38" s="181">
        <f t="shared" si="226"/>
        <v>1840007.36</v>
      </c>
      <c r="AO38" s="181">
        <f t="shared" si="226"/>
        <v>1840007.36</v>
      </c>
      <c r="AP38" s="181">
        <f t="shared" si="226"/>
        <v>1840007.36</v>
      </c>
      <c r="AQ38" s="181">
        <f t="shared" si="226"/>
        <v>1840007.36</v>
      </c>
      <c r="AR38" s="181">
        <f t="shared" si="226"/>
        <v>1840007.36</v>
      </c>
      <c r="AS38" s="181">
        <f t="shared" si="226"/>
        <v>1840007.36</v>
      </c>
      <c r="AT38" s="181">
        <f t="shared" si="226"/>
        <v>1840007.36</v>
      </c>
      <c r="AU38" s="181">
        <f t="shared" si="226"/>
        <v>1840007.36</v>
      </c>
      <c r="AV38" s="202">
        <f>SUM(AJ38:AU38)</f>
        <v>22080088.319999997</v>
      </c>
    </row>
    <row r="39" spans="1:49">
      <c r="A39" s="178"/>
      <c r="B39" s="213" t="s">
        <v>241</v>
      </c>
      <c r="C39" s="186"/>
      <c r="D39" s="180"/>
      <c r="J39" s="180"/>
      <c r="K39" s="181"/>
      <c r="L39" s="181"/>
      <c r="M39" s="181"/>
      <c r="N39" s="181"/>
      <c r="O39" s="181"/>
      <c r="P39" s="202">
        <f t="shared" ref="P39:P52" si="227">SUM(D39:O39)</f>
        <v>0</v>
      </c>
      <c r="T39" s="181">
        <f>+T38</f>
        <v>1584912</v>
      </c>
      <c r="U39" s="181">
        <f>+T39</f>
        <v>1584912</v>
      </c>
      <c r="V39" s="181">
        <f>+U39</f>
        <v>1584912</v>
      </c>
      <c r="W39" s="181">
        <f t="shared" ref="W39:AE39" si="228">+V39</f>
        <v>1584912</v>
      </c>
      <c r="X39" s="181">
        <f t="shared" si="228"/>
        <v>1584912</v>
      </c>
      <c r="Y39" s="181">
        <f t="shared" si="228"/>
        <v>1584912</v>
      </c>
      <c r="Z39" s="181">
        <f t="shared" si="228"/>
        <v>1584912</v>
      </c>
      <c r="AA39" s="181">
        <f t="shared" si="228"/>
        <v>1584912</v>
      </c>
      <c r="AB39" s="181">
        <f t="shared" si="228"/>
        <v>1584912</v>
      </c>
      <c r="AC39" s="181">
        <f t="shared" si="228"/>
        <v>1584912</v>
      </c>
      <c r="AD39" s="181">
        <f t="shared" si="228"/>
        <v>1584912</v>
      </c>
      <c r="AE39" s="181">
        <f t="shared" si="228"/>
        <v>1584912</v>
      </c>
      <c r="AF39" s="202">
        <f t="shared" ref="AF39:AF55" si="229">SUM(T39:AE39)</f>
        <v>19018944</v>
      </c>
      <c r="AJ39" s="181">
        <f>+AH36*(1+AI37)</f>
        <v>1840007.36</v>
      </c>
      <c r="AK39" s="181">
        <f>+AJ39</f>
        <v>1840007.36</v>
      </c>
      <c r="AL39" s="181">
        <f>+AK39</f>
        <v>1840007.36</v>
      </c>
      <c r="AM39" s="181">
        <f t="shared" ref="AM39:AU39" si="230">+AL39</f>
        <v>1840007.36</v>
      </c>
      <c r="AN39" s="181">
        <f t="shared" si="230"/>
        <v>1840007.36</v>
      </c>
      <c r="AO39" s="181">
        <f t="shared" si="230"/>
        <v>1840007.36</v>
      </c>
      <c r="AP39" s="181">
        <f t="shared" si="230"/>
        <v>1840007.36</v>
      </c>
      <c r="AQ39" s="181">
        <f t="shared" si="230"/>
        <v>1840007.36</v>
      </c>
      <c r="AR39" s="181">
        <f t="shared" si="230"/>
        <v>1840007.36</v>
      </c>
      <c r="AS39" s="181">
        <f t="shared" si="230"/>
        <v>1840007.36</v>
      </c>
      <c r="AT39" s="181">
        <f t="shared" si="230"/>
        <v>1840007.36</v>
      </c>
      <c r="AU39" s="181">
        <f t="shared" si="230"/>
        <v>1840007.36</v>
      </c>
      <c r="AV39" s="202">
        <f t="shared" ref="AV39:AV61" si="231">SUM(AJ39:AU39)</f>
        <v>22080088.319999997</v>
      </c>
    </row>
    <row r="40" spans="1:49">
      <c r="A40" s="178"/>
      <c r="B40" s="213" t="s">
        <v>242</v>
      </c>
      <c r="C40" s="186"/>
      <c r="D40" s="180"/>
      <c r="J40" s="180"/>
      <c r="K40" s="181"/>
      <c r="L40" s="181"/>
      <c r="M40" s="181"/>
      <c r="N40" s="181"/>
      <c r="O40" s="181"/>
      <c r="P40" s="202">
        <f t="shared" si="227"/>
        <v>0</v>
      </c>
      <c r="T40" s="181"/>
      <c r="U40" s="181"/>
      <c r="V40" s="181"/>
      <c r="W40" s="181"/>
      <c r="X40" s="181"/>
      <c r="Y40" s="181"/>
      <c r="Z40" s="181">
        <f>+Z39</f>
        <v>1584912</v>
      </c>
      <c r="AA40" s="181">
        <f t="shared" ref="AA40:AE40" si="232">+Z40</f>
        <v>1584912</v>
      </c>
      <c r="AB40" s="181">
        <f t="shared" si="232"/>
        <v>1584912</v>
      </c>
      <c r="AC40" s="181">
        <f t="shared" si="232"/>
        <v>1584912</v>
      </c>
      <c r="AD40" s="181">
        <f t="shared" si="232"/>
        <v>1584912</v>
      </c>
      <c r="AE40" s="181">
        <f t="shared" si="232"/>
        <v>1584912</v>
      </c>
      <c r="AF40" s="202">
        <f t="shared" si="229"/>
        <v>9509472</v>
      </c>
      <c r="AJ40" s="181">
        <f>+AH36*(1+AI37)</f>
        <v>1840007.36</v>
      </c>
      <c r="AK40" s="181">
        <f>+AJ40</f>
        <v>1840007.36</v>
      </c>
      <c r="AL40" s="181">
        <f t="shared" ref="AL40:AM40" si="233">+AL39</f>
        <v>1840007.36</v>
      </c>
      <c r="AM40" s="181">
        <f t="shared" si="233"/>
        <v>1840007.36</v>
      </c>
      <c r="AN40" s="181">
        <f>+AN39</f>
        <v>1840007.36</v>
      </c>
      <c r="AO40" s="181">
        <f>+AN40</f>
        <v>1840007.36</v>
      </c>
      <c r="AP40" s="181">
        <f t="shared" ref="AP40:AU40" si="234">+AO40</f>
        <v>1840007.36</v>
      </c>
      <c r="AQ40" s="181">
        <f t="shared" si="234"/>
        <v>1840007.36</v>
      </c>
      <c r="AR40" s="181">
        <f t="shared" si="234"/>
        <v>1840007.36</v>
      </c>
      <c r="AS40" s="181">
        <f t="shared" si="234"/>
        <v>1840007.36</v>
      </c>
      <c r="AT40" s="181">
        <f t="shared" si="234"/>
        <v>1840007.36</v>
      </c>
      <c r="AU40" s="181">
        <f t="shared" si="234"/>
        <v>1840007.36</v>
      </c>
      <c r="AV40" s="202">
        <f t="shared" si="231"/>
        <v>22080088.319999997</v>
      </c>
    </row>
    <row r="41" spans="1:49">
      <c r="A41" s="178"/>
      <c r="B41" s="213" t="s">
        <v>257</v>
      </c>
      <c r="C41" s="186"/>
      <c r="D41" s="180"/>
      <c r="J41" s="180"/>
      <c r="K41" s="181"/>
      <c r="L41" s="181"/>
      <c r="M41" s="181"/>
      <c r="N41" s="181"/>
      <c r="O41" s="181"/>
      <c r="P41" s="202">
        <f t="shared" si="227"/>
        <v>0</v>
      </c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202">
        <f t="shared" si="229"/>
        <v>0</v>
      </c>
      <c r="AJ41" s="181"/>
      <c r="AK41" s="181"/>
      <c r="AL41" s="181">
        <f>+AK41</f>
        <v>0</v>
      </c>
      <c r="AM41" s="181">
        <f t="shared" ref="AM41:AU42" si="235">+AL41</f>
        <v>0</v>
      </c>
      <c r="AN41" s="181">
        <f>+AN40</f>
        <v>1840007.36</v>
      </c>
      <c r="AO41" s="181">
        <f t="shared" si="235"/>
        <v>1840007.36</v>
      </c>
      <c r="AP41" s="181">
        <f t="shared" si="235"/>
        <v>1840007.36</v>
      </c>
      <c r="AQ41" s="181">
        <f t="shared" si="235"/>
        <v>1840007.36</v>
      </c>
      <c r="AR41" s="181">
        <f t="shared" si="235"/>
        <v>1840007.36</v>
      </c>
      <c r="AS41" s="181">
        <f t="shared" si="235"/>
        <v>1840007.36</v>
      </c>
      <c r="AT41" s="181">
        <f t="shared" si="235"/>
        <v>1840007.36</v>
      </c>
      <c r="AU41" s="181">
        <f t="shared" si="235"/>
        <v>1840007.36</v>
      </c>
      <c r="AV41" s="202">
        <f t="shared" si="231"/>
        <v>14720058.879999999</v>
      </c>
    </row>
    <row r="42" spans="1:49">
      <c r="A42" s="178"/>
      <c r="B42" s="213" t="s">
        <v>258</v>
      </c>
      <c r="C42" s="186"/>
      <c r="D42" s="180"/>
      <c r="J42" s="180"/>
      <c r="K42" s="181"/>
      <c r="L42" s="181"/>
      <c r="M42" s="181"/>
      <c r="N42" s="181"/>
      <c r="O42" s="181"/>
      <c r="P42" s="202">
        <f t="shared" si="227"/>
        <v>0</v>
      </c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202">
        <f t="shared" si="229"/>
        <v>0</v>
      </c>
      <c r="AJ42" s="181"/>
      <c r="AK42" s="181"/>
      <c r="AL42" s="181"/>
      <c r="AM42" s="181"/>
      <c r="AN42" s="181"/>
      <c r="AO42" s="181"/>
      <c r="AP42" s="181"/>
      <c r="AQ42" s="181">
        <f>+AQ41</f>
        <v>1840007.36</v>
      </c>
      <c r="AR42" s="181">
        <f t="shared" si="235"/>
        <v>1840007.36</v>
      </c>
      <c r="AS42" s="181">
        <f t="shared" si="235"/>
        <v>1840007.36</v>
      </c>
      <c r="AT42" s="181">
        <f t="shared" si="235"/>
        <v>1840007.36</v>
      </c>
      <c r="AU42" s="181">
        <f t="shared" si="235"/>
        <v>1840007.36</v>
      </c>
      <c r="AV42" s="202">
        <f t="shared" si="231"/>
        <v>9200036.8000000007</v>
      </c>
    </row>
    <row r="43" spans="1:49">
      <c r="A43" s="178"/>
      <c r="B43" s="213" t="s">
        <v>261</v>
      </c>
      <c r="C43" s="186"/>
      <c r="D43" s="180"/>
      <c r="J43" s="180"/>
      <c r="K43" s="181"/>
      <c r="L43" s="181"/>
      <c r="M43" s="181"/>
      <c r="N43" s="181"/>
      <c r="O43" s="181"/>
      <c r="P43" s="202">
        <f t="shared" si="227"/>
        <v>0</v>
      </c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202">
        <f t="shared" si="229"/>
        <v>0</v>
      </c>
      <c r="AI43" s="178">
        <v>2</v>
      </c>
      <c r="AJ43" s="181"/>
      <c r="AK43" s="181"/>
      <c r="AL43" s="181">
        <f>+$AH$36*(1+AI43)</f>
        <v>4800019.2</v>
      </c>
      <c r="AM43" s="181">
        <f>+AL43</f>
        <v>4800019.2</v>
      </c>
      <c r="AN43" s="181">
        <f>+AM43</f>
        <v>4800019.2</v>
      </c>
      <c r="AO43" s="181">
        <f t="shared" ref="AO43:AU43" si="236">+AN43</f>
        <v>4800019.2</v>
      </c>
      <c r="AP43" s="181">
        <f t="shared" si="236"/>
        <v>4800019.2</v>
      </c>
      <c r="AQ43" s="181">
        <f t="shared" si="236"/>
        <v>4800019.2</v>
      </c>
      <c r="AR43" s="181">
        <f t="shared" si="236"/>
        <v>4800019.2</v>
      </c>
      <c r="AS43" s="181">
        <f t="shared" si="236"/>
        <v>4800019.2</v>
      </c>
      <c r="AT43" s="181">
        <f t="shared" si="236"/>
        <v>4800019.2</v>
      </c>
      <c r="AU43" s="181">
        <f t="shared" si="236"/>
        <v>4800019.2</v>
      </c>
      <c r="AV43" s="202">
        <f t="shared" si="231"/>
        <v>48000192.000000007</v>
      </c>
    </row>
    <row r="44" spans="1:49">
      <c r="A44" s="178">
        <v>0.2</v>
      </c>
      <c r="B44" s="213" t="s">
        <v>233</v>
      </c>
      <c r="C44" s="186"/>
      <c r="D44" s="180">
        <f t="shared" ref="D44:D58" si="237">+$A$36*(1+A44)</f>
        <v>1708800</v>
      </c>
      <c r="E44" s="181">
        <f>+D44</f>
        <v>1708800</v>
      </c>
      <c r="F44" s="181">
        <f t="shared" ref="F44:O44" si="238">+E44</f>
        <v>1708800</v>
      </c>
      <c r="G44" s="181">
        <f t="shared" si="238"/>
        <v>1708800</v>
      </c>
      <c r="H44" s="181">
        <f t="shared" si="238"/>
        <v>1708800</v>
      </c>
      <c r="I44" s="181">
        <f t="shared" si="238"/>
        <v>1708800</v>
      </c>
      <c r="J44" s="181">
        <f t="shared" si="238"/>
        <v>1708800</v>
      </c>
      <c r="K44" s="181">
        <f t="shared" si="238"/>
        <v>1708800</v>
      </c>
      <c r="L44" s="181">
        <f t="shared" si="238"/>
        <v>1708800</v>
      </c>
      <c r="M44" s="181">
        <f t="shared" si="238"/>
        <v>1708800</v>
      </c>
      <c r="N44" s="181">
        <f t="shared" si="238"/>
        <v>1708800</v>
      </c>
      <c r="O44" s="181">
        <f t="shared" si="238"/>
        <v>1708800</v>
      </c>
      <c r="P44" s="202">
        <f t="shared" si="227"/>
        <v>20505600</v>
      </c>
      <c r="T44" s="181">
        <f>+O44*(1+$S$36)</f>
        <v>1811328</v>
      </c>
      <c r="U44" s="181">
        <f>+T44</f>
        <v>1811328</v>
      </c>
      <c r="V44" s="181">
        <f t="shared" ref="V44:AE44" si="239">+U44</f>
        <v>1811328</v>
      </c>
      <c r="W44" s="181">
        <f t="shared" si="239"/>
        <v>1811328</v>
      </c>
      <c r="X44" s="181">
        <f t="shared" si="239"/>
        <v>1811328</v>
      </c>
      <c r="Y44" s="181">
        <f t="shared" si="239"/>
        <v>1811328</v>
      </c>
      <c r="Z44" s="181">
        <f t="shared" si="239"/>
        <v>1811328</v>
      </c>
      <c r="AA44" s="181">
        <f t="shared" si="239"/>
        <v>1811328</v>
      </c>
      <c r="AB44" s="181">
        <f t="shared" si="239"/>
        <v>1811328</v>
      </c>
      <c r="AC44" s="181">
        <f t="shared" si="239"/>
        <v>1811328</v>
      </c>
      <c r="AD44" s="181">
        <f t="shared" si="239"/>
        <v>1811328</v>
      </c>
      <c r="AE44" s="181">
        <f t="shared" si="239"/>
        <v>1811328</v>
      </c>
      <c r="AF44" s="202">
        <f t="shared" si="229"/>
        <v>21735936</v>
      </c>
      <c r="AI44" s="178">
        <v>0.4</v>
      </c>
      <c r="AJ44" s="181">
        <f>+$AH$36*(1+AI44)</f>
        <v>2240008.96</v>
      </c>
      <c r="AK44" s="181">
        <f>+AJ44</f>
        <v>2240008.96</v>
      </c>
      <c r="AL44" s="181">
        <f t="shared" ref="AL44:AU44" si="240">+AK44</f>
        <v>2240008.96</v>
      </c>
      <c r="AM44" s="181">
        <f t="shared" si="240"/>
        <v>2240008.96</v>
      </c>
      <c r="AN44" s="181">
        <f t="shared" si="240"/>
        <v>2240008.96</v>
      </c>
      <c r="AO44" s="181">
        <f t="shared" si="240"/>
        <v>2240008.96</v>
      </c>
      <c r="AP44" s="181">
        <f t="shared" si="240"/>
        <v>2240008.96</v>
      </c>
      <c r="AQ44" s="181">
        <f t="shared" si="240"/>
        <v>2240008.96</v>
      </c>
      <c r="AR44" s="181">
        <f t="shared" si="240"/>
        <v>2240008.96</v>
      </c>
      <c r="AS44" s="181">
        <f t="shared" si="240"/>
        <v>2240008.96</v>
      </c>
      <c r="AT44" s="181">
        <f t="shared" si="240"/>
        <v>2240008.96</v>
      </c>
      <c r="AU44" s="181">
        <f t="shared" si="240"/>
        <v>2240008.96</v>
      </c>
      <c r="AV44" s="202">
        <f t="shared" si="231"/>
        <v>26880107.520000007</v>
      </c>
    </row>
    <row r="45" spans="1:49">
      <c r="A45" s="178"/>
      <c r="B45" s="213" t="s">
        <v>234</v>
      </c>
      <c r="C45" s="186"/>
      <c r="D45" s="180"/>
      <c r="L45" s="180">
        <f>+$A$36*(1+A44)</f>
        <v>1708800</v>
      </c>
      <c r="M45" s="181">
        <f>+L45</f>
        <v>1708800</v>
      </c>
      <c r="N45" s="181">
        <f t="shared" ref="N45:O45" si="241">+M45</f>
        <v>1708800</v>
      </c>
      <c r="O45" s="181">
        <f t="shared" si="241"/>
        <v>1708800</v>
      </c>
      <c r="P45" s="202">
        <f t="shared" si="227"/>
        <v>6835200</v>
      </c>
      <c r="T45" s="181">
        <f>+O45*(1+$S$36)</f>
        <v>1811328</v>
      </c>
      <c r="U45" s="181">
        <f>+T45</f>
        <v>1811328</v>
      </c>
      <c r="V45" s="181">
        <f t="shared" ref="V45:AE46" si="242">+U45</f>
        <v>1811328</v>
      </c>
      <c r="W45" s="181">
        <f t="shared" si="242"/>
        <v>1811328</v>
      </c>
      <c r="X45" s="181">
        <f t="shared" si="242"/>
        <v>1811328</v>
      </c>
      <c r="Y45" s="181">
        <f t="shared" si="242"/>
        <v>1811328</v>
      </c>
      <c r="Z45" s="181">
        <f t="shared" si="242"/>
        <v>1811328</v>
      </c>
      <c r="AA45" s="181">
        <f t="shared" si="242"/>
        <v>1811328</v>
      </c>
      <c r="AB45" s="181">
        <f t="shared" si="242"/>
        <v>1811328</v>
      </c>
      <c r="AC45" s="181">
        <f t="shared" si="242"/>
        <v>1811328</v>
      </c>
      <c r="AD45" s="181">
        <f t="shared" si="242"/>
        <v>1811328</v>
      </c>
      <c r="AE45" s="181">
        <f t="shared" si="242"/>
        <v>1811328</v>
      </c>
      <c r="AF45" s="202">
        <f t="shared" si="229"/>
        <v>21735936</v>
      </c>
      <c r="AJ45" s="181">
        <f>+$AH$36*(1+AI44)</f>
        <v>2240008.96</v>
      </c>
      <c r="AK45" s="181">
        <f>+AJ45</f>
        <v>2240008.96</v>
      </c>
      <c r="AL45" s="181">
        <f t="shared" ref="AL45:AU45" si="243">+AK45</f>
        <v>2240008.96</v>
      </c>
      <c r="AM45" s="181">
        <f t="shared" si="243"/>
        <v>2240008.96</v>
      </c>
      <c r="AN45" s="181">
        <f t="shared" si="243"/>
        <v>2240008.96</v>
      </c>
      <c r="AO45" s="181">
        <f t="shared" si="243"/>
        <v>2240008.96</v>
      </c>
      <c r="AP45" s="181">
        <f t="shared" si="243"/>
        <v>2240008.96</v>
      </c>
      <c r="AQ45" s="181">
        <f t="shared" si="243"/>
        <v>2240008.96</v>
      </c>
      <c r="AR45" s="181">
        <f t="shared" si="243"/>
        <v>2240008.96</v>
      </c>
      <c r="AS45" s="181">
        <f t="shared" si="243"/>
        <v>2240008.96</v>
      </c>
      <c r="AT45" s="181">
        <f t="shared" si="243"/>
        <v>2240008.96</v>
      </c>
      <c r="AU45" s="181">
        <f t="shared" si="243"/>
        <v>2240008.96</v>
      </c>
      <c r="AV45" s="202">
        <f t="shared" si="231"/>
        <v>26880107.520000007</v>
      </c>
    </row>
    <row r="46" spans="1:49">
      <c r="A46" s="178"/>
      <c r="B46" s="213" t="s">
        <v>235</v>
      </c>
      <c r="C46" s="186"/>
      <c r="D46" s="180"/>
      <c r="L46" s="180"/>
      <c r="M46" s="181"/>
      <c r="N46" s="181"/>
      <c r="O46" s="181"/>
      <c r="P46" s="202">
        <f t="shared" si="227"/>
        <v>0</v>
      </c>
      <c r="T46" s="181"/>
      <c r="U46" s="181"/>
      <c r="V46" s="181">
        <f>+V45</f>
        <v>1811328</v>
      </c>
      <c r="W46" s="181">
        <f t="shared" si="242"/>
        <v>1811328</v>
      </c>
      <c r="X46" s="181">
        <f t="shared" si="242"/>
        <v>1811328</v>
      </c>
      <c r="Y46" s="181">
        <f t="shared" si="242"/>
        <v>1811328</v>
      </c>
      <c r="Z46" s="181">
        <f t="shared" si="242"/>
        <v>1811328</v>
      </c>
      <c r="AA46" s="181">
        <f t="shared" si="242"/>
        <v>1811328</v>
      </c>
      <c r="AB46" s="181">
        <f t="shared" si="242"/>
        <v>1811328</v>
      </c>
      <c r="AC46" s="181">
        <f t="shared" si="242"/>
        <v>1811328</v>
      </c>
      <c r="AD46" s="181">
        <f t="shared" si="242"/>
        <v>1811328</v>
      </c>
      <c r="AE46" s="181">
        <f t="shared" si="242"/>
        <v>1811328</v>
      </c>
      <c r="AF46" s="202">
        <f t="shared" si="229"/>
        <v>18113280</v>
      </c>
      <c r="AJ46" s="181">
        <f>+AJ45</f>
        <v>2240008.96</v>
      </c>
      <c r="AK46" s="181">
        <f>+AJ46</f>
        <v>2240008.96</v>
      </c>
      <c r="AL46" s="181">
        <f>+AL45</f>
        <v>2240008.96</v>
      </c>
      <c r="AM46" s="181">
        <f t="shared" ref="AM46:AU48" si="244">+AL46</f>
        <v>2240008.96</v>
      </c>
      <c r="AN46" s="181">
        <f t="shared" si="244"/>
        <v>2240008.96</v>
      </c>
      <c r="AO46" s="181">
        <f t="shared" si="244"/>
        <v>2240008.96</v>
      </c>
      <c r="AP46" s="181">
        <f t="shared" si="244"/>
        <v>2240008.96</v>
      </c>
      <c r="AQ46" s="181">
        <f t="shared" si="244"/>
        <v>2240008.96</v>
      </c>
      <c r="AR46" s="181">
        <f t="shared" si="244"/>
        <v>2240008.96</v>
      </c>
      <c r="AS46" s="181">
        <f t="shared" si="244"/>
        <v>2240008.96</v>
      </c>
      <c r="AT46" s="181">
        <f t="shared" si="244"/>
        <v>2240008.96</v>
      </c>
      <c r="AU46" s="181">
        <f t="shared" si="244"/>
        <v>2240008.96</v>
      </c>
      <c r="AV46" s="202">
        <f t="shared" si="231"/>
        <v>26880107.520000007</v>
      </c>
    </row>
    <row r="47" spans="1:49">
      <c r="A47" s="178"/>
      <c r="B47" s="213" t="s">
        <v>246</v>
      </c>
      <c r="C47" s="186"/>
      <c r="D47" s="180"/>
      <c r="L47" s="180"/>
      <c r="M47" s="181"/>
      <c r="N47" s="181"/>
      <c r="O47" s="181"/>
      <c r="P47" s="202">
        <f t="shared" si="227"/>
        <v>0</v>
      </c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202">
        <f t="shared" si="229"/>
        <v>0</v>
      </c>
      <c r="AJ47" s="181"/>
      <c r="AK47" s="181">
        <f>+AK46</f>
        <v>2240008.96</v>
      </c>
      <c r="AL47" s="181">
        <f>+AK47</f>
        <v>2240008.96</v>
      </c>
      <c r="AM47" s="181">
        <f>+AL47</f>
        <v>2240008.96</v>
      </c>
      <c r="AN47" s="181">
        <f t="shared" si="244"/>
        <v>2240008.96</v>
      </c>
      <c r="AO47" s="181">
        <f t="shared" si="244"/>
        <v>2240008.96</v>
      </c>
      <c r="AP47" s="181">
        <f t="shared" si="244"/>
        <v>2240008.96</v>
      </c>
      <c r="AQ47" s="181">
        <f t="shared" si="244"/>
        <v>2240008.96</v>
      </c>
      <c r="AR47" s="181">
        <f t="shared" si="244"/>
        <v>2240008.96</v>
      </c>
      <c r="AS47" s="181">
        <f t="shared" si="244"/>
        <v>2240008.96</v>
      </c>
      <c r="AT47" s="181">
        <f t="shared" si="244"/>
        <v>2240008.96</v>
      </c>
      <c r="AU47" s="181">
        <f t="shared" si="244"/>
        <v>2240008.96</v>
      </c>
      <c r="AV47" s="202">
        <f t="shared" si="231"/>
        <v>24640098.560000006</v>
      </c>
    </row>
    <row r="48" spans="1:49">
      <c r="A48" s="178"/>
      <c r="B48" s="213" t="s">
        <v>259</v>
      </c>
      <c r="C48" s="186"/>
      <c r="D48" s="180"/>
      <c r="L48" s="180"/>
      <c r="M48" s="181"/>
      <c r="N48" s="181"/>
      <c r="O48" s="181"/>
      <c r="P48" s="202">
        <f t="shared" si="227"/>
        <v>0</v>
      </c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202">
        <f t="shared" si="229"/>
        <v>0</v>
      </c>
      <c r="AJ48" s="181"/>
      <c r="AK48" s="181"/>
      <c r="AL48" s="181"/>
      <c r="AM48" s="181"/>
      <c r="AN48" s="181"/>
      <c r="AO48" s="181">
        <f>+AO47</f>
        <v>2240008.96</v>
      </c>
      <c r="AP48" s="181">
        <f>+AO48</f>
        <v>2240008.96</v>
      </c>
      <c r="AQ48" s="181">
        <f t="shared" si="244"/>
        <v>2240008.96</v>
      </c>
      <c r="AR48" s="181">
        <f t="shared" si="244"/>
        <v>2240008.96</v>
      </c>
      <c r="AS48" s="181">
        <f t="shared" si="244"/>
        <v>2240008.96</v>
      </c>
      <c r="AT48" s="181">
        <f t="shared" si="244"/>
        <v>2240008.96</v>
      </c>
      <c r="AU48" s="181">
        <f t="shared" si="244"/>
        <v>2240008.96</v>
      </c>
      <c r="AV48" s="202">
        <f t="shared" si="231"/>
        <v>15680062.720000003</v>
      </c>
    </row>
    <row r="49" spans="1:49">
      <c r="A49" s="178"/>
      <c r="B49" s="213" t="s">
        <v>260</v>
      </c>
      <c r="C49" s="186"/>
      <c r="D49" s="180"/>
      <c r="L49" s="180"/>
      <c r="M49" s="181"/>
      <c r="N49" s="181"/>
      <c r="O49" s="181"/>
      <c r="P49" s="202">
        <f t="shared" si="227"/>
        <v>0</v>
      </c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202">
        <f t="shared" si="229"/>
        <v>0</v>
      </c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>
        <f>+AU48</f>
        <v>2240008.96</v>
      </c>
      <c r="AV49" s="202">
        <f t="shared" si="231"/>
        <v>2240008.96</v>
      </c>
    </row>
    <row r="50" spans="1:49">
      <c r="A50" s="178">
        <v>0</v>
      </c>
      <c r="B50" s="212" t="s">
        <v>217</v>
      </c>
      <c r="C50" s="186"/>
      <c r="D50" s="180">
        <f>+($A$36*(1+$A50))+((D$23*2.5%)/D$34)</f>
        <v>1537700</v>
      </c>
      <c r="E50" s="180">
        <f t="shared" ref="E50:O50" si="245">+($A$36*(1+$A50))+((E23*2.5%)/E34)</f>
        <v>1735172.5</v>
      </c>
      <c r="F50" s="180">
        <f t="shared" si="245"/>
        <v>1964232.5</v>
      </c>
      <c r="G50" s="180">
        <f t="shared" si="245"/>
        <v>1805580</v>
      </c>
      <c r="H50" s="180">
        <f t="shared" si="245"/>
        <v>1919798.75</v>
      </c>
      <c r="I50" s="180">
        <f t="shared" si="245"/>
        <v>2046656.25</v>
      </c>
      <c r="J50" s="180">
        <f t="shared" si="245"/>
        <v>2192881.25</v>
      </c>
      <c r="K50" s="180">
        <f t="shared" si="245"/>
        <v>2363777.5</v>
      </c>
      <c r="L50" s="180">
        <f t="shared" si="245"/>
        <v>2566031.25</v>
      </c>
      <c r="M50" s="180">
        <f t="shared" si="245"/>
        <v>2345524.1666666665</v>
      </c>
      <c r="N50" s="180">
        <f t="shared" si="245"/>
        <v>2535025</v>
      </c>
      <c r="O50" s="180">
        <f t="shared" si="245"/>
        <v>2760257.5</v>
      </c>
      <c r="P50" s="202">
        <f t="shared" si="227"/>
        <v>25772636.666666668</v>
      </c>
      <c r="Q50" s="188"/>
      <c r="T50" s="180">
        <f t="shared" ref="T50:AE53" si="246">+($A$36*(1+$S$36))+((T$23*2.5%)/T$34)</f>
        <v>2710899.375</v>
      </c>
      <c r="U50" s="180">
        <f t="shared" si="246"/>
        <v>2874549.375</v>
      </c>
      <c r="V50" s="180">
        <f t="shared" si="246"/>
        <v>3023580.625</v>
      </c>
      <c r="W50" s="180">
        <f t="shared" si="246"/>
        <v>3156524.375</v>
      </c>
      <c r="X50" s="180">
        <f t="shared" si="246"/>
        <v>2919700</v>
      </c>
      <c r="Y50" s="180">
        <f t="shared" si="246"/>
        <v>2999490</v>
      </c>
      <c r="Z50" s="180">
        <f t="shared" si="246"/>
        <v>3067072.5</v>
      </c>
      <c r="AA50" s="180">
        <f t="shared" si="246"/>
        <v>3123672.5</v>
      </c>
      <c r="AB50" s="180">
        <f t="shared" si="246"/>
        <v>3170530</v>
      </c>
      <c r="AC50" s="180">
        <f t="shared" si="246"/>
        <v>3209167.5</v>
      </c>
      <c r="AD50" s="180">
        <f t="shared" si="246"/>
        <v>3240792.5</v>
      </c>
      <c r="AE50" s="180">
        <f t="shared" si="246"/>
        <v>3266330</v>
      </c>
      <c r="AF50" s="202">
        <f t="shared" si="229"/>
        <v>36762308.75</v>
      </c>
      <c r="AG50" s="188"/>
      <c r="AJ50" s="180">
        <f>+$AH$36+((AJ$23*2.5%)/AJ$34)</f>
        <v>3414844.9000000004</v>
      </c>
      <c r="AK50" s="180">
        <f>+$AH$36+((AK$23*2.5%)/AK$34)</f>
        <v>3438713.9000000004</v>
      </c>
      <c r="AL50" s="180">
        <f t="shared" ref="AL50:AU50" si="247">+$AH$36+((AL$23*2.5%)/AL$34)</f>
        <v>3457927.4000000004</v>
      </c>
      <c r="AM50" s="180">
        <f t="shared" si="247"/>
        <v>3161178.9000000004</v>
      </c>
      <c r="AN50" s="180">
        <f>+$AH$36+((AN$23*2.5%)/AN$34)</f>
        <v>3305001.4000000004</v>
      </c>
      <c r="AO50" s="180">
        <f t="shared" si="247"/>
        <v>3431223.9000000004</v>
      </c>
      <c r="AP50" s="180">
        <f t="shared" si="247"/>
        <v>3539846.4000000004</v>
      </c>
      <c r="AQ50" s="180">
        <f t="shared" si="247"/>
        <v>3632190.1500000004</v>
      </c>
      <c r="AR50" s="180">
        <f t="shared" si="247"/>
        <v>3709829.3166666664</v>
      </c>
      <c r="AS50" s="180">
        <f t="shared" si="247"/>
        <v>3774283.0666666664</v>
      </c>
      <c r="AT50" s="180">
        <f t="shared" si="247"/>
        <v>3827658.9000000004</v>
      </c>
      <c r="AU50" s="180">
        <f t="shared" si="247"/>
        <v>3871223.0666666664</v>
      </c>
      <c r="AV50" s="202">
        <f t="shared" si="231"/>
        <v>42563921.299999997</v>
      </c>
      <c r="AW50" s="188"/>
    </row>
    <row r="51" spans="1:49">
      <c r="A51" s="178">
        <v>0</v>
      </c>
      <c r="B51" s="212" t="s">
        <v>218</v>
      </c>
      <c r="C51" s="186"/>
      <c r="D51" s="180"/>
      <c r="G51" s="180"/>
      <c r="H51" s="180"/>
      <c r="I51" s="180">
        <f t="shared" ref="I51:O51" si="248">+($A$36*(1+$A51))+((I$23*2.5%)/I$34)</f>
        <v>2046656.25</v>
      </c>
      <c r="J51" s="180">
        <f t="shared" si="248"/>
        <v>2192881.25</v>
      </c>
      <c r="K51" s="180">
        <f t="shared" si="248"/>
        <v>2363777.5</v>
      </c>
      <c r="L51" s="180">
        <f t="shared" si="248"/>
        <v>2566031.25</v>
      </c>
      <c r="M51" s="180">
        <f t="shared" si="248"/>
        <v>2345524.1666666665</v>
      </c>
      <c r="N51" s="180">
        <f t="shared" si="248"/>
        <v>2535025</v>
      </c>
      <c r="O51" s="180">
        <f t="shared" si="248"/>
        <v>2760257.5</v>
      </c>
      <c r="P51" s="202">
        <f t="shared" si="227"/>
        <v>16810152.916666664</v>
      </c>
      <c r="R51" s="189"/>
      <c r="T51" s="180">
        <f t="shared" si="246"/>
        <v>2710899.375</v>
      </c>
      <c r="U51" s="180">
        <f t="shared" si="246"/>
        <v>2874549.375</v>
      </c>
      <c r="V51" s="180">
        <f t="shared" si="246"/>
        <v>3023580.625</v>
      </c>
      <c r="W51" s="180">
        <f t="shared" si="246"/>
        <v>3156524.375</v>
      </c>
      <c r="X51" s="180">
        <f t="shared" si="246"/>
        <v>2919700</v>
      </c>
      <c r="Y51" s="180">
        <f t="shared" si="246"/>
        <v>2999490</v>
      </c>
      <c r="Z51" s="180">
        <f t="shared" si="246"/>
        <v>3067072.5</v>
      </c>
      <c r="AA51" s="180">
        <f t="shared" si="246"/>
        <v>3123672.5</v>
      </c>
      <c r="AB51" s="180">
        <f t="shared" si="246"/>
        <v>3170530</v>
      </c>
      <c r="AC51" s="180">
        <f t="shared" si="246"/>
        <v>3209167.5</v>
      </c>
      <c r="AD51" s="180">
        <f t="shared" si="246"/>
        <v>3240792.5</v>
      </c>
      <c r="AE51" s="180">
        <f t="shared" si="246"/>
        <v>3266330</v>
      </c>
      <c r="AF51" s="202">
        <f t="shared" si="229"/>
        <v>36762308.75</v>
      </c>
      <c r="AH51" s="189"/>
      <c r="AJ51" s="180">
        <f t="shared" ref="AJ51:AU55" si="249">+$AH$36+((AJ$23*2.5%)/AJ$34)</f>
        <v>3414844.9000000004</v>
      </c>
      <c r="AK51" s="180">
        <f t="shared" si="249"/>
        <v>3438713.9000000004</v>
      </c>
      <c r="AL51" s="180">
        <f t="shared" si="249"/>
        <v>3457927.4000000004</v>
      </c>
      <c r="AM51" s="180">
        <f t="shared" si="249"/>
        <v>3161178.9000000004</v>
      </c>
      <c r="AN51" s="180">
        <f t="shared" si="249"/>
        <v>3305001.4000000004</v>
      </c>
      <c r="AO51" s="180">
        <f t="shared" si="249"/>
        <v>3431223.9000000004</v>
      </c>
      <c r="AP51" s="180">
        <f t="shared" si="249"/>
        <v>3539846.4000000004</v>
      </c>
      <c r="AQ51" s="180">
        <f t="shared" si="249"/>
        <v>3632190.1500000004</v>
      </c>
      <c r="AR51" s="180">
        <f t="shared" si="249"/>
        <v>3709829.3166666664</v>
      </c>
      <c r="AS51" s="180">
        <f t="shared" si="249"/>
        <v>3774283.0666666664</v>
      </c>
      <c r="AT51" s="180">
        <f t="shared" si="249"/>
        <v>3827658.9000000004</v>
      </c>
      <c r="AU51" s="180">
        <f t="shared" si="249"/>
        <v>3871223.0666666664</v>
      </c>
      <c r="AV51" s="202">
        <f t="shared" si="231"/>
        <v>42563921.299999997</v>
      </c>
    </row>
    <row r="52" spans="1:49">
      <c r="A52" s="178"/>
      <c r="B52" s="212" t="s">
        <v>220</v>
      </c>
      <c r="C52" s="186"/>
      <c r="D52" s="180"/>
      <c r="L52" s="180"/>
      <c r="M52" s="180">
        <f>+($A$36*(1+$A52))+((M$23*2.5%)/M$34)</f>
        <v>2345524.1666666665</v>
      </c>
      <c r="N52" s="180">
        <f>+($A$36*(1+$A52))+((N$23*2.5%)/N$34)</f>
        <v>2535025</v>
      </c>
      <c r="O52" s="180">
        <f>+($A$36*(1+$A52))+((O$23*2.5%)/O$34)</f>
        <v>2760257.5</v>
      </c>
      <c r="P52" s="202">
        <f t="shared" si="227"/>
        <v>7640806.666666666</v>
      </c>
      <c r="T52" s="180">
        <f t="shared" si="246"/>
        <v>2710899.375</v>
      </c>
      <c r="U52" s="180">
        <f t="shared" si="246"/>
        <v>2874549.375</v>
      </c>
      <c r="V52" s="180">
        <f t="shared" si="246"/>
        <v>3023580.625</v>
      </c>
      <c r="W52" s="180">
        <f t="shared" si="246"/>
        <v>3156524.375</v>
      </c>
      <c r="X52" s="180">
        <f t="shared" si="246"/>
        <v>2919700</v>
      </c>
      <c r="Y52" s="180">
        <f t="shared" si="246"/>
        <v>2999490</v>
      </c>
      <c r="Z52" s="180">
        <f t="shared" si="246"/>
        <v>3067072.5</v>
      </c>
      <c r="AA52" s="180">
        <f t="shared" si="246"/>
        <v>3123672.5</v>
      </c>
      <c r="AB52" s="180">
        <f t="shared" si="246"/>
        <v>3170530</v>
      </c>
      <c r="AC52" s="180">
        <f t="shared" si="246"/>
        <v>3209167.5</v>
      </c>
      <c r="AD52" s="180">
        <f t="shared" si="246"/>
        <v>3240792.5</v>
      </c>
      <c r="AE52" s="180">
        <f t="shared" si="246"/>
        <v>3266330</v>
      </c>
      <c r="AF52" s="202">
        <f t="shared" si="229"/>
        <v>36762308.75</v>
      </c>
      <c r="AJ52" s="180">
        <f t="shared" si="249"/>
        <v>3414844.9000000004</v>
      </c>
      <c r="AK52" s="180">
        <f t="shared" si="249"/>
        <v>3438713.9000000004</v>
      </c>
      <c r="AL52" s="180">
        <f t="shared" si="249"/>
        <v>3457927.4000000004</v>
      </c>
      <c r="AM52" s="180">
        <f t="shared" si="249"/>
        <v>3161178.9000000004</v>
      </c>
      <c r="AN52" s="180">
        <f t="shared" si="249"/>
        <v>3305001.4000000004</v>
      </c>
      <c r="AO52" s="180">
        <f t="shared" si="249"/>
        <v>3431223.9000000004</v>
      </c>
      <c r="AP52" s="180">
        <f t="shared" si="249"/>
        <v>3539846.4000000004</v>
      </c>
      <c r="AQ52" s="180">
        <f t="shared" si="249"/>
        <v>3632190.1500000004</v>
      </c>
      <c r="AR52" s="180">
        <f t="shared" si="249"/>
        <v>3709829.3166666664</v>
      </c>
      <c r="AS52" s="180">
        <f t="shared" si="249"/>
        <v>3774283.0666666664</v>
      </c>
      <c r="AT52" s="180">
        <f t="shared" si="249"/>
        <v>3827658.9000000004</v>
      </c>
      <c r="AU52" s="180">
        <f t="shared" si="249"/>
        <v>3871223.0666666664</v>
      </c>
      <c r="AV52" s="202">
        <f t="shared" si="231"/>
        <v>42563921.299999997</v>
      </c>
    </row>
    <row r="53" spans="1:49">
      <c r="A53" s="178"/>
      <c r="B53" s="212" t="s">
        <v>221</v>
      </c>
      <c r="C53" s="186"/>
      <c r="D53" s="180"/>
      <c r="P53" s="202">
        <f t="shared" ref="P53:P55" si="250">SUM(D53:O53)</f>
        <v>0</v>
      </c>
      <c r="T53" s="180">
        <f t="shared" si="246"/>
        <v>2710899.375</v>
      </c>
      <c r="U53" s="180">
        <f t="shared" si="246"/>
        <v>2874549.375</v>
      </c>
      <c r="V53" s="180">
        <f t="shared" si="246"/>
        <v>3023580.625</v>
      </c>
      <c r="W53" s="180">
        <f t="shared" si="246"/>
        <v>3156524.375</v>
      </c>
      <c r="X53" s="180">
        <f t="shared" si="246"/>
        <v>2919700</v>
      </c>
      <c r="Y53" s="180">
        <f t="shared" si="246"/>
        <v>2999490</v>
      </c>
      <c r="Z53" s="180">
        <f t="shared" si="246"/>
        <v>3067072.5</v>
      </c>
      <c r="AA53" s="180">
        <f t="shared" si="246"/>
        <v>3123672.5</v>
      </c>
      <c r="AB53" s="180">
        <f t="shared" si="246"/>
        <v>3170530</v>
      </c>
      <c r="AC53" s="180">
        <f t="shared" si="246"/>
        <v>3209167.5</v>
      </c>
      <c r="AD53" s="180">
        <f t="shared" si="246"/>
        <v>3240792.5</v>
      </c>
      <c r="AE53" s="180">
        <f t="shared" si="246"/>
        <v>3266330</v>
      </c>
      <c r="AF53" s="202">
        <f t="shared" si="229"/>
        <v>36762308.75</v>
      </c>
      <c r="AJ53" s="180">
        <f t="shared" si="249"/>
        <v>3414844.9000000004</v>
      </c>
      <c r="AK53" s="180">
        <f t="shared" si="249"/>
        <v>3438713.9000000004</v>
      </c>
      <c r="AL53" s="180">
        <f t="shared" si="249"/>
        <v>3457927.4000000004</v>
      </c>
      <c r="AM53" s="180">
        <f t="shared" si="249"/>
        <v>3161178.9000000004</v>
      </c>
      <c r="AN53" s="180">
        <f t="shared" si="249"/>
        <v>3305001.4000000004</v>
      </c>
      <c r="AO53" s="180">
        <f t="shared" si="249"/>
        <v>3431223.9000000004</v>
      </c>
      <c r="AP53" s="180">
        <f t="shared" si="249"/>
        <v>3539846.4000000004</v>
      </c>
      <c r="AQ53" s="180">
        <f t="shared" si="249"/>
        <v>3632190.1500000004</v>
      </c>
      <c r="AR53" s="180">
        <f t="shared" si="249"/>
        <v>3709829.3166666664</v>
      </c>
      <c r="AS53" s="180">
        <f t="shared" si="249"/>
        <v>3774283.0666666664</v>
      </c>
      <c r="AT53" s="180">
        <f t="shared" si="249"/>
        <v>3827658.9000000004</v>
      </c>
      <c r="AU53" s="180">
        <f t="shared" si="249"/>
        <v>3871223.0666666664</v>
      </c>
      <c r="AV53" s="202">
        <f t="shared" si="231"/>
        <v>42563921.299999997</v>
      </c>
    </row>
    <row r="54" spans="1:49">
      <c r="A54" s="178"/>
      <c r="B54" s="212" t="s">
        <v>232</v>
      </c>
      <c r="C54" s="186"/>
      <c r="D54" s="180"/>
      <c r="P54" s="202">
        <f t="shared" si="250"/>
        <v>0</v>
      </c>
      <c r="X54" s="180">
        <f t="shared" ref="X54:AE54" si="251">+($A$36*(1+$S$36))+((X$23*2.5%)/X$34)</f>
        <v>2919700</v>
      </c>
      <c r="Y54" s="180">
        <f t="shared" si="251"/>
        <v>2999490</v>
      </c>
      <c r="Z54" s="180">
        <f t="shared" si="251"/>
        <v>3067072.5</v>
      </c>
      <c r="AA54" s="180">
        <f t="shared" si="251"/>
        <v>3123672.5</v>
      </c>
      <c r="AB54" s="180">
        <f t="shared" si="251"/>
        <v>3170530</v>
      </c>
      <c r="AC54" s="180">
        <f t="shared" si="251"/>
        <v>3209167.5</v>
      </c>
      <c r="AD54" s="180">
        <f t="shared" si="251"/>
        <v>3240792.5</v>
      </c>
      <c r="AE54" s="180">
        <f t="shared" si="251"/>
        <v>3266330</v>
      </c>
      <c r="AF54" s="202">
        <f t="shared" si="229"/>
        <v>24996755</v>
      </c>
      <c r="AJ54" s="180">
        <f>+$AH$36+((AJ$23*2.5%)/AJ$34)</f>
        <v>3414844.9000000004</v>
      </c>
      <c r="AK54" s="180">
        <f>+$AH$36+((AK$23*2.5%)/AK$34)</f>
        <v>3438713.9000000004</v>
      </c>
      <c r="AL54" s="180">
        <f t="shared" si="249"/>
        <v>3457927.4000000004</v>
      </c>
      <c r="AM54" s="180">
        <f t="shared" si="249"/>
        <v>3161178.9000000004</v>
      </c>
      <c r="AN54" s="180">
        <f t="shared" si="249"/>
        <v>3305001.4000000004</v>
      </c>
      <c r="AO54" s="180">
        <f t="shared" si="249"/>
        <v>3431223.9000000004</v>
      </c>
      <c r="AP54" s="180">
        <f t="shared" si="249"/>
        <v>3539846.4000000004</v>
      </c>
      <c r="AQ54" s="180">
        <f t="shared" si="249"/>
        <v>3632190.1500000004</v>
      </c>
      <c r="AR54" s="180">
        <f t="shared" si="249"/>
        <v>3709829.3166666664</v>
      </c>
      <c r="AS54" s="180">
        <f t="shared" si="249"/>
        <v>3774283.0666666664</v>
      </c>
      <c r="AT54" s="180">
        <f t="shared" si="249"/>
        <v>3827658.9000000004</v>
      </c>
      <c r="AU54" s="180">
        <f t="shared" si="249"/>
        <v>3871223.0666666664</v>
      </c>
      <c r="AV54" s="202">
        <f t="shared" si="231"/>
        <v>42563921.299999997</v>
      </c>
    </row>
    <row r="55" spans="1:49">
      <c r="A55" s="178"/>
      <c r="B55" s="212" t="s">
        <v>262</v>
      </c>
      <c r="C55" s="186"/>
      <c r="D55" s="180"/>
      <c r="P55" s="202">
        <f t="shared" si="250"/>
        <v>0</v>
      </c>
      <c r="X55" s="180"/>
      <c r="Y55" s="180"/>
      <c r="Z55" s="180"/>
      <c r="AA55" s="180"/>
      <c r="AB55" s="180"/>
      <c r="AC55" s="180"/>
      <c r="AD55" s="180"/>
      <c r="AE55" s="180"/>
      <c r="AF55" s="202">
        <f t="shared" si="229"/>
        <v>0</v>
      </c>
      <c r="AJ55" s="180"/>
      <c r="AK55" s="180"/>
      <c r="AL55" s="180"/>
      <c r="AM55" s="180">
        <f>+$AH$36+((AM$23*2.5%)/AM$34)</f>
        <v>3161178.9000000004</v>
      </c>
      <c r="AN55" s="180">
        <f t="shared" si="249"/>
        <v>3305001.4000000004</v>
      </c>
      <c r="AO55" s="180">
        <f t="shared" si="249"/>
        <v>3431223.9000000004</v>
      </c>
      <c r="AP55" s="180">
        <f t="shared" si="249"/>
        <v>3539846.4000000004</v>
      </c>
      <c r="AQ55" s="180">
        <f t="shared" si="249"/>
        <v>3632190.1500000004</v>
      </c>
      <c r="AR55" s="180">
        <f t="shared" si="249"/>
        <v>3709829.3166666664</v>
      </c>
      <c r="AS55" s="180">
        <f t="shared" si="249"/>
        <v>3774283.0666666664</v>
      </c>
      <c r="AT55" s="180">
        <f t="shared" si="249"/>
        <v>3827658.9000000004</v>
      </c>
      <c r="AU55" s="180">
        <f t="shared" si="249"/>
        <v>3871223.0666666664</v>
      </c>
      <c r="AV55" s="202">
        <f t="shared" si="231"/>
        <v>32252435.099999998</v>
      </c>
    </row>
    <row r="56" spans="1:49">
      <c r="A56" s="178">
        <v>0</v>
      </c>
      <c r="B56" s="212" t="s">
        <v>231</v>
      </c>
      <c r="C56" s="186"/>
      <c r="D56" s="180">
        <f>+(($A$36*(1+$A56)*0.6)+(D21*0.5%))</f>
        <v>864580.5</v>
      </c>
      <c r="E56" s="180">
        <f>+D56</f>
        <v>864580.5</v>
      </c>
      <c r="F56" s="180">
        <f>+E56</f>
        <v>864580.5</v>
      </c>
      <c r="G56" s="180">
        <f t="shared" ref="G56:O56" si="252">+F56</f>
        <v>864580.5</v>
      </c>
      <c r="H56" s="180">
        <f t="shared" si="252"/>
        <v>864580.5</v>
      </c>
      <c r="I56" s="180">
        <f t="shared" si="252"/>
        <v>864580.5</v>
      </c>
      <c r="J56" s="180">
        <f t="shared" si="252"/>
        <v>864580.5</v>
      </c>
      <c r="K56" s="180">
        <f t="shared" si="252"/>
        <v>864580.5</v>
      </c>
      <c r="L56" s="180">
        <f t="shared" si="252"/>
        <v>864580.5</v>
      </c>
      <c r="M56" s="180">
        <f t="shared" si="252"/>
        <v>864580.5</v>
      </c>
      <c r="N56" s="180">
        <f t="shared" si="252"/>
        <v>864580.5</v>
      </c>
      <c r="O56" s="180">
        <f t="shared" si="252"/>
        <v>864580.5</v>
      </c>
      <c r="P56" s="202">
        <f>+($A$36*(1+$A56))+(P21*0.5%)</f>
        <v>2864078</v>
      </c>
      <c r="S56" s="178">
        <v>0.3</v>
      </c>
      <c r="T56" s="180">
        <f t="shared" ref="T56:AE56" si="253">+($A$36*(1+$S$36)*(1+$S$56)+(T21*1.5%))</f>
        <v>2944127</v>
      </c>
      <c r="U56" s="180">
        <f t="shared" si="253"/>
        <v>3062252</v>
      </c>
      <c r="V56" s="180">
        <f t="shared" si="253"/>
        <v>3168092</v>
      </c>
      <c r="W56" s="180">
        <f t="shared" si="253"/>
        <v>3260702</v>
      </c>
      <c r="X56" s="180">
        <f t="shared" si="253"/>
        <v>3340082</v>
      </c>
      <c r="Y56" s="180">
        <f t="shared" si="253"/>
        <v>3408122</v>
      </c>
      <c r="Z56" s="180">
        <f t="shared" si="253"/>
        <v>3464822</v>
      </c>
      <c r="AA56" s="180">
        <f t="shared" si="253"/>
        <v>3512072</v>
      </c>
      <c r="AB56" s="180">
        <f t="shared" si="253"/>
        <v>3550817</v>
      </c>
      <c r="AC56" s="180">
        <f t="shared" si="253"/>
        <v>3582947</v>
      </c>
      <c r="AD56" s="180">
        <f t="shared" si="253"/>
        <v>3609407</v>
      </c>
      <c r="AE56" s="180">
        <f t="shared" si="253"/>
        <v>3630197</v>
      </c>
      <c r="AF56" s="202">
        <f>+($A$36*(1+$A56))+(AF21*0.5%)</f>
        <v>7086125</v>
      </c>
      <c r="AI56" s="178">
        <v>0.35</v>
      </c>
      <c r="AJ56" s="180">
        <f>+$AH$36*(1+$AI$56)+(0.5%*AJ23)</f>
        <v>3974847.14</v>
      </c>
      <c r="AK56" s="180">
        <f>+$AH$36*(1+$AI$56)+(0.5%*AK23)</f>
        <v>3998716.14</v>
      </c>
      <c r="AL56" s="180">
        <f t="shared" ref="AL56:AU56" si="254">+$AH$36*(1+$AI$56)+(0.5%*AL23)</f>
        <v>4017929.64</v>
      </c>
      <c r="AM56" s="180">
        <f t="shared" si="254"/>
        <v>4033415.64</v>
      </c>
      <c r="AN56" s="180">
        <f t="shared" si="254"/>
        <v>4206002.6400000006</v>
      </c>
      <c r="AO56" s="180">
        <f t="shared" si="254"/>
        <v>4357469.6400000006</v>
      </c>
      <c r="AP56" s="180">
        <f t="shared" si="254"/>
        <v>4487816.6400000006</v>
      </c>
      <c r="AQ56" s="180">
        <f t="shared" si="254"/>
        <v>4598629.1400000006</v>
      </c>
      <c r="AR56" s="180">
        <f t="shared" si="254"/>
        <v>4691796.1400000006</v>
      </c>
      <c r="AS56" s="180">
        <f t="shared" si="254"/>
        <v>4769140.6400000006</v>
      </c>
      <c r="AT56" s="180">
        <f t="shared" si="254"/>
        <v>4833191.6400000006</v>
      </c>
      <c r="AU56" s="180">
        <f t="shared" si="254"/>
        <v>4885468.6400000006</v>
      </c>
      <c r="AV56" s="202">
        <f t="shared" si="231"/>
        <v>52854423.680000007</v>
      </c>
    </row>
    <row r="57" spans="1:49">
      <c r="A57" s="178"/>
      <c r="B57" s="213" t="s">
        <v>256</v>
      </c>
      <c r="C57" s="186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202"/>
      <c r="S57" s="178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202"/>
      <c r="AI57" s="178">
        <v>0.7</v>
      </c>
      <c r="AJ57" s="180">
        <f>+AH36*(1+AI57)</f>
        <v>2720010.8800000004</v>
      </c>
      <c r="AK57" s="180">
        <f>+AJ57</f>
        <v>2720010.8800000004</v>
      </c>
      <c r="AL57" s="180">
        <f t="shared" ref="AL57:AU57" si="255">+AK57</f>
        <v>2720010.8800000004</v>
      </c>
      <c r="AM57" s="180">
        <f t="shared" si="255"/>
        <v>2720010.8800000004</v>
      </c>
      <c r="AN57" s="180">
        <f t="shared" si="255"/>
        <v>2720010.8800000004</v>
      </c>
      <c r="AO57" s="180">
        <f t="shared" si="255"/>
        <v>2720010.8800000004</v>
      </c>
      <c r="AP57" s="180">
        <f t="shared" si="255"/>
        <v>2720010.8800000004</v>
      </c>
      <c r="AQ57" s="180">
        <f t="shared" si="255"/>
        <v>2720010.8800000004</v>
      </c>
      <c r="AR57" s="180">
        <f t="shared" si="255"/>
        <v>2720010.8800000004</v>
      </c>
      <c r="AS57" s="180">
        <f t="shared" si="255"/>
        <v>2720010.8800000004</v>
      </c>
      <c r="AT57" s="180">
        <f t="shared" si="255"/>
        <v>2720010.8800000004</v>
      </c>
      <c r="AU57" s="180">
        <f t="shared" si="255"/>
        <v>2720010.8800000004</v>
      </c>
      <c r="AV57" s="202">
        <f t="shared" si="231"/>
        <v>32640130.559999999</v>
      </c>
    </row>
    <row r="58" spans="1:49">
      <c r="A58" s="178">
        <v>0.35</v>
      </c>
      <c r="B58" s="213" t="s">
        <v>219</v>
      </c>
      <c r="C58" s="186"/>
      <c r="D58" s="180">
        <f t="shared" si="237"/>
        <v>1922400.0000000002</v>
      </c>
      <c r="E58" s="181">
        <f>+D58</f>
        <v>1922400.0000000002</v>
      </c>
      <c r="F58" s="181">
        <f t="shared" ref="F58:O58" si="256">+E58</f>
        <v>1922400.0000000002</v>
      </c>
      <c r="G58" s="181">
        <f t="shared" si="256"/>
        <v>1922400.0000000002</v>
      </c>
      <c r="H58" s="181">
        <f t="shared" si="256"/>
        <v>1922400.0000000002</v>
      </c>
      <c r="I58" s="181">
        <f t="shared" si="256"/>
        <v>1922400.0000000002</v>
      </c>
      <c r="J58" s="181">
        <f t="shared" si="256"/>
        <v>1922400.0000000002</v>
      </c>
      <c r="K58" s="181">
        <f t="shared" si="256"/>
        <v>1922400.0000000002</v>
      </c>
      <c r="L58" s="181">
        <f t="shared" si="256"/>
        <v>1922400.0000000002</v>
      </c>
      <c r="M58" s="181">
        <f t="shared" si="256"/>
        <v>1922400.0000000002</v>
      </c>
      <c r="N58" s="181">
        <f t="shared" si="256"/>
        <v>1922400.0000000002</v>
      </c>
      <c r="O58" s="181">
        <f t="shared" si="256"/>
        <v>1922400.0000000002</v>
      </c>
      <c r="P58" s="202">
        <f>SUM(D58:O58)</f>
        <v>23068800.000000004</v>
      </c>
      <c r="S58" s="178">
        <v>0.25</v>
      </c>
      <c r="T58" s="181">
        <f>+(R36*(1+S58))+(0.8%*T23)</f>
        <v>3424668</v>
      </c>
      <c r="U58" s="181">
        <f>+T58</f>
        <v>3424668</v>
      </c>
      <c r="V58" s="181">
        <f t="shared" ref="V58:AE58" si="257">+U58</f>
        <v>3424668</v>
      </c>
      <c r="W58" s="181">
        <f t="shared" si="257"/>
        <v>3424668</v>
      </c>
      <c r="X58" s="181">
        <f t="shared" si="257"/>
        <v>3424668</v>
      </c>
      <c r="Y58" s="181">
        <f t="shared" si="257"/>
        <v>3424668</v>
      </c>
      <c r="Z58" s="181">
        <f t="shared" si="257"/>
        <v>3424668</v>
      </c>
      <c r="AA58" s="181">
        <f t="shared" si="257"/>
        <v>3424668</v>
      </c>
      <c r="AB58" s="181">
        <f t="shared" si="257"/>
        <v>3424668</v>
      </c>
      <c r="AC58" s="181">
        <f t="shared" si="257"/>
        <v>3424668</v>
      </c>
      <c r="AD58" s="181">
        <f t="shared" si="257"/>
        <v>3424668</v>
      </c>
      <c r="AE58" s="181">
        <f t="shared" si="257"/>
        <v>3424668</v>
      </c>
      <c r="AF58" s="202">
        <f>SUM(T58:AE58)</f>
        <v>41096016</v>
      </c>
      <c r="AI58" s="178"/>
      <c r="AJ58" s="181">
        <v>7000000</v>
      </c>
      <c r="AK58" s="181">
        <f>+AJ58</f>
        <v>7000000</v>
      </c>
      <c r="AL58" s="181">
        <f t="shared" ref="AL58:AU58" si="258">+AK58</f>
        <v>7000000</v>
      </c>
      <c r="AM58" s="181">
        <f t="shared" si="258"/>
        <v>7000000</v>
      </c>
      <c r="AN58" s="181">
        <f t="shared" si="258"/>
        <v>7000000</v>
      </c>
      <c r="AO58" s="181">
        <f t="shared" si="258"/>
        <v>7000000</v>
      </c>
      <c r="AP58" s="181">
        <f t="shared" si="258"/>
        <v>7000000</v>
      </c>
      <c r="AQ58" s="181">
        <f t="shared" si="258"/>
        <v>7000000</v>
      </c>
      <c r="AR58" s="181">
        <f t="shared" si="258"/>
        <v>7000000</v>
      </c>
      <c r="AS58" s="181">
        <f t="shared" si="258"/>
        <v>7000000</v>
      </c>
      <c r="AT58" s="181">
        <f t="shared" si="258"/>
        <v>7000000</v>
      </c>
      <c r="AU58" s="181">
        <f t="shared" si="258"/>
        <v>7000000</v>
      </c>
      <c r="AV58" s="202">
        <f t="shared" si="231"/>
        <v>84000000</v>
      </c>
    </row>
    <row r="59" spans="1:49">
      <c r="A59" s="178">
        <v>0</v>
      </c>
      <c r="B59" s="212" t="s">
        <v>236</v>
      </c>
      <c r="C59" s="186"/>
      <c r="D59" s="180">
        <f t="shared" ref="D59:O59" si="259">+($A$36*(1+$A59))+(D23*0.6%)</f>
        <v>1451288</v>
      </c>
      <c r="E59" s="180">
        <f t="shared" si="259"/>
        <v>1498681.4</v>
      </c>
      <c r="F59" s="180">
        <f t="shared" si="259"/>
        <v>1553655.8</v>
      </c>
      <c r="G59" s="180">
        <f t="shared" si="259"/>
        <v>1607158.4</v>
      </c>
      <c r="H59" s="180">
        <f t="shared" si="259"/>
        <v>1661983.4</v>
      </c>
      <c r="I59" s="180">
        <f t="shared" si="259"/>
        <v>1722875</v>
      </c>
      <c r="J59" s="180">
        <f t="shared" si="259"/>
        <v>1793063</v>
      </c>
      <c r="K59" s="180">
        <f t="shared" si="259"/>
        <v>1875093.2</v>
      </c>
      <c r="L59" s="180">
        <f t="shared" si="259"/>
        <v>1972175</v>
      </c>
      <c r="M59" s="180">
        <f t="shared" si="259"/>
        <v>2087497.4</v>
      </c>
      <c r="N59" s="180">
        <f t="shared" si="259"/>
        <v>2223938</v>
      </c>
      <c r="O59" s="180">
        <f t="shared" si="259"/>
        <v>2386105.4</v>
      </c>
      <c r="P59" s="202">
        <f>SUM(D59:O59)</f>
        <v>21833513.999999996</v>
      </c>
      <c r="S59" s="178">
        <v>0.15</v>
      </c>
      <c r="T59" s="181">
        <f>+$R$36*(1+$S$59)+(0.4%*T$23)</f>
        <v>2504790</v>
      </c>
      <c r="U59" s="181">
        <f>+$R$36*(1+$S$59)+(0.4%*U$23)</f>
        <v>2609526</v>
      </c>
      <c r="V59" s="181">
        <f t="shared" ref="V59:AE59" si="260">+$R$36*(1+$S$59)+(0.4%*V$23)</f>
        <v>2704906</v>
      </c>
      <c r="W59" s="181">
        <f t="shared" si="260"/>
        <v>2789990</v>
      </c>
      <c r="X59" s="181">
        <f t="shared" si="260"/>
        <v>2864064</v>
      </c>
      <c r="Y59" s="181">
        <f t="shared" si="260"/>
        <v>2927896</v>
      </c>
      <c r="Z59" s="181">
        <f t="shared" si="260"/>
        <v>2981962</v>
      </c>
      <c r="AA59" s="181">
        <f t="shared" si="260"/>
        <v>3027242</v>
      </c>
      <c r="AB59" s="181">
        <f t="shared" si="260"/>
        <v>3064728</v>
      </c>
      <c r="AC59" s="181">
        <f t="shared" si="260"/>
        <v>3095638</v>
      </c>
      <c r="AD59" s="181">
        <f t="shared" si="260"/>
        <v>3120938</v>
      </c>
      <c r="AE59" s="181">
        <f t="shared" si="260"/>
        <v>3141368</v>
      </c>
      <c r="AF59" s="202">
        <f>SUM(T59:AE59)</f>
        <v>34833048</v>
      </c>
      <c r="AI59" s="178">
        <v>0.55000000000000004</v>
      </c>
      <c r="AJ59" s="181">
        <f>($AH$36*(1+$AI$59)+(0.3%*AJ$23))</f>
        <v>3568913.0200000005</v>
      </c>
      <c r="AK59" s="181">
        <f t="shared" ref="AK59:AU59" si="261">($AH$36*(1+$AI$59)+(0.3%*AK$23))</f>
        <v>3583234.4200000004</v>
      </c>
      <c r="AL59" s="181">
        <f t="shared" si="261"/>
        <v>3594762.5200000005</v>
      </c>
      <c r="AM59" s="181">
        <f t="shared" si="261"/>
        <v>3604054.12</v>
      </c>
      <c r="AN59" s="181">
        <f t="shared" si="261"/>
        <v>3707606.3200000003</v>
      </c>
      <c r="AO59" s="181">
        <f t="shared" si="261"/>
        <v>3798486.5200000005</v>
      </c>
      <c r="AP59" s="181">
        <f t="shared" si="261"/>
        <v>3876694.7200000007</v>
      </c>
      <c r="AQ59" s="181">
        <f t="shared" si="261"/>
        <v>3943182.2200000007</v>
      </c>
      <c r="AR59" s="181">
        <f t="shared" si="261"/>
        <v>3999082.4200000004</v>
      </c>
      <c r="AS59" s="181">
        <f t="shared" si="261"/>
        <v>4045489.12</v>
      </c>
      <c r="AT59" s="181">
        <f t="shared" si="261"/>
        <v>4083919.7200000007</v>
      </c>
      <c r="AU59" s="181">
        <f t="shared" si="261"/>
        <v>4115285.9200000004</v>
      </c>
      <c r="AV59" s="202">
        <f t="shared" si="231"/>
        <v>45920711.039999999</v>
      </c>
    </row>
    <row r="60" spans="1:49">
      <c r="A60" s="178"/>
      <c r="B60" s="212" t="s">
        <v>237</v>
      </c>
      <c r="C60" s="186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202">
        <f t="shared" ref="P60:P61" si="262">SUM(D60:O60)</f>
        <v>0</v>
      </c>
      <c r="S60" s="178">
        <v>0.05</v>
      </c>
      <c r="T60" s="181">
        <f t="shared" ref="T60:AE61" si="263">+$R$36*(1+$S$60)+(0.4%*T$23)</f>
        <v>2353846</v>
      </c>
      <c r="U60" s="181">
        <f t="shared" si="263"/>
        <v>2458582</v>
      </c>
      <c r="V60" s="181">
        <f t="shared" si="263"/>
        <v>2553962</v>
      </c>
      <c r="W60" s="181">
        <f t="shared" si="263"/>
        <v>2639046</v>
      </c>
      <c r="X60" s="181">
        <f t="shared" si="263"/>
        <v>2713120</v>
      </c>
      <c r="Y60" s="181">
        <f t="shared" si="263"/>
        <v>2776952</v>
      </c>
      <c r="Z60" s="181">
        <f t="shared" si="263"/>
        <v>2831018</v>
      </c>
      <c r="AA60" s="181">
        <f t="shared" si="263"/>
        <v>2876298</v>
      </c>
      <c r="AB60" s="181">
        <f t="shared" si="263"/>
        <v>2913784</v>
      </c>
      <c r="AC60" s="181">
        <f t="shared" si="263"/>
        <v>2944694</v>
      </c>
      <c r="AD60" s="181">
        <f t="shared" si="263"/>
        <v>2969994</v>
      </c>
      <c r="AE60" s="181">
        <f t="shared" si="263"/>
        <v>2990424</v>
      </c>
      <c r="AF60" s="202">
        <f t="shared" ref="AF60:AF61" si="264">SUM(T60:AE60)</f>
        <v>33021720</v>
      </c>
      <c r="AI60" s="178">
        <v>0.2</v>
      </c>
      <c r="AJ60" s="181">
        <f>($AH$36*(1+$AI$60)+(0.3%*AJ$23))</f>
        <v>3008910.7800000003</v>
      </c>
      <c r="AK60" s="181">
        <f t="shared" ref="AK60:AU60" si="265">($AH$36*(1+$AI$60)+(0.3%*AK$23))</f>
        <v>3023232.18</v>
      </c>
      <c r="AL60" s="181">
        <f t="shared" si="265"/>
        <v>3034760.2800000003</v>
      </c>
      <c r="AM60" s="181">
        <f t="shared" si="265"/>
        <v>3044051.88</v>
      </c>
      <c r="AN60" s="181">
        <f t="shared" si="265"/>
        <v>3147604.08</v>
      </c>
      <c r="AO60" s="181">
        <f t="shared" si="265"/>
        <v>3238484.2800000003</v>
      </c>
      <c r="AP60" s="181">
        <f t="shared" si="265"/>
        <v>3316692.4800000004</v>
      </c>
      <c r="AQ60" s="181">
        <f t="shared" si="265"/>
        <v>3383179.9800000004</v>
      </c>
      <c r="AR60" s="181">
        <f t="shared" si="265"/>
        <v>3439080.18</v>
      </c>
      <c r="AS60" s="181">
        <f t="shared" si="265"/>
        <v>3485486.88</v>
      </c>
      <c r="AT60" s="181">
        <f t="shared" si="265"/>
        <v>3523917.4800000004</v>
      </c>
      <c r="AU60" s="181">
        <f t="shared" si="265"/>
        <v>3555283.68</v>
      </c>
      <c r="AV60" s="202">
        <f t="shared" si="231"/>
        <v>39200684.160000004</v>
      </c>
    </row>
    <row r="61" spans="1:49">
      <c r="B61" s="212" t="s">
        <v>245</v>
      </c>
      <c r="C61" s="186"/>
      <c r="P61" s="202">
        <f t="shared" si="262"/>
        <v>0</v>
      </c>
      <c r="S61" s="178">
        <v>0.05</v>
      </c>
      <c r="T61" s="181">
        <f t="shared" si="263"/>
        <v>2353846</v>
      </c>
      <c r="U61" s="181">
        <f t="shared" si="263"/>
        <v>2458582</v>
      </c>
      <c r="V61" s="181">
        <f t="shared" si="263"/>
        <v>2553962</v>
      </c>
      <c r="W61" s="181">
        <f t="shared" si="263"/>
        <v>2639046</v>
      </c>
      <c r="X61" s="181">
        <f t="shared" si="263"/>
        <v>2713120</v>
      </c>
      <c r="Y61" s="181">
        <f t="shared" si="263"/>
        <v>2776952</v>
      </c>
      <c r="Z61" s="181">
        <f t="shared" si="263"/>
        <v>2831018</v>
      </c>
      <c r="AA61" s="181">
        <f t="shared" si="263"/>
        <v>2876298</v>
      </c>
      <c r="AB61" s="181">
        <f t="shared" si="263"/>
        <v>2913784</v>
      </c>
      <c r="AC61" s="181">
        <f t="shared" si="263"/>
        <v>2944694</v>
      </c>
      <c r="AD61" s="181">
        <f t="shared" si="263"/>
        <v>2969994</v>
      </c>
      <c r="AE61" s="181">
        <f t="shared" si="263"/>
        <v>2990424</v>
      </c>
      <c r="AF61" s="202">
        <f t="shared" si="264"/>
        <v>33021720</v>
      </c>
      <c r="AI61" s="178">
        <v>0.2</v>
      </c>
      <c r="AJ61" s="181">
        <f>($AH$36*(1+$AI$61)+(0.3%*AJ$23))</f>
        <v>3008910.7800000003</v>
      </c>
      <c r="AK61" s="181">
        <f t="shared" ref="AK61:AU61" si="266">($AH$36*(1+$AI$61)+(0.3%*AK$23))</f>
        <v>3023232.18</v>
      </c>
      <c r="AL61" s="181">
        <f t="shared" si="266"/>
        <v>3034760.2800000003</v>
      </c>
      <c r="AM61" s="181">
        <f t="shared" si="266"/>
        <v>3044051.88</v>
      </c>
      <c r="AN61" s="181">
        <f t="shared" si="266"/>
        <v>3147604.08</v>
      </c>
      <c r="AO61" s="181">
        <f t="shared" si="266"/>
        <v>3238484.2800000003</v>
      </c>
      <c r="AP61" s="181">
        <f t="shared" si="266"/>
        <v>3316692.4800000004</v>
      </c>
      <c r="AQ61" s="181">
        <f t="shared" si="266"/>
        <v>3383179.9800000004</v>
      </c>
      <c r="AR61" s="181">
        <f t="shared" si="266"/>
        <v>3439080.18</v>
      </c>
      <c r="AS61" s="181">
        <f t="shared" si="266"/>
        <v>3485486.88</v>
      </c>
      <c r="AT61" s="181">
        <f t="shared" si="266"/>
        <v>3523917.4800000004</v>
      </c>
      <c r="AU61" s="181">
        <f t="shared" si="266"/>
        <v>3555283.68</v>
      </c>
      <c r="AV61" s="202">
        <f t="shared" si="231"/>
        <v>39200684.160000004</v>
      </c>
    </row>
    <row r="63" spans="1:49">
      <c r="B63" s="211" t="s">
        <v>222</v>
      </c>
      <c r="D63" s="180">
        <v>2000000</v>
      </c>
      <c r="E63" s="180">
        <f>+D63</f>
        <v>2000000</v>
      </c>
      <c r="F63" s="180">
        <f t="shared" ref="F63:O63" si="267">+E63</f>
        <v>2000000</v>
      </c>
      <c r="G63" s="180">
        <f t="shared" si="267"/>
        <v>2000000</v>
      </c>
      <c r="H63" s="180">
        <f t="shared" si="267"/>
        <v>2000000</v>
      </c>
      <c r="I63" s="180">
        <f t="shared" si="267"/>
        <v>2000000</v>
      </c>
      <c r="J63" s="180">
        <f t="shared" si="267"/>
        <v>2000000</v>
      </c>
      <c r="K63" s="180">
        <f t="shared" si="267"/>
        <v>2000000</v>
      </c>
      <c r="L63" s="180">
        <f t="shared" si="267"/>
        <v>2000000</v>
      </c>
      <c r="M63" s="180">
        <f t="shared" si="267"/>
        <v>2000000</v>
      </c>
      <c r="N63" s="180">
        <f t="shared" si="267"/>
        <v>2000000</v>
      </c>
      <c r="O63" s="180">
        <f t="shared" si="267"/>
        <v>2000000</v>
      </c>
      <c r="P63" s="202">
        <f>SUM(D63:O63)</f>
        <v>24000000</v>
      </c>
      <c r="T63" s="180">
        <f>+O63*(1+S36)</f>
        <v>2120000</v>
      </c>
      <c r="U63" s="180">
        <f>+T63</f>
        <v>2120000</v>
      </c>
      <c r="V63" s="180">
        <f t="shared" ref="V63:AE63" si="268">+U63</f>
        <v>2120000</v>
      </c>
      <c r="W63" s="180">
        <f t="shared" si="268"/>
        <v>2120000</v>
      </c>
      <c r="X63" s="180">
        <f t="shared" si="268"/>
        <v>2120000</v>
      </c>
      <c r="Y63" s="180">
        <f t="shared" si="268"/>
        <v>2120000</v>
      </c>
      <c r="Z63" s="180">
        <f t="shared" si="268"/>
        <v>2120000</v>
      </c>
      <c r="AA63" s="180">
        <f t="shared" si="268"/>
        <v>2120000</v>
      </c>
      <c r="AB63" s="180">
        <f t="shared" si="268"/>
        <v>2120000</v>
      </c>
      <c r="AC63" s="180">
        <f t="shared" si="268"/>
        <v>2120000</v>
      </c>
      <c r="AD63" s="180">
        <f t="shared" si="268"/>
        <v>2120000</v>
      </c>
      <c r="AE63" s="180">
        <f t="shared" si="268"/>
        <v>2120000</v>
      </c>
      <c r="AF63" s="202">
        <f>SUM(T63:AE63)</f>
        <v>25440000</v>
      </c>
      <c r="AJ63" s="180">
        <f>+AE63*(1+AI36)</f>
        <v>2247200</v>
      </c>
      <c r="AK63" s="180">
        <f>+AJ63</f>
        <v>2247200</v>
      </c>
      <c r="AL63" s="180">
        <f t="shared" ref="AL63:AU63" si="269">+AK63</f>
        <v>2247200</v>
      </c>
      <c r="AM63" s="180">
        <f t="shared" si="269"/>
        <v>2247200</v>
      </c>
      <c r="AN63" s="180">
        <v>4200000</v>
      </c>
      <c r="AO63" s="180">
        <f t="shared" si="269"/>
        <v>4200000</v>
      </c>
      <c r="AP63" s="180">
        <f t="shared" si="269"/>
        <v>4200000</v>
      </c>
      <c r="AQ63" s="180">
        <f t="shared" si="269"/>
        <v>4200000</v>
      </c>
      <c r="AR63" s="180">
        <f t="shared" si="269"/>
        <v>4200000</v>
      </c>
      <c r="AS63" s="180">
        <f t="shared" si="269"/>
        <v>4200000</v>
      </c>
      <c r="AT63" s="180">
        <f t="shared" si="269"/>
        <v>4200000</v>
      </c>
      <c r="AU63" s="180">
        <f t="shared" si="269"/>
        <v>4200000</v>
      </c>
      <c r="AV63" s="202">
        <f>SUM(AJ63:AU63)</f>
        <v>42588800</v>
      </c>
    </row>
    <row r="64" spans="1:49">
      <c r="B64" s="211" t="s">
        <v>223</v>
      </c>
      <c r="D64" s="180">
        <v>450000</v>
      </c>
      <c r="E64" s="180">
        <f>+D64</f>
        <v>450000</v>
      </c>
      <c r="F64" s="180">
        <f t="shared" ref="F64:O64" si="270">+E64</f>
        <v>450000</v>
      </c>
      <c r="G64" s="180">
        <f t="shared" si="270"/>
        <v>450000</v>
      </c>
      <c r="H64" s="180">
        <f t="shared" si="270"/>
        <v>450000</v>
      </c>
      <c r="I64" s="180">
        <f t="shared" si="270"/>
        <v>450000</v>
      </c>
      <c r="J64" s="180">
        <f t="shared" si="270"/>
        <v>450000</v>
      </c>
      <c r="K64" s="180">
        <f t="shared" si="270"/>
        <v>450000</v>
      </c>
      <c r="L64" s="180">
        <f t="shared" si="270"/>
        <v>450000</v>
      </c>
      <c r="M64" s="180">
        <f t="shared" si="270"/>
        <v>450000</v>
      </c>
      <c r="N64" s="180">
        <f t="shared" si="270"/>
        <v>450000</v>
      </c>
      <c r="O64" s="180">
        <f t="shared" si="270"/>
        <v>450000</v>
      </c>
      <c r="P64" s="202">
        <f t="shared" ref="P64:P75" si="271">SUM(D64:O64)</f>
        <v>5400000</v>
      </c>
      <c r="T64" s="180">
        <f>+O64*(1+S36)</f>
        <v>477000</v>
      </c>
      <c r="U64" s="180">
        <f>+T64</f>
        <v>477000</v>
      </c>
      <c r="V64" s="180">
        <f t="shared" ref="V64:AE64" si="272">+U64</f>
        <v>477000</v>
      </c>
      <c r="W64" s="180">
        <f t="shared" si="272"/>
        <v>477000</v>
      </c>
      <c r="X64" s="180">
        <f t="shared" si="272"/>
        <v>477000</v>
      </c>
      <c r="Y64" s="180">
        <f t="shared" si="272"/>
        <v>477000</v>
      </c>
      <c r="Z64" s="180">
        <f t="shared" si="272"/>
        <v>477000</v>
      </c>
      <c r="AA64" s="180">
        <f t="shared" si="272"/>
        <v>477000</v>
      </c>
      <c r="AB64" s="180">
        <f t="shared" si="272"/>
        <v>477000</v>
      </c>
      <c r="AC64" s="180">
        <f t="shared" si="272"/>
        <v>477000</v>
      </c>
      <c r="AD64" s="180">
        <f t="shared" si="272"/>
        <v>477000</v>
      </c>
      <c r="AE64" s="180">
        <f t="shared" si="272"/>
        <v>477000</v>
      </c>
      <c r="AF64" s="202">
        <f t="shared" ref="AF64:AF75" si="273">SUM(T64:AE64)</f>
        <v>5724000</v>
      </c>
      <c r="AJ64" s="180">
        <f>+AE64*(1+AI36)</f>
        <v>505620</v>
      </c>
      <c r="AK64" s="180">
        <f>+AJ64</f>
        <v>505620</v>
      </c>
      <c r="AL64" s="180">
        <f t="shared" ref="AL64:AU64" si="274">+AK64</f>
        <v>505620</v>
      </c>
      <c r="AM64" s="180">
        <f t="shared" si="274"/>
        <v>505620</v>
      </c>
      <c r="AN64" s="180">
        <f t="shared" si="274"/>
        <v>505620</v>
      </c>
      <c r="AO64" s="180">
        <f t="shared" si="274"/>
        <v>505620</v>
      </c>
      <c r="AP64" s="180">
        <f t="shared" si="274"/>
        <v>505620</v>
      </c>
      <c r="AQ64" s="180">
        <f t="shared" si="274"/>
        <v>505620</v>
      </c>
      <c r="AR64" s="180">
        <f t="shared" si="274"/>
        <v>505620</v>
      </c>
      <c r="AS64" s="180">
        <f t="shared" si="274"/>
        <v>505620</v>
      </c>
      <c r="AT64" s="180">
        <f t="shared" si="274"/>
        <v>505620</v>
      </c>
      <c r="AU64" s="180">
        <f t="shared" si="274"/>
        <v>505620</v>
      </c>
      <c r="AV64" s="202">
        <f t="shared" ref="AV64:AV75" si="275">SUM(AJ64:AU64)</f>
        <v>6067440</v>
      </c>
    </row>
    <row r="65" spans="1:49">
      <c r="A65" s="178">
        <v>0.05</v>
      </c>
      <c r="B65" s="210" t="s">
        <v>224</v>
      </c>
      <c r="D65" s="180">
        <v>4000000</v>
      </c>
      <c r="E65" s="181">
        <f>+D65</f>
        <v>4000000</v>
      </c>
      <c r="F65" s="181">
        <f>+E65</f>
        <v>4000000</v>
      </c>
      <c r="G65" s="181">
        <v>4000000</v>
      </c>
      <c r="H65" s="181">
        <f t="shared" ref="H65" si="276">+G65</f>
        <v>4000000</v>
      </c>
      <c r="I65" s="181">
        <f>+$A$65*I23</f>
        <v>2490625</v>
      </c>
      <c r="J65" s="181">
        <f t="shared" ref="J65:O65" si="277">+$A$65*J23</f>
        <v>3075525</v>
      </c>
      <c r="K65" s="181">
        <f t="shared" si="277"/>
        <v>3759110</v>
      </c>
      <c r="L65" s="181">
        <f t="shared" si="277"/>
        <v>4568125</v>
      </c>
      <c r="M65" s="181">
        <f t="shared" si="277"/>
        <v>5529145</v>
      </c>
      <c r="N65" s="181">
        <f t="shared" si="277"/>
        <v>6666150</v>
      </c>
      <c r="O65" s="181">
        <f t="shared" si="277"/>
        <v>8017545</v>
      </c>
      <c r="P65" s="202">
        <f t="shared" si="271"/>
        <v>54106225</v>
      </c>
      <c r="S65" s="178">
        <v>0.04</v>
      </c>
      <c r="T65" s="181">
        <f>+$S$65*T23</f>
        <v>7689340</v>
      </c>
      <c r="U65" s="181">
        <f t="shared" ref="U65:AE65" si="278">+$S$65*U23</f>
        <v>8736700</v>
      </c>
      <c r="V65" s="181">
        <f t="shared" si="278"/>
        <v>9690500</v>
      </c>
      <c r="W65" s="181">
        <f t="shared" si="278"/>
        <v>10541340</v>
      </c>
      <c r="X65" s="181">
        <f t="shared" si="278"/>
        <v>11282080</v>
      </c>
      <c r="Y65" s="181">
        <f t="shared" si="278"/>
        <v>11920400</v>
      </c>
      <c r="Z65" s="181">
        <f t="shared" si="278"/>
        <v>12461060</v>
      </c>
      <c r="AA65" s="181">
        <f t="shared" si="278"/>
        <v>12913860</v>
      </c>
      <c r="AB65" s="181">
        <f t="shared" si="278"/>
        <v>13288720</v>
      </c>
      <c r="AC65" s="181">
        <f t="shared" si="278"/>
        <v>13597820</v>
      </c>
      <c r="AD65" s="181">
        <f t="shared" si="278"/>
        <v>13850820</v>
      </c>
      <c r="AE65" s="181">
        <f t="shared" si="278"/>
        <v>14055120</v>
      </c>
      <c r="AF65" s="202">
        <f t="shared" si="273"/>
        <v>140027760</v>
      </c>
      <c r="AI65" s="197">
        <v>0.03</v>
      </c>
      <c r="AJ65" s="181">
        <f>+$AI$65*AJ23</f>
        <v>10889031</v>
      </c>
      <c r="AK65" s="181">
        <f t="shared" ref="AK65:AU65" si="279">+$AI$65*AK23</f>
        <v>11032245</v>
      </c>
      <c r="AL65" s="181">
        <f t="shared" si="279"/>
        <v>11147526</v>
      </c>
      <c r="AM65" s="181">
        <f t="shared" si="279"/>
        <v>11240442</v>
      </c>
      <c r="AN65" s="181">
        <f t="shared" si="279"/>
        <v>12275964</v>
      </c>
      <c r="AO65" s="181">
        <f t="shared" si="279"/>
        <v>13184766</v>
      </c>
      <c r="AP65" s="181">
        <f t="shared" si="279"/>
        <v>13966848</v>
      </c>
      <c r="AQ65" s="181">
        <f t="shared" si="279"/>
        <v>14631723</v>
      </c>
      <c r="AR65" s="181">
        <f t="shared" si="279"/>
        <v>15190725</v>
      </c>
      <c r="AS65" s="181">
        <f t="shared" si="279"/>
        <v>15654792</v>
      </c>
      <c r="AT65" s="181">
        <f t="shared" si="279"/>
        <v>16039098</v>
      </c>
      <c r="AU65" s="181">
        <f t="shared" si="279"/>
        <v>16352760</v>
      </c>
      <c r="AV65" s="202">
        <f t="shared" si="275"/>
        <v>161605920</v>
      </c>
    </row>
    <row r="66" spans="1:49">
      <c r="A66" s="178"/>
      <c r="B66" s="210" t="s">
        <v>243</v>
      </c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202">
        <f t="shared" si="271"/>
        <v>0</v>
      </c>
      <c r="T66" s="181">
        <v>2500000</v>
      </c>
      <c r="U66" s="181">
        <f>+T66</f>
        <v>2500000</v>
      </c>
      <c r="V66" s="181">
        <f t="shared" ref="V66:AE66" si="280">+U66</f>
        <v>2500000</v>
      </c>
      <c r="W66" s="181">
        <f t="shared" si="280"/>
        <v>2500000</v>
      </c>
      <c r="X66" s="181">
        <f t="shared" si="280"/>
        <v>2500000</v>
      </c>
      <c r="Y66" s="181">
        <f t="shared" si="280"/>
        <v>2500000</v>
      </c>
      <c r="Z66" s="181">
        <f t="shared" si="280"/>
        <v>2500000</v>
      </c>
      <c r="AA66" s="181">
        <f t="shared" si="280"/>
        <v>2500000</v>
      </c>
      <c r="AB66" s="181">
        <f t="shared" si="280"/>
        <v>2500000</v>
      </c>
      <c r="AC66" s="181">
        <f t="shared" si="280"/>
        <v>2500000</v>
      </c>
      <c r="AD66" s="181">
        <f t="shared" si="280"/>
        <v>2500000</v>
      </c>
      <c r="AE66" s="181">
        <f t="shared" si="280"/>
        <v>2500000</v>
      </c>
      <c r="AF66" s="202">
        <f t="shared" si="273"/>
        <v>30000000</v>
      </c>
      <c r="AJ66" s="181">
        <f>+AE66*(1+$AI$36)</f>
        <v>2650000</v>
      </c>
      <c r="AK66" s="181">
        <f>+AJ66</f>
        <v>2650000</v>
      </c>
      <c r="AL66" s="181">
        <f t="shared" ref="AL66:AU66" si="281">+AK66</f>
        <v>2650000</v>
      </c>
      <c r="AM66" s="181">
        <f t="shared" si="281"/>
        <v>2650000</v>
      </c>
      <c r="AN66" s="181">
        <f t="shared" si="281"/>
        <v>2650000</v>
      </c>
      <c r="AO66" s="181">
        <f t="shared" si="281"/>
        <v>2650000</v>
      </c>
      <c r="AP66" s="181">
        <f t="shared" si="281"/>
        <v>2650000</v>
      </c>
      <c r="AQ66" s="181">
        <f t="shared" si="281"/>
        <v>2650000</v>
      </c>
      <c r="AR66" s="181">
        <f t="shared" si="281"/>
        <v>2650000</v>
      </c>
      <c r="AS66" s="181">
        <f t="shared" si="281"/>
        <v>2650000</v>
      </c>
      <c r="AT66" s="181">
        <f t="shared" si="281"/>
        <v>2650000</v>
      </c>
      <c r="AU66" s="181">
        <f t="shared" si="281"/>
        <v>2650000</v>
      </c>
      <c r="AV66" s="202">
        <f t="shared" si="275"/>
        <v>31800000</v>
      </c>
    </row>
    <row r="67" spans="1:49">
      <c r="A67" s="178"/>
      <c r="B67" s="211" t="s">
        <v>244</v>
      </c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202">
        <f t="shared" si="271"/>
        <v>0</v>
      </c>
      <c r="T67" s="181"/>
      <c r="U67" s="181"/>
      <c r="V67" s="181">
        <v>650000</v>
      </c>
      <c r="W67" s="181">
        <f t="shared" ref="W67:AE67" si="282">+V67</f>
        <v>650000</v>
      </c>
      <c r="X67" s="181">
        <f t="shared" si="282"/>
        <v>650000</v>
      </c>
      <c r="Y67" s="181">
        <f t="shared" si="282"/>
        <v>650000</v>
      </c>
      <c r="Z67" s="181">
        <f t="shared" si="282"/>
        <v>650000</v>
      </c>
      <c r="AA67" s="181">
        <f t="shared" si="282"/>
        <v>650000</v>
      </c>
      <c r="AB67" s="181">
        <f t="shared" si="282"/>
        <v>650000</v>
      </c>
      <c r="AC67" s="181">
        <f t="shared" si="282"/>
        <v>650000</v>
      </c>
      <c r="AD67" s="181">
        <f t="shared" si="282"/>
        <v>650000</v>
      </c>
      <c r="AE67" s="181">
        <f t="shared" si="282"/>
        <v>650000</v>
      </c>
      <c r="AF67" s="202">
        <f t="shared" si="273"/>
        <v>6500000</v>
      </c>
      <c r="AJ67" s="181">
        <f>+AE67*(1+$AI$36)</f>
        <v>689000</v>
      </c>
      <c r="AK67" s="181">
        <f>+AJ67</f>
        <v>689000</v>
      </c>
      <c r="AL67" s="181">
        <f>+AK67</f>
        <v>689000</v>
      </c>
      <c r="AM67" s="181">
        <f t="shared" ref="AM67:AU67" si="283">+AL67</f>
        <v>689000</v>
      </c>
      <c r="AN67" s="181">
        <f t="shared" si="283"/>
        <v>689000</v>
      </c>
      <c r="AO67" s="181">
        <f t="shared" si="283"/>
        <v>689000</v>
      </c>
      <c r="AP67" s="181">
        <f t="shared" si="283"/>
        <v>689000</v>
      </c>
      <c r="AQ67" s="181">
        <f t="shared" si="283"/>
        <v>689000</v>
      </c>
      <c r="AR67" s="181">
        <f t="shared" si="283"/>
        <v>689000</v>
      </c>
      <c r="AS67" s="181">
        <f t="shared" si="283"/>
        <v>689000</v>
      </c>
      <c r="AT67" s="181">
        <f t="shared" si="283"/>
        <v>689000</v>
      </c>
      <c r="AU67" s="181">
        <f t="shared" si="283"/>
        <v>689000</v>
      </c>
      <c r="AV67" s="202">
        <f t="shared" si="275"/>
        <v>8268000</v>
      </c>
    </row>
    <row r="68" spans="1:49">
      <c r="B68" s="211" t="s">
        <v>225</v>
      </c>
      <c r="D68" s="180">
        <v>450000</v>
      </c>
      <c r="E68" s="181">
        <f>+D68</f>
        <v>450000</v>
      </c>
      <c r="F68" s="181">
        <f t="shared" ref="F68:O68" si="284">+E68</f>
        <v>450000</v>
      </c>
      <c r="G68" s="181">
        <f t="shared" si="284"/>
        <v>450000</v>
      </c>
      <c r="H68" s="181">
        <f t="shared" si="284"/>
        <v>450000</v>
      </c>
      <c r="I68" s="181">
        <f t="shared" si="284"/>
        <v>450000</v>
      </c>
      <c r="J68" s="181">
        <f t="shared" si="284"/>
        <v>450000</v>
      </c>
      <c r="K68" s="181">
        <f t="shared" si="284"/>
        <v>450000</v>
      </c>
      <c r="L68" s="181">
        <f t="shared" si="284"/>
        <v>450000</v>
      </c>
      <c r="M68" s="181">
        <f t="shared" si="284"/>
        <v>450000</v>
      </c>
      <c r="N68" s="181">
        <f t="shared" si="284"/>
        <v>450000</v>
      </c>
      <c r="O68" s="181">
        <f t="shared" si="284"/>
        <v>450000</v>
      </c>
      <c r="P68" s="202">
        <f t="shared" si="271"/>
        <v>5400000</v>
      </c>
      <c r="T68" s="180"/>
      <c r="U68" s="180"/>
      <c r="V68" s="180">
        <v>700000</v>
      </c>
      <c r="W68" s="180">
        <f t="shared" ref="V68:AE75" si="285">+V68</f>
        <v>700000</v>
      </c>
      <c r="X68" s="180">
        <f t="shared" si="285"/>
        <v>700000</v>
      </c>
      <c r="Y68" s="180">
        <f t="shared" si="285"/>
        <v>700000</v>
      </c>
      <c r="Z68" s="180">
        <f t="shared" si="285"/>
        <v>700000</v>
      </c>
      <c r="AA68" s="180">
        <f t="shared" si="285"/>
        <v>700000</v>
      </c>
      <c r="AB68" s="180">
        <f t="shared" si="285"/>
        <v>700000</v>
      </c>
      <c r="AC68" s="180">
        <f t="shared" si="285"/>
        <v>700000</v>
      </c>
      <c r="AD68" s="180">
        <f t="shared" si="285"/>
        <v>700000</v>
      </c>
      <c r="AE68" s="180">
        <f t="shared" si="285"/>
        <v>700000</v>
      </c>
      <c r="AF68" s="202">
        <f t="shared" si="273"/>
        <v>7000000</v>
      </c>
      <c r="AJ68" s="181">
        <f>+AE68*(1+$AI$36)</f>
        <v>742000</v>
      </c>
      <c r="AK68" s="180">
        <f>+AJ68</f>
        <v>742000</v>
      </c>
      <c r="AL68" s="180">
        <f>+AK68</f>
        <v>742000</v>
      </c>
      <c r="AM68" s="180">
        <f t="shared" ref="AM68:AU68" si="286">+AL68</f>
        <v>742000</v>
      </c>
      <c r="AN68" s="180">
        <f t="shared" si="286"/>
        <v>742000</v>
      </c>
      <c r="AO68" s="180">
        <f t="shared" si="286"/>
        <v>742000</v>
      </c>
      <c r="AP68" s="180">
        <f t="shared" si="286"/>
        <v>742000</v>
      </c>
      <c r="AQ68" s="180">
        <f t="shared" si="286"/>
        <v>742000</v>
      </c>
      <c r="AR68" s="180">
        <f t="shared" si="286"/>
        <v>742000</v>
      </c>
      <c r="AS68" s="180">
        <f t="shared" si="286"/>
        <v>742000</v>
      </c>
      <c r="AT68" s="180">
        <f t="shared" si="286"/>
        <v>742000</v>
      </c>
      <c r="AU68" s="180">
        <f t="shared" si="286"/>
        <v>742000</v>
      </c>
      <c r="AV68" s="202">
        <f t="shared" si="275"/>
        <v>8904000</v>
      </c>
    </row>
    <row r="69" spans="1:49">
      <c r="B69" s="211" t="s">
        <v>248</v>
      </c>
      <c r="D69" s="180"/>
      <c r="E69" s="181"/>
      <c r="F69" s="181"/>
      <c r="G69" s="181"/>
      <c r="H69" s="181"/>
      <c r="I69" s="181"/>
      <c r="J69" s="181"/>
      <c r="K69" s="181"/>
      <c r="L69" s="181"/>
      <c r="M69" s="181"/>
      <c r="N69" s="181">
        <v>2000000</v>
      </c>
      <c r="O69" s="181">
        <f>+N69</f>
        <v>2000000</v>
      </c>
      <c r="P69" s="202">
        <f t="shared" si="271"/>
        <v>4000000</v>
      </c>
      <c r="T69" s="180">
        <f>+O69</f>
        <v>2000000</v>
      </c>
      <c r="U69" s="180">
        <f>+T69</f>
        <v>2000000</v>
      </c>
      <c r="V69" s="180">
        <f t="shared" si="285"/>
        <v>2000000</v>
      </c>
      <c r="W69" s="180">
        <f t="shared" si="285"/>
        <v>2000000</v>
      </c>
      <c r="X69" s="180">
        <f t="shared" si="285"/>
        <v>2000000</v>
      </c>
      <c r="Y69" s="180">
        <f t="shared" si="285"/>
        <v>2000000</v>
      </c>
      <c r="Z69" s="180">
        <f t="shared" si="285"/>
        <v>2000000</v>
      </c>
      <c r="AA69" s="180">
        <f t="shared" si="285"/>
        <v>2000000</v>
      </c>
      <c r="AB69" s="180">
        <f t="shared" si="285"/>
        <v>2000000</v>
      </c>
      <c r="AC69" s="180">
        <f t="shared" si="285"/>
        <v>2000000</v>
      </c>
      <c r="AD69" s="180">
        <f t="shared" si="285"/>
        <v>2000000</v>
      </c>
      <c r="AE69" s="180">
        <f t="shared" si="285"/>
        <v>2000000</v>
      </c>
      <c r="AF69" s="202">
        <f t="shared" si="273"/>
        <v>24000000</v>
      </c>
      <c r="AJ69" s="181">
        <v>4500000</v>
      </c>
      <c r="AK69" s="180">
        <f>+AJ69</f>
        <v>4500000</v>
      </c>
      <c r="AL69" s="180">
        <f t="shared" ref="AL69:AU69" si="287">+AK69</f>
        <v>4500000</v>
      </c>
      <c r="AM69" s="180">
        <f t="shared" si="287"/>
        <v>4500000</v>
      </c>
      <c r="AN69" s="180">
        <f t="shared" si="287"/>
        <v>4500000</v>
      </c>
      <c r="AO69" s="180">
        <f t="shared" si="287"/>
        <v>4500000</v>
      </c>
      <c r="AP69" s="180">
        <f t="shared" si="287"/>
        <v>4500000</v>
      </c>
      <c r="AQ69" s="180">
        <f t="shared" si="287"/>
        <v>4500000</v>
      </c>
      <c r="AR69" s="180">
        <f t="shared" si="287"/>
        <v>4500000</v>
      </c>
      <c r="AS69" s="180">
        <f t="shared" si="287"/>
        <v>4500000</v>
      </c>
      <c r="AT69" s="180">
        <f t="shared" si="287"/>
        <v>4500000</v>
      </c>
      <c r="AU69" s="180">
        <f t="shared" si="287"/>
        <v>4500000</v>
      </c>
      <c r="AV69" s="202">
        <f t="shared" si="275"/>
        <v>54000000</v>
      </c>
    </row>
    <row r="70" spans="1:49">
      <c r="A70" s="178">
        <v>0.08</v>
      </c>
      <c r="B70" s="210" t="s">
        <v>255</v>
      </c>
      <c r="D70" s="180">
        <f>+$A$70*D1*D23</f>
        <v>0</v>
      </c>
      <c r="E70" s="180">
        <f t="shared" ref="E70:O70" si="288">+$A$70*E1*E23</f>
        <v>9957.52</v>
      </c>
      <c r="F70" s="180">
        <f t="shared" si="288"/>
        <v>69149.760000000009</v>
      </c>
      <c r="G70" s="180">
        <f t="shared" si="288"/>
        <v>146526.72</v>
      </c>
      <c r="H70" s="180">
        <f t="shared" si="288"/>
        <v>253848.96000000002</v>
      </c>
      <c r="I70" s="180">
        <f t="shared" si="288"/>
        <v>358650</v>
      </c>
      <c r="J70" s="180">
        <f t="shared" si="288"/>
        <v>590500.79999999993</v>
      </c>
      <c r="K70" s="180">
        <f t="shared" si="288"/>
        <v>842040.64000000013</v>
      </c>
      <c r="L70" s="180">
        <f t="shared" si="288"/>
        <v>1096350</v>
      </c>
      <c r="M70" s="180">
        <f t="shared" si="288"/>
        <v>1326994.8</v>
      </c>
      <c r="N70" s="180">
        <f t="shared" si="288"/>
        <v>1919851.2</v>
      </c>
      <c r="O70" s="180">
        <f t="shared" si="288"/>
        <v>2309052.96</v>
      </c>
      <c r="P70" s="202">
        <f t="shared" si="271"/>
        <v>8922923.3599999994</v>
      </c>
      <c r="T70" s="180">
        <f t="shared" ref="T70:Y70" si="289">+$A$70*T1*T23</f>
        <v>2768162.4</v>
      </c>
      <c r="U70" s="180">
        <f t="shared" si="289"/>
        <v>3145212</v>
      </c>
      <c r="V70" s="180">
        <f t="shared" si="289"/>
        <v>3488580</v>
      </c>
      <c r="W70" s="180">
        <f t="shared" si="289"/>
        <v>4005709.2</v>
      </c>
      <c r="X70" s="180">
        <f t="shared" si="289"/>
        <v>4287190.4000000004</v>
      </c>
      <c r="Y70" s="180">
        <f t="shared" si="289"/>
        <v>4768160</v>
      </c>
      <c r="Z70" s="180">
        <f t="shared" ref="Z70:AE70" si="290">+$A$70*Z1*Z23</f>
        <v>4984424</v>
      </c>
      <c r="AA70" s="180">
        <f t="shared" si="290"/>
        <v>5165544</v>
      </c>
      <c r="AB70" s="180">
        <f t="shared" si="290"/>
        <v>5315488</v>
      </c>
      <c r="AC70" s="180">
        <f t="shared" si="290"/>
        <v>5711084.3999999994</v>
      </c>
      <c r="AD70" s="180">
        <f t="shared" si="290"/>
        <v>6648393.5999999996</v>
      </c>
      <c r="AE70" s="180">
        <f t="shared" si="290"/>
        <v>7027560</v>
      </c>
      <c r="AF70" s="202">
        <f t="shared" si="273"/>
        <v>57315508</v>
      </c>
      <c r="AJ70" s="180">
        <f t="shared" ref="AJ70:AO70" si="291">+$A$70*AJ1*AJ23</f>
        <v>7259354</v>
      </c>
      <c r="AK70" s="180">
        <f t="shared" si="291"/>
        <v>7354830</v>
      </c>
      <c r="AL70" s="180">
        <f t="shared" si="291"/>
        <v>7431684</v>
      </c>
      <c r="AM70" s="180">
        <f t="shared" si="291"/>
        <v>7493628</v>
      </c>
      <c r="AN70" s="180">
        <f t="shared" si="291"/>
        <v>9493412.1600000001</v>
      </c>
      <c r="AO70" s="180">
        <f t="shared" si="291"/>
        <v>11251000.32</v>
      </c>
      <c r="AP70" s="180">
        <f t="shared" ref="AP70:AU70" si="292">+$A$70*AP1*AP23</f>
        <v>12663275.520000001</v>
      </c>
      <c r="AQ70" s="180">
        <f t="shared" si="292"/>
        <v>13656274.799999999</v>
      </c>
      <c r="AR70" s="180">
        <f t="shared" si="292"/>
        <v>14178009.999999998</v>
      </c>
      <c r="AS70" s="180">
        <f t="shared" si="292"/>
        <v>15028600.32</v>
      </c>
      <c r="AT70" s="180">
        <f t="shared" si="292"/>
        <v>16252952.640000001</v>
      </c>
      <c r="AU70" s="180">
        <f t="shared" si="292"/>
        <v>17006870.400000002</v>
      </c>
      <c r="AV70" s="202">
        <f t="shared" si="275"/>
        <v>139069892.16</v>
      </c>
    </row>
    <row r="71" spans="1:49">
      <c r="A71" s="178"/>
      <c r="B71" s="211" t="s">
        <v>263</v>
      </c>
      <c r="D71" s="180">
        <f>+D98</f>
        <v>466666.66666666669</v>
      </c>
      <c r="E71" s="180">
        <f t="shared" ref="E71:O71" si="293">+E98</f>
        <v>466666.66666666669</v>
      </c>
      <c r="F71" s="180">
        <f t="shared" si="293"/>
        <v>466666.66666666669</v>
      </c>
      <c r="G71" s="180">
        <f t="shared" si="293"/>
        <v>466666.66666666669</v>
      </c>
      <c r="H71" s="180">
        <f t="shared" si="293"/>
        <v>466666.66666666669</v>
      </c>
      <c r="I71" s="180">
        <f t="shared" si="293"/>
        <v>466666.66666666669</v>
      </c>
      <c r="J71" s="180">
        <f t="shared" si="293"/>
        <v>466666.66666666669</v>
      </c>
      <c r="K71" s="180">
        <f t="shared" si="293"/>
        <v>466666.66666666669</v>
      </c>
      <c r="L71" s="180">
        <f t="shared" si="293"/>
        <v>466666.66666666669</v>
      </c>
      <c r="M71" s="180">
        <f t="shared" si="293"/>
        <v>466666.66666666669</v>
      </c>
      <c r="N71" s="180">
        <f t="shared" si="293"/>
        <v>466666.66666666669</v>
      </c>
      <c r="O71" s="180">
        <f t="shared" si="293"/>
        <v>466666.66666666669</v>
      </c>
      <c r="P71" s="202">
        <f t="shared" si="271"/>
        <v>5600000.0000000009</v>
      </c>
      <c r="T71" s="180">
        <f>+T98</f>
        <v>466666.66666666669</v>
      </c>
      <c r="U71" s="180">
        <f t="shared" ref="U71:AE71" si="294">+U98</f>
        <v>466666.66666666669</v>
      </c>
      <c r="V71" s="180">
        <f t="shared" si="294"/>
        <v>466666.66666666669</v>
      </c>
      <c r="W71" s="180">
        <f t="shared" si="294"/>
        <v>466666.66666666669</v>
      </c>
      <c r="X71" s="180">
        <f t="shared" si="294"/>
        <v>733333.33333333337</v>
      </c>
      <c r="Y71" s="180">
        <f t="shared" si="294"/>
        <v>733333.33333333337</v>
      </c>
      <c r="Z71" s="180">
        <f t="shared" si="294"/>
        <v>733333.33333333337</v>
      </c>
      <c r="AA71" s="180">
        <f t="shared" si="294"/>
        <v>733333.33333333337</v>
      </c>
      <c r="AB71" s="180">
        <f t="shared" si="294"/>
        <v>733333.33333333337</v>
      </c>
      <c r="AC71" s="180">
        <f t="shared" si="294"/>
        <v>733333.33333333337</v>
      </c>
      <c r="AD71" s="180">
        <f t="shared" si="294"/>
        <v>733333.33333333337</v>
      </c>
      <c r="AE71" s="180">
        <f t="shared" si="294"/>
        <v>733333.33333333337</v>
      </c>
      <c r="AF71" s="202">
        <f t="shared" si="273"/>
        <v>7733333.3333333321</v>
      </c>
      <c r="AJ71" s="180">
        <f>+AE71</f>
        <v>733333.33333333337</v>
      </c>
      <c r="AK71" s="180">
        <f>+AJ71</f>
        <v>733333.33333333337</v>
      </c>
      <c r="AL71" s="180">
        <f t="shared" ref="AL71:AU71" si="295">+AK71</f>
        <v>733333.33333333337</v>
      </c>
      <c r="AM71" s="180">
        <f t="shared" si="295"/>
        <v>733333.33333333337</v>
      </c>
      <c r="AN71" s="180">
        <f t="shared" si="295"/>
        <v>733333.33333333337</v>
      </c>
      <c r="AO71" s="180">
        <f t="shared" si="295"/>
        <v>733333.33333333337</v>
      </c>
      <c r="AP71" s="180">
        <f t="shared" si="295"/>
        <v>733333.33333333337</v>
      </c>
      <c r="AQ71" s="180">
        <f t="shared" si="295"/>
        <v>733333.33333333337</v>
      </c>
      <c r="AR71" s="180">
        <f t="shared" si="295"/>
        <v>733333.33333333337</v>
      </c>
      <c r="AS71" s="180">
        <f t="shared" si="295"/>
        <v>733333.33333333337</v>
      </c>
      <c r="AT71" s="180">
        <f t="shared" si="295"/>
        <v>733333.33333333337</v>
      </c>
      <c r="AU71" s="180">
        <f t="shared" si="295"/>
        <v>733333.33333333337</v>
      </c>
      <c r="AV71" s="202">
        <f t="shared" si="275"/>
        <v>8799999.9999999981</v>
      </c>
    </row>
    <row r="72" spans="1:49">
      <c r="A72" s="178"/>
      <c r="B72" s="211" t="s">
        <v>307</v>
      </c>
      <c r="D72" s="180">
        <v>12000000</v>
      </c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202">
        <f t="shared" si="271"/>
        <v>12000000</v>
      </c>
      <c r="T72" s="180">
        <v>6000000</v>
      </c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202">
        <f t="shared" si="273"/>
        <v>6000000</v>
      </c>
      <c r="AJ72" s="180">
        <v>8000000</v>
      </c>
      <c r="AK72" s="180"/>
      <c r="AL72" s="180"/>
      <c r="AM72" s="180"/>
      <c r="AN72" s="180"/>
      <c r="AO72" s="180"/>
      <c r="AP72" s="180"/>
      <c r="AQ72" s="180"/>
      <c r="AR72" s="180"/>
      <c r="AS72" s="180"/>
      <c r="AT72" s="180"/>
      <c r="AU72" s="180"/>
      <c r="AV72" s="202">
        <f t="shared" si="275"/>
        <v>8000000</v>
      </c>
    </row>
    <row r="73" spans="1:49">
      <c r="A73" s="178"/>
      <c r="B73" s="211" t="s">
        <v>308</v>
      </c>
      <c r="D73" s="180">
        <v>3000000</v>
      </c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202">
        <f t="shared" si="271"/>
        <v>3000000</v>
      </c>
      <c r="T73" s="180">
        <v>600000</v>
      </c>
      <c r="U73" s="180">
        <f>+T73</f>
        <v>600000</v>
      </c>
      <c r="V73" s="180">
        <f t="shared" ref="V73:AE73" si="296">+U73</f>
        <v>600000</v>
      </c>
      <c r="W73" s="180">
        <f t="shared" si="296"/>
        <v>600000</v>
      </c>
      <c r="X73" s="180">
        <f t="shared" si="296"/>
        <v>600000</v>
      </c>
      <c r="Y73" s="180">
        <f t="shared" si="296"/>
        <v>600000</v>
      </c>
      <c r="Z73" s="180">
        <f t="shared" si="296"/>
        <v>600000</v>
      </c>
      <c r="AA73" s="180">
        <f t="shared" si="296"/>
        <v>600000</v>
      </c>
      <c r="AB73" s="180">
        <f t="shared" si="296"/>
        <v>600000</v>
      </c>
      <c r="AC73" s="180">
        <f t="shared" si="296"/>
        <v>600000</v>
      </c>
      <c r="AD73" s="180">
        <f t="shared" si="296"/>
        <v>600000</v>
      </c>
      <c r="AE73" s="180">
        <f t="shared" si="296"/>
        <v>600000</v>
      </c>
      <c r="AF73" s="202">
        <f t="shared" si="273"/>
        <v>7200000</v>
      </c>
      <c r="AJ73" s="180">
        <v>850000</v>
      </c>
      <c r="AK73" s="180">
        <f>+AJ73</f>
        <v>850000</v>
      </c>
      <c r="AL73" s="180">
        <f t="shared" ref="AL73:AU73" si="297">+AK73</f>
        <v>850000</v>
      </c>
      <c r="AM73" s="180">
        <f t="shared" si="297"/>
        <v>850000</v>
      </c>
      <c r="AN73" s="180">
        <f t="shared" si="297"/>
        <v>850000</v>
      </c>
      <c r="AO73" s="180">
        <f t="shared" si="297"/>
        <v>850000</v>
      </c>
      <c r="AP73" s="180">
        <f t="shared" si="297"/>
        <v>850000</v>
      </c>
      <c r="AQ73" s="180">
        <f t="shared" si="297"/>
        <v>850000</v>
      </c>
      <c r="AR73" s="180">
        <f t="shared" si="297"/>
        <v>850000</v>
      </c>
      <c r="AS73" s="180">
        <f t="shared" si="297"/>
        <v>850000</v>
      </c>
      <c r="AT73" s="180">
        <f t="shared" si="297"/>
        <v>850000</v>
      </c>
      <c r="AU73" s="180">
        <f t="shared" si="297"/>
        <v>850000</v>
      </c>
      <c r="AV73" s="202">
        <f t="shared" si="275"/>
        <v>10200000</v>
      </c>
    </row>
    <row r="74" spans="1:49">
      <c r="A74" s="178">
        <v>0.03</v>
      </c>
      <c r="B74" s="210" t="s">
        <v>291</v>
      </c>
      <c r="D74" s="180">
        <f>+D23*$A$74</f>
        <v>136440</v>
      </c>
      <c r="E74" s="180">
        <f t="shared" ref="E74:O74" si="298">+E23*$A$74</f>
        <v>373407</v>
      </c>
      <c r="F74" s="180">
        <f t="shared" si="298"/>
        <v>648279</v>
      </c>
      <c r="G74" s="180">
        <f t="shared" si="298"/>
        <v>915792</v>
      </c>
      <c r="H74" s="180">
        <f t="shared" si="298"/>
        <v>1189917</v>
      </c>
      <c r="I74" s="180">
        <f t="shared" si="298"/>
        <v>1494375</v>
      </c>
      <c r="J74" s="180">
        <f t="shared" si="298"/>
        <v>1845315</v>
      </c>
      <c r="K74" s="180">
        <f t="shared" si="298"/>
        <v>2255466</v>
      </c>
      <c r="L74" s="180">
        <f t="shared" si="298"/>
        <v>2740875</v>
      </c>
      <c r="M74" s="180">
        <f t="shared" si="298"/>
        <v>3317487</v>
      </c>
      <c r="N74" s="180">
        <f t="shared" si="298"/>
        <v>3999690</v>
      </c>
      <c r="O74" s="180">
        <f t="shared" si="298"/>
        <v>4810527</v>
      </c>
      <c r="P74" s="202">
        <f t="shared" si="271"/>
        <v>23727570</v>
      </c>
      <c r="T74" s="180">
        <f t="shared" ref="T74:AE74" si="299">+T23*$A$74</f>
        <v>5767005</v>
      </c>
      <c r="U74" s="180">
        <f t="shared" si="299"/>
        <v>6552525</v>
      </c>
      <c r="V74" s="180">
        <f t="shared" si="299"/>
        <v>7267875</v>
      </c>
      <c r="W74" s="180">
        <f t="shared" si="299"/>
        <v>7906005</v>
      </c>
      <c r="X74" s="180">
        <f t="shared" si="299"/>
        <v>8461560</v>
      </c>
      <c r="Y74" s="180">
        <f t="shared" si="299"/>
        <v>8940300</v>
      </c>
      <c r="Z74" s="180">
        <f t="shared" si="299"/>
        <v>9345795</v>
      </c>
      <c r="AA74" s="180">
        <f t="shared" si="299"/>
        <v>9685395</v>
      </c>
      <c r="AB74" s="180">
        <f t="shared" si="299"/>
        <v>9966540</v>
      </c>
      <c r="AC74" s="180">
        <f t="shared" si="299"/>
        <v>10198365</v>
      </c>
      <c r="AD74" s="180">
        <f t="shared" si="299"/>
        <v>10388115</v>
      </c>
      <c r="AE74" s="180">
        <f t="shared" si="299"/>
        <v>10541340</v>
      </c>
      <c r="AF74" s="202">
        <f t="shared" si="273"/>
        <v>105020820</v>
      </c>
      <c r="AJ74" s="180">
        <f t="shared" ref="AJ74:AK74" si="300">+AJ23*$A$74</f>
        <v>10889031</v>
      </c>
      <c r="AK74" s="180">
        <f t="shared" si="300"/>
        <v>11032245</v>
      </c>
      <c r="AL74" s="180">
        <f t="shared" ref="AL74:AU74" si="301">+AL23*$A$74</f>
        <v>11147526</v>
      </c>
      <c r="AM74" s="180">
        <f t="shared" si="301"/>
        <v>11240442</v>
      </c>
      <c r="AN74" s="180">
        <f t="shared" si="301"/>
        <v>12275964</v>
      </c>
      <c r="AO74" s="180">
        <f t="shared" si="301"/>
        <v>13184766</v>
      </c>
      <c r="AP74" s="180">
        <f t="shared" si="301"/>
        <v>13966848</v>
      </c>
      <c r="AQ74" s="180">
        <f t="shared" si="301"/>
        <v>14631723</v>
      </c>
      <c r="AR74" s="180">
        <f t="shared" si="301"/>
        <v>15190725</v>
      </c>
      <c r="AS74" s="180">
        <f t="shared" si="301"/>
        <v>15654792</v>
      </c>
      <c r="AT74" s="180">
        <f t="shared" si="301"/>
        <v>16039098</v>
      </c>
      <c r="AU74" s="180">
        <f t="shared" si="301"/>
        <v>16352760</v>
      </c>
      <c r="AV74" s="202">
        <f t="shared" si="275"/>
        <v>161605920</v>
      </c>
    </row>
    <row r="75" spans="1:49">
      <c r="B75" s="210" t="s">
        <v>247</v>
      </c>
      <c r="D75" s="180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202">
        <f t="shared" si="271"/>
        <v>0</v>
      </c>
      <c r="T75" s="180"/>
      <c r="U75" s="180"/>
      <c r="V75" s="180"/>
      <c r="W75" s="180"/>
      <c r="X75" s="180">
        <v>1000000</v>
      </c>
      <c r="Y75" s="180">
        <f t="shared" si="285"/>
        <v>1000000</v>
      </c>
      <c r="Z75" s="180">
        <f t="shared" si="285"/>
        <v>1000000</v>
      </c>
      <c r="AA75" s="180">
        <f t="shared" si="285"/>
        <v>1000000</v>
      </c>
      <c r="AB75" s="180">
        <f t="shared" si="285"/>
        <v>1000000</v>
      </c>
      <c r="AC75" s="180">
        <f t="shared" si="285"/>
        <v>1000000</v>
      </c>
      <c r="AD75" s="180">
        <f t="shared" si="285"/>
        <v>1000000</v>
      </c>
      <c r="AE75" s="180">
        <f t="shared" si="285"/>
        <v>1000000</v>
      </c>
      <c r="AF75" s="202">
        <f t="shared" si="273"/>
        <v>8000000</v>
      </c>
      <c r="AJ75" s="181">
        <v>1600000</v>
      </c>
      <c r="AK75" s="180">
        <f>+AJ75</f>
        <v>1600000</v>
      </c>
      <c r="AL75" s="180">
        <f>+AK75</f>
        <v>1600000</v>
      </c>
      <c r="AM75" s="180">
        <f t="shared" ref="AM75:AU75" si="302">+AL75</f>
        <v>1600000</v>
      </c>
      <c r="AN75" s="180">
        <f t="shared" si="302"/>
        <v>1600000</v>
      </c>
      <c r="AO75" s="180">
        <f t="shared" si="302"/>
        <v>1600000</v>
      </c>
      <c r="AP75" s="180">
        <f t="shared" si="302"/>
        <v>1600000</v>
      </c>
      <c r="AQ75" s="180">
        <f t="shared" si="302"/>
        <v>1600000</v>
      </c>
      <c r="AR75" s="180">
        <f t="shared" si="302"/>
        <v>1600000</v>
      </c>
      <c r="AS75" s="180">
        <f t="shared" si="302"/>
        <v>1600000</v>
      </c>
      <c r="AT75" s="180">
        <f t="shared" si="302"/>
        <v>1600000</v>
      </c>
      <c r="AU75" s="180">
        <f t="shared" si="302"/>
        <v>1600000</v>
      </c>
      <c r="AV75" s="202">
        <f t="shared" si="275"/>
        <v>19200000</v>
      </c>
    </row>
    <row r="77" spans="1:49" s="192" customFormat="1">
      <c r="B77" s="192" t="s">
        <v>229</v>
      </c>
      <c r="D77" s="193">
        <f>+D36+D63+D64+D65+D68+D66+D67+D75+D69+D70+D71+D74+D72+D73</f>
        <v>35247415.416666672</v>
      </c>
      <c r="E77" s="193">
        <f t="shared" ref="E77:P77" si="303">+E36+E63+E64+E65+E68+E66+E67+E75+E69+E70+E71+E74+E72+E73</f>
        <v>20837942.086666666</v>
      </c>
      <c r="F77" s="193">
        <f t="shared" si="303"/>
        <v>21570570.72666667</v>
      </c>
      <c r="G77" s="193">
        <f t="shared" si="303"/>
        <v>21730984.536666665</v>
      </c>
      <c r="H77" s="193">
        <f t="shared" si="303"/>
        <v>22338584.901666667</v>
      </c>
      <c r="I77" s="193">
        <f t="shared" si="303"/>
        <v>24559631.166666668</v>
      </c>
      <c r="J77" s="193">
        <f t="shared" si="303"/>
        <v>26236184.966666669</v>
      </c>
      <c r="K77" s="193">
        <f t="shared" si="303"/>
        <v>28176179.756666668</v>
      </c>
      <c r="L77" s="193">
        <f t="shared" si="303"/>
        <v>35234756.166666672</v>
      </c>
      <c r="M77" s="193">
        <f t="shared" si="303"/>
        <v>39975120.366666652</v>
      </c>
      <c r="N77" s="193">
        <f t="shared" si="303"/>
        <v>45376379.116666667</v>
      </c>
      <c r="O77" s="193">
        <f t="shared" si="303"/>
        <v>49103526.526666664</v>
      </c>
      <c r="P77" s="205">
        <f t="shared" si="303"/>
        <v>370387275.73500001</v>
      </c>
      <c r="T77" s="193">
        <f t="shared" ref="T77:AF77" si="304">+T36+T63+T64+T65+T68+T66+T67+T75+T69+T70+T71+T74+T72+T73</f>
        <v>79591573.816666663</v>
      </c>
      <c r="U77" s="193">
        <f t="shared" si="304"/>
        <v>77431902.916666672</v>
      </c>
      <c r="V77" s="193">
        <f t="shared" si="304"/>
        <v>84993570.416666672</v>
      </c>
      <c r="W77" s="193">
        <f t="shared" si="304"/>
        <v>88319125.116666675</v>
      </c>
      <c r="X77" s="193">
        <f t="shared" si="304"/>
        <v>94574574.733333334</v>
      </c>
      <c r="Y77" s="193">
        <f t="shared" si="304"/>
        <v>97160333.333333328</v>
      </c>
      <c r="Z77" s="193">
        <f t="shared" si="304"/>
        <v>101535336.08333333</v>
      </c>
      <c r="AA77" s="193">
        <f t="shared" si="304"/>
        <v>103207991.08333333</v>
      </c>
      <c r="AB77" s="193">
        <f t="shared" si="304"/>
        <v>104592175.83333333</v>
      </c>
      <c r="AC77" s="193">
        <f t="shared" si="304"/>
        <v>106005768.48333333</v>
      </c>
      <c r="AD77" s="193">
        <f t="shared" si="304"/>
        <v>107776555.18333332</v>
      </c>
      <c r="AE77" s="193">
        <f t="shared" si="304"/>
        <v>108827897.83333333</v>
      </c>
      <c r="AF77" s="205">
        <f t="shared" si="304"/>
        <v>1154016804.8333335</v>
      </c>
      <c r="AG77" s="208">
        <f>+(AF77/P77)-1</f>
        <v>2.1157031583854806</v>
      </c>
      <c r="AJ77" s="193">
        <f t="shared" ref="AJ77:AV77" si="305">+AJ36+AJ63+AJ64+AJ65+AJ68+AJ66+AJ67+AJ75+AJ69+AJ70+AJ71+AJ74+AJ72+AJ73</f>
        <v>133208379.46333332</v>
      </c>
      <c r="AK77" s="193">
        <f t="shared" si="305"/>
        <v>129229564.20333333</v>
      </c>
      <c r="AL77" s="193">
        <f t="shared" si="305"/>
        <v>136961806.95333332</v>
      </c>
      <c r="AM77" s="193">
        <f t="shared" si="305"/>
        <v>139790778.75333333</v>
      </c>
      <c r="AN77" s="193">
        <f t="shared" si="305"/>
        <v>150593685.85333332</v>
      </c>
      <c r="AO77" s="193">
        <f t="shared" si="305"/>
        <v>159301055.35333332</v>
      </c>
      <c r="AP77" s="193">
        <f t="shared" si="305"/>
        <v>163802554.45333338</v>
      </c>
      <c r="AQ77" s="193">
        <f t="shared" si="305"/>
        <v>170181821.02333337</v>
      </c>
      <c r="AR77" s="193">
        <f t="shared" si="305"/>
        <v>172911614.12333333</v>
      </c>
      <c r="AS77" s="193">
        <f t="shared" si="305"/>
        <v>175595269.0933333</v>
      </c>
      <c r="AT77" s="193">
        <f t="shared" si="305"/>
        <v>178337630.11333337</v>
      </c>
      <c r="AU77" s="193">
        <f t="shared" si="305"/>
        <v>183690526.21333337</v>
      </c>
      <c r="AV77" s="205">
        <f t="shared" si="305"/>
        <v>1893604685.5999999</v>
      </c>
      <c r="AW77" s="208">
        <f>+(AV77/AF77)-1</f>
        <v>0.64088137856318284</v>
      </c>
    </row>
    <row r="78" spans="1:49" s="192" customFormat="1"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205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205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205"/>
    </row>
    <row r="79" spans="1:49" s="192" customFormat="1">
      <c r="B79" s="192" t="s">
        <v>290</v>
      </c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205">
        <f>+P32-P77</f>
        <v>-37709785.735000014</v>
      </c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205">
        <f>+AF32-AF77</f>
        <v>323266108.08666658</v>
      </c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205">
        <f>+AV32-AV77</f>
        <v>377514542.0935998</v>
      </c>
    </row>
    <row r="81" spans="1:48">
      <c r="B81" s="177" t="s">
        <v>226</v>
      </c>
      <c r="D81" s="180">
        <f>+'prestamo base'!C7</f>
        <v>952000</v>
      </c>
      <c r="E81" s="180">
        <f>+'prestamo base'!D7</f>
        <v>917205.58453549375</v>
      </c>
      <c r="F81" s="180">
        <f>+'prestamo base'!E7</f>
        <v>882021.47161778517</v>
      </c>
      <c r="G81" s="180">
        <f>+'prestamo base'!F7</f>
        <v>846443.29663539841</v>
      </c>
      <c r="H81" s="180">
        <f>+'prestamo base'!G7</f>
        <v>810466.64609320881</v>
      </c>
      <c r="I81" s="180">
        <f>+'prestamo base'!H7</f>
        <v>774087.05706494662</v>
      </c>
      <c r="J81" s="180">
        <f>+'prestamo base'!I7</f>
        <v>737300.01663956791</v>
      </c>
      <c r="K81" s="180">
        <f>+'prestamo base'!J7</f>
        <v>700100.961361425</v>
      </c>
      <c r="L81" s="180">
        <f>+'prestamo base'!K7</f>
        <v>662485.27666416683</v>
      </c>
      <c r="M81" s="180">
        <f>+'prestamo base'!L7</f>
        <v>624448.29629829945</v>
      </c>
      <c r="N81" s="180">
        <f>+'prestamo base'!M7</f>
        <v>585985.30175233434</v>
      </c>
      <c r="O81" s="180">
        <f>+'prestamo base'!N7</f>
        <v>547091.52166745439</v>
      </c>
      <c r="P81" s="202">
        <f>SUM(D81:O81)</f>
        <v>9039635.4303300809</v>
      </c>
      <c r="T81" s="180">
        <f>+'prestamo base'!O7</f>
        <v>507762.13124562381</v>
      </c>
      <c r="U81" s="180">
        <f>+'prestamo base'!P7</f>
        <v>467992.2516510688</v>
      </c>
      <c r="V81" s="180">
        <f>+'prestamo base'!Q7</f>
        <v>427776.94940505468</v>
      </c>
      <c r="W81" s="180">
        <f>+'prestamo base'!R7</f>
        <v>387111.23577388527</v>
      </c>
      <c r="X81" s="180">
        <f>+'prestamo base'!S7</f>
        <v>345990.06615004665</v>
      </c>
      <c r="Y81" s="180">
        <f>+'prestamo base'!T7</f>
        <v>304408.33942642109</v>
      </c>
      <c r="Z81" s="180">
        <f>+'prestamo base'!U7</f>
        <v>262360.89736349089</v>
      </c>
      <c r="AA81" s="180">
        <f>+'prestamo base'!V7</f>
        <v>219842.52394945596</v>
      </c>
      <c r="AB81" s="180">
        <f>+'prestamo base'!W7</f>
        <v>176847.94475318378</v>
      </c>
      <c r="AC81" s="180">
        <f>+'prestamo base'!X7</f>
        <v>133371.82626991338</v>
      </c>
      <c r="AD81" s="180">
        <f>+'prestamo base'!Y7</f>
        <v>89408.775259630318</v>
      </c>
      <c r="AE81" s="180">
        <f>+'prestamo base'!Z7</f>
        <v>44953.338078032109</v>
      </c>
      <c r="AF81" s="202">
        <f>SUM(T81:AE81)</f>
        <v>3367826.2793258075</v>
      </c>
      <c r="AM81" s="180">
        <f>+'prestamo base'!AD7</f>
        <v>672000</v>
      </c>
      <c r="AN81" s="180">
        <f>+'prestamo base'!AE7</f>
        <v>619366.37995830982</v>
      </c>
      <c r="AO81" s="180">
        <f>+'prestamo base'!AF7</f>
        <v>566143.26337215258</v>
      </c>
      <c r="AP81" s="180">
        <f>+'prestamo base'!AG7</f>
        <v>512324.04788023053</v>
      </c>
      <c r="AQ81" s="180">
        <f>+'prestamo base'!AH7</f>
        <v>457902.0571747988</v>
      </c>
      <c r="AR81" s="180">
        <f>+'prestamo base'!AI7</f>
        <v>402870.54017346632</v>
      </c>
      <c r="AS81" s="180">
        <f>+'prestamo base'!AJ7</f>
        <v>347222.67018171889</v>
      </c>
      <c r="AT81" s="180">
        <f>+'prestamo base'!AK7</f>
        <v>290951.54404606391</v>
      </c>
      <c r="AU81" s="180">
        <f>+'prestamo base'!AL7</f>
        <v>234050.18129768959</v>
      </c>
      <c r="AV81" s="202">
        <f>SUM(AJ81:AU81)</f>
        <v>4102830.6840844303</v>
      </c>
    </row>
    <row r="82" spans="1:48">
      <c r="B82" s="177" t="s">
        <v>227</v>
      </c>
      <c r="D82" s="180">
        <f>+D23*2%</f>
        <v>90960</v>
      </c>
      <c r="E82" s="180">
        <f t="shared" ref="E82:O82" si="306">+E23*2%</f>
        <v>248938</v>
      </c>
      <c r="F82" s="180">
        <f t="shared" si="306"/>
        <v>432186</v>
      </c>
      <c r="G82" s="180">
        <f t="shared" si="306"/>
        <v>610528</v>
      </c>
      <c r="H82" s="180">
        <f t="shared" si="306"/>
        <v>793278</v>
      </c>
      <c r="I82" s="180">
        <f t="shared" si="306"/>
        <v>996250</v>
      </c>
      <c r="J82" s="180">
        <f t="shared" si="306"/>
        <v>1230210</v>
      </c>
      <c r="K82" s="180">
        <f t="shared" si="306"/>
        <v>1503644</v>
      </c>
      <c r="L82" s="180">
        <f t="shared" si="306"/>
        <v>1827250</v>
      </c>
      <c r="M82" s="180">
        <f t="shared" si="306"/>
        <v>2211658</v>
      </c>
      <c r="N82" s="180">
        <f t="shared" si="306"/>
        <v>2666460</v>
      </c>
      <c r="O82" s="180">
        <f t="shared" si="306"/>
        <v>3207018</v>
      </c>
      <c r="P82" s="202">
        <f>SUM(D82:O82)</f>
        <v>15818380</v>
      </c>
      <c r="T82" s="180">
        <f>+T23*2%</f>
        <v>3844670</v>
      </c>
      <c r="U82" s="180">
        <f>+U23*2%</f>
        <v>4368350</v>
      </c>
      <c r="V82" s="180">
        <f t="shared" ref="V82:AE82" si="307">+V23*2%</f>
        <v>4845250</v>
      </c>
      <c r="W82" s="180">
        <f t="shared" si="307"/>
        <v>5270670</v>
      </c>
      <c r="X82" s="180">
        <f t="shared" si="307"/>
        <v>5641040</v>
      </c>
      <c r="Y82" s="180">
        <f t="shared" si="307"/>
        <v>5960200</v>
      </c>
      <c r="Z82" s="180">
        <f t="shared" si="307"/>
        <v>6230530</v>
      </c>
      <c r="AA82" s="180">
        <f t="shared" si="307"/>
        <v>6456930</v>
      </c>
      <c r="AB82" s="180">
        <f t="shared" si="307"/>
        <v>6644360</v>
      </c>
      <c r="AC82" s="180">
        <f t="shared" si="307"/>
        <v>6798910</v>
      </c>
      <c r="AD82" s="180">
        <f t="shared" si="307"/>
        <v>6925410</v>
      </c>
      <c r="AE82" s="180">
        <f t="shared" si="307"/>
        <v>7027560</v>
      </c>
      <c r="AF82" s="202">
        <f>SUM(T82:AE82)</f>
        <v>70013880</v>
      </c>
      <c r="AJ82" s="180">
        <f>+AJ23*2%</f>
        <v>7259354</v>
      </c>
      <c r="AK82" s="180">
        <f>+AK23*2%</f>
        <v>7354830</v>
      </c>
      <c r="AL82" s="180">
        <f t="shared" ref="AL82:AU82" si="308">+AL23*2%</f>
        <v>7431684</v>
      </c>
      <c r="AM82" s="180">
        <f t="shared" si="308"/>
        <v>7493628</v>
      </c>
      <c r="AN82" s="180">
        <f t="shared" si="308"/>
        <v>8183976</v>
      </c>
      <c r="AO82" s="180">
        <f t="shared" si="308"/>
        <v>8789844</v>
      </c>
      <c r="AP82" s="180">
        <f t="shared" si="308"/>
        <v>9311232</v>
      </c>
      <c r="AQ82" s="180">
        <f t="shared" si="308"/>
        <v>9754482</v>
      </c>
      <c r="AR82" s="180">
        <f t="shared" si="308"/>
        <v>10127150</v>
      </c>
      <c r="AS82" s="180">
        <f t="shared" si="308"/>
        <v>10436528</v>
      </c>
      <c r="AT82" s="180">
        <f t="shared" si="308"/>
        <v>10692732</v>
      </c>
      <c r="AU82" s="180">
        <f t="shared" si="308"/>
        <v>10901840</v>
      </c>
      <c r="AV82" s="202">
        <f>SUM(AJ82:AU82)</f>
        <v>107737280</v>
      </c>
    </row>
    <row r="84" spans="1:48" s="192" customFormat="1">
      <c r="B84" s="192" t="s">
        <v>228</v>
      </c>
      <c r="D84" s="191">
        <f>+D32-D77-D81-D82</f>
        <v>-34374645.416666672</v>
      </c>
      <c r="E84" s="191">
        <f t="shared" ref="E84:N84" si="309">+E32-E77-E81-E82</f>
        <v>-16762285.67120216</v>
      </c>
      <c r="F84" s="191">
        <f t="shared" si="309"/>
        <v>-13785758.198284455</v>
      </c>
      <c r="G84" s="191">
        <f t="shared" si="309"/>
        <v>-10337675.833302064</v>
      </c>
      <c r="H84" s="191">
        <f t="shared" si="309"/>
        <v>-7249009.5477598757</v>
      </c>
      <c r="I84" s="191">
        <f t="shared" si="309"/>
        <v>-5369088.2237316146</v>
      </c>
      <c r="J84" s="191">
        <f t="shared" si="309"/>
        <v>-2324624.9833062366</v>
      </c>
      <c r="K84" s="191">
        <f t="shared" si="309"/>
        <v>1246475.2819719072</v>
      </c>
      <c r="L84" s="191">
        <f t="shared" si="309"/>
        <v>702928.55666916166</v>
      </c>
      <c r="M84" s="191">
        <f t="shared" si="309"/>
        <v>3693893.3370350488</v>
      </c>
      <c r="N84" s="191">
        <f t="shared" si="309"/>
        <v>7432205.5815809984</v>
      </c>
      <c r="O84" s="191">
        <f>+O32-O77-O81-O82</f>
        <v>14559783.951665882</v>
      </c>
      <c r="P84" s="205">
        <f>+P32-P77-P81-P82</f>
        <v>-62567801.165330097</v>
      </c>
      <c r="T84" s="191">
        <f t="shared" ref="T84:U84" si="310">+T32-T77-T81-T82</f>
        <v>-2798531.4679122823</v>
      </c>
      <c r="U84" s="191">
        <f t="shared" si="310"/>
        <v>9922054.6316822711</v>
      </c>
      <c r="V84" s="191">
        <f t="shared" ref="V84:AE84" si="311">+V32-V77-V81-V82</f>
        <v>11981101.31392828</v>
      </c>
      <c r="W84" s="191">
        <f t="shared" si="311"/>
        <v>17242004.247559436</v>
      </c>
      <c r="X84" s="191">
        <f t="shared" si="311"/>
        <v>18467226.720516644</v>
      </c>
      <c r="Y84" s="191">
        <f t="shared" si="311"/>
        <v>22333871.607240252</v>
      </c>
      <c r="Z84" s="191">
        <f t="shared" si="311"/>
        <v>23430698.259303175</v>
      </c>
      <c r="AA84" s="191">
        <f t="shared" si="311"/>
        <v>26347788.912717227</v>
      </c>
      <c r="AB84" s="191">
        <f t="shared" si="311"/>
        <v>28771074.661913484</v>
      </c>
      <c r="AC84" s="191">
        <f t="shared" si="311"/>
        <v>30505012.490396768</v>
      </c>
      <c r="AD84" s="191">
        <f t="shared" si="311"/>
        <v>31318753.56140703</v>
      </c>
      <c r="AE84" s="191">
        <f t="shared" si="311"/>
        <v>32363346.868588634</v>
      </c>
      <c r="AF84" s="205">
        <f>+AF32-AF77-AF81-AF82</f>
        <v>249884401.8073408</v>
      </c>
      <c r="AJ84" s="191">
        <f t="shared" ref="AJ84:AU84" si="312">+AJ32-AJ77-AJ81-AJ82</f>
        <v>12580923.613626674</v>
      </c>
      <c r="AK84" s="191">
        <f t="shared" si="312"/>
        <v>18475952.593466684</v>
      </c>
      <c r="AL84" s="191">
        <f t="shared" si="312"/>
        <v>12286132.830506653</v>
      </c>
      <c r="AM84" s="191">
        <f t="shared" si="312"/>
        <v>10028274.678506672</v>
      </c>
      <c r="AN84" s="191">
        <f t="shared" si="312"/>
        <v>13132718.643988363</v>
      </c>
      <c r="AO84" s="191">
        <f t="shared" si="312"/>
        <v>16637488.839454532</v>
      </c>
      <c r="AP84" s="191">
        <f t="shared" si="312"/>
        <v>22652924.667266399</v>
      </c>
      <c r="AQ84" s="191">
        <f t="shared" si="312"/>
        <v>25222935.239331841</v>
      </c>
      <c r="AR84" s="191">
        <f t="shared" si="312"/>
        <v>30026630.462253161</v>
      </c>
      <c r="AS84" s="191">
        <f t="shared" si="312"/>
        <v>33606745.182244986</v>
      </c>
      <c r="AT84" s="191">
        <f t="shared" si="312"/>
        <v>36061847.585820593</v>
      </c>
      <c r="AU84" s="191">
        <f t="shared" si="312"/>
        <v>34961857.073048949</v>
      </c>
      <c r="AV84" s="205">
        <f>SUM(AJ84:AU84)</f>
        <v>265674431.4095155</v>
      </c>
    </row>
    <row r="85" spans="1:48">
      <c r="B85" s="177" t="s">
        <v>78</v>
      </c>
      <c r="P85" s="202">
        <f>+IF(P84&lt;0,0,P84*'Estados finan base'!$E$4)</f>
        <v>0</v>
      </c>
      <c r="AF85" s="202">
        <f>+IF(AF84&lt;0,0,AF84*'Estados finan base'!$E$4)</f>
        <v>87459540.632569268</v>
      </c>
      <c r="AV85" s="202">
        <f>+IF(AV84&lt;0,0,AV84*'Estados finan base'!$E$4)</f>
        <v>92986050.993330419</v>
      </c>
    </row>
    <row r="87" spans="1:48" s="192" customFormat="1">
      <c r="B87" s="192" t="s">
        <v>80</v>
      </c>
      <c r="D87" s="193">
        <f>+D84-D85</f>
        <v>-34374645.416666672</v>
      </c>
      <c r="E87" s="193">
        <f t="shared" ref="E87:P87" si="313">+E84-E85</f>
        <v>-16762285.67120216</v>
      </c>
      <c r="F87" s="193">
        <f t="shared" si="313"/>
        <v>-13785758.198284455</v>
      </c>
      <c r="G87" s="193">
        <f t="shared" si="313"/>
        <v>-10337675.833302064</v>
      </c>
      <c r="H87" s="193">
        <f t="shared" si="313"/>
        <v>-7249009.5477598757</v>
      </c>
      <c r="I87" s="193">
        <f t="shared" si="313"/>
        <v>-5369088.2237316146</v>
      </c>
      <c r="J87" s="193">
        <f t="shared" si="313"/>
        <v>-2324624.9833062366</v>
      </c>
      <c r="K87" s="193">
        <f t="shared" si="313"/>
        <v>1246475.2819719072</v>
      </c>
      <c r="L87" s="193">
        <f t="shared" si="313"/>
        <v>702928.55666916166</v>
      </c>
      <c r="M87" s="193">
        <f t="shared" si="313"/>
        <v>3693893.3370350488</v>
      </c>
      <c r="N87" s="193">
        <f t="shared" si="313"/>
        <v>7432205.5815809984</v>
      </c>
      <c r="O87" s="193">
        <f>+O84-O85</f>
        <v>14559783.951665882</v>
      </c>
      <c r="P87" s="204">
        <f t="shared" si="313"/>
        <v>-62567801.165330097</v>
      </c>
      <c r="T87" s="193">
        <f t="shared" ref="T87:U87" si="314">+T84-T85</f>
        <v>-2798531.4679122823</v>
      </c>
      <c r="U87" s="193">
        <f t="shared" si="314"/>
        <v>9922054.6316822711</v>
      </c>
      <c r="V87" s="193">
        <f t="shared" ref="V87:AF87" si="315">+V84-V85</f>
        <v>11981101.31392828</v>
      </c>
      <c r="W87" s="193">
        <f t="shared" si="315"/>
        <v>17242004.247559436</v>
      </c>
      <c r="X87" s="193">
        <f t="shared" si="315"/>
        <v>18467226.720516644</v>
      </c>
      <c r="Y87" s="193">
        <f t="shared" si="315"/>
        <v>22333871.607240252</v>
      </c>
      <c r="Z87" s="193">
        <f t="shared" si="315"/>
        <v>23430698.259303175</v>
      </c>
      <c r="AA87" s="193">
        <f t="shared" si="315"/>
        <v>26347788.912717227</v>
      </c>
      <c r="AB87" s="193">
        <f t="shared" si="315"/>
        <v>28771074.661913484</v>
      </c>
      <c r="AC87" s="193">
        <f t="shared" si="315"/>
        <v>30505012.490396768</v>
      </c>
      <c r="AD87" s="193">
        <f t="shared" si="315"/>
        <v>31318753.56140703</v>
      </c>
      <c r="AE87" s="193">
        <f t="shared" si="315"/>
        <v>32363346.868588634</v>
      </c>
      <c r="AF87" s="204">
        <f t="shared" si="315"/>
        <v>162424861.17477155</v>
      </c>
      <c r="AJ87" s="193">
        <f t="shared" ref="AJ87:AV87" si="316">+AJ84-AJ85</f>
        <v>12580923.613626674</v>
      </c>
      <c r="AK87" s="193">
        <f t="shared" si="316"/>
        <v>18475952.593466684</v>
      </c>
      <c r="AL87" s="193">
        <f t="shared" si="316"/>
        <v>12286132.830506653</v>
      </c>
      <c r="AM87" s="193">
        <f t="shared" si="316"/>
        <v>10028274.678506672</v>
      </c>
      <c r="AN87" s="193">
        <f t="shared" si="316"/>
        <v>13132718.643988363</v>
      </c>
      <c r="AO87" s="193">
        <f t="shared" si="316"/>
        <v>16637488.839454532</v>
      </c>
      <c r="AP87" s="193">
        <f t="shared" si="316"/>
        <v>22652924.667266399</v>
      </c>
      <c r="AQ87" s="193">
        <f t="shared" si="316"/>
        <v>25222935.239331841</v>
      </c>
      <c r="AR87" s="193">
        <f t="shared" si="316"/>
        <v>30026630.462253161</v>
      </c>
      <c r="AS87" s="193">
        <f t="shared" si="316"/>
        <v>33606745.182244986</v>
      </c>
      <c r="AT87" s="193">
        <f t="shared" si="316"/>
        <v>36061847.585820593</v>
      </c>
      <c r="AU87" s="193">
        <f t="shared" si="316"/>
        <v>34961857.073048949</v>
      </c>
      <c r="AV87" s="204">
        <f t="shared" si="316"/>
        <v>172688380.41618508</v>
      </c>
    </row>
    <row r="90" spans="1:48" s="192" customFormat="1">
      <c r="B90" s="192" t="s">
        <v>264</v>
      </c>
      <c r="C90" s="193">
        <f>+C96+C95+C94+C93+C92+C91+C97-C98</f>
        <v>28000000</v>
      </c>
      <c r="D90" s="193">
        <f>+D96+D95+D94+D93+D92+D91+D97-D98</f>
        <v>27533333.333333332</v>
      </c>
      <c r="E90" s="191">
        <f t="shared" ref="E90:F90" si="317">+E96+E95+E94+E93+E92+E91</f>
        <v>12000000</v>
      </c>
      <c r="F90" s="191">
        <f t="shared" si="317"/>
        <v>12000000</v>
      </c>
      <c r="P90" s="205">
        <f>+P96+P95+P94+P93+P92+P91+P97-P98</f>
        <v>163335904.57550216</v>
      </c>
      <c r="AF90" s="205">
        <f>+AF96+AF95+AF94+AF93+AF92+AF91+AF97-AF98</f>
        <v>159205863.52999997</v>
      </c>
      <c r="AV90" s="205">
        <f>+AV96+AV95+AV94+AV93+AV92+AV91+AV97-AV98</f>
        <v>129822698.8461</v>
      </c>
    </row>
    <row r="91" spans="1:48">
      <c r="B91" s="186" t="s">
        <v>265</v>
      </c>
      <c r="P91" s="207">
        <f>+P130</f>
        <v>111289910.82550214</v>
      </c>
      <c r="AF91" s="207">
        <f>+AF130</f>
        <v>122939196.86333331</v>
      </c>
      <c r="AV91" s="207">
        <f>+AV130</f>
        <v>129822698.8461</v>
      </c>
    </row>
    <row r="92" spans="1:48">
      <c r="A92" s="177">
        <v>0</v>
      </c>
      <c r="B92" s="186" t="s">
        <v>266</v>
      </c>
      <c r="P92" s="207">
        <f>+(A92/360)*P23</f>
        <v>0</v>
      </c>
      <c r="AF92" s="207">
        <f>+(Q92/360)*AF23</f>
        <v>0</v>
      </c>
      <c r="AI92" s="177">
        <v>0</v>
      </c>
      <c r="AV92" s="207">
        <f>+(AG92/360)*AV23</f>
        <v>0</v>
      </c>
    </row>
    <row r="93" spans="1:48">
      <c r="A93" s="177">
        <v>25</v>
      </c>
      <c r="B93" s="186" t="s">
        <v>59</v>
      </c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202">
        <f>+(A93/360)*P28</f>
        <v>29645993.75</v>
      </c>
      <c r="AF93" s="202">
        <f>+(Q93/360)*AF28</f>
        <v>0</v>
      </c>
      <c r="AI93" s="177">
        <v>30</v>
      </c>
      <c r="AV93" s="202">
        <f>+(AG93/360)*AV28</f>
        <v>0</v>
      </c>
    </row>
    <row r="94" spans="1:48">
      <c r="B94" s="186" t="s">
        <v>267</v>
      </c>
    </row>
    <row r="95" spans="1:48">
      <c r="B95" s="186" t="s">
        <v>268</v>
      </c>
      <c r="C95" s="180">
        <v>6000000</v>
      </c>
      <c r="D95" s="181">
        <f>+C95</f>
        <v>6000000</v>
      </c>
      <c r="E95" s="181">
        <f t="shared" ref="E95:P95" si="318">+D95</f>
        <v>6000000</v>
      </c>
      <c r="F95" s="181">
        <f t="shared" si="318"/>
        <v>6000000</v>
      </c>
      <c r="G95" s="181">
        <f t="shared" si="318"/>
        <v>6000000</v>
      </c>
      <c r="H95" s="181">
        <f t="shared" si="318"/>
        <v>6000000</v>
      </c>
      <c r="I95" s="181">
        <f t="shared" si="318"/>
        <v>6000000</v>
      </c>
      <c r="J95" s="181">
        <f t="shared" si="318"/>
        <v>6000000</v>
      </c>
      <c r="K95" s="181">
        <f t="shared" si="318"/>
        <v>6000000</v>
      </c>
      <c r="L95" s="181">
        <f t="shared" si="318"/>
        <v>6000000</v>
      </c>
      <c r="M95" s="181">
        <f t="shared" si="318"/>
        <v>6000000</v>
      </c>
      <c r="N95" s="181">
        <f t="shared" si="318"/>
        <v>6000000</v>
      </c>
      <c r="O95" s="181">
        <f t="shared" si="318"/>
        <v>6000000</v>
      </c>
      <c r="P95" s="207">
        <f t="shared" si="318"/>
        <v>6000000</v>
      </c>
      <c r="T95" s="181">
        <f>+O95</f>
        <v>6000000</v>
      </c>
      <c r="U95" s="181">
        <f>+T95</f>
        <v>6000000</v>
      </c>
      <c r="V95" s="181">
        <f t="shared" ref="V95:AE95" si="319">+U95</f>
        <v>6000000</v>
      </c>
      <c r="W95" s="181">
        <f t="shared" si="319"/>
        <v>6000000</v>
      </c>
      <c r="X95" s="181">
        <f t="shared" si="319"/>
        <v>6000000</v>
      </c>
      <c r="Y95" s="181">
        <f t="shared" si="319"/>
        <v>6000000</v>
      </c>
      <c r="Z95" s="181">
        <f t="shared" si="319"/>
        <v>6000000</v>
      </c>
      <c r="AA95" s="181">
        <f t="shared" si="319"/>
        <v>6000000</v>
      </c>
      <c r="AB95" s="181">
        <f t="shared" si="319"/>
        <v>6000000</v>
      </c>
      <c r="AC95" s="181">
        <f t="shared" si="319"/>
        <v>6000000</v>
      </c>
      <c r="AD95" s="181">
        <f t="shared" si="319"/>
        <v>6000000</v>
      </c>
      <c r="AE95" s="181">
        <f t="shared" si="319"/>
        <v>6000000</v>
      </c>
      <c r="AF95" s="207">
        <f t="shared" ref="AF95" si="320">+AE95</f>
        <v>6000000</v>
      </c>
      <c r="AV95" s="207">
        <f t="shared" ref="AV95" si="321">+AU95</f>
        <v>0</v>
      </c>
    </row>
    <row r="96" spans="1:48">
      <c r="B96" s="186" t="s">
        <v>269</v>
      </c>
      <c r="C96" s="180">
        <v>6000000</v>
      </c>
      <c r="D96" s="181">
        <f>+C96</f>
        <v>6000000</v>
      </c>
      <c r="E96" s="181">
        <f t="shared" ref="E96:P96" si="322">+D96</f>
        <v>6000000</v>
      </c>
      <c r="F96" s="181">
        <f t="shared" si="322"/>
        <v>6000000</v>
      </c>
      <c r="G96" s="181">
        <f t="shared" si="322"/>
        <v>6000000</v>
      </c>
      <c r="H96" s="181">
        <f t="shared" si="322"/>
        <v>6000000</v>
      </c>
      <c r="I96" s="181">
        <f t="shared" si="322"/>
        <v>6000000</v>
      </c>
      <c r="J96" s="181">
        <f t="shared" si="322"/>
        <v>6000000</v>
      </c>
      <c r="K96" s="181">
        <f t="shared" si="322"/>
        <v>6000000</v>
      </c>
      <c r="L96" s="181">
        <f t="shared" si="322"/>
        <v>6000000</v>
      </c>
      <c r="M96" s="181">
        <f t="shared" si="322"/>
        <v>6000000</v>
      </c>
      <c r="N96" s="181">
        <f t="shared" si="322"/>
        <v>6000000</v>
      </c>
      <c r="O96" s="181">
        <f t="shared" si="322"/>
        <v>6000000</v>
      </c>
      <c r="P96" s="207">
        <f t="shared" si="322"/>
        <v>6000000</v>
      </c>
      <c r="T96" s="181">
        <f>+O96</f>
        <v>6000000</v>
      </c>
      <c r="U96" s="181">
        <f t="shared" ref="U96:AE98" si="323">+T96</f>
        <v>6000000</v>
      </c>
      <c r="V96" s="181">
        <f t="shared" si="323"/>
        <v>6000000</v>
      </c>
      <c r="W96" s="181">
        <f t="shared" si="323"/>
        <v>6000000</v>
      </c>
      <c r="X96" s="181">
        <f t="shared" si="323"/>
        <v>6000000</v>
      </c>
      <c r="Y96" s="181">
        <f t="shared" si="323"/>
        <v>6000000</v>
      </c>
      <c r="Z96" s="181">
        <f t="shared" si="323"/>
        <v>6000000</v>
      </c>
      <c r="AA96" s="181">
        <f t="shared" si="323"/>
        <v>6000000</v>
      </c>
      <c r="AB96" s="181">
        <f t="shared" si="323"/>
        <v>6000000</v>
      </c>
      <c r="AC96" s="181">
        <f t="shared" si="323"/>
        <v>6000000</v>
      </c>
      <c r="AD96" s="181">
        <f t="shared" si="323"/>
        <v>6000000</v>
      </c>
      <c r="AE96" s="181">
        <f t="shared" si="323"/>
        <v>6000000</v>
      </c>
      <c r="AF96" s="207">
        <f t="shared" ref="AF96" si="324">+AE96</f>
        <v>6000000</v>
      </c>
      <c r="AV96" s="207">
        <f t="shared" ref="AV96" si="325">+AU96</f>
        <v>0</v>
      </c>
    </row>
    <row r="97" spans="1:48">
      <c r="B97" s="186" t="s">
        <v>270</v>
      </c>
      <c r="C97" s="180">
        <v>16000000</v>
      </c>
      <c r="D97" s="181">
        <f>+C97</f>
        <v>16000000</v>
      </c>
      <c r="E97" s="181">
        <f t="shared" ref="E97:P97" si="326">+D97</f>
        <v>16000000</v>
      </c>
      <c r="F97" s="181">
        <f t="shared" si="326"/>
        <v>16000000</v>
      </c>
      <c r="G97" s="181">
        <f t="shared" si="326"/>
        <v>16000000</v>
      </c>
      <c r="H97" s="181">
        <f t="shared" si="326"/>
        <v>16000000</v>
      </c>
      <c r="I97" s="181">
        <f t="shared" si="326"/>
        <v>16000000</v>
      </c>
      <c r="J97" s="181">
        <f t="shared" si="326"/>
        <v>16000000</v>
      </c>
      <c r="K97" s="181">
        <f t="shared" si="326"/>
        <v>16000000</v>
      </c>
      <c r="L97" s="181">
        <f t="shared" si="326"/>
        <v>16000000</v>
      </c>
      <c r="M97" s="181">
        <f t="shared" si="326"/>
        <v>16000000</v>
      </c>
      <c r="N97" s="181">
        <f t="shared" si="326"/>
        <v>16000000</v>
      </c>
      <c r="O97" s="181">
        <f t="shared" si="326"/>
        <v>16000000</v>
      </c>
      <c r="P97" s="207">
        <f t="shared" si="326"/>
        <v>16000000</v>
      </c>
      <c r="T97" s="181">
        <f t="shared" ref="T97:T98" si="327">+O97</f>
        <v>16000000</v>
      </c>
      <c r="U97" s="181">
        <f t="shared" si="323"/>
        <v>16000000</v>
      </c>
      <c r="V97" s="181">
        <f t="shared" si="323"/>
        <v>16000000</v>
      </c>
      <c r="W97" s="214">
        <f>+V97+16000000</f>
        <v>32000000</v>
      </c>
      <c r="X97" s="181">
        <f t="shared" si="323"/>
        <v>32000000</v>
      </c>
      <c r="Y97" s="181">
        <f t="shared" si="323"/>
        <v>32000000</v>
      </c>
      <c r="Z97" s="181">
        <f t="shared" si="323"/>
        <v>32000000</v>
      </c>
      <c r="AA97" s="181">
        <f t="shared" si="323"/>
        <v>32000000</v>
      </c>
      <c r="AB97" s="181">
        <f t="shared" si="323"/>
        <v>32000000</v>
      </c>
      <c r="AC97" s="181">
        <f t="shared" si="323"/>
        <v>32000000</v>
      </c>
      <c r="AD97" s="181">
        <f t="shared" si="323"/>
        <v>32000000</v>
      </c>
      <c r="AE97" s="181">
        <f t="shared" si="323"/>
        <v>32000000</v>
      </c>
      <c r="AF97" s="207">
        <f t="shared" ref="AF97" si="328">+AE97</f>
        <v>32000000</v>
      </c>
      <c r="AV97" s="207">
        <f t="shared" ref="AV97" si="329">+AU97</f>
        <v>0</v>
      </c>
    </row>
    <row r="98" spans="1:48">
      <c r="B98" s="186" t="s">
        <v>277</v>
      </c>
      <c r="D98" s="181">
        <f>SUM($C$95:$C$97)/5/12</f>
        <v>466666.66666666669</v>
      </c>
      <c r="E98" s="181">
        <f t="shared" ref="E98:O98" si="330">SUM($C$95:$C$97)/5/12</f>
        <v>466666.66666666669</v>
      </c>
      <c r="F98" s="181">
        <f t="shared" si="330"/>
        <v>466666.66666666669</v>
      </c>
      <c r="G98" s="181">
        <f t="shared" si="330"/>
        <v>466666.66666666669</v>
      </c>
      <c r="H98" s="181">
        <f t="shared" si="330"/>
        <v>466666.66666666669</v>
      </c>
      <c r="I98" s="181">
        <f t="shared" si="330"/>
        <v>466666.66666666669</v>
      </c>
      <c r="J98" s="181">
        <f t="shared" si="330"/>
        <v>466666.66666666669</v>
      </c>
      <c r="K98" s="181">
        <f t="shared" si="330"/>
        <v>466666.66666666669</v>
      </c>
      <c r="L98" s="181">
        <f t="shared" si="330"/>
        <v>466666.66666666669</v>
      </c>
      <c r="M98" s="181">
        <f t="shared" si="330"/>
        <v>466666.66666666669</v>
      </c>
      <c r="N98" s="181">
        <f t="shared" si="330"/>
        <v>466666.66666666669</v>
      </c>
      <c r="O98" s="181">
        <f t="shared" si="330"/>
        <v>466666.66666666669</v>
      </c>
      <c r="P98" s="202">
        <f>SUM(D98:O98)</f>
        <v>5600000.0000000009</v>
      </c>
      <c r="T98" s="181">
        <f t="shared" si="327"/>
        <v>466666.66666666669</v>
      </c>
      <c r="U98" s="181">
        <f t="shared" si="323"/>
        <v>466666.66666666669</v>
      </c>
      <c r="V98" s="181">
        <f t="shared" si="323"/>
        <v>466666.66666666669</v>
      </c>
      <c r="W98" s="181">
        <f t="shared" si="323"/>
        <v>466666.66666666669</v>
      </c>
      <c r="X98" s="181">
        <f>+W98+((W97-V97)/5/12)</f>
        <v>733333.33333333337</v>
      </c>
      <c r="Y98" s="181">
        <f t="shared" si="323"/>
        <v>733333.33333333337</v>
      </c>
      <c r="Z98" s="181">
        <f t="shared" si="323"/>
        <v>733333.33333333337</v>
      </c>
      <c r="AA98" s="181">
        <f t="shared" si="323"/>
        <v>733333.33333333337</v>
      </c>
      <c r="AB98" s="181">
        <f t="shared" si="323"/>
        <v>733333.33333333337</v>
      </c>
      <c r="AC98" s="181">
        <f t="shared" si="323"/>
        <v>733333.33333333337</v>
      </c>
      <c r="AD98" s="181">
        <f t="shared" si="323"/>
        <v>733333.33333333337</v>
      </c>
      <c r="AE98" s="181">
        <f t="shared" si="323"/>
        <v>733333.33333333337</v>
      </c>
      <c r="AF98" s="202">
        <f>SUM(T98:AE98)</f>
        <v>7733333.3333333321</v>
      </c>
      <c r="AV98" s="202">
        <f>SUM(AJ98:AU98)</f>
        <v>0</v>
      </c>
    </row>
    <row r="100" spans="1:48" s="192" customFormat="1">
      <c r="B100" s="192" t="s">
        <v>271</v>
      </c>
      <c r="C100" s="191">
        <f>+C102+C101</f>
        <v>85000000</v>
      </c>
      <c r="D100" s="191">
        <f>+D102+D101</f>
        <v>81893355.762097672</v>
      </c>
      <c r="E100" s="191">
        <f t="shared" ref="E100:O100" si="331">+E102+E101</f>
        <v>78751917.108730838</v>
      </c>
      <c r="F100" s="191">
        <f t="shared" si="331"/>
        <v>75575294.342446297</v>
      </c>
      <c r="G100" s="191">
        <f t="shared" si="331"/>
        <v>72363093.401179373</v>
      </c>
      <c r="H100" s="191">
        <f t="shared" si="331"/>
        <v>69114915.80937025</v>
      </c>
      <c r="I100" s="191">
        <f t="shared" si="331"/>
        <v>65830358.628532864</v>
      </c>
      <c r="J100" s="191">
        <f t="shared" si="331"/>
        <v>62509014.407270104</v>
      </c>
      <c r="K100" s="191">
        <f t="shared" si="331"/>
        <v>59150471.130729198</v>
      </c>
      <c r="L100" s="191">
        <f t="shared" si="331"/>
        <v>55754312.169491038</v>
      </c>
      <c r="M100" s="191">
        <f t="shared" si="331"/>
        <v>52320116.227887005</v>
      </c>
      <c r="N100" s="191">
        <f t="shared" si="331"/>
        <v>48847457.291737013</v>
      </c>
      <c r="O100" s="191">
        <f t="shared" si="331"/>
        <v>45335904.575502142</v>
      </c>
      <c r="P100" s="205">
        <f>+O100</f>
        <v>45335904.575502142</v>
      </c>
      <c r="AF100" s="205">
        <f t="shared" ref="AF100" si="332">+AF102+AF101</f>
        <v>56205863.530000001</v>
      </c>
      <c r="AV100" s="205">
        <f t="shared" ref="AV100" si="333">+AV102+AV101</f>
        <v>145582656.28239763</v>
      </c>
    </row>
    <row r="101" spans="1:48">
      <c r="B101" s="186" t="s">
        <v>265</v>
      </c>
      <c r="C101" s="180">
        <f>+'prestamo base'!B2</f>
        <v>85000000</v>
      </c>
      <c r="D101" s="180">
        <f>+C101-'prestamo base'!C8</f>
        <v>81893355.762097672</v>
      </c>
      <c r="E101" s="180">
        <f>+D101-'prestamo base'!D8</f>
        <v>78751917.108730838</v>
      </c>
      <c r="F101" s="180">
        <f>+E101-'prestamo base'!E8</f>
        <v>75575294.342446297</v>
      </c>
      <c r="G101" s="180">
        <f>+F101-'prestamo base'!F8</f>
        <v>72363093.401179373</v>
      </c>
      <c r="H101" s="180">
        <f>+G101-'prestamo base'!G8</f>
        <v>69114915.80937025</v>
      </c>
      <c r="I101" s="180">
        <f>+H101-'prestamo base'!H8</f>
        <v>65830358.628532864</v>
      </c>
      <c r="J101" s="180">
        <f>+I101-'prestamo base'!I8</f>
        <v>62509014.407270104</v>
      </c>
      <c r="K101" s="180">
        <f>+J101-'prestamo base'!J8</f>
        <v>59150471.130729198</v>
      </c>
      <c r="L101" s="180">
        <f>+K101-'prestamo base'!K8</f>
        <v>55754312.169491038</v>
      </c>
      <c r="M101" s="180">
        <f>+L101-'prestamo base'!L8</f>
        <v>52320116.227887005</v>
      </c>
      <c r="N101" s="180">
        <f>+M101-'prestamo base'!M8</f>
        <v>48847457.291737013</v>
      </c>
      <c r="O101" s="180">
        <f>+N101-'prestamo base'!N8</f>
        <v>45335904.575502142</v>
      </c>
      <c r="P101" s="205">
        <f t="shared" ref="P101:P102" si="334">+O101</f>
        <v>45335904.575502142</v>
      </c>
      <c r="T101" s="180">
        <f>+O101-'prestamo base'!O8</f>
        <v>41785022.468845434</v>
      </c>
      <c r="U101" s="180">
        <f>+T101-'prestamo base'!P8</f>
        <v>38194370.482594177</v>
      </c>
      <c r="V101" s="180">
        <f>+U101-'prestamo base'!Q8</f>
        <v>34563503.194096901</v>
      </c>
      <c r="W101" s="180">
        <f>+V101-'prestamo base'!R8</f>
        <v>30891970.191968456</v>
      </c>
      <c r="X101" s="180">
        <f>+W101-'prestamo base'!S8</f>
        <v>27179316.020216174</v>
      </c>
      <c r="Y101" s="180">
        <f>+X101-'prestamo base'!T8</f>
        <v>23425080.121740267</v>
      </c>
      <c r="Z101" s="180">
        <f>+Y101-'prestamo base'!U8</f>
        <v>19628796.78120143</v>
      </c>
      <c r="AA101" s="180">
        <f>+Z101-'prestamo base'!V8</f>
        <v>15789995.067248557</v>
      </c>
      <c r="AB101" s="180">
        <f>+AA101-'prestamo base'!W8</f>
        <v>11908198.774099413</v>
      </c>
      <c r="AC101" s="180">
        <f>+AB101-'prestamo base'!X8</f>
        <v>7982926.3624669984</v>
      </c>
      <c r="AD101" s="180">
        <f>+AC101-'prestamo base'!Y8</f>
        <v>4013690.8998243003</v>
      </c>
      <c r="AE101" s="180">
        <f>+AD101-'prestamo base'!Z8</f>
        <v>3.7252902984619141E-9</v>
      </c>
      <c r="AF101" s="202">
        <f>+AE101</f>
        <v>3.7252902984619141E-9</v>
      </c>
      <c r="AL101" s="180">
        <f>+'prestamo base'!AE2</f>
        <v>60000000</v>
      </c>
      <c r="AM101" s="180">
        <f>+AL101-'prestamo base'!AD8</f>
        <v>55300569.639134802</v>
      </c>
      <c r="AN101" s="180">
        <f>+AM101-'prestamo base'!AE8</f>
        <v>50548505.658227913</v>
      </c>
      <c r="AO101" s="180">
        <f>+AN101-'prestamo base'!AF8</f>
        <v>45743218.560734868</v>
      </c>
      <c r="AP101" s="180">
        <f>+AO101-'prestamo base'!AG8</f>
        <v>40884112.247749895</v>
      </c>
      <c r="AQ101" s="180">
        <f>+AP101-'prestamo base'!AH8</f>
        <v>35970583.944059491</v>
      </c>
      <c r="AR101" s="180">
        <f>+AQ101-'prestamo base'!AI8</f>
        <v>31002024.123367757</v>
      </c>
      <c r="AS101" s="180">
        <f>+AR101-'prestamo base'!AJ8</f>
        <v>25977816.432684273</v>
      </c>
      <c r="AT101" s="180">
        <f>+AS101-'prestamo base'!AK8</f>
        <v>20897337.615865134</v>
      </c>
      <c r="AU101" s="180">
        <f>+AT101-'prestamo base'!AL8</f>
        <v>15759957.436297622</v>
      </c>
      <c r="AV101" s="202">
        <f>+AU101</f>
        <v>15759957.436297622</v>
      </c>
    </row>
    <row r="102" spans="1:48">
      <c r="A102" s="177">
        <v>0</v>
      </c>
      <c r="B102" s="186" t="s">
        <v>272</v>
      </c>
      <c r="C102" s="180"/>
      <c r="P102" s="205">
        <f t="shared" si="334"/>
        <v>0</v>
      </c>
      <c r="S102" s="177">
        <v>10</v>
      </c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202">
        <f t="shared" ref="AF102" si="335">+($S$102/360)*(AF28+AF30)</f>
        <v>56205863.529999994</v>
      </c>
      <c r="AI102" s="177">
        <v>15</v>
      </c>
      <c r="AV102" s="202">
        <f>+($AI$102/360)*(AV28+AV30)</f>
        <v>129822698.8461</v>
      </c>
    </row>
    <row r="103" spans="1:48">
      <c r="C103" s="180"/>
    </row>
    <row r="104" spans="1:48" s="192" customFormat="1">
      <c r="B104" s="192" t="s">
        <v>273</v>
      </c>
      <c r="C104" s="191">
        <f>+C107+C106+C105</f>
        <v>59000000</v>
      </c>
      <c r="D104" s="191">
        <f>+D107+D106+D105</f>
        <v>24625354.583333328</v>
      </c>
      <c r="E104" s="191">
        <f t="shared" ref="E104:O104" si="336">+E107+E106+E105</f>
        <v>7863068.9121311679</v>
      </c>
      <c r="F104" s="191">
        <f t="shared" si="336"/>
        <v>-5922689.2861532867</v>
      </c>
      <c r="G104" s="191">
        <f t="shared" si="336"/>
        <v>-16260365.119455352</v>
      </c>
      <c r="H104" s="191">
        <f t="shared" si="336"/>
        <v>-23509374.667215228</v>
      </c>
      <c r="I104" s="191">
        <f t="shared" si="336"/>
        <v>-28878462.890946835</v>
      </c>
      <c r="J104" s="191">
        <f t="shared" si="336"/>
        <v>-31203087.874253064</v>
      </c>
      <c r="K104" s="191">
        <f t="shared" si="336"/>
        <v>-29956612.592281163</v>
      </c>
      <c r="L104" s="191">
        <f t="shared" si="336"/>
        <v>-29253684.035612002</v>
      </c>
      <c r="M104" s="191">
        <f t="shared" si="336"/>
        <v>-25559790.698576957</v>
      </c>
      <c r="N104" s="191">
        <f t="shared" si="336"/>
        <v>-18127585.11699596</v>
      </c>
      <c r="O104" s="191">
        <f t="shared" si="336"/>
        <v>-3567801.1653300822</v>
      </c>
      <c r="P104" s="205">
        <f>+P105+P106+P107</f>
        <v>-3567801.1653300971</v>
      </c>
      <c r="T104" s="191">
        <f t="shared" ref="T104" si="337">+T107+T106+T105</f>
        <v>-6366332.6332423612</v>
      </c>
      <c r="U104" s="191">
        <f t="shared" ref="U104" si="338">+U107+U106+U105</f>
        <v>3555721.998439908</v>
      </c>
      <c r="V104" s="191">
        <f t="shared" ref="V104" si="339">+V107+V106+V105</f>
        <v>15536823.312368184</v>
      </c>
      <c r="W104" s="191">
        <f t="shared" ref="W104" si="340">+W107+W106+W105</f>
        <v>32778827.55992762</v>
      </c>
      <c r="X104" s="191">
        <f t="shared" ref="X104" si="341">+X107+X106+X105</f>
        <v>51246054.280444264</v>
      </c>
      <c r="Y104" s="191">
        <f t="shared" ref="Y104" si="342">+Y107+Y106+Y105</f>
        <v>73579925.887684524</v>
      </c>
      <c r="Z104" s="191">
        <f t="shared" ref="Z104" si="343">+Z107+Z106+Z105</f>
        <v>97010624.146987692</v>
      </c>
      <c r="AA104" s="191">
        <f t="shared" ref="AA104" si="344">+AA107+AA106+AA105</f>
        <v>123358413.05970491</v>
      </c>
      <c r="AB104" s="191">
        <f t="shared" ref="AB104" si="345">+AB107+AB106+AB105</f>
        <v>152129487.72161841</v>
      </c>
      <c r="AC104" s="191">
        <f t="shared" ref="AC104" si="346">+AC107+AC106+AC105</f>
        <v>182634500.21201515</v>
      </c>
      <c r="AD104" s="191">
        <f t="shared" ref="AD104" si="347">+AD107+AD106+AD105</f>
        <v>213953253.77342218</v>
      </c>
      <c r="AE104" s="191">
        <f t="shared" ref="AE104" si="348">+AE107+AE106+AE105</f>
        <v>246316600.64201081</v>
      </c>
      <c r="AF104" s="205">
        <f>+AF105+AF106+AF107</f>
        <v>158857060.00944144</v>
      </c>
      <c r="AV104" s="205">
        <f>+AV105+AV106+AV107</f>
        <v>172688380.41618508</v>
      </c>
    </row>
    <row r="105" spans="1:48">
      <c r="B105" s="186" t="s">
        <v>274</v>
      </c>
      <c r="C105" s="180">
        <f>+'Estados finan base'!E93</f>
        <v>59000000</v>
      </c>
      <c r="D105" s="180">
        <f>+C105</f>
        <v>59000000</v>
      </c>
      <c r="E105" s="180">
        <f t="shared" ref="E105:O105" si="349">+D105</f>
        <v>59000000</v>
      </c>
      <c r="F105" s="180">
        <f t="shared" si="349"/>
        <v>59000000</v>
      </c>
      <c r="G105" s="180">
        <f t="shared" si="349"/>
        <v>59000000</v>
      </c>
      <c r="H105" s="180">
        <f t="shared" si="349"/>
        <v>59000000</v>
      </c>
      <c r="I105" s="180">
        <f t="shared" si="349"/>
        <v>59000000</v>
      </c>
      <c r="J105" s="180">
        <f t="shared" si="349"/>
        <v>59000000</v>
      </c>
      <c r="K105" s="180">
        <f t="shared" si="349"/>
        <v>59000000</v>
      </c>
      <c r="L105" s="180">
        <f t="shared" si="349"/>
        <v>59000000</v>
      </c>
      <c r="M105" s="180">
        <f t="shared" si="349"/>
        <v>59000000</v>
      </c>
      <c r="N105" s="180">
        <f t="shared" si="349"/>
        <v>59000000</v>
      </c>
      <c r="O105" s="180">
        <f t="shared" si="349"/>
        <v>59000000</v>
      </c>
      <c r="P105" s="202">
        <f>+O105</f>
        <v>59000000</v>
      </c>
      <c r="T105" s="180">
        <f>+O105</f>
        <v>59000000</v>
      </c>
      <c r="U105" s="180">
        <f t="shared" ref="U105:AD105" si="350">+T105</f>
        <v>59000000</v>
      </c>
      <c r="V105" s="180">
        <f t="shared" si="350"/>
        <v>59000000</v>
      </c>
      <c r="W105" s="180">
        <f t="shared" si="350"/>
        <v>59000000</v>
      </c>
      <c r="X105" s="180">
        <f t="shared" si="350"/>
        <v>59000000</v>
      </c>
      <c r="Y105" s="180">
        <f t="shared" si="350"/>
        <v>59000000</v>
      </c>
      <c r="Z105" s="180">
        <f t="shared" si="350"/>
        <v>59000000</v>
      </c>
      <c r="AA105" s="180">
        <f t="shared" si="350"/>
        <v>59000000</v>
      </c>
      <c r="AB105" s="180">
        <f t="shared" si="350"/>
        <v>59000000</v>
      </c>
      <c r="AC105" s="180">
        <f t="shared" si="350"/>
        <v>59000000</v>
      </c>
      <c r="AD105" s="180">
        <f t="shared" si="350"/>
        <v>59000000</v>
      </c>
      <c r="AE105" s="180">
        <f t="shared" ref="AE105" si="351">+AD105</f>
        <v>59000000</v>
      </c>
      <c r="AF105" s="202">
        <f>+AE105</f>
        <v>59000000</v>
      </c>
      <c r="AV105" s="202">
        <f>+AI105</f>
        <v>0</v>
      </c>
    </row>
    <row r="106" spans="1:48">
      <c r="B106" s="186" t="s">
        <v>275</v>
      </c>
      <c r="C106" s="180"/>
      <c r="D106" s="180">
        <f>+C106+C107</f>
        <v>0</v>
      </c>
      <c r="E106" s="180">
        <f t="shared" ref="E106:O106" si="352">+D106+D107</f>
        <v>-34374645.416666672</v>
      </c>
      <c r="F106" s="180">
        <f t="shared" si="352"/>
        <v>-51136931.087868832</v>
      </c>
      <c r="G106" s="180">
        <f t="shared" si="352"/>
        <v>-64922689.286153287</v>
      </c>
      <c r="H106" s="180">
        <f t="shared" si="352"/>
        <v>-75260365.119455352</v>
      </c>
      <c r="I106" s="180">
        <f t="shared" si="352"/>
        <v>-82509374.667215228</v>
      </c>
      <c r="J106" s="180">
        <f t="shared" si="352"/>
        <v>-87878462.890946835</v>
      </c>
      <c r="K106" s="180">
        <f t="shared" si="352"/>
        <v>-90203087.874253064</v>
      </c>
      <c r="L106" s="180">
        <f t="shared" si="352"/>
        <v>-88956612.592281163</v>
      </c>
      <c r="M106" s="180">
        <f t="shared" si="352"/>
        <v>-88253684.035612002</v>
      </c>
      <c r="N106" s="180">
        <f t="shared" si="352"/>
        <v>-84559790.698576957</v>
      </c>
      <c r="O106" s="180">
        <f t="shared" si="352"/>
        <v>-77127585.11699596</v>
      </c>
      <c r="P106" s="198">
        <v>0</v>
      </c>
      <c r="T106" s="180">
        <f>+O106+O107</f>
        <v>-62567801.165330082</v>
      </c>
      <c r="U106" s="180">
        <f t="shared" ref="U106:AD106" si="353">+T106+T107</f>
        <v>-65366332.633242361</v>
      </c>
      <c r="V106" s="180">
        <f t="shared" si="353"/>
        <v>-55444278.001560092</v>
      </c>
      <c r="W106" s="180">
        <f t="shared" si="353"/>
        <v>-43463176.687631816</v>
      </c>
      <c r="X106" s="180">
        <f t="shared" si="353"/>
        <v>-26221172.44007238</v>
      </c>
      <c r="Y106" s="180">
        <f t="shared" si="353"/>
        <v>-7753945.7195557356</v>
      </c>
      <c r="Z106" s="180">
        <f t="shared" si="353"/>
        <v>14579925.887684517</v>
      </c>
      <c r="AA106" s="180">
        <f t="shared" si="353"/>
        <v>38010624.146987692</v>
      </c>
      <c r="AB106" s="180">
        <f t="shared" si="353"/>
        <v>64358413.059704915</v>
      </c>
      <c r="AC106" s="180">
        <f t="shared" si="353"/>
        <v>93129487.721618399</v>
      </c>
      <c r="AD106" s="180">
        <f t="shared" si="353"/>
        <v>123634500.21201517</v>
      </c>
      <c r="AE106" s="180">
        <f t="shared" ref="AE106" si="354">+AD106+AD107</f>
        <v>154953253.77342218</v>
      </c>
      <c r="AF106" s="202">
        <f>+P106+P107</f>
        <v>-62567801.165330097</v>
      </c>
      <c r="AV106" s="198">
        <v>0</v>
      </c>
    </row>
    <row r="107" spans="1:48">
      <c r="B107" s="186" t="s">
        <v>276</v>
      </c>
      <c r="C107" s="180"/>
      <c r="D107" s="180">
        <f>+D87</f>
        <v>-34374645.416666672</v>
      </c>
      <c r="E107" s="180">
        <f t="shared" ref="E107:O107" si="355">+E87</f>
        <v>-16762285.67120216</v>
      </c>
      <c r="F107" s="180">
        <f t="shared" si="355"/>
        <v>-13785758.198284455</v>
      </c>
      <c r="G107" s="180">
        <f t="shared" si="355"/>
        <v>-10337675.833302064</v>
      </c>
      <c r="H107" s="180">
        <f t="shared" si="355"/>
        <v>-7249009.5477598757</v>
      </c>
      <c r="I107" s="180">
        <f t="shared" si="355"/>
        <v>-5369088.2237316146</v>
      </c>
      <c r="J107" s="180">
        <f t="shared" si="355"/>
        <v>-2324624.9833062366</v>
      </c>
      <c r="K107" s="180">
        <f t="shared" si="355"/>
        <v>1246475.2819719072</v>
      </c>
      <c r="L107" s="180">
        <f t="shared" si="355"/>
        <v>702928.55666916166</v>
      </c>
      <c r="M107" s="180">
        <f t="shared" si="355"/>
        <v>3693893.3370350488</v>
      </c>
      <c r="N107" s="180">
        <f t="shared" si="355"/>
        <v>7432205.5815809984</v>
      </c>
      <c r="O107" s="180">
        <f t="shared" si="355"/>
        <v>14559783.951665882</v>
      </c>
      <c r="P107" s="207">
        <f>+P87</f>
        <v>-62567801.165330097</v>
      </c>
      <c r="T107" s="180">
        <f t="shared" ref="T107:AD107" si="356">+T87</f>
        <v>-2798531.4679122823</v>
      </c>
      <c r="U107" s="180">
        <f t="shared" si="356"/>
        <v>9922054.6316822711</v>
      </c>
      <c r="V107" s="180">
        <f t="shared" si="356"/>
        <v>11981101.31392828</v>
      </c>
      <c r="W107" s="180">
        <f t="shared" si="356"/>
        <v>17242004.247559436</v>
      </c>
      <c r="X107" s="180">
        <f t="shared" si="356"/>
        <v>18467226.720516644</v>
      </c>
      <c r="Y107" s="180">
        <f t="shared" si="356"/>
        <v>22333871.607240252</v>
      </c>
      <c r="Z107" s="180">
        <f t="shared" si="356"/>
        <v>23430698.259303175</v>
      </c>
      <c r="AA107" s="180">
        <f t="shared" si="356"/>
        <v>26347788.912717227</v>
      </c>
      <c r="AB107" s="180">
        <f t="shared" si="356"/>
        <v>28771074.661913484</v>
      </c>
      <c r="AC107" s="180">
        <f t="shared" si="356"/>
        <v>30505012.490396768</v>
      </c>
      <c r="AD107" s="180">
        <f t="shared" si="356"/>
        <v>31318753.56140703</v>
      </c>
      <c r="AE107" s="180">
        <f t="shared" ref="AE107" si="357">+AE87</f>
        <v>32363346.868588634</v>
      </c>
      <c r="AF107" s="202">
        <f>+AF87</f>
        <v>162424861.17477155</v>
      </c>
      <c r="AV107" s="207">
        <f>+AV87</f>
        <v>172688380.41618508</v>
      </c>
    </row>
    <row r="108" spans="1:48">
      <c r="C108" s="180"/>
    </row>
    <row r="110" spans="1:48" s="192" customFormat="1">
      <c r="B110" s="192" t="s">
        <v>278</v>
      </c>
      <c r="P110" s="204">
        <f>+P117</f>
        <v>34954006.25</v>
      </c>
      <c r="AF110" s="204">
        <f>+AF117</f>
        <v>122939196.86333331</v>
      </c>
      <c r="AV110" s="204">
        <f>+AV117</f>
        <v>129822698.8461</v>
      </c>
    </row>
    <row r="111" spans="1:48">
      <c r="B111" s="177" t="s">
        <v>279</v>
      </c>
      <c r="P111" s="207">
        <f>+P105</f>
        <v>59000000</v>
      </c>
      <c r="AF111" s="207">
        <f>+AF105</f>
        <v>59000000</v>
      </c>
      <c r="AV111" s="207">
        <f>+AV105</f>
        <v>0</v>
      </c>
    </row>
    <row r="112" spans="1:48">
      <c r="B112" s="177" t="s">
        <v>263</v>
      </c>
      <c r="P112" s="207">
        <f>+P98</f>
        <v>5600000.0000000009</v>
      </c>
      <c r="AF112" s="207">
        <f>+AF98</f>
        <v>7733333.3333333321</v>
      </c>
      <c r="AV112" s="207">
        <f>+AV98</f>
        <v>0</v>
      </c>
    </row>
    <row r="113" spans="2:48" s="192" customFormat="1">
      <c r="B113" s="192" t="s">
        <v>280</v>
      </c>
      <c r="P113" s="205">
        <f>+P111+P112</f>
        <v>64600000</v>
      </c>
      <c r="AF113" s="205">
        <f>+AF111+AF112</f>
        <v>66733333.333333328</v>
      </c>
      <c r="AV113" s="205">
        <f>+AV111+AV112</f>
        <v>0</v>
      </c>
    </row>
    <row r="114" spans="2:48">
      <c r="B114" s="177" t="s">
        <v>281</v>
      </c>
      <c r="P114" s="207">
        <f>+P92</f>
        <v>0</v>
      </c>
      <c r="AF114" s="207">
        <f>+AF92</f>
        <v>0</v>
      </c>
      <c r="AV114" s="207">
        <f>+AV92</f>
        <v>0</v>
      </c>
    </row>
    <row r="115" spans="2:48">
      <c r="B115" s="177" t="s">
        <v>282</v>
      </c>
      <c r="P115" s="207">
        <f>+P93</f>
        <v>29645993.75</v>
      </c>
      <c r="AF115" s="207">
        <f>+AF93</f>
        <v>0</v>
      </c>
      <c r="AV115" s="207">
        <f>+AV93</f>
        <v>0</v>
      </c>
    </row>
    <row r="116" spans="2:48">
      <c r="B116" s="177" t="s">
        <v>283</v>
      </c>
      <c r="P116" s="207">
        <f>+P102</f>
        <v>0</v>
      </c>
      <c r="AF116" s="207">
        <f>+AF102</f>
        <v>56205863.529999994</v>
      </c>
      <c r="AV116" s="207">
        <f>+AV102</f>
        <v>129822698.8461</v>
      </c>
    </row>
    <row r="117" spans="2:48" s="192" customFormat="1">
      <c r="B117" s="192" t="s">
        <v>284</v>
      </c>
      <c r="P117" s="204">
        <f>+P113-(P114+P115-P116)</f>
        <v>34954006.25</v>
      </c>
      <c r="AF117" s="204">
        <f>+AF113-(AF114+AF115-AF116)</f>
        <v>122939196.86333331</v>
      </c>
      <c r="AV117" s="204">
        <f>+AV113-(AV114+AV115-AV116)</f>
        <v>129822698.8461</v>
      </c>
    </row>
    <row r="119" spans="2:48" s="192" customFormat="1">
      <c r="B119" s="192" t="s">
        <v>286</v>
      </c>
      <c r="P119" s="204">
        <f>-P120</f>
        <v>-28000000</v>
      </c>
      <c r="AF119" s="204">
        <f>-AF120</f>
        <v>0</v>
      </c>
      <c r="AV119" s="204">
        <f>-AV120</f>
        <v>0</v>
      </c>
    </row>
    <row r="120" spans="2:48">
      <c r="B120" s="177" t="s">
        <v>287</v>
      </c>
      <c r="C120" s="181">
        <f>+C95+C96+C97</f>
        <v>28000000</v>
      </c>
      <c r="P120" s="207">
        <f>+C120</f>
        <v>28000000</v>
      </c>
      <c r="W120" s="180">
        <v>10000000</v>
      </c>
      <c r="AF120" s="207">
        <f>+S120</f>
        <v>0</v>
      </c>
      <c r="AV120" s="207">
        <f>+AI120</f>
        <v>0</v>
      </c>
    </row>
    <row r="122" spans="2:48" s="192" customFormat="1">
      <c r="B122" s="192" t="s">
        <v>285</v>
      </c>
      <c r="C122" s="193"/>
      <c r="P122" s="204">
        <f>+P123-P124+P125</f>
        <v>104335904.57550214</v>
      </c>
      <c r="AF122" s="204">
        <f>+AF123-AF124+AF125</f>
        <v>0</v>
      </c>
      <c r="AV122" s="204">
        <f>+AV123-AV124+AV125</f>
        <v>0</v>
      </c>
    </row>
    <row r="123" spans="2:48">
      <c r="B123" s="177" t="s">
        <v>89</v>
      </c>
      <c r="C123" s="181">
        <f>+C101</f>
        <v>85000000</v>
      </c>
      <c r="D123" s="181">
        <v>0</v>
      </c>
      <c r="E123" s="181">
        <v>0</v>
      </c>
      <c r="F123" s="181">
        <v>0</v>
      </c>
      <c r="G123" s="181">
        <v>0</v>
      </c>
      <c r="H123" s="181">
        <v>0</v>
      </c>
      <c r="I123" s="181">
        <v>0</v>
      </c>
      <c r="J123" s="181">
        <v>0</v>
      </c>
      <c r="K123" s="181">
        <v>0</v>
      </c>
      <c r="L123" s="181">
        <v>0</v>
      </c>
      <c r="M123" s="181">
        <v>0</v>
      </c>
      <c r="N123" s="181">
        <v>0</v>
      </c>
      <c r="O123" s="181">
        <v>0</v>
      </c>
      <c r="P123" s="207">
        <f>+C123</f>
        <v>85000000</v>
      </c>
      <c r="AF123" s="207">
        <f>+S123</f>
        <v>0</v>
      </c>
      <c r="AV123" s="207">
        <f>+AI123</f>
        <v>0</v>
      </c>
    </row>
    <row r="124" spans="2:48">
      <c r="B124" s="177" t="s">
        <v>90</v>
      </c>
      <c r="D124" s="181">
        <f>+C101-D101</f>
        <v>3106644.2379023284</v>
      </c>
      <c r="E124" s="181">
        <f t="shared" ref="E124:O124" si="358">+D101-E101</f>
        <v>3141438.6533668339</v>
      </c>
      <c r="F124" s="181">
        <f t="shared" si="358"/>
        <v>3176622.7662845403</v>
      </c>
      <c r="G124" s="181">
        <f t="shared" si="358"/>
        <v>3212200.9412669241</v>
      </c>
      <c r="H124" s="181">
        <f t="shared" si="358"/>
        <v>3248177.5918091238</v>
      </c>
      <c r="I124" s="181">
        <f t="shared" si="358"/>
        <v>3284557.1808373854</v>
      </c>
      <c r="J124" s="181">
        <f t="shared" si="358"/>
        <v>3321344.2212627605</v>
      </c>
      <c r="K124" s="181">
        <f t="shared" si="358"/>
        <v>3358543.2765409052</v>
      </c>
      <c r="L124" s="181">
        <f t="shared" si="358"/>
        <v>3396158.9612381607</v>
      </c>
      <c r="M124" s="181">
        <f t="shared" si="358"/>
        <v>3434195.9416040331</v>
      </c>
      <c r="N124" s="181">
        <f t="shared" si="358"/>
        <v>3472658.936149992</v>
      </c>
      <c r="O124" s="181">
        <f t="shared" si="358"/>
        <v>3511552.7162348703</v>
      </c>
      <c r="P124" s="207">
        <f>SUM(D124:O124)</f>
        <v>39664095.424497858</v>
      </c>
      <c r="T124" s="181"/>
      <c r="U124" s="181"/>
      <c r="AF124" s="207">
        <f>SUM(T124:AE124)</f>
        <v>0</v>
      </c>
      <c r="AV124" s="207">
        <f>SUM(AJ124:AU124)</f>
        <v>0</v>
      </c>
    </row>
    <row r="125" spans="2:48">
      <c r="B125" s="177" t="s">
        <v>91</v>
      </c>
      <c r="C125" s="181">
        <f>+C105</f>
        <v>59000000</v>
      </c>
      <c r="D125" s="180">
        <v>0</v>
      </c>
      <c r="E125" s="180">
        <v>0</v>
      </c>
      <c r="F125" s="180">
        <v>0</v>
      </c>
      <c r="G125" s="180">
        <v>0</v>
      </c>
      <c r="H125" s="180">
        <v>0</v>
      </c>
      <c r="I125" s="180">
        <v>0</v>
      </c>
      <c r="J125" s="180">
        <v>0</v>
      </c>
      <c r="K125" s="180">
        <v>0</v>
      </c>
      <c r="L125" s="180">
        <v>0</v>
      </c>
      <c r="M125" s="180">
        <v>0</v>
      </c>
      <c r="N125" s="180">
        <v>0</v>
      </c>
      <c r="O125" s="180">
        <v>0</v>
      </c>
      <c r="P125" s="207">
        <f>+C125</f>
        <v>59000000</v>
      </c>
      <c r="AF125" s="207">
        <f>+S125</f>
        <v>0</v>
      </c>
      <c r="AV125" s="207">
        <f>+AI125</f>
        <v>0</v>
      </c>
    </row>
    <row r="126" spans="2:48">
      <c r="B126" s="177" t="s">
        <v>92</v>
      </c>
    </row>
    <row r="128" spans="2:48" s="192" customFormat="1">
      <c r="B128" s="192" t="s">
        <v>288</v>
      </c>
      <c r="P128" s="204">
        <f>+P110+P119+P122</f>
        <v>111289910.82550214</v>
      </c>
      <c r="AF128" s="204">
        <f>+AF110+AF119+AF122</f>
        <v>122939196.86333331</v>
      </c>
      <c r="AV128" s="204">
        <f>+AV110+AV119+AV122</f>
        <v>129822698.8461</v>
      </c>
    </row>
    <row r="129" spans="2:48" s="192" customFormat="1">
      <c r="B129" s="192" t="s">
        <v>95</v>
      </c>
      <c r="P129" s="206">
        <f>+O130</f>
        <v>0</v>
      </c>
      <c r="AF129" s="206">
        <f>+AE130</f>
        <v>0</v>
      </c>
      <c r="AV129" s="206">
        <f>+AU130</f>
        <v>0</v>
      </c>
    </row>
    <row r="130" spans="2:48" s="192" customFormat="1">
      <c r="B130" s="192" t="s">
        <v>96</v>
      </c>
      <c r="P130" s="204">
        <f>+P128+P129</f>
        <v>111289910.82550214</v>
      </c>
      <c r="AF130" s="204">
        <f>+AF128+AF129</f>
        <v>122939196.86333331</v>
      </c>
      <c r="AV130" s="204">
        <f>+AV128+AV129</f>
        <v>129822698.8461</v>
      </c>
    </row>
  </sheetData>
  <phoneticPr fontId="32" type="noConversion"/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9C96-B7CF-4230-900B-BD16E2204496}">
  <sheetPr codeName="Hoja6"/>
  <dimension ref="A1:BE10"/>
  <sheetViews>
    <sheetView workbookViewId="0">
      <selection activeCell="C4" sqref="C4"/>
    </sheetView>
  </sheetViews>
  <sheetFormatPr baseColWidth="10" defaultRowHeight="15"/>
  <cols>
    <col min="1" max="1" width="12.7109375" bestFit="1" customWidth="1"/>
    <col min="2" max="4" width="13.140625" bestFit="1" customWidth="1"/>
    <col min="30" max="30" width="13.140625" bestFit="1" customWidth="1"/>
  </cols>
  <sheetData>
    <row r="1" spans="1:57">
      <c r="AD1">
        <v>1</v>
      </c>
      <c r="AE1">
        <v>2</v>
      </c>
      <c r="AF1">
        <v>3</v>
      </c>
      <c r="AG1">
        <v>4</v>
      </c>
      <c r="AH1">
        <v>5</v>
      </c>
      <c r="AI1">
        <v>6</v>
      </c>
      <c r="AJ1">
        <v>7</v>
      </c>
      <c r="AK1">
        <v>8</v>
      </c>
      <c r="AL1">
        <v>9</v>
      </c>
      <c r="AM1">
        <v>10</v>
      </c>
      <c r="AN1">
        <v>11</v>
      </c>
      <c r="AO1">
        <v>12</v>
      </c>
      <c r="AP1">
        <v>13</v>
      </c>
      <c r="AQ1">
        <v>14</v>
      </c>
      <c r="AR1">
        <v>15</v>
      </c>
      <c r="AS1">
        <v>16</v>
      </c>
      <c r="AT1">
        <v>17</v>
      </c>
      <c r="AU1">
        <v>18</v>
      </c>
    </row>
    <row r="2" spans="1:57">
      <c r="A2" t="s">
        <v>249</v>
      </c>
      <c r="B2" s="175">
        <v>85000000</v>
      </c>
      <c r="AD2" t="s">
        <v>249</v>
      </c>
      <c r="AE2" s="175">
        <v>60000000</v>
      </c>
    </row>
    <row r="3" spans="1:57">
      <c r="A3" t="s">
        <v>250</v>
      </c>
      <c r="B3">
        <v>24</v>
      </c>
      <c r="AD3" t="s">
        <v>250</v>
      </c>
      <c r="AE3">
        <v>12</v>
      </c>
    </row>
    <row r="4" spans="1:57">
      <c r="A4" t="s">
        <v>251</v>
      </c>
      <c r="B4" s="239">
        <v>1.12E-2</v>
      </c>
      <c r="C4" s="196">
        <v>0.14299999999999999</v>
      </c>
      <c r="AD4" t="s">
        <v>251</v>
      </c>
      <c r="AE4" s="196">
        <v>1.12E-2</v>
      </c>
    </row>
    <row r="5" spans="1:57">
      <c r="A5" t="s">
        <v>252</v>
      </c>
      <c r="B5" s="175">
        <f>+PMT(B4,B3,-B2)</f>
        <v>4058644.2379023284</v>
      </c>
      <c r="AD5" t="s">
        <v>252</v>
      </c>
      <c r="AE5" s="175">
        <f>+PMT(AE4,AE3,-AE2)</f>
        <v>5371430.3608652009</v>
      </c>
    </row>
    <row r="6" spans="1:57">
      <c r="C6">
        <v>1</v>
      </c>
      <c r="D6">
        <v>2</v>
      </c>
      <c r="E6">
        <v>3</v>
      </c>
      <c r="F6">
        <v>4</v>
      </c>
      <c r="G6">
        <v>5</v>
      </c>
      <c r="H6">
        <v>6</v>
      </c>
      <c r="I6">
        <v>7</v>
      </c>
      <c r="J6">
        <v>8</v>
      </c>
      <c r="K6">
        <v>9</v>
      </c>
      <c r="L6">
        <v>10</v>
      </c>
      <c r="M6">
        <v>11</v>
      </c>
      <c r="N6">
        <v>12</v>
      </c>
      <c r="O6">
        <v>13</v>
      </c>
      <c r="P6">
        <v>14</v>
      </c>
      <c r="Q6">
        <v>15</v>
      </c>
      <c r="R6">
        <v>16</v>
      </c>
      <c r="S6">
        <v>17</v>
      </c>
      <c r="T6">
        <v>18</v>
      </c>
      <c r="U6">
        <v>19</v>
      </c>
      <c r="V6">
        <v>20</v>
      </c>
      <c r="W6">
        <v>21</v>
      </c>
      <c r="X6">
        <v>22</v>
      </c>
      <c r="Y6">
        <v>23</v>
      </c>
      <c r="Z6">
        <v>24</v>
      </c>
      <c r="AD6">
        <v>28</v>
      </c>
      <c r="AE6">
        <v>29</v>
      </c>
      <c r="AF6">
        <v>30</v>
      </c>
      <c r="AG6">
        <v>31</v>
      </c>
      <c r="AH6">
        <v>32</v>
      </c>
      <c r="AI6">
        <v>33</v>
      </c>
      <c r="AJ6">
        <v>34</v>
      </c>
      <c r="AK6">
        <v>35</v>
      </c>
      <c r="AL6">
        <v>36</v>
      </c>
      <c r="AM6">
        <v>37</v>
      </c>
      <c r="AN6">
        <v>38</v>
      </c>
      <c r="AO6">
        <v>39</v>
      </c>
      <c r="AP6">
        <v>33</v>
      </c>
      <c r="AQ6">
        <v>34</v>
      </c>
      <c r="AR6">
        <v>35</v>
      </c>
      <c r="AS6">
        <v>36</v>
      </c>
      <c r="AT6">
        <v>37</v>
      </c>
      <c r="AU6">
        <v>38</v>
      </c>
      <c r="AV6">
        <v>39</v>
      </c>
      <c r="AW6">
        <v>40</v>
      </c>
      <c r="AX6">
        <v>41</v>
      </c>
      <c r="AY6">
        <v>42</v>
      </c>
      <c r="AZ6">
        <v>43</v>
      </c>
      <c r="BA6">
        <v>44</v>
      </c>
      <c r="BB6">
        <v>45</v>
      </c>
      <c r="BC6">
        <v>46</v>
      </c>
      <c r="BD6">
        <v>47</v>
      </c>
      <c r="BE6">
        <v>48</v>
      </c>
    </row>
    <row r="7" spans="1:57">
      <c r="B7" t="s">
        <v>253</v>
      </c>
      <c r="C7" s="175">
        <f>+IPMT($B$4,C6,$B$3,-$B$2)</f>
        <v>952000</v>
      </c>
      <c r="D7" s="175">
        <f>+IPMT($B$4,D6,$B$3,-$B$2)</f>
        <v>917205.58453549375</v>
      </c>
      <c r="E7" s="175">
        <f t="shared" ref="E7:T7" si="0">+IPMT($B$4,E6,$B$3,-$B$2)</f>
        <v>882021.47161778517</v>
      </c>
      <c r="F7" s="175">
        <f t="shared" si="0"/>
        <v>846443.29663539841</v>
      </c>
      <c r="G7" s="175">
        <f t="shared" si="0"/>
        <v>810466.64609320881</v>
      </c>
      <c r="H7" s="175">
        <f t="shared" si="0"/>
        <v>774087.05706494662</v>
      </c>
      <c r="I7" s="175">
        <f t="shared" si="0"/>
        <v>737300.01663956791</v>
      </c>
      <c r="J7" s="175">
        <f t="shared" si="0"/>
        <v>700100.961361425</v>
      </c>
      <c r="K7" s="175">
        <f t="shared" si="0"/>
        <v>662485.27666416683</v>
      </c>
      <c r="L7" s="175">
        <f t="shared" si="0"/>
        <v>624448.29629829945</v>
      </c>
      <c r="M7" s="175">
        <f t="shared" si="0"/>
        <v>585985.30175233434</v>
      </c>
      <c r="N7" s="175">
        <f t="shared" si="0"/>
        <v>547091.52166745439</v>
      </c>
      <c r="O7" s="175">
        <f t="shared" si="0"/>
        <v>507762.13124562381</v>
      </c>
      <c r="P7" s="175">
        <f t="shared" si="0"/>
        <v>467992.2516510688</v>
      </c>
      <c r="Q7" s="175">
        <f t="shared" si="0"/>
        <v>427776.94940505468</v>
      </c>
      <c r="R7" s="175">
        <f t="shared" si="0"/>
        <v>387111.23577388527</v>
      </c>
      <c r="S7" s="175">
        <f t="shared" si="0"/>
        <v>345990.06615004665</v>
      </c>
      <c r="T7" s="175">
        <f t="shared" si="0"/>
        <v>304408.33942642109</v>
      </c>
      <c r="U7" s="175">
        <f t="shared" ref="U7" si="1">+IPMT($B$4,U6,$B$3,-$B$2)</f>
        <v>262360.89736349089</v>
      </c>
      <c r="V7" s="175">
        <f t="shared" ref="V7" si="2">+IPMT($B$4,V6,$B$3,-$B$2)</f>
        <v>219842.52394945596</v>
      </c>
      <c r="W7" s="175">
        <f t="shared" ref="W7" si="3">+IPMT($B$4,W6,$B$3,-$B$2)</f>
        <v>176847.94475318378</v>
      </c>
      <c r="X7" s="175">
        <f t="shared" ref="X7" si="4">+IPMT($B$4,X6,$B$3,-$B$2)</f>
        <v>133371.82626991338</v>
      </c>
      <c r="Y7" s="175">
        <f t="shared" ref="Y7" si="5">+IPMT($B$4,Y6,$B$3,-$B$2)</f>
        <v>89408.775259630318</v>
      </c>
      <c r="Z7" s="175">
        <f t="shared" ref="Z7" si="6">+IPMT($B$4,Z6,$B$3,-$B$2)</f>
        <v>44953.338078032109</v>
      </c>
      <c r="AA7" s="175"/>
      <c r="AB7" s="175"/>
      <c r="AC7" t="s">
        <v>253</v>
      </c>
      <c r="AD7" s="175">
        <f>+IPMT($AE$4,AD1,$AE$3,-$AE$2)</f>
        <v>672000</v>
      </c>
      <c r="AE7" s="175">
        <f>+IPMT($AE$4,AE1,$AE$3,-$AE$2)</f>
        <v>619366.37995830982</v>
      </c>
      <c r="AF7" s="175">
        <f t="shared" ref="AF7:AO7" si="7">+IPMT($AE$4,AF1,$AE$3,-$AE$2)</f>
        <v>566143.26337215258</v>
      </c>
      <c r="AG7" s="175">
        <f t="shared" si="7"/>
        <v>512324.04788023053</v>
      </c>
      <c r="AH7" s="175">
        <f t="shared" si="7"/>
        <v>457902.0571747988</v>
      </c>
      <c r="AI7" s="175">
        <f t="shared" si="7"/>
        <v>402870.54017346632</v>
      </c>
      <c r="AJ7" s="175">
        <f t="shared" si="7"/>
        <v>347222.67018171889</v>
      </c>
      <c r="AK7" s="175">
        <f t="shared" si="7"/>
        <v>290951.54404606391</v>
      </c>
      <c r="AL7" s="175">
        <f t="shared" si="7"/>
        <v>234050.18129768959</v>
      </c>
      <c r="AM7" s="175">
        <f t="shared" si="7"/>
        <v>176511.52328653345</v>
      </c>
      <c r="AN7" s="175">
        <f t="shared" si="7"/>
        <v>118328.43230565237</v>
      </c>
      <c r="AO7" s="175">
        <f t="shared" si="7"/>
        <v>59493.690705785441</v>
      </c>
      <c r="AP7" s="175"/>
      <c r="AQ7" s="175"/>
      <c r="AR7" s="175"/>
      <c r="AS7" s="175"/>
      <c r="AT7" s="175"/>
      <c r="AU7" s="175"/>
      <c r="AV7" s="175"/>
    </row>
    <row r="8" spans="1:57">
      <c r="B8" t="s">
        <v>254</v>
      </c>
      <c r="C8" s="175">
        <f>+PPMT($B$4,C6,$B$3,-$B$2)</f>
        <v>3106644.2379023284</v>
      </c>
      <c r="D8" s="175">
        <f>+PPMT($B$4,D6,$B$3,-$B$2)</f>
        <v>3141438.6533668349</v>
      </c>
      <c r="E8" s="175">
        <f t="shared" ref="E8:T8" si="8">+PPMT($B$4,E6,$B$3,-$B$2)</f>
        <v>3176622.7662845436</v>
      </c>
      <c r="F8" s="175">
        <f t="shared" si="8"/>
        <v>3212200.9412669302</v>
      </c>
      <c r="G8" s="175">
        <f t="shared" si="8"/>
        <v>3248177.5918091196</v>
      </c>
      <c r="H8" s="175">
        <f t="shared" si="8"/>
        <v>3284557.1808373821</v>
      </c>
      <c r="I8" s="175">
        <f t="shared" si="8"/>
        <v>3321344.2212627609</v>
      </c>
      <c r="J8" s="175">
        <f t="shared" si="8"/>
        <v>3358543.2765409038</v>
      </c>
      <c r="K8" s="175">
        <f t="shared" si="8"/>
        <v>3396158.9612381617</v>
      </c>
      <c r="L8" s="175">
        <f t="shared" si="8"/>
        <v>3434195.9416040294</v>
      </c>
      <c r="M8" s="175">
        <f t="shared" si="8"/>
        <v>3472658.9361499944</v>
      </c>
      <c r="N8" s="175">
        <f t="shared" si="8"/>
        <v>3511552.716234874</v>
      </c>
      <c r="O8" s="175">
        <f t="shared" si="8"/>
        <v>3550882.106656705</v>
      </c>
      <c r="P8" s="175">
        <f t="shared" si="8"/>
        <v>3590651.9862512597</v>
      </c>
      <c r="Q8" s="175">
        <f t="shared" si="8"/>
        <v>3630867.2884972743</v>
      </c>
      <c r="R8" s="175">
        <f t="shared" si="8"/>
        <v>3671533.0021284427</v>
      </c>
      <c r="S8" s="175">
        <f t="shared" si="8"/>
        <v>3712654.171752282</v>
      </c>
      <c r="T8" s="175">
        <f t="shared" si="8"/>
        <v>3754235.8984759073</v>
      </c>
      <c r="U8" s="175">
        <f t="shared" ref="U8:Z8" si="9">+PPMT($B$4,U6,$B$3,-$B$2)</f>
        <v>3796283.3405388379</v>
      </c>
      <c r="V8" s="175">
        <f t="shared" si="9"/>
        <v>3838801.7139528724</v>
      </c>
      <c r="W8" s="175">
        <f t="shared" si="9"/>
        <v>3881796.2931491444</v>
      </c>
      <c r="X8" s="175">
        <f t="shared" si="9"/>
        <v>3925272.4116324149</v>
      </c>
      <c r="Y8" s="175">
        <f t="shared" si="9"/>
        <v>3969235.4626426981</v>
      </c>
      <c r="Z8" s="175">
        <f t="shared" si="9"/>
        <v>4013690.8998242966</v>
      </c>
      <c r="AA8" s="175"/>
      <c r="AB8" s="175"/>
      <c r="AC8" t="s">
        <v>254</v>
      </c>
      <c r="AD8" s="175">
        <f>+PPMT($AE$4,AD1,$AE$3,-$AE$2)</f>
        <v>4699430.3608652009</v>
      </c>
      <c r="AE8" s="175">
        <f>+PPMT($AE$4,AE1,$AE$3,-$AE$2)</f>
        <v>4752063.9809068916</v>
      </c>
      <c r="AF8" s="175">
        <f t="shared" ref="AF8:AO8" si="10">+PPMT($AE$4,AF1,$AE$3,-$AE$2)</f>
        <v>4805287.0974930488</v>
      </c>
      <c r="AG8" s="175">
        <f t="shared" si="10"/>
        <v>4859106.3129849704</v>
      </c>
      <c r="AH8" s="175">
        <f t="shared" si="10"/>
        <v>4913528.3036904028</v>
      </c>
      <c r="AI8" s="175">
        <f t="shared" si="10"/>
        <v>4968559.8206917346</v>
      </c>
      <c r="AJ8" s="175">
        <f t="shared" si="10"/>
        <v>5024207.6906834822</v>
      </c>
      <c r="AK8" s="175">
        <f t="shared" si="10"/>
        <v>5080478.8168191379</v>
      </c>
      <c r="AL8" s="175">
        <f t="shared" si="10"/>
        <v>5137380.1795675112</v>
      </c>
      <c r="AM8" s="175">
        <f t="shared" si="10"/>
        <v>5194918.8375786683</v>
      </c>
      <c r="AN8" s="175">
        <f t="shared" si="10"/>
        <v>5253101.9285595492</v>
      </c>
      <c r="AO8" s="175">
        <f t="shared" si="10"/>
        <v>5311936.6701594153</v>
      </c>
      <c r="AP8" s="175"/>
      <c r="AQ8" s="175"/>
      <c r="AR8" s="175"/>
      <c r="AS8" s="175"/>
      <c r="AT8" s="175"/>
      <c r="AU8" s="175"/>
      <c r="AV8" s="175"/>
    </row>
    <row r="9" spans="1:57">
      <c r="C9" s="175">
        <f>SUM(C7:C8)</f>
        <v>4058644.2379023284</v>
      </c>
      <c r="D9" s="175">
        <f>SUM(D7:D8)</f>
        <v>4058644.2379023284</v>
      </c>
      <c r="E9" s="175">
        <f t="shared" ref="E9:T9" si="11">SUM(E7:E8)</f>
        <v>4058644.2379023288</v>
      </c>
      <c r="F9" s="175">
        <f t="shared" si="11"/>
        <v>4058644.2379023284</v>
      </c>
      <c r="G9" s="175">
        <f t="shared" si="11"/>
        <v>4058644.2379023284</v>
      </c>
      <c r="H9" s="175">
        <f t="shared" si="11"/>
        <v>4058644.2379023288</v>
      </c>
      <c r="I9" s="175">
        <f t="shared" si="11"/>
        <v>4058644.2379023288</v>
      </c>
      <c r="J9" s="175">
        <f t="shared" si="11"/>
        <v>4058644.2379023288</v>
      </c>
      <c r="K9" s="175">
        <f t="shared" si="11"/>
        <v>4058644.2379023284</v>
      </c>
      <c r="L9" s="175">
        <f t="shared" si="11"/>
        <v>4058644.2379023288</v>
      </c>
      <c r="M9" s="175">
        <f t="shared" si="11"/>
        <v>4058644.2379023288</v>
      </c>
      <c r="N9" s="175">
        <f t="shared" si="11"/>
        <v>4058644.2379023284</v>
      </c>
      <c r="O9" s="175">
        <f t="shared" si="11"/>
        <v>4058644.2379023288</v>
      </c>
      <c r="P9" s="175">
        <f t="shared" si="11"/>
        <v>4058644.2379023284</v>
      </c>
      <c r="Q9" s="175">
        <f t="shared" si="11"/>
        <v>4058644.2379023288</v>
      </c>
      <c r="R9" s="175">
        <f t="shared" si="11"/>
        <v>4058644.2379023279</v>
      </c>
      <c r="S9" s="175">
        <f t="shared" si="11"/>
        <v>4058644.2379023284</v>
      </c>
      <c r="T9" s="175">
        <f t="shared" si="11"/>
        <v>4058644.2379023284</v>
      </c>
      <c r="U9" s="175">
        <f t="shared" ref="U9" si="12">SUM(U7:U8)</f>
        <v>4058644.2379023288</v>
      </c>
      <c r="V9" s="175">
        <f t="shared" ref="V9" si="13">SUM(V7:V8)</f>
        <v>4058644.2379023284</v>
      </c>
      <c r="W9" s="175">
        <f t="shared" ref="W9" si="14">SUM(W7:W8)</f>
        <v>4058644.2379023284</v>
      </c>
      <c r="X9" s="175">
        <f t="shared" ref="X9" si="15">SUM(X7:X8)</f>
        <v>4058644.2379023284</v>
      </c>
      <c r="Y9" s="175">
        <f t="shared" ref="Y9" si="16">SUM(Y7:Y8)</f>
        <v>4058644.2379023284</v>
      </c>
      <c r="Z9" s="175">
        <f t="shared" ref="Z9" si="17">SUM(Z7:Z8)</f>
        <v>4058644.2379023288</v>
      </c>
      <c r="AA9" s="175"/>
      <c r="AB9" s="175"/>
      <c r="AD9" s="176">
        <f>SUM(AD7:AD8)</f>
        <v>5371430.3608652009</v>
      </c>
      <c r="AE9" s="176">
        <f>SUM(AE7:AE8)</f>
        <v>5371430.3608652018</v>
      </c>
      <c r="AF9" s="176">
        <f t="shared" ref="AF9:AO9" si="18">SUM(AF7:AF8)</f>
        <v>5371430.3608652018</v>
      </c>
      <c r="AG9" s="176">
        <f t="shared" si="18"/>
        <v>5371430.3608652009</v>
      </c>
      <c r="AH9" s="176">
        <f t="shared" si="18"/>
        <v>5371430.3608652018</v>
      </c>
      <c r="AI9" s="176">
        <f t="shared" si="18"/>
        <v>5371430.3608652009</v>
      </c>
      <c r="AJ9" s="176">
        <f t="shared" si="18"/>
        <v>5371430.3608652009</v>
      </c>
      <c r="AK9" s="176">
        <f t="shared" si="18"/>
        <v>5371430.3608652018</v>
      </c>
      <c r="AL9" s="176">
        <f t="shared" si="18"/>
        <v>5371430.3608652009</v>
      </c>
      <c r="AM9" s="176">
        <f t="shared" si="18"/>
        <v>5371430.3608652018</v>
      </c>
      <c r="AN9" s="176">
        <f t="shared" si="18"/>
        <v>5371430.3608652018</v>
      </c>
      <c r="AO9" s="176">
        <f t="shared" si="18"/>
        <v>5371430.3608652009</v>
      </c>
      <c r="AP9" s="176"/>
      <c r="AQ9" s="176"/>
      <c r="AR9" s="176"/>
      <c r="AS9" s="176"/>
      <c r="AT9" s="176"/>
      <c r="AU9" s="176"/>
      <c r="AV9" s="176"/>
    </row>
    <row r="10" spans="1:57">
      <c r="C10" s="175">
        <f>+C9-$B$5</f>
        <v>0</v>
      </c>
      <c r="D10" s="175">
        <f>+D9-$B$5</f>
        <v>0</v>
      </c>
      <c r="E10" s="175">
        <f t="shared" ref="E10:T10" si="19">+E9-$B$5</f>
        <v>0</v>
      </c>
      <c r="F10" s="175">
        <f t="shared" si="19"/>
        <v>0</v>
      </c>
      <c r="G10" s="175">
        <f t="shared" si="19"/>
        <v>0</v>
      </c>
      <c r="H10" s="175">
        <f t="shared" si="19"/>
        <v>0</v>
      </c>
      <c r="I10" s="175">
        <f t="shared" si="19"/>
        <v>0</v>
      </c>
      <c r="J10" s="175">
        <f t="shared" si="19"/>
        <v>0</v>
      </c>
      <c r="K10" s="175">
        <f t="shared" si="19"/>
        <v>0</v>
      </c>
      <c r="L10" s="175">
        <f t="shared" si="19"/>
        <v>0</v>
      </c>
      <c r="M10" s="175">
        <f t="shared" si="19"/>
        <v>0</v>
      </c>
      <c r="N10" s="175">
        <f t="shared" si="19"/>
        <v>0</v>
      </c>
      <c r="O10" s="175">
        <f t="shared" si="19"/>
        <v>0</v>
      </c>
      <c r="P10" s="175">
        <f t="shared" si="19"/>
        <v>0</v>
      </c>
      <c r="Q10" s="175">
        <f t="shared" si="19"/>
        <v>0</v>
      </c>
      <c r="R10" s="175">
        <f t="shared" si="19"/>
        <v>0</v>
      </c>
      <c r="S10" s="175">
        <f t="shared" si="19"/>
        <v>0</v>
      </c>
      <c r="T10" s="175">
        <f t="shared" si="19"/>
        <v>0</v>
      </c>
      <c r="U10" s="175">
        <f t="shared" ref="U10" si="20">+U9-$B$5</f>
        <v>0</v>
      </c>
      <c r="V10" s="175">
        <f t="shared" ref="V10" si="21">+V9-$B$5</f>
        <v>0</v>
      </c>
      <c r="W10" s="175">
        <f t="shared" ref="W10" si="22">+W9-$B$5</f>
        <v>0</v>
      </c>
      <c r="X10" s="175">
        <f t="shared" ref="X10" si="23">+X9-$B$5</f>
        <v>0</v>
      </c>
      <c r="Y10" s="175">
        <f t="shared" ref="Y10" si="24">+Y9-$B$5</f>
        <v>0</v>
      </c>
      <c r="Z10" s="175">
        <f t="shared" ref="Z10" si="25">+Z9-$B$5</f>
        <v>0</v>
      </c>
      <c r="AA10" s="175"/>
      <c r="AB10" s="175"/>
      <c r="AD10" s="176">
        <f>+AD9-$AE$5</f>
        <v>0</v>
      </c>
      <c r="AE10" s="176">
        <f>+AE9-$AE$5</f>
        <v>0</v>
      </c>
      <c r="AF10" s="176">
        <f t="shared" ref="AF10:AO10" si="26">+AF9-$AE$5</f>
        <v>0</v>
      </c>
      <c r="AG10" s="176">
        <f t="shared" si="26"/>
        <v>0</v>
      </c>
      <c r="AH10" s="176">
        <f t="shared" si="26"/>
        <v>0</v>
      </c>
      <c r="AI10" s="176">
        <f t="shared" si="26"/>
        <v>0</v>
      </c>
      <c r="AJ10" s="176">
        <f t="shared" si="26"/>
        <v>0</v>
      </c>
      <c r="AK10" s="176">
        <f t="shared" si="26"/>
        <v>0</v>
      </c>
      <c r="AL10" s="176">
        <f t="shared" si="26"/>
        <v>0</v>
      </c>
      <c r="AM10" s="176">
        <f t="shared" si="26"/>
        <v>0</v>
      </c>
      <c r="AN10" s="176">
        <f t="shared" si="26"/>
        <v>0</v>
      </c>
      <c r="AO10" s="176">
        <f t="shared" si="26"/>
        <v>0</v>
      </c>
      <c r="AP10" s="176"/>
      <c r="AQ10" s="176"/>
      <c r="AR10" s="176"/>
      <c r="AS10" s="176"/>
      <c r="AT10" s="176"/>
      <c r="AU10" s="176"/>
      <c r="AV10" s="1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Taller II Inicial</vt:lpstr>
      <vt:lpstr>Taller II Final</vt:lpstr>
      <vt:lpstr>Capex</vt:lpstr>
      <vt:lpstr>Estados finan FEL acido</vt:lpstr>
      <vt:lpstr>Proyectado anual acido</vt:lpstr>
      <vt:lpstr>prestamo acido</vt:lpstr>
      <vt:lpstr>Estados finan base</vt:lpstr>
      <vt:lpstr>Proyectado anual base</vt:lpstr>
      <vt:lpstr>prestamo base</vt:lpstr>
      <vt:lpstr>Estados finan FEL optimista</vt:lpstr>
      <vt:lpstr>Proyectado anual optimista</vt:lpstr>
      <vt:lpstr>prestamo optimista</vt:lpstr>
      <vt:lpstr>Hoja1</vt:lpstr>
      <vt:lpstr>Hoja2</vt:lpstr>
    </vt:vector>
  </TitlesOfParts>
  <Manager>Maria Leon</Manager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Leon - 2161940</dc:creator>
  <cp:keywords/>
  <dc:description/>
  <cp:lastModifiedBy>Maria Leon - 2161940</cp:lastModifiedBy>
  <cp:revision/>
  <dcterms:created xsi:type="dcterms:W3CDTF">2024-04-19T00:19:22Z</dcterms:created>
  <dcterms:modified xsi:type="dcterms:W3CDTF">2025-04-03T01:38:20Z</dcterms:modified>
  <cp:category/>
  <cp:contentStatus/>
</cp:coreProperties>
</file>