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LIBRO TRABAJO DE GRADO\Libro para entregar\Apéndices\"/>
    </mc:Choice>
  </mc:AlternateContent>
  <xr:revisionPtr revIDLastSave="0" documentId="13_ncr:1_{A1B0F46C-CBC2-4B3E-BD96-E8EB0844B88B}" xr6:coauthVersionLast="47" xr6:coauthVersionMax="47" xr10:uidLastSave="{00000000-0000-0000-0000-000000000000}"/>
  <bookViews>
    <workbookView xWindow="20370" yWindow="-120" windowWidth="29040" windowHeight="15720" activeTab="5" xr2:uid="{00000000-000D-0000-FFFF-FFFF00000000}"/>
  </bookViews>
  <sheets>
    <sheet name="INVERSIONES " sheetId="1" r:id="rId1"/>
    <sheet name="COSTOS Y GASTOS" sheetId="14" r:id="rId2"/>
    <sheet name="CRÉDITO" sheetId="15" r:id="rId3"/>
    <sheet name="COSTOS RESUMEN" sheetId="17" r:id="rId4"/>
    <sheet name="PROYECCIONES" sheetId="16" r:id="rId5"/>
    <sheet name="EVALUACIÓN ESC. MAS PROBABLE" sheetId="18" r:id="rId6"/>
    <sheet name="EVALUACIÓN ESC. PESIMISTA" sheetId="19" r:id="rId7"/>
    <sheet name="EVALUACIÓN ESC. OPTIMISTA" sheetId="20" r:id="rId8"/>
    <sheet name="Escenarios" sheetId="21" r:id="rId9"/>
  </sheets>
  <definedNames>
    <definedName name="Gastos_Financieros">#REF!</definedName>
    <definedName name="solver_eng" localSheetId="3" hidden="1">1</definedName>
    <definedName name="solver_neg" localSheetId="3" hidden="1">1</definedName>
    <definedName name="solver_num" localSheetId="3" hidden="1">0</definedName>
    <definedName name="solver_opt" localSheetId="3" hidden="1">'COSTOS RESUMEN'!$H$40</definedName>
    <definedName name="solver_typ" localSheetId="3" hidden="1">1</definedName>
    <definedName name="solver_val" localSheetId="3" hidden="1">0</definedName>
    <definedName name="solver_ver" localSheetId="3" hidden="1">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4" i="14" l="1"/>
  <c r="C78" i="14"/>
  <c r="C51" i="14"/>
  <c r="E42" i="14"/>
  <c r="D51" i="14"/>
  <c r="F126" i="14"/>
  <c r="E126" i="14" s="1"/>
  <c r="I149" i="16"/>
  <c r="K149" i="16"/>
  <c r="G105" i="20"/>
  <c r="G100" i="18"/>
  <c r="G107" i="18"/>
  <c r="F73" i="18"/>
  <c r="H56" i="18"/>
  <c r="B60" i="1"/>
  <c r="C31" i="14"/>
  <c r="C42" i="14" s="1"/>
  <c r="D77" i="1"/>
  <c r="E177" i="14"/>
  <c r="D65" i="1"/>
  <c r="E176" i="14"/>
  <c r="G114" i="20"/>
  <c r="E31" i="14"/>
  <c r="G31" i="14" s="1"/>
  <c r="H31" i="14" s="1"/>
  <c r="J31" i="14" s="1"/>
  <c r="E102" i="14"/>
  <c r="E104" i="14"/>
  <c r="E103" i="14"/>
  <c r="F13" i="14"/>
  <c r="F12" i="14"/>
  <c r="F10" i="14"/>
  <c r="F11" i="14"/>
  <c r="F14" i="14"/>
  <c r="F15" i="14"/>
  <c r="F9" i="14"/>
  <c r="M69" i="14"/>
  <c r="G3" i="20"/>
  <c r="L71" i="14"/>
  <c r="D69" i="14" s="1"/>
  <c r="E63" i="14" s="1"/>
  <c r="L70" i="14"/>
  <c r="E102" i="1"/>
  <c r="D102" i="1"/>
  <c r="E101" i="1"/>
  <c r="D101" i="1"/>
  <c r="D99" i="1"/>
  <c r="D79" i="1"/>
  <c r="D64" i="1"/>
  <c r="G105" i="19"/>
  <c r="D51" i="20"/>
  <c r="E53" i="20"/>
  <c r="F78" i="20"/>
  <c r="E110" i="20"/>
  <c r="G61" i="20"/>
  <c r="K40" i="20"/>
  <c r="J40" i="20"/>
  <c r="I40" i="20"/>
  <c r="H40" i="20"/>
  <c r="G40" i="20"/>
  <c r="G31" i="20"/>
  <c r="K11" i="20"/>
  <c r="J11" i="20"/>
  <c r="I11" i="20"/>
  <c r="H11" i="20"/>
  <c r="G11" i="20"/>
  <c r="I2" i="20"/>
  <c r="J2" i="20"/>
  <c r="K2" i="20"/>
  <c r="H2" i="20"/>
  <c r="G2" i="20"/>
  <c r="E110" i="19"/>
  <c r="G2" i="19"/>
  <c r="H2" i="19"/>
  <c r="I2" i="19"/>
  <c r="J2" i="19"/>
  <c r="K2" i="19"/>
  <c r="F9" i="16"/>
  <c r="G114" i="19"/>
  <c r="D51" i="19"/>
  <c r="E53" i="19"/>
  <c r="G61" i="19"/>
  <c r="K40" i="19"/>
  <c r="J40" i="19"/>
  <c r="I40" i="19"/>
  <c r="H40" i="19"/>
  <c r="G40" i="19"/>
  <c r="G31" i="19"/>
  <c r="K11" i="19"/>
  <c r="J11" i="19"/>
  <c r="I11" i="19"/>
  <c r="H11" i="19"/>
  <c r="G11" i="19"/>
  <c r="G62" i="20"/>
  <c r="H61" i="20"/>
  <c r="H61" i="19"/>
  <c r="G62" i="19"/>
  <c r="F78" i="19"/>
  <c r="E34" i="1"/>
  <c r="H62" i="20"/>
  <c r="G63" i="20"/>
  <c r="G63" i="19"/>
  <c r="H62" i="19"/>
  <c r="F8" i="14"/>
  <c r="F7" i="14"/>
  <c r="G64" i="20"/>
  <c r="H63" i="20"/>
  <c r="H105" i="19"/>
  <c r="H114" i="19"/>
  <c r="H63" i="19"/>
  <c r="G64" i="19"/>
  <c r="H64" i="20"/>
  <c r="G65" i="20"/>
  <c r="G65" i="19"/>
  <c r="H64" i="19"/>
  <c r="G66" i="20"/>
  <c r="H66" i="20"/>
  <c r="H65" i="20"/>
  <c r="H65" i="19"/>
  <c r="G66" i="19"/>
  <c r="H66" i="19"/>
  <c r="F123" i="14"/>
  <c r="F104" i="14"/>
  <c r="H62" i="14"/>
  <c r="H63" i="14"/>
  <c r="H64" i="14"/>
  <c r="E28" i="1"/>
  <c r="F155" i="16"/>
  <c r="F159" i="16" s="1"/>
  <c r="H7" i="15"/>
  <c r="D25" i="14"/>
  <c r="E53" i="1"/>
  <c r="E54" i="1"/>
  <c r="E26" i="1"/>
  <c r="E84" i="14"/>
  <c r="F84" i="14" s="1"/>
  <c r="D12" i="17" s="1"/>
  <c r="F24" i="14"/>
  <c r="F23" i="14"/>
  <c r="F22" i="14"/>
  <c r="E24" i="14"/>
  <c r="E23" i="14"/>
  <c r="E22" i="14"/>
  <c r="D100" i="1"/>
  <c r="E46" i="1"/>
  <c r="E47" i="1"/>
  <c r="E45" i="1"/>
  <c r="E37" i="1"/>
  <c r="E38" i="1"/>
  <c r="E40" i="1"/>
  <c r="D62" i="1"/>
  <c r="E39" i="1"/>
  <c r="E35" i="1"/>
  <c r="E36" i="1"/>
  <c r="E18" i="1"/>
  <c r="E19" i="1"/>
  <c r="E20" i="1"/>
  <c r="E21" i="1"/>
  <c r="E22" i="1"/>
  <c r="E23" i="1"/>
  <c r="E24" i="1"/>
  <c r="E25" i="1"/>
  <c r="E27" i="1"/>
  <c r="E17" i="1"/>
  <c r="E16" i="14"/>
  <c r="H8" i="14"/>
  <c r="E6" i="1"/>
  <c r="G136" i="16"/>
  <c r="D46" i="18"/>
  <c r="E48" i="18"/>
  <c r="G26" i="18"/>
  <c r="F142" i="16"/>
  <c r="F69" i="16"/>
  <c r="F114" i="16"/>
  <c r="K106" i="16"/>
  <c r="J106" i="16"/>
  <c r="I106" i="16"/>
  <c r="H106" i="16"/>
  <c r="G106" i="16"/>
  <c r="K98" i="16"/>
  <c r="J98" i="16"/>
  <c r="I98" i="16"/>
  <c r="H98" i="16"/>
  <c r="G98" i="16"/>
  <c r="D98" i="1"/>
  <c r="D59" i="1"/>
  <c r="D87" i="1"/>
  <c r="E99" i="1"/>
  <c r="E121" i="14"/>
  <c r="F121" i="14" s="1"/>
  <c r="C33" i="14"/>
  <c r="C44" i="14"/>
  <c r="C34" i="14"/>
  <c r="C45" i="14" s="1"/>
  <c r="C35" i="14"/>
  <c r="C46" i="14" s="1"/>
  <c r="F176" i="16"/>
  <c r="F182" i="16"/>
  <c r="F188" i="16"/>
  <c r="F194" i="16"/>
  <c r="F200" i="16"/>
  <c r="G176" i="16"/>
  <c r="G182" i="16"/>
  <c r="G188" i="16"/>
  <c r="G194" i="16"/>
  <c r="G200" i="16"/>
  <c r="H176" i="16"/>
  <c r="H182" i="16"/>
  <c r="H188" i="16"/>
  <c r="H194" i="16"/>
  <c r="H200" i="16"/>
  <c r="I176" i="16"/>
  <c r="I182" i="16"/>
  <c r="I188" i="16"/>
  <c r="I194" i="16"/>
  <c r="I200" i="16"/>
  <c r="J176" i="16"/>
  <c r="J182" i="16"/>
  <c r="J188" i="16"/>
  <c r="J194" i="16"/>
  <c r="J200" i="16"/>
  <c r="E43" i="14"/>
  <c r="E44" i="14"/>
  <c r="E45" i="14"/>
  <c r="E46" i="14"/>
  <c r="F51" i="14"/>
  <c r="F114" i="14" s="1"/>
  <c r="E114" i="14" s="1"/>
  <c r="E98" i="1"/>
  <c r="E120" i="14"/>
  <c r="F120" i="14"/>
  <c r="D88" i="1"/>
  <c r="E100" i="1"/>
  <c r="B61" i="1"/>
  <c r="C32" i="14"/>
  <c r="C43" i="14" s="1"/>
  <c r="D105" i="14"/>
  <c r="D91" i="1"/>
  <c r="K35" i="18"/>
  <c r="J35" i="18"/>
  <c r="I35" i="18"/>
  <c r="H35" i="18"/>
  <c r="G35" i="18"/>
  <c r="K12" i="15"/>
  <c r="D89" i="1"/>
  <c r="F125" i="14"/>
  <c r="F127" i="14"/>
  <c r="F144" i="14"/>
  <c r="E144" i="14" s="1"/>
  <c r="F124" i="14"/>
  <c r="F122" i="14"/>
  <c r="L15" i="15"/>
  <c r="L16" i="15" s="1"/>
  <c r="L17" i="15" s="1"/>
  <c r="L18" i="15" s="1"/>
  <c r="C14" i="15"/>
  <c r="C15" i="15" s="1"/>
  <c r="C16" i="15" s="1"/>
  <c r="C17" i="15" s="1"/>
  <c r="C18" i="15" s="1"/>
  <c r="C19" i="15" s="1"/>
  <c r="C20" i="15" s="1"/>
  <c r="C21" i="15" s="1"/>
  <c r="C22" i="15" s="1"/>
  <c r="C23" i="15" s="1"/>
  <c r="C24" i="15" s="1"/>
  <c r="C25" i="15" s="1"/>
  <c r="C26" i="15" s="1"/>
  <c r="C27" i="15" s="1"/>
  <c r="C28" i="15" s="1"/>
  <c r="C29" i="15" s="1"/>
  <c r="C30" i="15" s="1"/>
  <c r="C31" i="15" s="1"/>
  <c r="C32" i="15" s="1"/>
  <c r="C33" i="15" s="1"/>
  <c r="C34" i="15" s="1"/>
  <c r="C35" i="15" s="1"/>
  <c r="C36" i="15" s="1"/>
  <c r="C37" i="15" s="1"/>
  <c r="C38" i="15" s="1"/>
  <c r="C39" i="15" s="1"/>
  <c r="C40" i="15" s="1"/>
  <c r="C41" i="15" s="1"/>
  <c r="C42" i="15" s="1"/>
  <c r="C43" i="15" s="1"/>
  <c r="C44" i="15" s="1"/>
  <c r="C45" i="15" s="1"/>
  <c r="C46" i="15" s="1"/>
  <c r="C47" i="15" s="1"/>
  <c r="C48" i="15" s="1"/>
  <c r="C49" i="15" s="1"/>
  <c r="E12" i="1"/>
  <c r="G137" i="16"/>
  <c r="H137" i="16"/>
  <c r="I137" i="16"/>
  <c r="J137" i="16"/>
  <c r="K137" i="16"/>
  <c r="F171" i="16"/>
  <c r="F183" i="16"/>
  <c r="F189" i="16"/>
  <c r="F195" i="16"/>
  <c r="F201" i="16"/>
  <c r="G171" i="16"/>
  <c r="H171" i="16"/>
  <c r="H177" i="16"/>
  <c r="J171" i="16"/>
  <c r="I171" i="16"/>
  <c r="F177" i="16"/>
  <c r="H183" i="16"/>
  <c r="H189" i="16"/>
  <c r="H195" i="16"/>
  <c r="H201" i="16"/>
  <c r="G9" i="16"/>
  <c r="G29" i="16"/>
  <c r="H69" i="16"/>
  <c r="F29" i="16"/>
  <c r="G6" i="18"/>
  <c r="J183" i="16"/>
  <c r="J189" i="16"/>
  <c r="J195" i="16"/>
  <c r="J201" i="16"/>
  <c r="J177" i="16"/>
  <c r="G69" i="16"/>
  <c r="H9" i="16"/>
  <c r="I9" i="16"/>
  <c r="H29" i="16"/>
  <c r="I6" i="18"/>
  <c r="I69" i="16"/>
  <c r="J9" i="16"/>
  <c r="J29" i="16"/>
  <c r="K6" i="18"/>
  <c r="I29" i="16"/>
  <c r="H6" i="18"/>
  <c r="K69" i="16"/>
  <c r="J69" i="16"/>
  <c r="J6" i="18"/>
  <c r="G177" i="16"/>
  <c r="G183" i="16"/>
  <c r="G189" i="16"/>
  <c r="G195" i="16"/>
  <c r="G201" i="16"/>
  <c r="I183" i="16"/>
  <c r="I189" i="16"/>
  <c r="I195" i="16"/>
  <c r="I201" i="16"/>
  <c r="I177" i="16"/>
  <c r="F103" i="16"/>
  <c r="F136" i="16"/>
  <c r="G56" i="18"/>
  <c r="E48" i="1"/>
  <c r="D63" i="1"/>
  <c r="J140" i="16"/>
  <c r="G144" i="16"/>
  <c r="H144" i="16"/>
  <c r="F144" i="16"/>
  <c r="F146" i="16"/>
  <c r="E119" i="14"/>
  <c r="F119" i="14"/>
  <c r="G57" i="18"/>
  <c r="E34" i="14"/>
  <c r="F44" i="16"/>
  <c r="H57" i="18"/>
  <c r="G58" i="18"/>
  <c r="H58" i="18"/>
  <c r="G59" i="18"/>
  <c r="G60" i="18"/>
  <c r="H59" i="18"/>
  <c r="H60" i="18"/>
  <c r="G61" i="18"/>
  <c r="H61" i="18"/>
  <c r="G140" i="16"/>
  <c r="H140" i="16"/>
  <c r="F140" i="16"/>
  <c r="I140" i="16"/>
  <c r="K140" i="16"/>
  <c r="J139" i="16"/>
  <c r="G139" i="16"/>
  <c r="I139" i="16"/>
  <c r="F139" i="16"/>
  <c r="E33" i="14"/>
  <c r="G33" i="14" s="1"/>
  <c r="H33" i="14" s="1"/>
  <c r="J33" i="14" s="1"/>
  <c r="K139" i="16"/>
  <c r="H139" i="16"/>
  <c r="E35" i="14"/>
  <c r="G35" i="14"/>
  <c r="H35" i="14" s="1"/>
  <c r="J35" i="14" s="1"/>
  <c r="I141" i="16"/>
  <c r="J141" i="16"/>
  <c r="F141" i="16"/>
  <c r="H141" i="16"/>
  <c r="G141" i="16"/>
  <c r="K141" i="16"/>
  <c r="H136" i="16"/>
  <c r="D60" i="1"/>
  <c r="E83" i="14"/>
  <c r="F83" i="14" s="1"/>
  <c r="D13" i="17" s="1"/>
  <c r="E29" i="1"/>
  <c r="D61" i="1"/>
  <c r="F96" i="16"/>
  <c r="F38" i="20" s="1"/>
  <c r="I136" i="16"/>
  <c r="E32" i="14"/>
  <c r="F76" i="14" s="1"/>
  <c r="D15" i="17" s="1"/>
  <c r="G138" i="16"/>
  <c r="J138" i="16"/>
  <c r="F138" i="16"/>
  <c r="H138" i="16"/>
  <c r="K138" i="16"/>
  <c r="I138" i="16"/>
  <c r="F137" i="16"/>
  <c r="F143" i="16"/>
  <c r="J136" i="16"/>
  <c r="K136" i="16"/>
  <c r="F95" i="16"/>
  <c r="F32" i="18" s="1"/>
  <c r="G88" i="16"/>
  <c r="G30" i="19" s="1"/>
  <c r="G44" i="16"/>
  <c r="H88" i="16" s="1"/>
  <c r="F105" i="14"/>
  <c r="G3" i="19"/>
  <c r="G30" i="20"/>
  <c r="H3" i="19"/>
  <c r="I3" i="19" s="1"/>
  <c r="I144" i="16"/>
  <c r="F37" i="19"/>
  <c r="J144" i="16"/>
  <c r="K144" i="16"/>
  <c r="I49" i="16"/>
  <c r="I152" i="16"/>
  <c r="K111" i="16"/>
  <c r="J49" i="16"/>
  <c r="K152" i="16"/>
  <c r="I31" i="14" l="1"/>
  <c r="H30" i="20"/>
  <c r="H25" i="18"/>
  <c r="H30" i="19"/>
  <c r="H44" i="16"/>
  <c r="I88" i="16" s="1"/>
  <c r="F33" i="18"/>
  <c r="F16" i="14"/>
  <c r="F37" i="20"/>
  <c r="F38" i="19"/>
  <c r="G32" i="14"/>
  <c r="H32" i="14" s="1"/>
  <c r="J32" i="14" s="1"/>
  <c r="E62" i="14"/>
  <c r="J62" i="14"/>
  <c r="G86" i="16"/>
  <c r="H86" i="16" s="1"/>
  <c r="I33" i="14"/>
  <c r="D53" i="14"/>
  <c r="G104" i="14"/>
  <c r="H104" i="14" s="1"/>
  <c r="I104" i="14" s="1"/>
  <c r="J104" i="14" s="1"/>
  <c r="J64" i="14"/>
  <c r="E105" i="14"/>
  <c r="E76" i="14"/>
  <c r="G155" i="16"/>
  <c r="H155" i="16" s="1"/>
  <c r="I155" i="16" s="1"/>
  <c r="J155" i="16" s="1"/>
  <c r="K155" i="16" s="1"/>
  <c r="G22" i="14"/>
  <c r="H22" i="14" s="1"/>
  <c r="I22" i="14" s="1"/>
  <c r="I32" i="14"/>
  <c r="D52" i="14"/>
  <c r="E51" i="14"/>
  <c r="F78" i="14" s="1"/>
  <c r="E78" i="14" s="1"/>
  <c r="G34" i="14"/>
  <c r="H34" i="14" s="1"/>
  <c r="J34" i="14" s="1"/>
  <c r="F77" i="14"/>
  <c r="F113" i="14"/>
  <c r="E113" i="14" s="1"/>
  <c r="I35" i="14"/>
  <c r="D55" i="14"/>
  <c r="G23" i="14"/>
  <c r="H23" i="14" s="1"/>
  <c r="I23" i="14" s="1"/>
  <c r="J23" i="14" s="1"/>
  <c r="J3" i="19"/>
  <c r="F112" i="14"/>
  <c r="E64" i="14"/>
  <c r="F61" i="14"/>
  <c r="H61" i="14" s="1"/>
  <c r="E135" i="14"/>
  <c r="J63" i="14"/>
  <c r="D68" i="14"/>
  <c r="I64" i="14" s="1"/>
  <c r="D28" i="17"/>
  <c r="F27" i="17" s="1"/>
  <c r="F37" i="16" s="1"/>
  <c r="H3" i="20"/>
  <c r="G25" i="18"/>
  <c r="J111" i="16"/>
  <c r="J152" i="16"/>
  <c r="J110" i="16"/>
  <c r="G103" i="14" l="1"/>
  <c r="H103" i="14" s="1"/>
  <c r="I103" i="14" s="1"/>
  <c r="J103" i="14" s="1"/>
  <c r="G102" i="14"/>
  <c r="G24" i="14"/>
  <c r="H24" i="14" s="1"/>
  <c r="I24" i="14" s="1"/>
  <c r="J24" i="14" s="1"/>
  <c r="I44" i="16"/>
  <c r="G145" i="16"/>
  <c r="G28" i="19"/>
  <c r="G23" i="18"/>
  <c r="G28" i="20"/>
  <c r="I36" i="14"/>
  <c r="G79" i="16"/>
  <c r="I25" i="14"/>
  <c r="E92" i="14" s="1"/>
  <c r="J22" i="14"/>
  <c r="J25" i="14" s="1"/>
  <c r="F34" i="16" s="1"/>
  <c r="I61" i="14"/>
  <c r="I65" i="14" s="1"/>
  <c r="H65" i="14"/>
  <c r="J61" i="14"/>
  <c r="J65" i="14" s="1"/>
  <c r="E93" i="14" s="1"/>
  <c r="F93" i="14" s="1"/>
  <c r="F26" i="17" s="1"/>
  <c r="F29" i="17" s="1"/>
  <c r="F37" i="17" s="1"/>
  <c r="I25" i="18"/>
  <c r="I30" i="20"/>
  <c r="I30" i="19"/>
  <c r="K3" i="19"/>
  <c r="G146" i="16"/>
  <c r="H145" i="16"/>
  <c r="H28" i="20"/>
  <c r="H23" i="18"/>
  <c r="H28" i="19"/>
  <c r="I86" i="16"/>
  <c r="I34" i="14"/>
  <c r="D54" i="14"/>
  <c r="E136" i="14"/>
  <c r="F135" i="14"/>
  <c r="F136" i="14" s="1"/>
  <c r="F145" i="14" s="1"/>
  <c r="E145" i="14" s="1"/>
  <c r="J44" i="16"/>
  <c r="K88" i="16" s="1"/>
  <c r="J88" i="16"/>
  <c r="E112" i="14"/>
  <c r="E55" i="14"/>
  <c r="F82" i="14" s="1"/>
  <c r="E82" i="14" s="1"/>
  <c r="F55" i="14"/>
  <c r="F118" i="14" s="1"/>
  <c r="E118" i="14" s="1"/>
  <c r="I3" i="20"/>
  <c r="H36" i="14"/>
  <c r="J36" i="14"/>
  <c r="F10" i="16"/>
  <c r="F4" i="17"/>
  <c r="G38" i="17" s="1"/>
  <c r="I62" i="14"/>
  <c r="I63" i="14"/>
  <c r="D16" i="17"/>
  <c r="E77" i="14"/>
  <c r="F52" i="14"/>
  <c r="F115" i="14" s="1"/>
  <c r="E52" i="14"/>
  <c r="F79" i="14" s="1"/>
  <c r="E53" i="14"/>
  <c r="F80" i="14" s="1"/>
  <c r="F53" i="14"/>
  <c r="F116" i="14" s="1"/>
  <c r="E116" i="14" s="1"/>
  <c r="J149" i="16"/>
  <c r="K110" i="16"/>
  <c r="H102" i="14" l="1"/>
  <c r="G105" i="14"/>
  <c r="G10" i="16"/>
  <c r="F35" i="16"/>
  <c r="G75" i="16" s="1"/>
  <c r="E79" i="14"/>
  <c r="E85" i="14" s="1"/>
  <c r="E94" i="14" s="1"/>
  <c r="F94" i="14" s="1"/>
  <c r="J30" i="20"/>
  <c r="J25" i="18"/>
  <c r="J30" i="19"/>
  <c r="G34" i="16"/>
  <c r="G76" i="16"/>
  <c r="J86" i="16"/>
  <c r="I28" i="20"/>
  <c r="I23" i="18"/>
  <c r="I28" i="19"/>
  <c r="G16" i="18"/>
  <c r="G21" i="19"/>
  <c r="G21" i="20"/>
  <c r="E80" i="14"/>
  <c r="E115" i="14"/>
  <c r="K30" i="20"/>
  <c r="K30" i="19"/>
  <c r="K25" i="18"/>
  <c r="F92" i="14"/>
  <c r="E54" i="14"/>
  <c r="F81" i="14" s="1"/>
  <c r="E81" i="14" s="1"/>
  <c r="F54" i="14"/>
  <c r="F117" i="14" s="1"/>
  <c r="E117" i="14" s="1"/>
  <c r="E168" i="14" s="1"/>
  <c r="F168" i="14" s="1"/>
  <c r="G37" i="17"/>
  <c r="G37" i="16"/>
  <c r="H79" i="16" s="1"/>
  <c r="J3" i="20"/>
  <c r="H146" i="16"/>
  <c r="I145" i="16"/>
  <c r="I102" i="14" l="1"/>
  <c r="H105" i="14"/>
  <c r="F85" i="14"/>
  <c r="E128" i="14"/>
  <c r="F128" i="14"/>
  <c r="F43" i="16" s="1"/>
  <c r="G43" i="16" s="1"/>
  <c r="D14" i="17"/>
  <c r="F11" i="17" s="1"/>
  <c r="F36" i="16" s="1"/>
  <c r="F10" i="17"/>
  <c r="F95" i="14"/>
  <c r="J23" i="18"/>
  <c r="J28" i="19"/>
  <c r="J28" i="20"/>
  <c r="K86" i="16"/>
  <c r="H21" i="19"/>
  <c r="H16" i="18"/>
  <c r="H21" i="20"/>
  <c r="E95" i="14"/>
  <c r="E164" i="14" s="1"/>
  <c r="F164" i="14" s="1"/>
  <c r="G18" i="20"/>
  <c r="G13" i="18"/>
  <c r="G18" i="19"/>
  <c r="H34" i="16"/>
  <c r="H76" i="16"/>
  <c r="G17" i="19"/>
  <c r="G12" i="18"/>
  <c r="G17" i="20"/>
  <c r="H10" i="16"/>
  <c r="G35" i="16"/>
  <c r="H75" i="16" s="1"/>
  <c r="D124" i="19"/>
  <c r="E124" i="19" s="1"/>
  <c r="F124" i="19" s="1"/>
  <c r="G124" i="19" s="1"/>
  <c r="H124" i="19" s="1"/>
  <c r="D124" i="20"/>
  <c r="E124" i="20" s="1"/>
  <c r="F124" i="20" s="1"/>
  <c r="G124" i="20" s="1"/>
  <c r="H124" i="20" s="1"/>
  <c r="D117" i="18"/>
  <c r="E117" i="18" s="1"/>
  <c r="F117" i="18" s="1"/>
  <c r="G117" i="18" s="1"/>
  <c r="H117" i="18" s="1"/>
  <c r="K3" i="20"/>
  <c r="I146" i="16"/>
  <c r="J145" i="16"/>
  <c r="G87" i="16"/>
  <c r="G78" i="16" l="1"/>
  <c r="G20" i="19" s="1"/>
  <c r="J102" i="14"/>
  <c r="J105" i="14" s="1"/>
  <c r="I105" i="14"/>
  <c r="K23" i="18"/>
  <c r="K28" i="20"/>
  <c r="K28" i="19"/>
  <c r="G36" i="16"/>
  <c r="G77" i="16"/>
  <c r="F38" i="16"/>
  <c r="H12" i="18"/>
  <c r="H17" i="19"/>
  <c r="H17" i="20"/>
  <c r="G24" i="18"/>
  <c r="H87" i="16"/>
  <c r="G29" i="20"/>
  <c r="G29" i="19"/>
  <c r="H43" i="16"/>
  <c r="H13" i="18"/>
  <c r="H18" i="20"/>
  <c r="H18" i="19"/>
  <c r="J146" i="16"/>
  <c r="K145" i="16"/>
  <c r="K146" i="16" s="1"/>
  <c r="G15" i="18"/>
  <c r="G142" i="16"/>
  <c r="H78" i="16"/>
  <c r="I34" i="16"/>
  <c r="I76" i="16"/>
  <c r="I10" i="16"/>
  <c r="H35" i="16"/>
  <c r="I75" i="16" s="1"/>
  <c r="H37" i="16"/>
  <c r="I79" i="16" s="1"/>
  <c r="G20" i="20" l="1"/>
  <c r="F143" i="14"/>
  <c r="F42" i="16"/>
  <c r="I16" i="18"/>
  <c r="I21" i="20"/>
  <c r="I21" i="19"/>
  <c r="I78" i="16"/>
  <c r="H20" i="20"/>
  <c r="H15" i="18"/>
  <c r="H20" i="19"/>
  <c r="H24" i="18"/>
  <c r="H29" i="20"/>
  <c r="H29" i="19"/>
  <c r="I87" i="16"/>
  <c r="G19" i="19"/>
  <c r="G22" i="19" s="1"/>
  <c r="G14" i="18"/>
  <c r="G17" i="18" s="1"/>
  <c r="G19" i="20"/>
  <c r="G22" i="20" s="1"/>
  <c r="G80" i="16"/>
  <c r="G143" i="16"/>
  <c r="H142" i="16"/>
  <c r="I17" i="19"/>
  <c r="I12" i="18"/>
  <c r="I17" i="20"/>
  <c r="H77" i="16"/>
  <c r="H36" i="16"/>
  <c r="H38" i="16" s="1"/>
  <c r="G38" i="16"/>
  <c r="I13" i="18"/>
  <c r="I18" i="20"/>
  <c r="I18" i="19"/>
  <c r="I43" i="16"/>
  <c r="J10" i="16"/>
  <c r="I35" i="16"/>
  <c r="J75" i="16" s="1"/>
  <c r="I37" i="16"/>
  <c r="J79" i="16" s="1"/>
  <c r="J76" i="16"/>
  <c r="J34" i="16"/>
  <c r="E143" i="14" l="1"/>
  <c r="E146" i="14" s="1"/>
  <c r="E165" i="14" s="1"/>
  <c r="F165" i="14" s="1"/>
  <c r="F146" i="14"/>
  <c r="F17" i="17" s="1"/>
  <c r="F19" i="17" s="1"/>
  <c r="G42" i="16"/>
  <c r="G85" i="16"/>
  <c r="F45" i="16"/>
  <c r="H19" i="20"/>
  <c r="H22" i="20" s="1"/>
  <c r="H14" i="18"/>
  <c r="H17" i="18" s="1"/>
  <c r="H19" i="19"/>
  <c r="H22" i="19" s="1"/>
  <c r="H80" i="16"/>
  <c r="J21" i="20"/>
  <c r="J16" i="18"/>
  <c r="J21" i="19"/>
  <c r="K76" i="16"/>
  <c r="J12" i="18"/>
  <c r="J17" i="19"/>
  <c r="J17" i="20"/>
  <c r="I20" i="19"/>
  <c r="J78" i="16"/>
  <c r="I15" i="18"/>
  <c r="I20" i="20"/>
  <c r="J35" i="16"/>
  <c r="K75" i="16" s="1"/>
  <c r="J37" i="16"/>
  <c r="K79" i="16" s="1"/>
  <c r="J87" i="16"/>
  <c r="I29" i="20"/>
  <c r="I29" i="19"/>
  <c r="I24" i="18"/>
  <c r="J18" i="20"/>
  <c r="J18" i="19"/>
  <c r="J13" i="18"/>
  <c r="H143" i="16"/>
  <c r="I142" i="16"/>
  <c r="J43" i="16"/>
  <c r="I36" i="16"/>
  <c r="I77" i="16"/>
  <c r="G27" i="20" l="1"/>
  <c r="G32" i="20" s="1"/>
  <c r="G22" i="18"/>
  <c r="G27" i="18" s="1"/>
  <c r="G90" i="16"/>
  <c r="G27" i="19"/>
  <c r="G32" i="19" s="1"/>
  <c r="F36" i="17"/>
  <c r="D115" i="18"/>
  <c r="D122" i="19"/>
  <c r="D122" i="20"/>
  <c r="H42" i="16"/>
  <c r="G45" i="16"/>
  <c r="H85" i="16"/>
  <c r="J77" i="16"/>
  <c r="J36" i="16"/>
  <c r="K77" i="16" s="1"/>
  <c r="I38" i="16"/>
  <c r="K18" i="20"/>
  <c r="K18" i="19"/>
  <c r="K13" i="18"/>
  <c r="I143" i="16"/>
  <c r="J142" i="16"/>
  <c r="J15" i="18"/>
  <c r="J20" i="19"/>
  <c r="K78" i="16"/>
  <c r="J20" i="20"/>
  <c r="K12" i="18"/>
  <c r="K17" i="20"/>
  <c r="K17" i="19"/>
  <c r="K87" i="16"/>
  <c r="J29" i="19"/>
  <c r="J24" i="18"/>
  <c r="J29" i="20"/>
  <c r="I14" i="18"/>
  <c r="I17" i="18" s="1"/>
  <c r="I19" i="19"/>
  <c r="I22" i="19" s="1"/>
  <c r="I19" i="20"/>
  <c r="I22" i="20" s="1"/>
  <c r="I80" i="16"/>
  <c r="K21" i="20"/>
  <c r="K21" i="19"/>
  <c r="K16" i="18"/>
  <c r="K80" i="16" l="1"/>
  <c r="G36" i="17"/>
  <c r="F39" i="17"/>
  <c r="G39" i="17" s="1"/>
  <c r="J38" i="16"/>
  <c r="H27" i="19"/>
  <c r="H22" i="18"/>
  <c r="H27" i="20"/>
  <c r="H45" i="16"/>
  <c r="I85" i="16"/>
  <c r="I42" i="16"/>
  <c r="K24" i="18"/>
  <c r="K29" i="20"/>
  <c r="K29" i="19"/>
  <c r="K20" i="19"/>
  <c r="K20" i="20"/>
  <c r="K15" i="18"/>
  <c r="J143" i="16"/>
  <c r="K142" i="16"/>
  <c r="K143" i="16" s="1"/>
  <c r="K19" i="19"/>
  <c r="K14" i="18"/>
  <c r="K19" i="20"/>
  <c r="J14" i="18"/>
  <c r="J17" i="18" s="1"/>
  <c r="J19" i="20"/>
  <c r="J22" i="20" s="1"/>
  <c r="J19" i="19"/>
  <c r="J22" i="19" s="1"/>
  <c r="J80" i="16"/>
  <c r="K17" i="18" l="1"/>
  <c r="I27" i="20"/>
  <c r="I22" i="18"/>
  <c r="I27" i="19"/>
  <c r="K22" i="19"/>
  <c r="D17" i="16"/>
  <c r="G40" i="17"/>
  <c r="K22" i="20"/>
  <c r="J85" i="16"/>
  <c r="I45" i="16"/>
  <c r="J42" i="16"/>
  <c r="E122" i="19"/>
  <c r="G122" i="19"/>
  <c r="G122" i="20"/>
  <c r="F122" i="20"/>
  <c r="H122" i="19"/>
  <c r="G115" i="18"/>
  <c r="F122" i="19"/>
  <c r="H115" i="18"/>
  <c r="H122" i="20"/>
  <c r="E122" i="20"/>
  <c r="E115" i="18"/>
  <c r="F115" i="18"/>
  <c r="J27" i="20" l="1"/>
  <c r="J27" i="19"/>
  <c r="J22" i="18"/>
  <c r="G5" i="19"/>
  <c r="G5" i="20"/>
  <c r="D21" i="16"/>
  <c r="F17" i="16"/>
  <c r="D19" i="16"/>
  <c r="K85" i="16"/>
  <c r="J45" i="16"/>
  <c r="F21" i="16" l="1"/>
  <c r="D123" i="20"/>
  <c r="D125" i="20" s="1"/>
  <c r="D116" i="18"/>
  <c r="D118" i="18" s="1"/>
  <c r="F30" i="16"/>
  <c r="D123" i="19"/>
  <c r="D125" i="19" s="1"/>
  <c r="F19" i="16"/>
  <c r="G17" i="16"/>
  <c r="G12" i="20"/>
  <c r="G14" i="20" s="1"/>
  <c r="G24" i="20" s="1"/>
  <c r="G34" i="20" s="1"/>
  <c r="G42" i="20" s="1"/>
  <c r="F62" i="20" s="1"/>
  <c r="H5" i="20"/>
  <c r="H5" i="19"/>
  <c r="G12" i="19"/>
  <c r="G14" i="19" s="1"/>
  <c r="G24" i="19" s="1"/>
  <c r="G34" i="19" s="1"/>
  <c r="G42" i="19" s="1"/>
  <c r="F62" i="19" s="1"/>
  <c r="K27" i="19"/>
  <c r="K22" i="18"/>
  <c r="K27" i="20"/>
  <c r="I62" i="20" l="1"/>
  <c r="F72" i="20"/>
  <c r="F87" i="20" s="1"/>
  <c r="E105" i="20" s="1"/>
  <c r="G19" i="16"/>
  <c r="H17" i="16"/>
  <c r="G70" i="16"/>
  <c r="F31" i="16"/>
  <c r="E167" i="14"/>
  <c r="F167" i="14" s="1"/>
  <c r="F169" i="14" s="1"/>
  <c r="E178" i="14" s="1"/>
  <c r="F72" i="19"/>
  <c r="F87" i="19" s="1"/>
  <c r="E105" i="19" s="1"/>
  <c r="I62" i="19"/>
  <c r="I5" i="19"/>
  <c r="H12" i="19"/>
  <c r="H14" i="19" s="1"/>
  <c r="H24" i="19" s="1"/>
  <c r="I5" i="20"/>
  <c r="H12" i="20"/>
  <c r="H14" i="20" s="1"/>
  <c r="H24" i="20" s="1"/>
  <c r="G30" i="16"/>
  <c r="E116" i="18"/>
  <c r="E118" i="18" s="1"/>
  <c r="E123" i="19"/>
  <c r="E125" i="19" s="1"/>
  <c r="G21" i="16"/>
  <c r="E123" i="20"/>
  <c r="E125" i="20" s="1"/>
  <c r="F133" i="16" l="1"/>
  <c r="F134" i="16" s="1"/>
  <c r="F147" i="16" s="1"/>
  <c r="G122" i="16"/>
  <c r="E179" i="14"/>
  <c r="F97" i="16"/>
  <c r="G31" i="16"/>
  <c r="H70" i="16"/>
  <c r="F40" i="16"/>
  <c r="F50" i="16"/>
  <c r="G112" i="16" s="1"/>
  <c r="G72" i="16"/>
  <c r="G82" i="16" s="1"/>
  <c r="G92" i="16" s="1"/>
  <c r="G100" i="16" s="1"/>
  <c r="G7" i="18"/>
  <c r="G9" i="18" s="1"/>
  <c r="G19" i="18" s="1"/>
  <c r="G29" i="18" s="1"/>
  <c r="G37" i="18" s="1"/>
  <c r="F57" i="18" s="1"/>
  <c r="J5" i="20"/>
  <c r="I12" i="20"/>
  <c r="I14" i="20" s="1"/>
  <c r="I24" i="20" s="1"/>
  <c r="I17" i="16"/>
  <c r="I19" i="16" s="1"/>
  <c r="H19" i="16"/>
  <c r="J5" i="19"/>
  <c r="I12" i="19"/>
  <c r="I14" i="19" s="1"/>
  <c r="I24" i="19" s="1"/>
  <c r="F123" i="20"/>
  <c r="F125" i="20" s="1"/>
  <c r="H21" i="16"/>
  <c r="H30" i="16"/>
  <c r="F116" i="18"/>
  <c r="F118" i="18" s="1"/>
  <c r="F123" i="19"/>
  <c r="F125" i="19" s="1"/>
  <c r="H7" i="18" l="1"/>
  <c r="H9" i="18" s="1"/>
  <c r="H19" i="18" s="1"/>
  <c r="H72" i="16"/>
  <c r="H82" i="16" s="1"/>
  <c r="F48" i="16"/>
  <c r="F196" i="16"/>
  <c r="F98" i="16"/>
  <c r="F100" i="16" s="1"/>
  <c r="F34" i="18"/>
  <c r="F35" i="18" s="1"/>
  <c r="F37" i="18" s="1"/>
  <c r="F56" i="18" s="1"/>
  <c r="F39" i="19"/>
  <c r="F40" i="19" s="1"/>
  <c r="F42" i="19" s="1"/>
  <c r="F61" i="19" s="1"/>
  <c r="F39" i="20"/>
  <c r="F40" i="20" s="1"/>
  <c r="F42" i="20" s="1"/>
  <c r="F61" i="20" s="1"/>
  <c r="G40" i="16"/>
  <c r="G50" i="16"/>
  <c r="H112" i="16" s="1"/>
  <c r="I70" i="16"/>
  <c r="H31" i="16"/>
  <c r="J12" i="20"/>
  <c r="J14" i="20" s="1"/>
  <c r="J24" i="20" s="1"/>
  <c r="K5" i="20"/>
  <c r="K12" i="20" s="1"/>
  <c r="K14" i="20" s="1"/>
  <c r="K24" i="20" s="1"/>
  <c r="D184" i="14"/>
  <c r="E185" i="14"/>
  <c r="D186" i="14"/>
  <c r="K5" i="19"/>
  <c r="K12" i="19" s="1"/>
  <c r="K14" i="19" s="1"/>
  <c r="K24" i="19" s="1"/>
  <c r="J12" i="19"/>
  <c r="J14" i="19" s="1"/>
  <c r="J24" i="19" s="1"/>
  <c r="I57" i="18"/>
  <c r="F67" i="18"/>
  <c r="F82" i="18" s="1"/>
  <c r="E100" i="18" s="1"/>
  <c r="I30" i="16"/>
  <c r="I21" i="16"/>
  <c r="G123" i="20"/>
  <c r="G125" i="20" s="1"/>
  <c r="G123" i="19"/>
  <c r="G125" i="19" s="1"/>
  <c r="G116" i="18"/>
  <c r="G118" i="18" s="1"/>
  <c r="I61" i="20" l="1"/>
  <c r="F71" i="20"/>
  <c r="F86" i="20" s="1"/>
  <c r="J30" i="16"/>
  <c r="H123" i="19"/>
  <c r="H125" i="19" s="1"/>
  <c r="H116" i="18"/>
  <c r="H118" i="18" s="1"/>
  <c r="H123" i="20"/>
  <c r="H125" i="20" s="1"/>
  <c r="F66" i="18"/>
  <c r="F81" i="18" s="1"/>
  <c r="I56" i="18"/>
  <c r="I72" i="16"/>
  <c r="I82" i="16" s="1"/>
  <c r="I7" i="18"/>
  <c r="I9" i="18" s="1"/>
  <c r="I19" i="18" s="1"/>
  <c r="H50" i="16"/>
  <c r="I112" i="16" s="1"/>
  <c r="H40" i="16"/>
  <c r="F71" i="19"/>
  <c r="F86" i="19" s="1"/>
  <c r="I61" i="19"/>
  <c r="J70" i="16"/>
  <c r="I31" i="16"/>
  <c r="F5" i="15"/>
  <c r="E186" i="14"/>
  <c r="G196" i="16"/>
  <c r="G48" i="16"/>
  <c r="D99" i="18" l="1"/>
  <c r="F99" i="18"/>
  <c r="F100" i="18" s="1"/>
  <c r="I40" i="16"/>
  <c r="I50" i="16"/>
  <c r="J112" i="16" s="1"/>
  <c r="J114" i="16" s="1"/>
  <c r="J116" i="16" s="1"/>
  <c r="J7" i="18"/>
  <c r="J9" i="18" s="1"/>
  <c r="J19" i="18" s="1"/>
  <c r="J72" i="16"/>
  <c r="J82" i="16" s="1"/>
  <c r="D104" i="19"/>
  <c r="F104" i="19"/>
  <c r="F105" i="19" s="1"/>
  <c r="K70" i="16"/>
  <c r="J31" i="16"/>
  <c r="H196" i="16"/>
  <c r="H48" i="16"/>
  <c r="D104" i="20"/>
  <c r="F104" i="20"/>
  <c r="F105" i="20" s="1"/>
  <c r="G13" i="15"/>
  <c r="E14" i="15" s="1"/>
  <c r="E153" i="14" s="1"/>
  <c r="F8" i="15"/>
  <c r="D14" i="15" s="1"/>
  <c r="F104" i="16"/>
  <c r="F106" i="16" s="1"/>
  <c r="F116" i="16" s="1"/>
  <c r="F119" i="16" s="1"/>
  <c r="F121" i="16" s="1"/>
  <c r="F124" i="16" s="1"/>
  <c r="I196" i="16" l="1"/>
  <c r="I48" i="16"/>
  <c r="I53" i="16" s="1"/>
  <c r="I56" i="16" s="1"/>
  <c r="J150" i="16" s="1"/>
  <c r="J151" i="16" s="1"/>
  <c r="J153" i="16" s="1"/>
  <c r="D15" i="15"/>
  <c r="D16" i="15" s="1"/>
  <c r="D17" i="15" s="1"/>
  <c r="J40" i="16"/>
  <c r="J50" i="16"/>
  <c r="K112" i="16" s="1"/>
  <c r="K114" i="16" s="1"/>
  <c r="K116" i="16" s="1"/>
  <c r="F14" i="15"/>
  <c r="G14" i="15" s="1"/>
  <c r="E15" i="15" s="1"/>
  <c r="E154" i="14" s="1"/>
  <c r="K72" i="16"/>
  <c r="K82" i="16" s="1"/>
  <c r="K7" i="18"/>
  <c r="K9" i="18" s="1"/>
  <c r="K19" i="18" s="1"/>
  <c r="E166" i="14"/>
  <c r="E169" i="14" s="1"/>
  <c r="K89" i="16" l="1"/>
  <c r="K90" i="16" s="1"/>
  <c r="K92" i="16" s="1"/>
  <c r="K100" i="16" s="1"/>
  <c r="K119" i="16" s="1"/>
  <c r="K121" i="16" s="1"/>
  <c r="J196" i="16"/>
  <c r="J48" i="16"/>
  <c r="J53" i="16" s="1"/>
  <c r="J56" i="16" s="1"/>
  <c r="K150" i="16" s="1"/>
  <c r="K151" i="16" s="1"/>
  <c r="K153" i="16" s="1"/>
  <c r="F15" i="15"/>
  <c r="G15" i="15" s="1"/>
  <c r="E16" i="15" s="1"/>
  <c r="E155" i="14" s="1"/>
  <c r="E156" i="14" s="1"/>
  <c r="I59" i="16"/>
  <c r="I202" i="16" s="1"/>
  <c r="F16" i="15"/>
  <c r="G16" i="15" s="1"/>
  <c r="E17" i="15" s="1"/>
  <c r="F17" i="15" s="1"/>
  <c r="G17" i="15" s="1"/>
  <c r="D18" i="15"/>
  <c r="K31" i="19"/>
  <c r="K32" i="19" s="1"/>
  <c r="K34" i="19" s="1"/>
  <c r="K42" i="19" s="1"/>
  <c r="F66" i="19" s="1"/>
  <c r="K31" i="20"/>
  <c r="K32" i="20" s="1"/>
  <c r="K34" i="20" s="1"/>
  <c r="K42" i="20" s="1"/>
  <c r="F66" i="20" s="1"/>
  <c r="K26" i="18"/>
  <c r="K27" i="18" s="1"/>
  <c r="K29" i="18" s="1"/>
  <c r="K37" i="18" s="1"/>
  <c r="F61" i="18" s="1"/>
  <c r="I61" i="16" l="1"/>
  <c r="I62" i="16" s="1"/>
  <c r="J157" i="16" s="1"/>
  <c r="J59" i="16"/>
  <c r="E18" i="15"/>
  <c r="F18" i="15" s="1"/>
  <c r="G18" i="15" s="1"/>
  <c r="E19" i="15" s="1"/>
  <c r="F71" i="18"/>
  <c r="F86" i="18" s="1"/>
  <c r="E104" i="18" s="1"/>
  <c r="I61" i="18"/>
  <c r="I66" i="19"/>
  <c r="F76" i="19"/>
  <c r="F91" i="19" s="1"/>
  <c r="E109" i="19" s="1"/>
  <c r="I66" i="20"/>
  <c r="F76" i="20"/>
  <c r="F91" i="20" s="1"/>
  <c r="E109" i="20" s="1"/>
  <c r="J202" i="16"/>
  <c r="J61" i="16"/>
  <c r="D19" i="15"/>
  <c r="D20" i="15" s="1"/>
  <c r="D21" i="15" s="1"/>
  <c r="D22" i="15" s="1"/>
  <c r="D23" i="15" s="1"/>
  <c r="D24" i="15" s="1"/>
  <c r="D25" i="15" s="1"/>
  <c r="D26" i="15" s="1"/>
  <c r="D27" i="15" s="1"/>
  <c r="D28" i="15" s="1"/>
  <c r="D29" i="15" s="1"/>
  <c r="D30" i="15" s="1"/>
  <c r="D31" i="15" s="1"/>
  <c r="D32" i="15" s="1"/>
  <c r="D33" i="15" s="1"/>
  <c r="F19" i="15" l="1"/>
  <c r="G19" i="15" s="1"/>
  <c r="J62" i="16"/>
  <c r="K157" i="16" s="1"/>
  <c r="M14" i="15"/>
  <c r="E20" i="15"/>
  <c r="F20" i="15" s="1"/>
  <c r="G20" i="15" s="1"/>
  <c r="E21" i="15" s="1"/>
  <c r="F21" i="15" s="1"/>
  <c r="G21" i="15" s="1"/>
  <c r="D34" i="15"/>
  <c r="M15" i="15" l="1"/>
  <c r="M16" i="15" s="1"/>
  <c r="E22" i="15"/>
  <c r="F22" i="15" s="1"/>
  <c r="G22" i="15" s="1"/>
  <c r="D35" i="15"/>
  <c r="M19" i="15" l="1"/>
  <c r="E23" i="15"/>
  <c r="F23" i="15" s="1"/>
  <c r="G23" i="15" s="1"/>
  <c r="E24" i="15" s="1"/>
  <c r="F24" i="15" s="1"/>
  <c r="G24" i="15" s="1"/>
  <c r="E25" i="15" s="1"/>
  <c r="F25" i="15" s="1"/>
  <c r="D36" i="15"/>
  <c r="N14" i="15" l="1"/>
  <c r="G111" i="16" s="1"/>
  <c r="D37" i="15"/>
  <c r="O14" i="15"/>
  <c r="G25" i="15"/>
  <c r="F49" i="16" l="1"/>
  <c r="F53" i="16" s="1"/>
  <c r="F56" i="16" s="1"/>
  <c r="F59" i="16" s="1"/>
  <c r="D38" i="15"/>
  <c r="E26" i="15"/>
  <c r="P14" i="15"/>
  <c r="F152" i="16" s="1"/>
  <c r="F149" i="16"/>
  <c r="F151" i="16" s="1"/>
  <c r="G110" i="16"/>
  <c r="G114" i="16" s="1"/>
  <c r="G116" i="16" s="1"/>
  <c r="G119" i="16" s="1"/>
  <c r="G121" i="16" s="1"/>
  <c r="G124" i="16" s="1"/>
  <c r="F153" i="16" l="1"/>
  <c r="F160" i="16" s="1"/>
  <c r="F163" i="16" s="1"/>
  <c r="H122" i="16"/>
  <c r="G133" i="16"/>
  <c r="G134" i="16" s="1"/>
  <c r="F26" i="15"/>
  <c r="G26" i="15" s="1"/>
  <c r="D39" i="15"/>
  <c r="F61" i="16"/>
  <c r="G158" i="16" s="1"/>
  <c r="F202" i="16"/>
  <c r="G150" i="16"/>
  <c r="H89" i="16"/>
  <c r="D40" i="15" l="1"/>
  <c r="E27" i="15"/>
  <c r="H90" i="16"/>
  <c r="H92" i="16" s="1"/>
  <c r="H100" i="16" s="1"/>
  <c r="H26" i="18"/>
  <c r="H27" i="18" s="1"/>
  <c r="H29" i="18" s="1"/>
  <c r="H37" i="18" s="1"/>
  <c r="F58" i="18" s="1"/>
  <c r="H31" i="19"/>
  <c r="H32" i="19" s="1"/>
  <c r="H34" i="19" s="1"/>
  <c r="H42" i="19" s="1"/>
  <c r="F63" i="19" s="1"/>
  <c r="H31" i="20"/>
  <c r="H32" i="20" s="1"/>
  <c r="H34" i="20" s="1"/>
  <c r="H42" i="20" s="1"/>
  <c r="F63" i="20" s="1"/>
  <c r="G147" i="16"/>
  <c r="F62" i="16"/>
  <c r="G157" i="16" s="1"/>
  <c r="F68" i="18" l="1"/>
  <c r="I58" i="18"/>
  <c r="F27" i="15"/>
  <c r="G27" i="15" s="1"/>
  <c r="F73" i="19"/>
  <c r="I63" i="19"/>
  <c r="H156" i="16"/>
  <c r="G159" i="16"/>
  <c r="F190" i="16"/>
  <c r="D41" i="15"/>
  <c r="F73" i="20"/>
  <c r="I63" i="20"/>
  <c r="F88" i="20" l="1"/>
  <c r="F88" i="19"/>
  <c r="E28" i="15"/>
  <c r="D42" i="15"/>
  <c r="F83" i="18"/>
  <c r="F28" i="15" l="1"/>
  <c r="G28" i="15" s="1"/>
  <c r="E101" i="18"/>
  <c r="F101" i="18" s="1"/>
  <c r="E106" i="19"/>
  <c r="F106" i="19" s="1"/>
  <c r="D43" i="15"/>
  <c r="E106" i="20"/>
  <c r="D44" i="15" l="1"/>
  <c r="E29" i="15"/>
  <c r="H104" i="20"/>
  <c r="H105" i="20" s="1"/>
  <c r="H114" i="20" s="1"/>
  <c r="F106" i="20"/>
  <c r="F29" i="15" l="1"/>
  <c r="G29" i="15" s="1"/>
  <c r="D45" i="15"/>
  <c r="D46" i="15" l="1"/>
  <c r="E30" i="15"/>
  <c r="F30" i="15" l="1"/>
  <c r="G30" i="15" s="1"/>
  <c r="D47" i="15"/>
  <c r="D48" i="15" l="1"/>
  <c r="E31" i="15"/>
  <c r="F31" i="15" s="1"/>
  <c r="G31" i="15" s="1"/>
  <c r="E32" i="15" l="1"/>
  <c r="F32" i="15" s="1"/>
  <c r="G32" i="15" s="1"/>
  <c r="D49" i="15"/>
  <c r="E33" i="15" l="1"/>
  <c r="F33" i="15" s="1"/>
  <c r="G33" i="15" s="1"/>
  <c r="E34" i="15" l="1"/>
  <c r="F34" i="15" s="1"/>
  <c r="G34" i="15" s="1"/>
  <c r="E35" i="15" l="1"/>
  <c r="F35" i="15" s="1"/>
  <c r="G35" i="15" s="1"/>
  <c r="E36" i="15" l="1"/>
  <c r="F36" i="15" s="1"/>
  <c r="G36" i="15" s="1"/>
  <c r="E37" i="15" l="1"/>
  <c r="F37" i="15" l="1"/>
  <c r="G37" i="15" s="1"/>
  <c r="N15" i="15"/>
  <c r="G49" i="16" l="1"/>
  <c r="G53" i="16" s="1"/>
  <c r="H111" i="16"/>
  <c r="O15" i="15"/>
  <c r="P15" i="15"/>
  <c r="G152" i="16" s="1"/>
  <c r="E38" i="15"/>
  <c r="F38" i="15" l="1"/>
  <c r="G38" i="15" s="1"/>
  <c r="H110" i="16"/>
  <c r="H114" i="16" s="1"/>
  <c r="H116" i="16" s="1"/>
  <c r="H119" i="16" s="1"/>
  <c r="H121" i="16" s="1"/>
  <c r="H124" i="16" s="1"/>
  <c r="G149" i="16"/>
  <c r="G151" i="16" s="1"/>
  <c r="G56" i="16"/>
  <c r="G59" i="16" s="1"/>
  <c r="G61" i="16" l="1"/>
  <c r="H158" i="16" s="1"/>
  <c r="G202" i="16"/>
  <c r="G153" i="16"/>
  <c r="F178" i="16"/>
  <c r="F172" i="16"/>
  <c r="I89" i="16"/>
  <c r="H150" i="16"/>
  <c r="E39" i="15"/>
  <c r="H133" i="16"/>
  <c r="H134" i="16" s="1"/>
  <c r="I122" i="16"/>
  <c r="I90" i="16" l="1"/>
  <c r="I92" i="16" s="1"/>
  <c r="I100" i="16" s="1"/>
  <c r="I31" i="20"/>
  <c r="I32" i="20" s="1"/>
  <c r="I34" i="20" s="1"/>
  <c r="I42" i="20" s="1"/>
  <c r="F64" i="20" s="1"/>
  <c r="I31" i="19"/>
  <c r="I32" i="19" s="1"/>
  <c r="I34" i="19" s="1"/>
  <c r="I42" i="19" s="1"/>
  <c r="F64" i="19" s="1"/>
  <c r="I26" i="18"/>
  <c r="I27" i="18" s="1"/>
  <c r="I29" i="18" s="1"/>
  <c r="I37" i="18" s="1"/>
  <c r="F59" i="18" s="1"/>
  <c r="F184" i="16"/>
  <c r="G160" i="16"/>
  <c r="G163" i="16" s="1"/>
  <c r="F39" i="15"/>
  <c r="G39" i="15" s="1"/>
  <c r="G62" i="16"/>
  <c r="H157" i="16" s="1"/>
  <c r="H147" i="16"/>
  <c r="E40" i="15" l="1"/>
  <c r="F69" i="18"/>
  <c r="I59" i="18"/>
  <c r="F74" i="20"/>
  <c r="I64" i="20"/>
  <c r="I64" i="19"/>
  <c r="F74" i="19"/>
  <c r="G190" i="16"/>
  <c r="I156" i="16"/>
  <c r="H159" i="16"/>
  <c r="F89" i="19" l="1"/>
  <c r="F40" i="15"/>
  <c r="G40" i="15" s="1"/>
  <c r="F89" i="20"/>
  <c r="F84" i="18"/>
  <c r="E41" i="15" l="1"/>
  <c r="E107" i="20"/>
  <c r="F107" i="20" s="1"/>
  <c r="E102" i="18"/>
  <c r="F102" i="18" s="1"/>
  <c r="E107" i="19"/>
  <c r="F107" i="19" s="1"/>
  <c r="F41" i="15" l="1"/>
  <c r="G41" i="15" s="1"/>
  <c r="E42" i="15" l="1"/>
  <c r="F42" i="15" l="1"/>
  <c r="G42" i="15" s="1"/>
  <c r="E43" i="15" l="1"/>
  <c r="F43" i="15" s="1"/>
  <c r="G43" i="15" s="1"/>
  <c r="E44" i="15" l="1"/>
  <c r="F44" i="15" s="1"/>
  <c r="G44" i="15" s="1"/>
  <c r="E45" i="15" l="1"/>
  <c r="F45" i="15" s="1"/>
  <c r="G45" i="15" s="1"/>
  <c r="E46" i="15" l="1"/>
  <c r="F46" i="15" s="1"/>
  <c r="G46" i="15" s="1"/>
  <c r="E47" i="15" l="1"/>
  <c r="F47" i="15" s="1"/>
  <c r="G47" i="15" s="1"/>
  <c r="E48" i="15" l="1"/>
  <c r="F48" i="15" s="1"/>
  <c r="G48" i="15" s="1"/>
  <c r="E49" i="15" l="1"/>
  <c r="F49" i="15" l="1"/>
  <c r="G49" i="15" s="1"/>
  <c r="N16" i="15"/>
  <c r="H49" i="16" l="1"/>
  <c r="H53" i="16" s="1"/>
  <c r="I111" i="16"/>
  <c r="O16" i="15"/>
  <c r="N19" i="15"/>
  <c r="I110" i="16" l="1"/>
  <c r="I114" i="16" s="1"/>
  <c r="I116" i="16" s="1"/>
  <c r="I119" i="16" s="1"/>
  <c r="I121" i="16" s="1"/>
  <c r="I124" i="16" s="1"/>
  <c r="P16" i="15"/>
  <c r="H152" i="16" s="1"/>
  <c r="H149" i="16"/>
  <c r="H151" i="16" s="1"/>
  <c r="O19" i="15"/>
  <c r="H56" i="16"/>
  <c r="J89" i="16" l="1"/>
  <c r="I150" i="16"/>
  <c r="I151" i="16" s="1"/>
  <c r="I153" i="16" s="1"/>
  <c r="H59" i="16"/>
  <c r="H153" i="16"/>
  <c r="G172" i="16"/>
  <c r="G178" i="16"/>
  <c r="I133" i="16"/>
  <c r="I134" i="16" s="1"/>
  <c r="J122" i="16"/>
  <c r="G184" i="16" l="1"/>
  <c r="H160" i="16"/>
  <c r="H163" i="16" s="1"/>
  <c r="H172" i="16"/>
  <c r="I147" i="16"/>
  <c r="H178" i="16"/>
  <c r="H61" i="16"/>
  <c r="I158" i="16" s="1"/>
  <c r="J158" i="16" s="1"/>
  <c r="K158" i="16" s="1"/>
  <c r="H202" i="16"/>
  <c r="J31" i="19"/>
  <c r="J32" i="19" s="1"/>
  <c r="J34" i="19" s="1"/>
  <c r="J42" i="19" s="1"/>
  <c r="F65" i="19" s="1"/>
  <c r="J26" i="18"/>
  <c r="J27" i="18" s="1"/>
  <c r="J29" i="18" s="1"/>
  <c r="J37" i="18" s="1"/>
  <c r="F60" i="18" s="1"/>
  <c r="J31" i="20"/>
  <c r="J32" i="20" s="1"/>
  <c r="J34" i="20" s="1"/>
  <c r="J42" i="20" s="1"/>
  <c r="F65" i="20" s="1"/>
  <c r="J90" i="16"/>
  <c r="J92" i="16" s="1"/>
  <c r="J100" i="16" s="1"/>
  <c r="J119" i="16" s="1"/>
  <c r="J121" i="16" s="1"/>
  <c r="J124" i="16" s="1"/>
  <c r="H62" i="16" l="1"/>
  <c r="I157" i="16" s="1"/>
  <c r="J156" i="16" s="1"/>
  <c r="I159" i="16"/>
  <c r="I160" i="16" s="1"/>
  <c r="I163" i="16" s="1"/>
  <c r="H190" i="16"/>
  <c r="H184" i="16"/>
  <c r="I65" i="20"/>
  <c r="I67" i="20" s="1"/>
  <c r="F75" i="20"/>
  <c r="K122" i="16"/>
  <c r="K124" i="16" s="1"/>
  <c r="K133" i="16" s="1"/>
  <c r="K134" i="16" s="1"/>
  <c r="J133" i="16"/>
  <c r="J134" i="16" s="1"/>
  <c r="F70" i="18"/>
  <c r="I60" i="18"/>
  <c r="I62" i="18" s="1"/>
  <c r="I65" i="19"/>
  <c r="I67" i="19" s="1"/>
  <c r="F75" i="19"/>
  <c r="F90" i="20" l="1"/>
  <c r="F80" i="20"/>
  <c r="E10" i="21" s="1"/>
  <c r="F90" i="19"/>
  <c r="F80" i="19"/>
  <c r="C10" i="21" s="1"/>
  <c r="K147" i="16"/>
  <c r="J178" i="16"/>
  <c r="J172" i="16"/>
  <c r="F85" i="18"/>
  <c r="F75" i="18"/>
  <c r="D10" i="21" s="1"/>
  <c r="I172" i="16"/>
  <c r="J147" i="16"/>
  <c r="I178" i="16"/>
  <c r="J159" i="16"/>
  <c r="J160" i="16" s="1"/>
  <c r="K156" i="16"/>
  <c r="K159" i="16" s="1"/>
  <c r="K160" i="16" s="1"/>
  <c r="E103" i="18" l="1"/>
  <c r="F88" i="18"/>
  <c r="D11" i="21" s="1"/>
  <c r="J190" i="16"/>
  <c r="K163" i="16"/>
  <c r="J184" i="16"/>
  <c r="J163" i="16"/>
  <c r="I190" i="16"/>
  <c r="I184" i="16"/>
  <c r="E108" i="19"/>
  <c r="F108" i="19" s="1"/>
  <c r="F109" i="19" s="1"/>
  <c r="F110" i="19" s="1"/>
  <c r="F93" i="19"/>
  <c r="E108" i="20"/>
  <c r="F108" i="20" s="1"/>
  <c r="F109" i="20" s="1"/>
  <c r="F110" i="20" s="1"/>
  <c r="F93" i="20"/>
  <c r="E11" i="21" s="1"/>
  <c r="F103" i="18" l="1"/>
  <c r="F104" i="18" s="1"/>
  <c r="H99" i="18"/>
  <c r="H100" i="18" s="1"/>
  <c r="H107" i="1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Asus</author>
  </authors>
  <commentList>
    <comment ref="F7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Se tiene en cuenta un porcentaje menseual, por ser un factor que se paga anualmente
</t>
        </r>
      </text>
    </comment>
    <comment ref="F8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Se tiene en cuenta un porcentaje menseual, por ser un factor que se paga anualmente</t>
        </r>
      </text>
    </comment>
    <comment ref="D69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Se estima una producción de 6732 unidades mensuales, cintemplamndo un stock de 2 semanas para eventualidades que puedan suceder</t>
        </r>
      </text>
    </comment>
    <comment ref="M69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Stock de dos semanas </t>
        </r>
      </text>
    </comment>
  </commentList>
</comments>
</file>

<file path=xl/sharedStrings.xml><?xml version="1.0" encoding="utf-8"?>
<sst xmlns="http://schemas.openxmlformats.org/spreadsheetml/2006/main" count="978" uniqueCount="389">
  <si>
    <t>CONCEPTO</t>
  </si>
  <si>
    <t>CANTIDAD</t>
  </si>
  <si>
    <t>TOTAL</t>
  </si>
  <si>
    <t>Muebles y enseres</t>
  </si>
  <si>
    <t>DESCRIPCIÓN</t>
  </si>
  <si>
    <t xml:space="preserve">Inversión Diferida </t>
  </si>
  <si>
    <t>Energía</t>
  </si>
  <si>
    <t>Gastos Financieros</t>
  </si>
  <si>
    <t>año 3</t>
  </si>
  <si>
    <t>Equipos de oficina</t>
  </si>
  <si>
    <t>Papelería</t>
  </si>
  <si>
    <t>Año</t>
  </si>
  <si>
    <t>Año 1</t>
  </si>
  <si>
    <t>Año 2</t>
  </si>
  <si>
    <t>Año 4</t>
  </si>
  <si>
    <t>Año 5</t>
  </si>
  <si>
    <t>Imprevistos</t>
  </si>
  <si>
    <t xml:space="preserve">VALOR UNITARIO </t>
  </si>
  <si>
    <t>VALOR TOTAL</t>
  </si>
  <si>
    <t>VALOR UNITARIO</t>
  </si>
  <si>
    <t xml:space="preserve">VALOR TOTAL </t>
  </si>
  <si>
    <t>COSTO</t>
  </si>
  <si>
    <t>Maquinaria y Equipos</t>
  </si>
  <si>
    <t>Cuadro</t>
  </si>
  <si>
    <t>Herramientas</t>
  </si>
  <si>
    <t>VALOR</t>
  </si>
  <si>
    <t>Inversión Fija</t>
  </si>
  <si>
    <t>Cesantías</t>
  </si>
  <si>
    <t>Interés cesantías</t>
  </si>
  <si>
    <t>Vacaciones</t>
  </si>
  <si>
    <t>Prima</t>
  </si>
  <si>
    <t>Parafiscales</t>
  </si>
  <si>
    <t xml:space="preserve">Dotación </t>
  </si>
  <si>
    <t>Riesgos profesionales</t>
  </si>
  <si>
    <t>Factor prestacional</t>
  </si>
  <si>
    <t xml:space="preserve">Cuadro </t>
  </si>
  <si>
    <t>TOTAL FACTOR PRESTACIONAL</t>
  </si>
  <si>
    <t>FACTOR</t>
  </si>
  <si>
    <t>Mano de Obra Directa</t>
  </si>
  <si>
    <t>Básico</t>
  </si>
  <si>
    <t>ÍTEM</t>
  </si>
  <si>
    <t>SALARIO BÁSICO</t>
  </si>
  <si>
    <t>SUBSIDIO DE TRANSPORTE</t>
  </si>
  <si>
    <t>ASIGNACIÓN MENSUAL</t>
  </si>
  <si>
    <t>UNITARIO</t>
  </si>
  <si>
    <t>TOTAL ANUAL</t>
  </si>
  <si>
    <t>FACTOR PRESTACIONAL</t>
  </si>
  <si>
    <t>Depreciaciones</t>
  </si>
  <si>
    <t>TIEMPO A DEPRECIAR</t>
  </si>
  <si>
    <t>VALOR DE SALVAMENTO</t>
  </si>
  <si>
    <t>DEPRECIACIÓN ANUAL</t>
  </si>
  <si>
    <t>DEPRECIACIÓN MENSUAL</t>
  </si>
  <si>
    <t>VALOR A DEPRECIAR</t>
  </si>
  <si>
    <t>Materia Prima</t>
  </si>
  <si>
    <t>VALOR A PRESTAR</t>
  </si>
  <si>
    <t>TIEMPO</t>
  </si>
  <si>
    <t>TASA MENSUAL</t>
  </si>
  <si>
    <t>Meses</t>
  </si>
  <si>
    <t>Mensual</t>
  </si>
  <si>
    <t>CUOTA</t>
  </si>
  <si>
    <t>VALOR PAGO</t>
  </si>
  <si>
    <t>PAGO</t>
  </si>
  <si>
    <t>INTERESES</t>
  </si>
  <si>
    <t>ABONO A CAPITAL</t>
  </si>
  <si>
    <t>SALDO</t>
  </si>
  <si>
    <t>AÑO</t>
  </si>
  <si>
    <t>PAGOS</t>
  </si>
  <si>
    <t>Mantenimiento</t>
  </si>
  <si>
    <t>Seguros</t>
  </si>
  <si>
    <t>Servicios</t>
  </si>
  <si>
    <t>VALOR MENSUAL</t>
  </si>
  <si>
    <t>VALOR ANUAL</t>
  </si>
  <si>
    <t>Gastos de Administración</t>
  </si>
  <si>
    <t>Arriendos</t>
  </si>
  <si>
    <t>Gasto de Personal Administrativo</t>
  </si>
  <si>
    <t>MATERIALES</t>
  </si>
  <si>
    <t>UNIDAD</t>
  </si>
  <si>
    <t>COSTO POR UNIDAD</t>
  </si>
  <si>
    <t>Contratación Externa (Servicios Contables)</t>
  </si>
  <si>
    <t>Terrenos</t>
  </si>
  <si>
    <t>Mano de Obra Directa MOD</t>
  </si>
  <si>
    <t>COSTO MENSUAL</t>
  </si>
  <si>
    <t>Mes</t>
  </si>
  <si>
    <t>Margen de Utilidad</t>
  </si>
  <si>
    <t>Precio de Venta</t>
  </si>
  <si>
    <t>Gastos de Personal</t>
  </si>
  <si>
    <t>Gastos de Personal de Ventas</t>
  </si>
  <si>
    <t>Arrendamiento</t>
  </si>
  <si>
    <t>Gas</t>
  </si>
  <si>
    <t>SERVICIOS PÚBLICOS Y ARRENDAMIENTOS</t>
  </si>
  <si>
    <t>PORCENTAJES DE PRORRATEO</t>
  </si>
  <si>
    <t>OPERATIVO</t>
  </si>
  <si>
    <t>ADMINISTRATIVO</t>
  </si>
  <si>
    <t>Prorrateo de Costos y Gastos</t>
  </si>
  <si>
    <t>GASTOS FINANCIEROS</t>
  </si>
  <si>
    <t>VALOR MES</t>
  </si>
  <si>
    <t>Capital de Trabajo</t>
  </si>
  <si>
    <t>Gastos de Administración y Ventas</t>
  </si>
  <si>
    <t>Amortización De Crédito</t>
  </si>
  <si>
    <t>Resumen del Crédito</t>
  </si>
  <si>
    <t>Se debe explicar para cuantos meses necesita recursos</t>
  </si>
  <si>
    <t>Monto de Intereses mes 1</t>
  </si>
  <si>
    <t>Monto de intereses mes 2</t>
  </si>
  <si>
    <t>monto de intereses mes 3</t>
  </si>
  <si>
    <t>VALOR A NECESITAR</t>
  </si>
  <si>
    <t>CAPITAL DE TRABAJO</t>
  </si>
  <si>
    <t>Inversión Total</t>
  </si>
  <si>
    <t>INVERSIÓN TOTAL</t>
  </si>
  <si>
    <t xml:space="preserve">VALOR </t>
  </si>
  <si>
    <t>Inversión Diferida</t>
  </si>
  <si>
    <t>COSTOS FIJOS</t>
  </si>
  <si>
    <t xml:space="preserve">    Arriendo</t>
  </si>
  <si>
    <t xml:space="preserve">    Servicios</t>
  </si>
  <si>
    <t xml:space="preserve">    Depreciación</t>
  </si>
  <si>
    <t xml:space="preserve">    Mantenimiento</t>
  </si>
  <si>
    <t xml:space="preserve">    Seguros</t>
  </si>
  <si>
    <t>Costos Totales Unitarios</t>
  </si>
  <si>
    <t>Total Anual de Costos Fijos</t>
  </si>
  <si>
    <t>Total Anual de Costos Variables</t>
  </si>
  <si>
    <t>Estado de Resultados Proyectado</t>
  </si>
  <si>
    <t>TOTAL INGRESOS</t>
  </si>
  <si>
    <t>UTILIDAD BRUTA</t>
  </si>
  <si>
    <t>GASTOS DE ADMINISTRACIÓN Y VENTAS</t>
  </si>
  <si>
    <t>UTILIDAD ANTES DE IMPUESTO</t>
  </si>
  <si>
    <t>Provisión para Impuestos</t>
  </si>
  <si>
    <t>UTILIDAD NETA</t>
  </si>
  <si>
    <t>Flujo de Caja Proyectado</t>
  </si>
  <si>
    <t>Ingresos operacionales</t>
  </si>
  <si>
    <t>Recuperación de Cartera</t>
  </si>
  <si>
    <t>Total de Ingresos Operacionales</t>
  </si>
  <si>
    <t>Pagos de Costos</t>
  </si>
  <si>
    <t>Pago de Materia Prima</t>
  </si>
  <si>
    <t>Pago Costos Indirectos Fijos</t>
  </si>
  <si>
    <t>Pago Costos Indirectos Variables</t>
  </si>
  <si>
    <t>Pago de Mano de Obra Directa</t>
  </si>
  <si>
    <t>FLUJO DE CAJA OPERACIONAL BRUTO</t>
  </si>
  <si>
    <t>Pago de Gastos de Administración</t>
  </si>
  <si>
    <t>Pagos de Gastos</t>
  </si>
  <si>
    <t>Amortizaciones</t>
  </si>
  <si>
    <t>Pago de Gastos de Ventas</t>
  </si>
  <si>
    <t>Total Pago de Gastos Operacionales</t>
  </si>
  <si>
    <t>Total Pagos de Costos Operacionales</t>
  </si>
  <si>
    <t>FLUJO DE CAJA OPERACIONAL NETO</t>
  </si>
  <si>
    <t>Inversiones</t>
  </si>
  <si>
    <t>Inversión en Capital de Trabajo</t>
  </si>
  <si>
    <t>Total de Inversiones</t>
  </si>
  <si>
    <t>Pago de Impuestos</t>
  </si>
  <si>
    <t>Gravamen del 4 x 1.000</t>
  </si>
  <si>
    <t>FLUJO DE CAJA LIBRE</t>
  </si>
  <si>
    <t>Aportes de los socios</t>
  </si>
  <si>
    <t>Crédito a solicitar</t>
  </si>
  <si>
    <t>Caja y Bancos</t>
  </si>
  <si>
    <t>Total Activo Corriente</t>
  </si>
  <si>
    <t>Construcciones</t>
  </si>
  <si>
    <t>Maquinaria y Equipo</t>
  </si>
  <si>
    <t>Muebles y Enseres</t>
  </si>
  <si>
    <t>Depreciación Acumulada</t>
  </si>
  <si>
    <t>Total Activo Fijo Neto</t>
  </si>
  <si>
    <t>Activo Diferido Neto</t>
  </si>
  <si>
    <t>Equipos de Oficina</t>
  </si>
  <si>
    <t>Obligaciones Financieras</t>
  </si>
  <si>
    <t>Impuestos por pagar</t>
  </si>
  <si>
    <t>Total Pasivo Corriente</t>
  </si>
  <si>
    <t>Obligaciones de Largo Plazo</t>
  </si>
  <si>
    <t>PASIVO TOTAL</t>
  </si>
  <si>
    <t>Aportes Sociales</t>
  </si>
  <si>
    <t>Utilidades Ejercicios Anteriores</t>
  </si>
  <si>
    <t>Utilidades del Presente Ejercicio</t>
  </si>
  <si>
    <t xml:space="preserve">RESERVAS </t>
  </si>
  <si>
    <t>PATRIMONIO TOTAL</t>
  </si>
  <si>
    <t>TOTAL PASIVO + PATRIMONIO</t>
  </si>
  <si>
    <t>Flujo de Caja Libre</t>
  </si>
  <si>
    <t>Año 0</t>
  </si>
  <si>
    <t>FLUJO ESPERADO</t>
  </si>
  <si>
    <t>Forma de Cálculo 1</t>
  </si>
  <si>
    <t>Forma de Cálculo 2</t>
  </si>
  <si>
    <t>TASA DE DESCUENTO</t>
  </si>
  <si>
    <t>TASA</t>
  </si>
  <si>
    <t>VPN</t>
  </si>
  <si>
    <t>FACTOR DE DESCUENTO</t>
  </si>
  <si>
    <t>TIR</t>
  </si>
  <si>
    <t>Efectivo Anual</t>
  </si>
  <si>
    <t>VALOR ACTUAL</t>
  </si>
  <si>
    <t>Cálculo de la Tasa Interna de Retorno TIR</t>
  </si>
  <si>
    <t>Cálculo del Valor Presente Neto VPN</t>
  </si>
  <si>
    <t>Equipo de oficina</t>
  </si>
  <si>
    <t>Maquinaria y equipo</t>
  </si>
  <si>
    <t>Publicidad de operación</t>
  </si>
  <si>
    <t>Costos Fijos</t>
  </si>
  <si>
    <t xml:space="preserve">Costos Variabes </t>
  </si>
  <si>
    <t xml:space="preserve">Costos Totales Unitarios </t>
  </si>
  <si>
    <t>Proyección de Unidades a Vender</t>
  </si>
  <si>
    <t>Socios</t>
  </si>
  <si>
    <t>Deuda</t>
  </si>
  <si>
    <t>DEPRECIACIÒN</t>
  </si>
  <si>
    <t>VALOR UNIDAD DE INSUMO</t>
  </si>
  <si>
    <t>COSTO ANUAL</t>
  </si>
  <si>
    <t>Total Gastos de Administración y Ventas</t>
  </si>
  <si>
    <t>RAZÓN CORRIENTE</t>
  </si>
  <si>
    <t>NIVEL DE ENDEUDAMIENTO</t>
  </si>
  <si>
    <t>ROTACIÓN DE ACTIVOS</t>
  </si>
  <si>
    <t>MARGEN BRUTO DE GANANCIA</t>
  </si>
  <si>
    <t xml:space="preserve">SERVICIOS PÚBLICOS </t>
  </si>
  <si>
    <t>Costos Indirectos de P. S Variables</t>
  </si>
  <si>
    <t>Costos Indirectos de P. S Fijos</t>
  </si>
  <si>
    <t>COSTOS DE PRESTACION SERVICIO</t>
  </si>
  <si>
    <t>Herraminentas</t>
  </si>
  <si>
    <t>Herramientas (o utensilios De valor considerable)</t>
  </si>
  <si>
    <t>Valor Amortización Anual (Por cinco años)</t>
  </si>
  <si>
    <t>Cuadro 2</t>
  </si>
  <si>
    <t>Cuadro 3</t>
  </si>
  <si>
    <t>Cuadro 4</t>
  </si>
  <si>
    <t>Cuadro 5</t>
  </si>
  <si>
    <t>CONSUMO POR  unidad</t>
  </si>
  <si>
    <t>Unidades proyectadas AÑO</t>
  </si>
  <si>
    <t xml:space="preserve">Costos Indirectos </t>
  </si>
  <si>
    <t>Materia Prima (si es servicios no va, iría como insumos)</t>
  </si>
  <si>
    <t>Depreciación Muebles y enseres</t>
  </si>
  <si>
    <t>Depreciación Equipos de oficina</t>
  </si>
  <si>
    <t>Depreciación Herramientas</t>
  </si>
  <si>
    <t>Cuadro 13</t>
  </si>
  <si>
    <t>Cuadro 14</t>
  </si>
  <si>
    <t>Costos y Gastos Mensuales</t>
  </si>
  <si>
    <t>Cuadro 15</t>
  </si>
  <si>
    <t>(Depreciaciones y amortizaciones)</t>
  </si>
  <si>
    <t>Cuadro 6</t>
  </si>
  <si>
    <t>Cuadro 7</t>
  </si>
  <si>
    <t>Cuadro 21</t>
  </si>
  <si>
    <t>Ingresos Operacionales por ventas</t>
  </si>
  <si>
    <t>Terrenos (Compra de lote o terreno para Construcción)</t>
  </si>
  <si>
    <t>Terreno</t>
  </si>
  <si>
    <t>VERIFICACIÓN DE SALDOS</t>
  </si>
  <si>
    <t>RAZONES FINANCIERAS</t>
  </si>
  <si>
    <t>MARGEN NETO DE UTILIDAD</t>
  </si>
  <si>
    <t>Incremento anual en Ventas</t>
  </si>
  <si>
    <t>Cuadro 9</t>
  </si>
  <si>
    <t>Cuadro 11</t>
  </si>
  <si>
    <t>DISTRIBUCIÓN DEPRECIACIÓN</t>
  </si>
  <si>
    <t>Cuadro 8</t>
  </si>
  <si>
    <t>Cuadro 17</t>
  </si>
  <si>
    <t>Cuadro 19</t>
  </si>
  <si>
    <t>Cuadro 18</t>
  </si>
  <si>
    <t>Cuadro 25</t>
  </si>
  <si>
    <t>Cuadro 26</t>
  </si>
  <si>
    <t>Cuadro 27</t>
  </si>
  <si>
    <t>Cuadros 15 y 19</t>
  </si>
  <si>
    <t>Cuadro 16</t>
  </si>
  <si>
    <t>Cuadro 20</t>
  </si>
  <si>
    <t>Cuadro 22</t>
  </si>
  <si>
    <t>APORTES</t>
  </si>
  <si>
    <t>Costos Indirectos Fijos</t>
  </si>
  <si>
    <t>Costos Indirectos Variables</t>
  </si>
  <si>
    <t>Unidades a Vender</t>
  </si>
  <si>
    <t>Año Cero (hoy)</t>
  </si>
  <si>
    <t>Tomado de Cuadro 33</t>
  </si>
  <si>
    <t>Cuadro 28</t>
  </si>
  <si>
    <t>Cuadro 32</t>
  </si>
  <si>
    <t>Cálculo del Precio de Venta</t>
  </si>
  <si>
    <t>Cuadro 1</t>
  </si>
  <si>
    <t>Cuadro  4</t>
  </si>
  <si>
    <t>Cuadro  5</t>
  </si>
  <si>
    <t>Cuadro  6</t>
  </si>
  <si>
    <t>*Este valor se toma de las unidades proyectadas a producir</t>
  </si>
  <si>
    <t xml:space="preserve"> </t>
  </si>
  <si>
    <t xml:space="preserve">Terrenos </t>
  </si>
  <si>
    <t>CANTIDAD MENSUAL REQUERIDA</t>
  </si>
  <si>
    <t>Unidades proyectadas MES</t>
  </si>
  <si>
    <t>Cafeteria</t>
  </si>
  <si>
    <t>Gastos de administración y ventas</t>
  </si>
  <si>
    <t>Número de servicios o productos para el cual fueron calculados los costos</t>
  </si>
  <si>
    <t>Inversión diferida</t>
  </si>
  <si>
    <t>Amorización diferida</t>
  </si>
  <si>
    <t>UTILIDAD DEL EJERCICIO</t>
  </si>
  <si>
    <t xml:space="preserve">Otros Ingresos </t>
  </si>
  <si>
    <t>UTILIDAD OPERACIONAL</t>
  </si>
  <si>
    <t>FLUJO DE CAJA DE FINANCIACIÓN</t>
  </si>
  <si>
    <t>Financiación</t>
  </si>
  <si>
    <t>Aportes de  los socios</t>
  </si>
  <si>
    <t>Crédito Financiero</t>
  </si>
  <si>
    <t>Otras Fuentes (Valor en libros de Activos)</t>
  </si>
  <si>
    <t>Total Ingresos de Financiación</t>
  </si>
  <si>
    <t>Egresos de Financiación</t>
  </si>
  <si>
    <t>Abonos a capital</t>
  </si>
  <si>
    <t>Pago de Intereses</t>
  </si>
  <si>
    <t>Pago de Utilidades</t>
  </si>
  <si>
    <t>Total Egresos de Financiación</t>
  </si>
  <si>
    <t>FLUJO NETO DE CAJA</t>
  </si>
  <si>
    <t>Flujo de caja del período</t>
  </si>
  <si>
    <t xml:space="preserve">Saldo anterior de Caja y Bancos </t>
  </si>
  <si>
    <t>SALDO FINAL DE CAJA Y BANCOS</t>
  </si>
  <si>
    <t>ACTIVO TOTAL</t>
  </si>
  <si>
    <t>DTF</t>
  </si>
  <si>
    <t>Riesgo</t>
  </si>
  <si>
    <t>VALOR PRESENTE NETO</t>
  </si>
  <si>
    <t>Cálculo de la Tasa de Descuento o Tasa de Oportunidad</t>
  </si>
  <si>
    <t>Periodo</t>
  </si>
  <si>
    <t>Inversión</t>
  </si>
  <si>
    <t>Inversión - F.Caja</t>
  </si>
  <si>
    <t>Años</t>
  </si>
  <si>
    <t>Año 3</t>
  </si>
  <si>
    <t>Cálculo de Periodo de Recuperación de la Inversión PRI</t>
  </si>
  <si>
    <t>Flujo Caja Anual</t>
  </si>
  <si>
    <t>PRI</t>
  </si>
  <si>
    <t>PUNTO DE EQUILIBRIO</t>
  </si>
  <si>
    <t>COSTOS VARIABLES</t>
  </si>
  <si>
    <t xml:space="preserve">COSTOS TOTALES UNITARIOS </t>
  </si>
  <si>
    <t>Precio de venta</t>
  </si>
  <si>
    <t>Costo Variable Unitario</t>
  </si>
  <si>
    <t>Qu</t>
  </si>
  <si>
    <t>Cálculo Punto de Equilibrio Qu</t>
  </si>
  <si>
    <t>PROYECCIONES A PRECIOS CONSTANTES</t>
  </si>
  <si>
    <t>TO</t>
  </si>
  <si>
    <t>Tasa de Descuento o Tasa de Oportunidad</t>
  </si>
  <si>
    <t>Servicio de acueducto, alcantirillado y aseo</t>
  </si>
  <si>
    <t>Servicio de acueducto, alcantarillado y aseo</t>
  </si>
  <si>
    <t>Internet banda ancha</t>
  </si>
  <si>
    <t>Equipos de oficina y comunicación</t>
  </si>
  <si>
    <t xml:space="preserve">AÑO 1 </t>
  </si>
  <si>
    <t>AÑO 2</t>
  </si>
  <si>
    <t>AÑO 3</t>
  </si>
  <si>
    <t>AÑO 4</t>
  </si>
  <si>
    <t>AÑO 5</t>
  </si>
  <si>
    <t>Internet banda ancha, televisión y telefonía</t>
  </si>
  <si>
    <t>Sistema de video seguridad</t>
  </si>
  <si>
    <t>VALOR UNITARIO  PROMEDIO</t>
  </si>
  <si>
    <t>Escritorios</t>
  </si>
  <si>
    <t>Computadores</t>
  </si>
  <si>
    <t>Sillas ergonómicas</t>
  </si>
  <si>
    <t>Impresora / Fotocopiadora</t>
  </si>
  <si>
    <t>Lockers 6 puestos</t>
  </si>
  <si>
    <t>Microondas</t>
  </si>
  <si>
    <t>Comedor laboral</t>
  </si>
  <si>
    <t>Renovación matricula mercantil</t>
  </si>
  <si>
    <t>Registro de marca y documentación</t>
  </si>
  <si>
    <t>Cumplimiento de requisitos sanitarios</t>
  </si>
  <si>
    <t>Registro INVIMA</t>
  </si>
  <si>
    <t>Publicidad de lanzamiento</t>
  </si>
  <si>
    <t>Gerente</t>
  </si>
  <si>
    <t>KG</t>
  </si>
  <si>
    <t>Unidad</t>
  </si>
  <si>
    <t>Balance general</t>
  </si>
  <si>
    <t>SMLMV 2024</t>
  </si>
  <si>
    <t>Operario de producción</t>
  </si>
  <si>
    <t>Bomba Centrifuga de Acero Inoxidable</t>
  </si>
  <si>
    <t xml:space="preserve">Sistema de ósmosis inversa </t>
  </si>
  <si>
    <t>Estirilizador UV</t>
  </si>
  <si>
    <t>Dosificador de minerales Alcalino</t>
  </si>
  <si>
    <t>Mezclador de agua y minerales</t>
  </si>
  <si>
    <t>Máquina etiquetadora semiautomática</t>
  </si>
  <si>
    <t>Equipos de medicion de Ph y análisis de minerales</t>
  </si>
  <si>
    <t>Equipos para pruebas microbiológicas</t>
  </si>
  <si>
    <t>Depreciación Maquinaria y Equipos</t>
  </si>
  <si>
    <t>Guardia de seguridad</t>
  </si>
  <si>
    <t>Filtro de carbón activado</t>
  </si>
  <si>
    <t xml:space="preserve">Banda transportadora </t>
  </si>
  <si>
    <t>Tanque de Acero Inoxidable de 1.000 litros</t>
  </si>
  <si>
    <t xml:space="preserve">Máquina limpiadora, llenadora y selladora de botellas </t>
  </si>
  <si>
    <t xml:space="preserve">Radio Walkie Tokie X 4 </t>
  </si>
  <si>
    <t>Minerales y sales alcalinas</t>
  </si>
  <si>
    <t>Etiqueta</t>
  </si>
  <si>
    <t>Botella y tapa</t>
  </si>
  <si>
    <t>Empaque</t>
  </si>
  <si>
    <t>Jefe de producción</t>
  </si>
  <si>
    <t>Amortización</t>
  </si>
  <si>
    <t>FACTOR MENSUAL</t>
  </si>
  <si>
    <t>Año 6</t>
  </si>
  <si>
    <t>Auxilio de Transporte 2024</t>
  </si>
  <si>
    <t>demanda de venta diraia</t>
  </si>
  <si>
    <t>demanda de de venta mensual</t>
  </si>
  <si>
    <t>demanda de produccion/mensual con stock</t>
  </si>
  <si>
    <t>Precio estimado de venta</t>
  </si>
  <si>
    <t>Adecuaciones locativas</t>
  </si>
  <si>
    <t xml:space="preserve">Gastos de ventas </t>
  </si>
  <si>
    <t>Salud</t>
  </si>
  <si>
    <t>Pensión</t>
  </si>
  <si>
    <t>Gasto de  Ventas</t>
  </si>
  <si>
    <t>Transporte por unidad</t>
  </si>
  <si>
    <t>Reservas (10%  de las utiliades del ejercicio)</t>
  </si>
  <si>
    <t>Costos del producto (Prestación del servicio)</t>
  </si>
  <si>
    <t>|</t>
  </si>
  <si>
    <t>Costos Indirectos de Fabricación</t>
  </si>
  <si>
    <t>MOD</t>
  </si>
  <si>
    <t>Total costos del producto</t>
  </si>
  <si>
    <t>Escenarios</t>
  </si>
  <si>
    <t>Pesimista</t>
  </si>
  <si>
    <t>Más probable</t>
  </si>
  <si>
    <t>Optimista</t>
  </si>
  <si>
    <t>3 años y 1 mes</t>
  </si>
  <si>
    <t xml:space="preserve">1 año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</si>
</sst>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&quot;$&quot;\ #,##0.00_);[Red]\(&quot;$&quot;\ #,##0.00\)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 &quot;$&quot;\ * #,##0.00_ ;_ &quot;$&quot;\ * \-#,##0.00_ ;_ &quot;$&quot;\ * &quot;-&quot;??_ ;_ @_ "/>
    <numFmt numFmtId="168" formatCode="_ &quot;$&quot;\ * #,##0_ ;_ &quot;$&quot;\ * \-#,##0_ ;_ &quot;$&quot;\ * &quot;-&quot;??_ ;_ @_ "/>
    <numFmt numFmtId="169" formatCode="_ [$€-2]\ * #,##0.00_ ;_ [$€-2]\ * \-#,##0.00_ ;_ [$€-2]\ * &quot;-&quot;??_ "/>
    <numFmt numFmtId="170" formatCode="_-[$$-240A]\ * #,##0_ ;_-[$$-240A]\ * \-#,##0\ ;_-[$$-240A]\ * &quot;-&quot;_ ;_-@_ "/>
    <numFmt numFmtId="171" formatCode="_-[$$-240A]\ * #,##0.00_ ;_-[$$-240A]\ * \-#,##0.00\ ;_-[$$-240A]\ * &quot;-&quot;_ ;_-@_ "/>
    <numFmt numFmtId="172" formatCode="0.000000"/>
    <numFmt numFmtId="173" formatCode="_([$$-240A]\ * #,##0.00_);_([$$-240A]\ * \(#,##0.00\);_([$$-240A]\ * &quot;-&quot;??_);_(@_)"/>
    <numFmt numFmtId="174" formatCode="_-[$$-240A]* #,##0.00_-;\-[$$-240A]* #,##0.00_-;_-[$$-240A]* &quot;-&quot;??_-;_-@_-"/>
    <numFmt numFmtId="175" formatCode="#,##0.00;[Red]#,##0.00"/>
    <numFmt numFmtId="176" formatCode="&quot;$&quot;\ #,##0"/>
    <numFmt numFmtId="177" formatCode="_-[$$-240A]\ * #,##0.00_-;\-[$$-240A]\ * #,##0.00_-;_-[$$-240A]\ * &quot;-&quot;??_-;_-@_-"/>
    <numFmt numFmtId="178" formatCode="&quot;$&quot;\ #,##0.00"/>
    <numFmt numFmtId="179" formatCode="0.0"/>
    <numFmt numFmtId="180" formatCode="#,##0.0000"/>
  </numFmts>
  <fonts count="29" x14ac:knownFonts="1">
    <font>
      <sz val="10"/>
      <name val="Arial"/>
    </font>
    <font>
      <sz val="10"/>
      <name val="Arial"/>
      <family val="2"/>
    </font>
    <font>
      <sz val="10"/>
      <name val="Arial Narrow"/>
      <family val="2"/>
    </font>
    <font>
      <sz val="8"/>
      <name val="Arial"/>
      <family val="2"/>
    </font>
    <font>
      <b/>
      <sz val="10"/>
      <name val="Arial Narrow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b/>
      <sz val="9.5"/>
      <name val="Arial"/>
      <family val="2"/>
    </font>
    <font>
      <b/>
      <sz val="9"/>
      <name val="Arial"/>
      <family val="2"/>
    </font>
    <font>
      <b/>
      <sz val="10"/>
      <color indexed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0"/>
      <color theme="0"/>
      <name val="Arial"/>
      <family val="2"/>
    </font>
    <font>
      <b/>
      <sz val="12"/>
      <color theme="9" tint="-0.249977111117893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0"/>
      <color theme="0"/>
      <name val="Arial"/>
      <family val="2"/>
    </font>
    <font>
      <sz val="1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9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167" fontId="1" fillId="0" borderId="0" applyFont="0" applyFill="0" applyBorder="0" applyAlignment="0" applyProtection="0"/>
    <xf numFmtId="166" fontId="10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67">
    <xf numFmtId="0" fontId="0" fillId="0" borderId="0" xfId="0"/>
    <xf numFmtId="176" fontId="0" fillId="0" borderId="1" xfId="0" applyNumberFormat="1" applyBorder="1"/>
    <xf numFmtId="0" fontId="6" fillId="0" borderId="0" xfId="0" applyFont="1"/>
    <xf numFmtId="0" fontId="7" fillId="0" borderId="0" xfId="0" applyFont="1"/>
    <xf numFmtId="170" fontId="6" fillId="0" borderId="0" xfId="0" applyNumberFormat="1" applyFont="1"/>
    <xf numFmtId="0" fontId="7" fillId="0" borderId="0" xfId="0" applyFont="1" applyAlignment="1">
      <alignment horizontal="center" vertical="top" wrapText="1"/>
    </xf>
    <xf numFmtId="168" fontId="7" fillId="0" borderId="0" xfId="3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19" fillId="0" borderId="0" xfId="0" applyFont="1"/>
    <xf numFmtId="165" fontId="6" fillId="0" borderId="0" xfId="0" applyNumberFormat="1" applyFont="1"/>
    <xf numFmtId="0" fontId="6" fillId="0" borderId="2" xfId="0" applyFont="1" applyBorder="1" applyAlignment="1">
      <alignment horizontal="justify" wrapText="1"/>
    </xf>
    <xf numFmtId="0" fontId="6" fillId="0" borderId="3" xfId="0" applyFont="1" applyBorder="1" applyAlignment="1">
      <alignment horizontal="center" wrapText="1"/>
    </xf>
    <xf numFmtId="0" fontId="6" fillId="0" borderId="1" xfId="0" applyFont="1" applyBorder="1"/>
    <xf numFmtId="170" fontId="6" fillId="0" borderId="1" xfId="0" applyNumberFormat="1" applyFont="1" applyBorder="1"/>
    <xf numFmtId="3" fontId="7" fillId="2" borderId="1" xfId="0" applyNumberFormat="1" applyFont="1" applyFill="1" applyBorder="1" applyAlignment="1">
      <alignment horizontal="center"/>
    </xf>
    <xf numFmtId="0" fontId="6" fillId="0" borderId="2" xfId="0" applyFont="1" applyBorder="1" applyAlignment="1">
      <alignment horizontal="left" wrapText="1"/>
    </xf>
    <xf numFmtId="0" fontId="6" fillId="3" borderId="0" xfId="0" applyFont="1" applyFill="1"/>
    <xf numFmtId="0" fontId="6" fillId="0" borderId="0" xfId="0" applyFont="1" applyAlignment="1">
      <alignment horizontal="justify" wrapText="1"/>
    </xf>
    <xf numFmtId="0" fontId="7" fillId="2" borderId="1" xfId="0" applyFont="1" applyFill="1" applyBorder="1" applyAlignment="1">
      <alignment horizontal="justify" wrapText="1"/>
    </xf>
    <xf numFmtId="3" fontId="7" fillId="0" borderId="0" xfId="0" applyNumberFormat="1" applyFont="1" applyAlignment="1">
      <alignment horizontal="center"/>
    </xf>
    <xf numFmtId="3" fontId="6" fillId="0" borderId="0" xfId="0" applyNumberFormat="1" applyFont="1"/>
    <xf numFmtId="0" fontId="7" fillId="0" borderId="0" xfId="0" applyFont="1" applyAlignment="1">
      <alignment horizontal="center"/>
    </xf>
    <xf numFmtId="170" fontId="7" fillId="0" borderId="0" xfId="0" applyNumberFormat="1" applyFont="1"/>
    <xf numFmtId="3" fontId="7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left"/>
    </xf>
    <xf numFmtId="9" fontId="20" fillId="0" borderId="0" xfId="0" applyNumberFormat="1" applyFont="1"/>
    <xf numFmtId="0" fontId="6" fillId="0" borderId="3" xfId="0" applyFont="1" applyBorder="1" applyAlignment="1">
      <alignment horizontal="left" wrapText="1"/>
    </xf>
    <xf numFmtId="170" fontId="6" fillId="4" borderId="1" xfId="0" applyNumberFormat="1" applyFont="1" applyFill="1" applyBorder="1"/>
    <xf numFmtId="174" fontId="0" fillId="0" borderId="0" xfId="0" applyNumberFormat="1"/>
    <xf numFmtId="0" fontId="8" fillId="0" borderId="0" xfId="0" applyFont="1"/>
    <xf numFmtId="3" fontId="6" fillId="0" borderId="0" xfId="0" applyNumberFormat="1" applyFont="1" applyAlignment="1">
      <alignment horizontal="center"/>
    </xf>
    <xf numFmtId="9" fontId="19" fillId="0" borderId="0" xfId="0" applyNumberFormat="1" applyFont="1"/>
    <xf numFmtId="0" fontId="7" fillId="3" borderId="0" xfId="0" applyFont="1" applyFill="1"/>
    <xf numFmtId="3" fontId="6" fillId="3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6" fillId="3" borderId="2" xfId="0" applyFont="1" applyFill="1" applyBorder="1"/>
    <xf numFmtId="0" fontId="6" fillId="3" borderId="5" xfId="0" applyFont="1" applyFill="1" applyBorder="1" applyAlignment="1">
      <alignment horizontal="center"/>
    </xf>
    <xf numFmtId="3" fontId="6" fillId="3" borderId="5" xfId="0" applyNumberFormat="1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5" borderId="0" xfId="0" applyFont="1" applyFill="1"/>
    <xf numFmtId="0" fontId="6" fillId="6" borderId="0" xfId="0" applyFont="1" applyFill="1"/>
    <xf numFmtId="0" fontId="6" fillId="3" borderId="6" xfId="0" applyFont="1" applyFill="1" applyBorder="1"/>
    <xf numFmtId="0" fontId="2" fillId="0" borderId="0" xfId="0" applyFont="1"/>
    <xf numFmtId="0" fontId="6" fillId="0" borderId="0" xfId="0" applyFont="1" applyAlignment="1">
      <alignment horizontal="center"/>
    </xf>
    <xf numFmtId="170" fontId="0" fillId="0" borderId="0" xfId="0" applyNumberFormat="1"/>
    <xf numFmtId="170" fontId="2" fillId="0" borderId="0" xfId="0" applyNumberFormat="1" applyFont="1"/>
    <xf numFmtId="0" fontId="6" fillId="0" borderId="7" xfId="0" applyFont="1" applyBorder="1"/>
    <xf numFmtId="0" fontId="6" fillId="0" borderId="8" xfId="0" applyFont="1" applyBorder="1"/>
    <xf numFmtId="0" fontId="6" fillId="3" borderId="9" xfId="0" applyFont="1" applyFill="1" applyBorder="1"/>
    <xf numFmtId="0" fontId="6" fillId="3" borderId="10" xfId="0" applyFont="1" applyFill="1" applyBorder="1"/>
    <xf numFmtId="0" fontId="8" fillId="0" borderId="0" xfId="0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6" fillId="3" borderId="8" xfId="0" applyFont="1" applyFill="1" applyBorder="1"/>
    <xf numFmtId="165" fontId="6" fillId="0" borderId="1" xfId="0" applyNumberFormat="1" applyFont="1" applyBorder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170" fontId="21" fillId="0" borderId="0" xfId="0" applyNumberFormat="1" applyFont="1"/>
    <xf numFmtId="2" fontId="6" fillId="3" borderId="0" xfId="0" applyNumberFormat="1" applyFont="1" applyFill="1" applyAlignment="1">
      <alignment horizontal="center"/>
    </xf>
    <xf numFmtId="2" fontId="6" fillId="0" borderId="0" xfId="0" applyNumberFormat="1" applyFont="1" applyAlignment="1">
      <alignment horizontal="center"/>
    </xf>
    <xf numFmtId="170" fontId="6" fillId="3" borderId="0" xfId="0" applyNumberFormat="1" applyFont="1" applyFill="1"/>
    <xf numFmtId="9" fontId="6" fillId="0" borderId="0" xfId="5" applyFont="1" applyBorder="1" applyAlignment="1" applyProtection="1">
      <alignment horizontal="center"/>
    </xf>
    <xf numFmtId="2" fontId="6" fillId="3" borderId="0" xfId="5" applyNumberFormat="1" applyFont="1" applyFill="1" applyBorder="1" applyAlignment="1" applyProtection="1">
      <alignment horizontal="center"/>
    </xf>
    <xf numFmtId="2" fontId="6" fillId="0" borderId="0" xfId="5" applyNumberFormat="1" applyFont="1" applyFill="1" applyBorder="1" applyAlignment="1" applyProtection="1">
      <alignment horizontal="center"/>
    </xf>
    <xf numFmtId="9" fontId="6" fillId="3" borderId="0" xfId="5" applyFont="1" applyFill="1" applyBorder="1" applyAlignment="1" applyProtection="1">
      <alignment horizontal="center"/>
    </xf>
    <xf numFmtId="0" fontId="6" fillId="3" borderId="11" xfId="0" applyFont="1" applyFill="1" applyBorder="1"/>
    <xf numFmtId="9" fontId="6" fillId="0" borderId="1" xfId="0" applyNumberFormat="1" applyFont="1" applyBorder="1"/>
    <xf numFmtId="0" fontId="7" fillId="0" borderId="1" xfId="0" applyFont="1" applyBorder="1" applyAlignment="1">
      <alignment horizontal="center"/>
    </xf>
    <xf numFmtId="10" fontId="13" fillId="0" borderId="1" xfId="0" applyNumberFormat="1" applyFont="1" applyBorder="1" applyAlignment="1">
      <alignment vertical="center"/>
    </xf>
    <xf numFmtId="0" fontId="6" fillId="3" borderId="2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22" fillId="0" borderId="0" xfId="0" applyFont="1"/>
    <xf numFmtId="166" fontId="18" fillId="0" borderId="1" xfId="4" applyFont="1" applyFill="1" applyBorder="1" applyAlignment="1" applyProtection="1">
      <alignment horizontal="center" vertical="center"/>
    </xf>
    <xf numFmtId="166" fontId="18" fillId="0" borderId="1" xfId="4" applyFont="1" applyFill="1" applyBorder="1" applyAlignment="1" applyProtection="1">
      <alignment horizontal="center"/>
    </xf>
    <xf numFmtId="166" fontId="18" fillId="0" borderId="4" xfId="4" applyFont="1" applyFill="1" applyBorder="1" applyAlignment="1" applyProtection="1">
      <alignment horizontal="center"/>
    </xf>
    <xf numFmtId="166" fontId="0" fillId="0" borderId="1" xfId="4" applyFont="1" applyFill="1" applyBorder="1" applyAlignment="1" applyProtection="1">
      <alignment horizontal="center" vertical="center"/>
    </xf>
    <xf numFmtId="176" fontId="0" fillId="0" borderId="0" xfId="0" applyNumberFormat="1"/>
    <xf numFmtId="166" fontId="6" fillId="0" borderId="0" xfId="4" applyFont="1" applyFill="1" applyBorder="1" applyAlignment="1" applyProtection="1">
      <alignment horizontal="center" vertical="center"/>
    </xf>
    <xf numFmtId="176" fontId="6" fillId="0" borderId="1" xfId="0" applyNumberFormat="1" applyFont="1" applyBorder="1"/>
    <xf numFmtId="175" fontId="6" fillId="0" borderId="0" xfId="0" applyNumberFormat="1" applyFont="1"/>
    <xf numFmtId="0" fontId="7" fillId="3" borderId="1" xfId="0" applyFont="1" applyFill="1" applyBorder="1" applyAlignment="1">
      <alignment horizontal="left"/>
    </xf>
    <xf numFmtId="0" fontId="7" fillId="0" borderId="0" xfId="0" applyFont="1" applyAlignment="1">
      <alignment horizontal="justify" wrapText="1"/>
    </xf>
    <xf numFmtId="0" fontId="6" fillId="0" borderId="0" xfId="0" applyFont="1" applyAlignment="1">
      <alignment vertical="center" wrapText="1"/>
    </xf>
    <xf numFmtId="173" fontId="6" fillId="0" borderId="0" xfId="0" applyNumberFormat="1" applyFont="1"/>
    <xf numFmtId="3" fontId="7" fillId="0" borderId="1" xfId="0" applyNumberFormat="1" applyFont="1" applyBorder="1" applyAlignment="1">
      <alignment horizontal="center"/>
    </xf>
    <xf numFmtId="1" fontId="19" fillId="0" borderId="0" xfId="0" applyNumberFormat="1" applyFont="1"/>
    <xf numFmtId="174" fontId="6" fillId="0" borderId="0" xfId="0" applyNumberFormat="1" applyFont="1"/>
    <xf numFmtId="9" fontId="6" fillId="0" borderId="3" xfId="0" applyNumberFormat="1" applyFont="1" applyBorder="1" applyAlignment="1">
      <alignment horizontal="center" wrapText="1"/>
    </xf>
    <xf numFmtId="0" fontId="23" fillId="0" borderId="0" xfId="0" applyFont="1"/>
    <xf numFmtId="0" fontId="24" fillId="0" borderId="0" xfId="0" applyFont="1" applyAlignment="1">
      <alignment horizontal="left"/>
    </xf>
    <xf numFmtId="3" fontId="24" fillId="0" borderId="0" xfId="0" applyNumberFormat="1" applyFont="1" applyAlignment="1">
      <alignment horizontal="right"/>
    </xf>
    <xf numFmtId="2" fontId="6" fillId="0" borderId="4" xfId="0" applyNumberFormat="1" applyFont="1" applyBorder="1"/>
    <xf numFmtId="10" fontId="6" fillId="0" borderId="4" xfId="5" applyNumberFormat="1" applyFont="1" applyFill="1" applyBorder="1" applyProtection="1"/>
    <xf numFmtId="10" fontId="25" fillId="0" borderId="1" xfId="5" applyNumberFormat="1" applyFont="1" applyBorder="1" applyProtection="1"/>
    <xf numFmtId="178" fontId="6" fillId="0" borderId="0" xfId="0" applyNumberFormat="1" applyFont="1"/>
    <xf numFmtId="178" fontId="6" fillId="3" borderId="0" xfId="0" applyNumberFormat="1" applyFont="1" applyFill="1"/>
    <xf numFmtId="178" fontId="7" fillId="0" borderId="0" xfId="0" applyNumberFormat="1" applyFont="1"/>
    <xf numFmtId="178" fontId="0" fillId="0" borderId="0" xfId="0" applyNumberFormat="1"/>
    <xf numFmtId="178" fontId="18" fillId="0" borderId="1" xfId="4" applyNumberFormat="1" applyFont="1" applyFill="1" applyBorder="1" applyAlignment="1" applyProtection="1">
      <alignment horizontal="center"/>
    </xf>
    <xf numFmtId="178" fontId="0" fillId="0" borderId="1" xfId="0" applyNumberFormat="1" applyBorder="1"/>
    <xf numFmtId="178" fontId="26" fillId="0" borderId="1" xfId="0" applyNumberFormat="1" applyFont="1" applyBorder="1" applyAlignment="1">
      <alignment vertical="center"/>
    </xf>
    <xf numFmtId="178" fontId="6" fillId="0" borderId="0" xfId="0" applyNumberFormat="1" applyFont="1" applyAlignment="1">
      <alignment wrapText="1"/>
    </xf>
    <xf numFmtId="178" fontId="6" fillId="0" borderId="1" xfId="0" applyNumberFormat="1" applyFont="1" applyBorder="1"/>
    <xf numFmtId="0" fontId="6" fillId="0" borderId="0" xfId="0" applyFont="1" applyAlignment="1">
      <alignment wrapText="1"/>
    </xf>
    <xf numFmtId="0" fontId="9" fillId="3" borderId="0" xfId="0" applyFont="1" applyFill="1"/>
    <xf numFmtId="179" fontId="6" fillId="0" borderId="0" xfId="0" applyNumberFormat="1" applyFont="1"/>
    <xf numFmtId="0" fontId="19" fillId="3" borderId="0" xfId="0" applyFont="1" applyFill="1"/>
    <xf numFmtId="0" fontId="0" fillId="3" borderId="0" xfId="0" applyFill="1"/>
    <xf numFmtId="0" fontId="5" fillId="0" borderId="0" xfId="2" applyAlignment="1" applyProtection="1"/>
    <xf numFmtId="0" fontId="6" fillId="3" borderId="4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170" fontId="6" fillId="7" borderId="1" xfId="0" applyNumberFormat="1" applyFont="1" applyFill="1" applyBorder="1"/>
    <xf numFmtId="0" fontId="7" fillId="8" borderId="14" xfId="0" applyFont="1" applyFill="1" applyBorder="1" applyAlignment="1">
      <alignment horizontal="center"/>
    </xf>
    <xf numFmtId="3" fontId="7" fillId="8" borderId="15" xfId="0" applyNumberFormat="1" applyFont="1" applyFill="1" applyBorder="1" applyAlignment="1">
      <alignment horizontal="center"/>
    </xf>
    <xf numFmtId="170" fontId="7" fillId="8" borderId="1" xfId="0" applyNumberFormat="1" applyFont="1" applyFill="1" applyBorder="1"/>
    <xf numFmtId="0" fontId="7" fillId="8" borderId="2" xfId="0" applyFont="1" applyFill="1" applyBorder="1"/>
    <xf numFmtId="0" fontId="6" fillId="8" borderId="4" xfId="0" applyFont="1" applyFill="1" applyBorder="1"/>
    <xf numFmtId="0" fontId="7" fillId="8" borderId="4" xfId="0" applyFont="1" applyFill="1" applyBorder="1"/>
    <xf numFmtId="170" fontId="6" fillId="9" borderId="1" xfId="0" applyNumberFormat="1" applyFont="1" applyFill="1" applyBorder="1"/>
    <xf numFmtId="0" fontId="7" fillId="8" borderId="1" xfId="0" applyFont="1" applyFill="1" applyBorder="1" applyAlignment="1">
      <alignment horizontal="left"/>
    </xf>
    <xf numFmtId="170" fontId="7" fillId="9" borderId="1" xfId="0" applyNumberFormat="1" applyFont="1" applyFill="1" applyBorder="1"/>
    <xf numFmtId="0" fontId="7" fillId="9" borderId="2" xfId="0" applyFont="1" applyFill="1" applyBorder="1"/>
    <xf numFmtId="0" fontId="7" fillId="9" borderId="3" xfId="0" applyFont="1" applyFill="1" applyBorder="1"/>
    <xf numFmtId="178" fontId="7" fillId="9" borderId="4" xfId="0" applyNumberFormat="1" applyFont="1" applyFill="1" applyBorder="1"/>
    <xf numFmtId="0" fontId="7" fillId="9" borderId="4" xfId="0" applyFont="1" applyFill="1" applyBorder="1"/>
    <xf numFmtId="0" fontId="7" fillId="8" borderId="3" xfId="0" applyFont="1" applyFill="1" applyBorder="1"/>
    <xf numFmtId="178" fontId="7" fillId="8" borderId="4" xfId="0" applyNumberFormat="1" applyFont="1" applyFill="1" applyBorder="1"/>
    <xf numFmtId="3" fontId="7" fillId="8" borderId="4" xfId="0" applyNumberFormat="1" applyFont="1" applyFill="1" applyBorder="1" applyAlignment="1">
      <alignment horizontal="center"/>
    </xf>
    <xf numFmtId="0" fontId="6" fillId="8" borderId="0" xfId="0" applyFont="1" applyFill="1"/>
    <xf numFmtId="178" fontId="6" fillId="8" borderId="0" xfId="0" applyNumberFormat="1" applyFont="1" applyFill="1"/>
    <xf numFmtId="0" fontId="6" fillId="8" borderId="11" xfId="0" applyFont="1" applyFill="1" applyBorder="1"/>
    <xf numFmtId="170" fontId="6" fillId="8" borderId="1" xfId="0" applyNumberFormat="1" applyFont="1" applyFill="1" applyBorder="1"/>
    <xf numFmtId="0" fontId="6" fillId="8" borderId="0" xfId="0" applyFont="1" applyFill="1" applyAlignment="1">
      <alignment horizontal="center"/>
    </xf>
    <xf numFmtId="178" fontId="6" fillId="8" borderId="0" xfId="0" applyNumberFormat="1" applyFont="1" applyFill="1" applyAlignment="1">
      <alignment horizontal="center"/>
    </xf>
    <xf numFmtId="170" fontId="6" fillId="8" borderId="0" xfId="0" applyNumberFormat="1" applyFont="1" applyFill="1"/>
    <xf numFmtId="0" fontId="7" fillId="8" borderId="3" xfId="0" applyFont="1" applyFill="1" applyBorder="1" applyAlignment="1">
      <alignment horizontal="center"/>
    </xf>
    <xf numFmtId="178" fontId="7" fillId="8" borderId="3" xfId="0" applyNumberFormat="1" applyFont="1" applyFill="1" applyBorder="1" applyAlignment="1">
      <alignment horizontal="center"/>
    </xf>
    <xf numFmtId="9" fontId="7" fillId="8" borderId="1" xfId="5" applyFont="1" applyFill="1" applyBorder="1" applyAlignment="1" applyProtection="1">
      <alignment horizontal="center"/>
    </xf>
    <xf numFmtId="0" fontId="7" fillId="8" borderId="1" xfId="0" applyFont="1" applyFill="1" applyBorder="1" applyAlignment="1">
      <alignment horizontal="center"/>
    </xf>
    <xf numFmtId="170" fontId="6" fillId="9" borderId="4" xfId="0" applyNumberFormat="1" applyFont="1" applyFill="1" applyBorder="1"/>
    <xf numFmtId="10" fontId="6" fillId="9" borderId="1" xfId="0" applyNumberFormat="1" applyFont="1" applyFill="1" applyBorder="1" applyAlignment="1">
      <alignment horizontal="center"/>
    </xf>
    <xf numFmtId="172" fontId="6" fillId="9" borderId="1" xfId="0" applyNumberFormat="1" applyFont="1" applyFill="1" applyBorder="1" applyAlignment="1">
      <alignment horizontal="center"/>
    </xf>
    <xf numFmtId="10" fontId="7" fillId="8" borderId="1" xfId="0" applyNumberFormat="1" applyFont="1" applyFill="1" applyBorder="1" applyAlignment="1">
      <alignment horizontal="center"/>
    </xf>
    <xf numFmtId="0" fontId="18" fillId="8" borderId="4" xfId="0" applyFont="1" applyFill="1" applyBorder="1" applyAlignment="1">
      <alignment horizontal="center"/>
    </xf>
    <xf numFmtId="1" fontId="18" fillId="8" borderId="1" xfId="0" applyNumberFormat="1" applyFont="1" applyFill="1" applyBorder="1" applyAlignment="1">
      <alignment horizontal="center"/>
    </xf>
    <xf numFmtId="1" fontId="7" fillId="8" borderId="1" xfId="0" applyNumberFormat="1" applyFont="1" applyFill="1" applyBorder="1" applyAlignment="1">
      <alignment horizontal="center"/>
    </xf>
    <xf numFmtId="0" fontId="0" fillId="9" borderId="4" xfId="0" applyFill="1" applyBorder="1" applyAlignment="1">
      <alignment horizontal="center"/>
    </xf>
    <xf numFmtId="2" fontId="0" fillId="9" borderId="1" xfId="0" applyNumberFormat="1" applyFill="1" applyBorder="1" applyAlignment="1">
      <alignment horizontal="center"/>
    </xf>
    <xf numFmtId="0" fontId="7" fillId="8" borderId="1" xfId="0" applyFont="1" applyFill="1" applyBorder="1"/>
    <xf numFmtId="178" fontId="7" fillId="8" borderId="1" xfId="0" applyNumberFormat="1" applyFont="1" applyFill="1" applyBorder="1" applyAlignment="1">
      <alignment horizontal="center"/>
    </xf>
    <xf numFmtId="3" fontId="7" fillId="8" borderId="1" xfId="0" applyNumberFormat="1" applyFont="1" applyFill="1" applyBorder="1" applyAlignment="1">
      <alignment horizontal="center"/>
    </xf>
    <xf numFmtId="0" fontId="7" fillId="10" borderId="1" xfId="0" applyFont="1" applyFill="1" applyBorder="1" applyAlignment="1">
      <alignment horizontal="center" vertical="top" wrapText="1"/>
    </xf>
    <xf numFmtId="10" fontId="6" fillId="11" borderId="1" xfId="5" applyNumberFormat="1" applyFont="1" applyFill="1" applyBorder="1" applyAlignment="1" applyProtection="1">
      <alignment horizontal="center" wrapText="1"/>
    </xf>
    <xf numFmtId="10" fontId="7" fillId="12" borderId="1" xfId="5" applyNumberFormat="1" applyFont="1" applyFill="1" applyBorder="1" applyAlignment="1" applyProtection="1">
      <alignment horizontal="center" wrapText="1"/>
    </xf>
    <xf numFmtId="0" fontId="7" fillId="10" borderId="2" xfId="0" applyFont="1" applyFill="1" applyBorder="1" applyAlignment="1">
      <alignment horizontal="center" vertical="top" wrapText="1"/>
    </xf>
    <xf numFmtId="0" fontId="7" fillId="10" borderId="9" xfId="0" applyFont="1" applyFill="1" applyBorder="1" applyAlignment="1">
      <alignment horizontal="center" wrapText="1"/>
    </xf>
    <xf numFmtId="0" fontId="7" fillId="10" borderId="10" xfId="0" applyFont="1" applyFill="1" applyBorder="1" applyAlignment="1">
      <alignment horizontal="center" wrapText="1"/>
    </xf>
    <xf numFmtId="0" fontId="7" fillId="10" borderId="1" xfId="0" applyFont="1" applyFill="1" applyBorder="1" applyAlignment="1">
      <alignment horizontal="center" wrapText="1"/>
    </xf>
    <xf numFmtId="170" fontId="6" fillId="11" borderId="1" xfId="0" applyNumberFormat="1" applyFont="1" applyFill="1" applyBorder="1"/>
    <xf numFmtId="0" fontId="6" fillId="11" borderId="2" xfId="0" applyFont="1" applyFill="1" applyBorder="1" applyAlignment="1">
      <alignment horizontal="left" wrapText="1"/>
    </xf>
    <xf numFmtId="0" fontId="0" fillId="11" borderId="1" xfId="0" applyFill="1" applyBorder="1" applyAlignment="1">
      <alignment horizontal="center"/>
    </xf>
    <xf numFmtId="168" fontId="6" fillId="11" borderId="1" xfId="0" applyNumberFormat="1" applyFont="1" applyFill="1" applyBorder="1"/>
    <xf numFmtId="168" fontId="16" fillId="11" borderId="1" xfId="3" applyNumberFormat="1" applyFont="1" applyFill="1" applyBorder="1"/>
    <xf numFmtId="0" fontId="7" fillId="10" borderId="1" xfId="0" applyFont="1" applyFill="1" applyBorder="1" applyAlignment="1">
      <alignment horizontal="center"/>
    </xf>
    <xf numFmtId="0" fontId="7" fillId="10" borderId="2" xfId="0" applyFont="1" applyFill="1" applyBorder="1" applyAlignment="1">
      <alignment horizontal="center" wrapText="1"/>
    </xf>
    <xf numFmtId="0" fontId="7" fillId="10" borderId="1" xfId="0" applyFont="1" applyFill="1" applyBorder="1"/>
    <xf numFmtId="170" fontId="7" fillId="10" borderId="1" xfId="0" applyNumberFormat="1" applyFont="1" applyFill="1" applyBorder="1"/>
    <xf numFmtId="170" fontId="7" fillId="12" borderId="1" xfId="0" applyNumberFormat="1" applyFont="1" applyFill="1" applyBorder="1"/>
    <xf numFmtId="0" fontId="7" fillId="10" borderId="2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/>
    </xf>
    <xf numFmtId="165" fontId="7" fillId="10" borderId="1" xfId="0" applyNumberFormat="1" applyFont="1" applyFill="1" applyBorder="1"/>
    <xf numFmtId="0" fontId="0" fillId="13" borderId="1" xfId="0" applyFill="1" applyBorder="1"/>
    <xf numFmtId="0" fontId="0" fillId="13" borderId="1" xfId="0" applyFill="1" applyBorder="1" applyAlignment="1">
      <alignment horizontal="center"/>
    </xf>
    <xf numFmtId="168" fontId="16" fillId="13" borderId="1" xfId="3" applyNumberFormat="1" applyFont="1" applyFill="1" applyBorder="1" applyAlignment="1">
      <alignment horizontal="center"/>
    </xf>
    <xf numFmtId="170" fontId="6" fillId="13" borderId="1" xfId="0" applyNumberFormat="1" applyFont="1" applyFill="1" applyBorder="1"/>
    <xf numFmtId="0" fontId="6" fillId="13" borderId="1" xfId="0" applyFont="1" applyFill="1" applyBorder="1"/>
    <xf numFmtId="168" fontId="16" fillId="13" borderId="1" xfId="3" applyNumberFormat="1" applyFont="1" applyFill="1" applyBorder="1"/>
    <xf numFmtId="165" fontId="25" fillId="13" borderId="1" xfId="0" applyNumberFormat="1" applyFont="1" applyFill="1" applyBorder="1" applyAlignment="1">
      <alignment vertical="center"/>
    </xf>
    <xf numFmtId="0" fontId="7" fillId="12" borderId="2" xfId="0" applyFont="1" applyFill="1" applyBorder="1" applyAlignment="1">
      <alignment horizontal="center" wrapText="1"/>
    </xf>
    <xf numFmtId="165" fontId="7" fillId="12" borderId="1" xfId="0" applyNumberFormat="1" applyFont="1" applyFill="1" applyBorder="1"/>
    <xf numFmtId="0" fontId="0" fillId="11" borderId="1" xfId="0" applyFill="1" applyBorder="1"/>
    <xf numFmtId="0" fontId="6" fillId="11" borderId="1" xfId="0" applyFont="1" applyFill="1" applyBorder="1" applyAlignment="1">
      <alignment horizontal="justify" vertical="top" wrapText="1"/>
    </xf>
    <xf numFmtId="0" fontId="6" fillId="11" borderId="2" xfId="0" applyFont="1" applyFill="1" applyBorder="1" applyAlignment="1">
      <alignment horizontal="center" vertical="top" wrapText="1"/>
    </xf>
    <xf numFmtId="168" fontId="7" fillId="10" borderId="1" xfId="3" applyNumberFormat="1" applyFont="1" applyFill="1" applyBorder="1" applyAlignment="1" applyProtection="1">
      <alignment horizontal="center" vertical="top" wrapText="1"/>
    </xf>
    <xf numFmtId="165" fontId="7" fillId="12" borderId="1" xfId="3" applyNumberFormat="1" applyFont="1" applyFill="1" applyBorder="1" applyAlignment="1" applyProtection="1">
      <alignment horizontal="right" vertical="top" wrapText="1"/>
    </xf>
    <xf numFmtId="0" fontId="6" fillId="11" borderId="2" xfId="0" applyFont="1" applyFill="1" applyBorder="1" applyAlignment="1">
      <alignment horizontal="left" vertical="top" wrapText="1"/>
    </xf>
    <xf numFmtId="0" fontId="6" fillId="11" borderId="3" xfId="0" applyFont="1" applyFill="1" applyBorder="1" applyAlignment="1">
      <alignment horizontal="left" vertical="top" wrapText="1"/>
    </xf>
    <xf numFmtId="165" fontId="6" fillId="11" borderId="1" xfId="3" applyNumberFormat="1" applyFont="1" applyFill="1" applyBorder="1" applyAlignment="1" applyProtection="1">
      <alignment horizontal="right" vertical="top" wrapText="1"/>
    </xf>
    <xf numFmtId="0" fontId="7" fillId="10" borderId="3" xfId="0" applyFont="1" applyFill="1" applyBorder="1"/>
    <xf numFmtId="0" fontId="7" fillId="10" borderId="2" xfId="0" applyFont="1" applyFill="1" applyBorder="1"/>
    <xf numFmtId="0" fontId="7" fillId="10" borderId="3" xfId="0" applyFont="1" applyFill="1" applyBorder="1" applyAlignment="1">
      <alignment horizontal="center"/>
    </xf>
    <xf numFmtId="0" fontId="6" fillId="11" borderId="2" xfId="0" applyFont="1" applyFill="1" applyBorder="1" applyAlignment="1">
      <alignment wrapText="1"/>
    </xf>
    <xf numFmtId="0" fontId="0" fillId="11" borderId="3" xfId="0" applyFill="1" applyBorder="1" applyAlignment="1">
      <alignment wrapText="1"/>
    </xf>
    <xf numFmtId="168" fontId="6" fillId="11" borderId="1" xfId="3" applyNumberFormat="1" applyFont="1" applyFill="1" applyBorder="1" applyAlignment="1" applyProtection="1">
      <alignment horizontal="right" vertical="top" wrapText="1"/>
    </xf>
    <xf numFmtId="0" fontId="6" fillId="11" borderId="2" xfId="0" applyFont="1" applyFill="1" applyBorder="1" applyAlignment="1">
      <alignment horizontal="justify" vertical="top" wrapText="1"/>
    </xf>
    <xf numFmtId="0" fontId="6" fillId="11" borderId="3" xfId="0" applyFont="1" applyFill="1" applyBorder="1"/>
    <xf numFmtId="0" fontId="6" fillId="11" borderId="1" xfId="0" applyFont="1" applyFill="1" applyBorder="1"/>
    <xf numFmtId="10" fontId="6" fillId="11" borderId="2" xfId="5" applyNumberFormat="1" applyFont="1" applyFill="1" applyBorder="1" applyAlignment="1" applyProtection="1">
      <alignment horizontal="center"/>
    </xf>
    <xf numFmtId="10" fontId="6" fillId="11" borderId="1" xfId="5" applyNumberFormat="1" applyFont="1" applyFill="1" applyBorder="1" applyAlignment="1" applyProtection="1">
      <alignment horizontal="right"/>
    </xf>
    <xf numFmtId="165" fontId="6" fillId="11" borderId="2" xfId="3" applyNumberFormat="1" applyFont="1" applyFill="1" applyBorder="1" applyAlignment="1" applyProtection="1">
      <alignment horizontal="center" vertical="top" wrapText="1"/>
    </xf>
    <xf numFmtId="165" fontId="6" fillId="11" borderId="1" xfId="0" applyNumberFormat="1" applyFont="1" applyFill="1" applyBorder="1"/>
    <xf numFmtId="0" fontId="7" fillId="12" borderId="1" xfId="0" applyFont="1" applyFill="1" applyBorder="1"/>
    <xf numFmtId="0" fontId="6" fillId="11" borderId="2" xfId="0" applyFont="1" applyFill="1" applyBorder="1" applyAlignment="1">
      <alignment horizontal="justify" wrapText="1"/>
    </xf>
    <xf numFmtId="0" fontId="6" fillId="11" borderId="3" xfId="0" applyFont="1" applyFill="1" applyBorder="1" applyAlignment="1">
      <alignment horizontal="center" wrapText="1"/>
    </xf>
    <xf numFmtId="3" fontId="6" fillId="11" borderId="1" xfId="0" applyNumberFormat="1" applyFont="1" applyFill="1" applyBorder="1" applyAlignment="1">
      <alignment horizontal="center"/>
    </xf>
    <xf numFmtId="9" fontId="6" fillId="11" borderId="1" xfId="5" applyFont="1" applyFill="1" applyBorder="1" applyAlignment="1" applyProtection="1">
      <alignment horizontal="center"/>
    </xf>
    <xf numFmtId="0" fontId="7" fillId="10" borderId="14" xfId="0" applyFont="1" applyFill="1" applyBorder="1" applyAlignment="1">
      <alignment horizontal="center"/>
    </xf>
    <xf numFmtId="0" fontId="7" fillId="10" borderId="15" xfId="0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65" fontId="25" fillId="11" borderId="1" xfId="0" applyNumberFormat="1" applyFont="1" applyFill="1" applyBorder="1" applyAlignment="1">
      <alignment vertical="center"/>
    </xf>
    <xf numFmtId="173" fontId="7" fillId="12" borderId="1" xfId="0" applyNumberFormat="1" applyFont="1" applyFill="1" applyBorder="1"/>
    <xf numFmtId="9" fontId="6" fillId="11" borderId="1" xfId="0" applyNumberFormat="1" applyFont="1" applyFill="1" applyBorder="1" applyAlignment="1">
      <alignment horizontal="center" wrapText="1"/>
    </xf>
    <xf numFmtId="1" fontId="6" fillId="11" borderId="1" xfId="0" applyNumberFormat="1" applyFont="1" applyFill="1" applyBorder="1" applyAlignment="1">
      <alignment horizontal="center" wrapText="1"/>
    </xf>
    <xf numFmtId="3" fontId="6" fillId="11" borderId="4" xfId="0" applyNumberFormat="1" applyFont="1" applyFill="1" applyBorder="1" applyAlignment="1">
      <alignment horizontal="center" vertical="center"/>
    </xf>
    <xf numFmtId="171" fontId="6" fillId="11" borderId="1" xfId="0" applyNumberFormat="1" applyFont="1" applyFill="1" applyBorder="1"/>
    <xf numFmtId="173" fontId="6" fillId="11" borderId="1" xfId="0" applyNumberFormat="1" applyFont="1" applyFill="1" applyBorder="1"/>
    <xf numFmtId="9" fontId="6" fillId="11" borderId="3" xfId="0" applyNumberFormat="1" applyFont="1" applyFill="1" applyBorder="1" applyAlignment="1">
      <alignment horizontal="center" wrapText="1"/>
    </xf>
    <xf numFmtId="0" fontId="6" fillId="11" borderId="9" xfId="0" applyFont="1" applyFill="1" applyBorder="1" applyAlignment="1">
      <alignment horizontal="justify" wrapText="1"/>
    </xf>
    <xf numFmtId="9" fontId="6" fillId="11" borderId="5" xfId="0" applyNumberFormat="1" applyFont="1" applyFill="1" applyBorder="1" applyAlignment="1">
      <alignment horizontal="center" wrapText="1"/>
    </xf>
    <xf numFmtId="0" fontId="6" fillId="11" borderId="12" xfId="0" applyFont="1" applyFill="1" applyBorder="1" applyAlignment="1">
      <alignment horizontal="justify" wrapText="1"/>
    </xf>
    <xf numFmtId="0" fontId="6" fillId="11" borderId="6" xfId="0" applyFont="1" applyFill="1" applyBorder="1" applyAlignment="1">
      <alignment horizontal="center" wrapText="1"/>
    </xf>
    <xf numFmtId="9" fontId="6" fillId="11" borderId="0" xfId="0" applyNumberFormat="1" applyFont="1" applyFill="1" applyAlignment="1">
      <alignment horizontal="center" wrapText="1"/>
    </xf>
    <xf numFmtId="180" fontId="6" fillId="11" borderId="4" xfId="0" applyNumberFormat="1" applyFont="1" applyFill="1" applyBorder="1" applyAlignment="1">
      <alignment horizontal="center" vertical="center"/>
    </xf>
    <xf numFmtId="0" fontId="6" fillId="12" borderId="2" xfId="0" applyFont="1" applyFill="1" applyBorder="1" applyAlignment="1">
      <alignment horizontal="center" wrapText="1"/>
    </xf>
    <xf numFmtId="167" fontId="16" fillId="11" borderId="1" xfId="3" applyFont="1" applyFill="1" applyBorder="1"/>
    <xf numFmtId="0" fontId="0" fillId="11" borderId="2" xfId="0" applyFill="1" applyBorder="1" applyAlignment="1">
      <alignment horizontal="center"/>
    </xf>
    <xf numFmtId="0" fontId="6" fillId="11" borderId="2" xfId="0" applyFont="1" applyFill="1" applyBorder="1" applyAlignment="1">
      <alignment horizontal="center" wrapText="1"/>
    </xf>
    <xf numFmtId="170" fontId="6" fillId="11" borderId="4" xfId="0" applyNumberFormat="1" applyFont="1" applyFill="1" applyBorder="1"/>
    <xf numFmtId="0" fontId="6" fillId="11" borderId="0" xfId="0" applyFont="1" applyFill="1" applyAlignment="1">
      <alignment horizontal="center" wrapText="1"/>
    </xf>
    <xf numFmtId="164" fontId="7" fillId="12" borderId="1" xfId="0" applyNumberFormat="1" applyFont="1" applyFill="1" applyBorder="1"/>
    <xf numFmtId="0" fontId="6" fillId="11" borderId="1" xfId="0" applyFont="1" applyFill="1" applyBorder="1" applyAlignment="1">
      <alignment horizontal="center"/>
    </xf>
    <xf numFmtId="164" fontId="6" fillId="11" borderId="1" xfId="0" applyNumberFormat="1" applyFont="1" applyFill="1" applyBorder="1"/>
    <xf numFmtId="164" fontId="27" fillId="10" borderId="4" xfId="0" applyNumberFormat="1" applyFont="1" applyFill="1" applyBorder="1"/>
    <xf numFmtId="170" fontId="27" fillId="10" borderId="4" xfId="0" applyNumberFormat="1" applyFont="1" applyFill="1" applyBorder="1"/>
    <xf numFmtId="10" fontId="27" fillId="10" borderId="1" xfId="5" applyNumberFormat="1" applyFont="1" applyFill="1" applyBorder="1" applyProtection="1"/>
    <xf numFmtId="167" fontId="6" fillId="11" borderId="1" xfId="3" applyFont="1" applyFill="1" applyBorder="1" applyProtection="1"/>
    <xf numFmtId="168" fontId="6" fillId="11" borderId="1" xfId="3" applyNumberFormat="1" applyFont="1" applyFill="1" applyBorder="1" applyProtection="1"/>
    <xf numFmtId="3" fontId="27" fillId="10" borderId="1" xfId="0" applyNumberFormat="1" applyFont="1" applyFill="1" applyBorder="1" applyAlignment="1">
      <alignment horizontal="center"/>
    </xf>
    <xf numFmtId="0" fontId="6" fillId="11" borderId="9" xfId="0" applyFont="1" applyFill="1" applyBorder="1" applyAlignment="1">
      <alignment horizontal="left" wrapText="1"/>
    </xf>
    <xf numFmtId="0" fontId="6" fillId="11" borderId="5" xfId="0" applyFont="1" applyFill="1" applyBorder="1" applyAlignment="1">
      <alignment horizontal="left" wrapText="1"/>
    </xf>
    <xf numFmtId="0" fontId="3" fillId="11" borderId="5" xfId="0" applyFont="1" applyFill="1" applyBorder="1" applyAlignment="1">
      <alignment horizontal="center" wrapText="1"/>
    </xf>
    <xf numFmtId="170" fontId="6" fillId="11" borderId="14" xfId="0" applyNumberFormat="1" applyFont="1" applyFill="1" applyBorder="1"/>
    <xf numFmtId="171" fontId="6" fillId="12" borderId="3" xfId="0" applyNumberFormat="1" applyFont="1" applyFill="1" applyBorder="1"/>
    <xf numFmtId="0" fontId="6" fillId="12" borderId="2" xfId="0" applyFont="1" applyFill="1" applyBorder="1" applyAlignment="1">
      <alignment horizontal="left" wrapText="1"/>
    </xf>
    <xf numFmtId="0" fontId="6" fillId="11" borderId="3" xfId="0" applyFont="1" applyFill="1" applyBorder="1" applyAlignment="1">
      <alignment horizontal="left" wrapText="1"/>
    </xf>
    <xf numFmtId="0" fontId="3" fillId="11" borderId="3" xfId="0" applyFont="1" applyFill="1" applyBorder="1" applyAlignment="1">
      <alignment horizontal="center" wrapText="1"/>
    </xf>
    <xf numFmtId="170" fontId="6" fillId="11" borderId="15" xfId="0" applyNumberFormat="1" applyFont="1" applyFill="1" applyBorder="1"/>
    <xf numFmtId="170" fontId="6" fillId="11" borderId="16" xfId="0" applyNumberFormat="1" applyFont="1" applyFill="1" applyBorder="1"/>
    <xf numFmtId="0" fontId="6" fillId="11" borderId="10" xfId="0" applyFont="1" applyFill="1" applyBorder="1" applyAlignment="1">
      <alignment horizontal="left" wrapText="1"/>
    </xf>
    <xf numFmtId="171" fontId="6" fillId="11" borderId="6" xfId="0" applyNumberFormat="1" applyFont="1" applyFill="1" applyBorder="1"/>
    <xf numFmtId="0" fontId="6" fillId="11" borderId="6" xfId="0" applyFont="1" applyFill="1" applyBorder="1" applyAlignment="1">
      <alignment horizontal="left" wrapText="1"/>
    </xf>
    <xf numFmtId="0" fontId="6" fillId="11" borderId="12" xfId="0" applyFont="1" applyFill="1" applyBorder="1" applyAlignment="1">
      <alignment horizontal="left" wrapText="1"/>
    </xf>
    <xf numFmtId="170" fontId="7" fillId="12" borderId="16" xfId="0" applyNumberFormat="1" applyFont="1" applyFill="1" applyBorder="1"/>
    <xf numFmtId="0" fontId="7" fillId="10" borderId="2" xfId="0" applyFont="1" applyFill="1" applyBorder="1" applyAlignment="1">
      <alignment horizontal="left" wrapText="1"/>
    </xf>
    <xf numFmtId="170" fontId="7" fillId="11" borderId="1" xfId="0" applyNumberFormat="1" applyFont="1" applyFill="1" applyBorder="1"/>
    <xf numFmtId="10" fontId="6" fillId="12" borderId="1" xfId="5" applyNumberFormat="1" applyFont="1" applyFill="1" applyBorder="1" applyProtection="1"/>
    <xf numFmtId="171" fontId="6" fillId="12" borderId="0" xfId="0" applyNumberFormat="1" applyFont="1" applyFill="1"/>
    <xf numFmtId="0" fontId="7" fillId="10" borderId="0" xfId="0" applyFont="1" applyFill="1"/>
    <xf numFmtId="3" fontId="7" fillId="12" borderId="1" xfId="0" applyNumberFormat="1" applyFont="1" applyFill="1" applyBorder="1"/>
    <xf numFmtId="3" fontId="7" fillId="10" borderId="16" xfId="0" applyNumberFormat="1" applyFont="1" applyFill="1" applyBorder="1" applyAlignment="1">
      <alignment horizontal="center"/>
    </xf>
    <xf numFmtId="0" fontId="7" fillId="10" borderId="4" xfId="0" applyFont="1" applyFill="1" applyBorder="1" applyAlignment="1">
      <alignment horizontal="left"/>
    </xf>
    <xf numFmtId="0" fontId="7" fillId="10" borderId="4" xfId="0" applyFont="1" applyFill="1" applyBorder="1"/>
    <xf numFmtId="3" fontId="7" fillId="11" borderId="1" xfId="0" applyNumberFormat="1" applyFont="1" applyFill="1" applyBorder="1" applyAlignment="1">
      <alignment horizontal="center"/>
    </xf>
    <xf numFmtId="0" fontId="7" fillId="11" borderId="1" xfId="0" applyFont="1" applyFill="1" applyBorder="1"/>
    <xf numFmtId="10" fontId="6" fillId="11" borderId="1" xfId="0" applyNumberFormat="1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170" fontId="7" fillId="12" borderId="2" xfId="0" applyNumberFormat="1" applyFont="1" applyFill="1" applyBorder="1"/>
    <xf numFmtId="9" fontId="7" fillId="11" borderId="1" xfId="0" applyNumberFormat="1" applyFont="1" applyFill="1" applyBorder="1" applyAlignment="1">
      <alignment horizontal="center"/>
    </xf>
    <xf numFmtId="3" fontId="7" fillId="10" borderId="15" xfId="0" applyNumberFormat="1" applyFont="1" applyFill="1" applyBorder="1" applyAlignment="1">
      <alignment horizontal="center"/>
    </xf>
    <xf numFmtId="0" fontId="7" fillId="10" borderId="2" xfId="0" applyFont="1" applyFill="1" applyBorder="1" applyAlignment="1">
      <alignment horizontal="justify" wrapText="1"/>
    </xf>
    <xf numFmtId="0" fontId="6" fillId="10" borderId="3" xfId="0" applyFont="1" applyFill="1" applyBorder="1" applyAlignment="1">
      <alignment horizontal="center"/>
    </xf>
    <xf numFmtId="0" fontId="7" fillId="10" borderId="0" xfId="0" applyFont="1" applyFill="1" applyAlignment="1">
      <alignment horizontal="left"/>
    </xf>
    <xf numFmtId="0" fontId="6" fillId="10" borderId="3" xfId="0" applyFont="1" applyFill="1" applyBorder="1"/>
    <xf numFmtId="0" fontId="6" fillId="10" borderId="4" xfId="0" applyFont="1" applyFill="1" applyBorder="1"/>
    <xf numFmtId="170" fontId="7" fillId="10" borderId="4" xfId="0" applyNumberFormat="1" applyFont="1" applyFill="1" applyBorder="1"/>
    <xf numFmtId="170" fontId="7" fillId="10" borderId="0" xfId="0" applyNumberFormat="1" applyFont="1" applyFill="1"/>
    <xf numFmtId="0" fontId="6" fillId="13" borderId="0" xfId="0" applyFont="1" applyFill="1"/>
    <xf numFmtId="0" fontId="6" fillId="13" borderId="9" xfId="0" applyFont="1" applyFill="1" applyBorder="1" applyAlignment="1">
      <alignment horizontal="justify" wrapText="1"/>
    </xf>
    <xf numFmtId="9" fontId="6" fillId="13" borderId="5" xfId="0" applyNumberFormat="1" applyFont="1" applyFill="1" applyBorder="1" applyAlignment="1">
      <alignment horizontal="center"/>
    </xf>
    <xf numFmtId="3" fontId="6" fillId="13" borderId="5" xfId="5" applyNumberFormat="1" applyFont="1" applyFill="1" applyBorder="1" applyAlignment="1" applyProtection="1">
      <alignment horizontal="center"/>
    </xf>
    <xf numFmtId="0" fontId="6" fillId="13" borderId="2" xfId="0" applyFont="1" applyFill="1" applyBorder="1" applyAlignment="1">
      <alignment horizontal="justify" wrapText="1"/>
    </xf>
    <xf numFmtId="3" fontId="6" fillId="13" borderId="3" xfId="5" applyNumberFormat="1" applyFont="1" applyFill="1" applyBorder="1" applyAlignment="1" applyProtection="1">
      <alignment horizontal="center"/>
    </xf>
    <xf numFmtId="9" fontId="6" fillId="13" borderId="3" xfId="0" applyNumberFormat="1" applyFont="1" applyFill="1" applyBorder="1" applyAlignment="1">
      <alignment horizontal="center"/>
    </xf>
    <xf numFmtId="3" fontId="6" fillId="13" borderId="4" xfId="0" applyNumberFormat="1" applyFont="1" applyFill="1" applyBorder="1" applyAlignment="1">
      <alignment horizontal="center"/>
    </xf>
    <xf numFmtId="0" fontId="6" fillId="13" borderId="2" xfId="0" applyFont="1" applyFill="1" applyBorder="1"/>
    <xf numFmtId="0" fontId="6" fillId="13" borderId="5" xfId="0" applyFont="1" applyFill="1" applyBorder="1" applyAlignment="1">
      <alignment horizontal="center"/>
    </xf>
    <xf numFmtId="3" fontId="6" fillId="13" borderId="5" xfId="0" applyNumberFormat="1" applyFont="1" applyFill="1" applyBorder="1" applyAlignment="1">
      <alignment horizontal="center"/>
    </xf>
    <xf numFmtId="0" fontId="6" fillId="13" borderId="3" xfId="0" applyFont="1" applyFill="1" applyBorder="1" applyAlignment="1">
      <alignment horizontal="center"/>
    </xf>
    <xf numFmtId="3" fontId="6" fillId="13" borderId="3" xfId="0" applyNumberFormat="1" applyFont="1" applyFill="1" applyBorder="1"/>
    <xf numFmtId="0" fontId="6" fillId="13" borderId="6" xfId="0" applyFont="1" applyFill="1" applyBorder="1" applyAlignment="1">
      <alignment horizontal="center"/>
    </xf>
    <xf numFmtId="3" fontId="6" fillId="13" borderId="0" xfId="0" applyNumberFormat="1" applyFont="1" applyFill="1"/>
    <xf numFmtId="9" fontId="6" fillId="13" borderId="3" xfId="0" applyNumberFormat="1" applyFont="1" applyFill="1" applyBorder="1"/>
    <xf numFmtId="0" fontId="6" fillId="13" borderId="4" xfId="0" applyFont="1" applyFill="1" applyBorder="1"/>
    <xf numFmtId="9" fontId="6" fillId="13" borderId="6" xfId="0" applyNumberFormat="1" applyFont="1" applyFill="1" applyBorder="1"/>
    <xf numFmtId="0" fontId="6" fillId="13" borderId="6" xfId="0" applyFont="1" applyFill="1" applyBorder="1"/>
    <xf numFmtId="0" fontId="7" fillId="10" borderId="1" xfId="0" applyFont="1" applyFill="1" applyBorder="1" applyAlignment="1">
      <alignment horizontal="left"/>
    </xf>
    <xf numFmtId="0" fontId="7" fillId="11" borderId="1" xfId="0" applyFont="1" applyFill="1" applyBorder="1" applyAlignment="1">
      <alignment horizontal="left"/>
    </xf>
    <xf numFmtId="3" fontId="8" fillId="11" borderId="5" xfId="0" applyNumberFormat="1" applyFont="1" applyFill="1" applyBorder="1" applyAlignment="1">
      <alignment horizontal="center"/>
    </xf>
    <xf numFmtId="3" fontId="8" fillId="11" borderId="4" xfId="0" applyNumberFormat="1" applyFont="1" applyFill="1" applyBorder="1" applyAlignment="1">
      <alignment horizontal="center"/>
    </xf>
    <xf numFmtId="0" fontId="6" fillId="11" borderId="0" xfId="0" applyFont="1" applyFill="1"/>
    <xf numFmtId="0" fontId="12" fillId="10" borderId="3" xfId="0" applyFont="1" applyFill="1" applyBorder="1" applyAlignment="1">
      <alignment horizontal="center"/>
    </xf>
    <xf numFmtId="3" fontId="12" fillId="10" borderId="3" xfId="0" applyNumberFormat="1" applyFont="1" applyFill="1" applyBorder="1" applyAlignment="1">
      <alignment horizontal="center"/>
    </xf>
    <xf numFmtId="170" fontId="6" fillId="10" borderId="1" xfId="0" applyNumberFormat="1" applyFont="1" applyFill="1" applyBorder="1"/>
    <xf numFmtId="0" fontId="6" fillId="10" borderId="0" xfId="0" applyFont="1" applyFill="1"/>
    <xf numFmtId="0" fontId="8" fillId="10" borderId="0" xfId="0" applyFont="1" applyFill="1" applyAlignment="1">
      <alignment horizontal="center"/>
    </xf>
    <xf numFmtId="3" fontId="8" fillId="10" borderId="0" xfId="0" applyNumberFormat="1" applyFont="1" applyFill="1" applyAlignment="1">
      <alignment horizontal="center"/>
    </xf>
    <xf numFmtId="170" fontId="6" fillId="10" borderId="0" xfId="0" applyNumberFormat="1" applyFont="1" applyFill="1"/>
    <xf numFmtId="3" fontId="12" fillId="10" borderId="4" xfId="0" applyNumberFormat="1" applyFont="1" applyFill="1" applyBorder="1" applyAlignment="1">
      <alignment horizontal="center"/>
    </xf>
    <xf numFmtId="0" fontId="11" fillId="10" borderId="2" xfId="0" applyFont="1" applyFill="1" applyBorder="1"/>
    <xf numFmtId="0" fontId="11" fillId="10" borderId="3" xfId="0" applyFont="1" applyFill="1" applyBorder="1"/>
    <xf numFmtId="0" fontId="11" fillId="10" borderId="4" xfId="0" applyFont="1" applyFill="1" applyBorder="1"/>
    <xf numFmtId="0" fontId="6" fillId="13" borderId="9" xfId="0" applyFont="1" applyFill="1" applyBorder="1"/>
    <xf numFmtId="0" fontId="8" fillId="13" borderId="5" xfId="0" applyFont="1" applyFill="1" applyBorder="1" applyAlignment="1">
      <alignment horizontal="center"/>
    </xf>
    <xf numFmtId="3" fontId="8" fillId="13" borderId="7" xfId="0" applyNumberFormat="1" applyFont="1" applyFill="1" applyBorder="1" applyAlignment="1">
      <alignment horizontal="center"/>
    </xf>
    <xf numFmtId="0" fontId="8" fillId="13" borderId="3" xfId="0" applyFont="1" applyFill="1" applyBorder="1" applyAlignment="1">
      <alignment horizontal="center"/>
    </xf>
    <xf numFmtId="0" fontId="6" fillId="13" borderId="10" xfId="0" applyFont="1" applyFill="1" applyBorder="1"/>
    <xf numFmtId="0" fontId="8" fillId="13" borderId="6" xfId="0" applyFont="1" applyFill="1" applyBorder="1" applyAlignment="1">
      <alignment horizontal="center"/>
    </xf>
    <xf numFmtId="3" fontId="8" fillId="13" borderId="4" xfId="0" applyNumberFormat="1" applyFont="1" applyFill="1" applyBorder="1" applyAlignment="1">
      <alignment horizontal="center"/>
    </xf>
    <xf numFmtId="3" fontId="8" fillId="13" borderId="3" xfId="0" applyNumberFormat="1" applyFont="1" applyFill="1" applyBorder="1" applyAlignment="1">
      <alignment horizontal="center"/>
    </xf>
    <xf numFmtId="0" fontId="6" fillId="13" borderId="3" xfId="0" applyFont="1" applyFill="1" applyBorder="1"/>
    <xf numFmtId="0" fontId="7" fillId="10" borderId="10" xfId="0" applyFont="1" applyFill="1" applyBorder="1"/>
    <xf numFmtId="0" fontId="7" fillId="10" borderId="0" xfId="0" applyFont="1" applyFill="1" applyAlignment="1">
      <alignment horizontal="center"/>
    </xf>
    <xf numFmtId="170" fontId="7" fillId="10" borderId="8" xfId="0" applyNumberFormat="1" applyFont="1" applyFill="1" applyBorder="1"/>
    <xf numFmtId="170" fontId="7" fillId="10" borderId="16" xfId="0" applyNumberFormat="1" applyFont="1" applyFill="1" applyBorder="1"/>
    <xf numFmtId="168" fontId="7" fillId="10" borderId="1" xfId="3" applyNumberFormat="1" applyFont="1" applyFill="1" applyBorder="1" applyProtection="1"/>
    <xf numFmtId="168" fontId="7" fillId="10" borderId="1" xfId="0" applyNumberFormat="1" applyFont="1" applyFill="1" applyBorder="1"/>
    <xf numFmtId="0" fontId="7" fillId="10" borderId="9" xfId="0" applyFont="1" applyFill="1" applyBorder="1" applyAlignment="1">
      <alignment horizontal="center"/>
    </xf>
    <xf numFmtId="0" fontId="7" fillId="10" borderId="5" xfId="0" applyFont="1" applyFill="1" applyBorder="1" applyAlignment="1">
      <alignment horizontal="center"/>
    </xf>
    <xf numFmtId="0" fontId="7" fillId="10" borderId="7" xfId="0" applyFont="1" applyFill="1" applyBorder="1" applyAlignment="1">
      <alignment horizontal="center"/>
    </xf>
    <xf numFmtId="3" fontId="7" fillId="10" borderId="10" xfId="0" applyNumberFormat="1" applyFont="1" applyFill="1" applyBorder="1" applyAlignment="1">
      <alignment horizontal="center"/>
    </xf>
    <xf numFmtId="3" fontId="7" fillId="10" borderId="6" xfId="0" applyNumberFormat="1" applyFont="1" applyFill="1" applyBorder="1" applyAlignment="1">
      <alignment horizontal="center"/>
    </xf>
    <xf numFmtId="3" fontId="7" fillId="10" borderId="8" xfId="0" applyNumberFormat="1" applyFont="1" applyFill="1" applyBorder="1" applyAlignment="1">
      <alignment horizontal="center"/>
    </xf>
    <xf numFmtId="2" fontId="7" fillId="10" borderId="9" xfId="0" applyNumberFormat="1" applyFont="1" applyFill="1" applyBorder="1" applyAlignment="1">
      <alignment horizontal="center"/>
    </xf>
    <xf numFmtId="2" fontId="7" fillId="10" borderId="14" xfId="0" applyNumberFormat="1" applyFont="1" applyFill="1" applyBorder="1" applyAlignment="1">
      <alignment horizontal="center"/>
    </xf>
    <xf numFmtId="2" fontId="7" fillId="10" borderId="5" xfId="0" applyNumberFormat="1" applyFont="1" applyFill="1" applyBorder="1" applyAlignment="1">
      <alignment horizontal="center"/>
    </xf>
    <xf numFmtId="2" fontId="7" fillId="10" borderId="7" xfId="0" applyNumberFormat="1" applyFont="1" applyFill="1" applyBorder="1" applyAlignment="1">
      <alignment horizontal="center"/>
    </xf>
    <xf numFmtId="1" fontId="7" fillId="10" borderId="10" xfId="0" applyNumberFormat="1" applyFont="1" applyFill="1" applyBorder="1" applyAlignment="1">
      <alignment horizontal="center"/>
    </xf>
    <xf numFmtId="1" fontId="7" fillId="10" borderId="16" xfId="0" applyNumberFormat="1" applyFont="1" applyFill="1" applyBorder="1" applyAlignment="1">
      <alignment horizontal="center"/>
    </xf>
    <xf numFmtId="1" fontId="7" fillId="10" borderId="6" xfId="0" applyNumberFormat="1" applyFont="1" applyFill="1" applyBorder="1" applyAlignment="1">
      <alignment horizontal="center"/>
    </xf>
    <xf numFmtId="1" fontId="7" fillId="10" borderId="8" xfId="0" applyNumberFormat="1" applyFont="1" applyFill="1" applyBorder="1" applyAlignment="1">
      <alignment horizontal="center"/>
    </xf>
    <xf numFmtId="1" fontId="7" fillId="10" borderId="9" xfId="0" applyNumberFormat="1" applyFont="1" applyFill="1" applyBorder="1" applyAlignment="1">
      <alignment horizontal="center"/>
    </xf>
    <xf numFmtId="1" fontId="7" fillId="10" borderId="14" xfId="0" applyNumberFormat="1" applyFont="1" applyFill="1" applyBorder="1" applyAlignment="1">
      <alignment horizontal="center"/>
    </xf>
    <xf numFmtId="1" fontId="7" fillId="10" borderId="5" xfId="0" applyNumberFormat="1" applyFont="1" applyFill="1" applyBorder="1" applyAlignment="1">
      <alignment horizontal="center"/>
    </xf>
    <xf numFmtId="1" fontId="7" fillId="10" borderId="7" xfId="0" applyNumberFormat="1" applyFont="1" applyFill="1" applyBorder="1" applyAlignment="1">
      <alignment horizontal="center"/>
    </xf>
    <xf numFmtId="3" fontId="6" fillId="13" borderId="3" xfId="0" applyNumberFormat="1" applyFont="1" applyFill="1" applyBorder="1" applyAlignment="1">
      <alignment horizontal="center"/>
    </xf>
    <xf numFmtId="0" fontId="6" fillId="13" borderId="5" xfId="0" applyFont="1" applyFill="1" applyBorder="1"/>
    <xf numFmtId="2" fontId="6" fillId="11" borderId="16" xfId="0" applyNumberFormat="1" applyFont="1" applyFill="1" applyBorder="1" applyAlignment="1">
      <alignment horizontal="center"/>
    </xf>
    <xf numFmtId="10" fontId="6" fillId="11" borderId="16" xfId="5" applyNumberFormat="1" applyFont="1" applyFill="1" applyBorder="1" applyAlignment="1" applyProtection="1">
      <alignment horizontal="center"/>
    </xf>
    <xf numFmtId="2" fontId="6" fillId="11" borderId="16" xfId="5" applyNumberFormat="1" applyFont="1" applyFill="1" applyBorder="1" applyAlignment="1" applyProtection="1">
      <alignment horizontal="center"/>
    </xf>
    <xf numFmtId="10" fontId="6" fillId="11" borderId="10" xfId="5" applyNumberFormat="1" applyFont="1" applyFill="1" applyBorder="1" applyAlignment="1" applyProtection="1">
      <alignment horizontal="center"/>
    </xf>
    <xf numFmtId="10" fontId="6" fillId="0" borderId="0" xfId="0" applyNumberFormat="1" applyFont="1" applyAlignment="1">
      <alignment horizontal="center"/>
    </xf>
    <xf numFmtId="166" fontId="0" fillId="0" borderId="0" xfId="4" applyFont="1" applyFill="1" applyBorder="1" applyAlignment="1" applyProtection="1">
      <alignment horizontal="center" vertical="center"/>
    </xf>
    <xf numFmtId="178" fontId="26" fillId="0" borderId="0" xfId="0" applyNumberFormat="1" applyFont="1" applyAlignment="1">
      <alignment vertical="center"/>
    </xf>
    <xf numFmtId="177" fontId="7" fillId="14" borderId="1" xfId="0" applyNumberFormat="1" applyFont="1" applyFill="1" applyBorder="1"/>
    <xf numFmtId="0" fontId="23" fillId="11" borderId="1" xfId="0" applyFont="1" applyFill="1" applyBorder="1" applyAlignment="1">
      <alignment horizontal="justify" vertical="top" wrapText="1"/>
    </xf>
    <xf numFmtId="0" fontId="23" fillId="11" borderId="2" xfId="0" applyFont="1" applyFill="1" applyBorder="1" applyAlignment="1">
      <alignment horizontal="center" vertical="top" wrapText="1"/>
    </xf>
    <xf numFmtId="165" fontId="23" fillId="11" borderId="1" xfId="0" applyNumberFormat="1" applyFont="1" applyFill="1" applyBorder="1" applyAlignment="1">
      <alignment vertical="center"/>
    </xf>
    <xf numFmtId="170" fontId="23" fillId="11" borderId="1" xfId="0" applyNumberFormat="1" applyFont="1" applyFill="1" applyBorder="1"/>
    <xf numFmtId="165" fontId="7" fillId="10" borderId="1" xfId="3" applyNumberFormat="1" applyFont="1" applyFill="1" applyBorder="1" applyAlignment="1" applyProtection="1">
      <alignment horizontal="right" vertical="top" wrapText="1"/>
    </xf>
    <xf numFmtId="1" fontId="6" fillId="0" borderId="0" xfId="0" applyNumberFormat="1" applyFont="1"/>
    <xf numFmtId="0" fontId="20" fillId="0" borderId="0" xfId="0" applyFont="1"/>
    <xf numFmtId="10" fontId="20" fillId="0" borderId="0" xfId="5" applyNumberFormat="1" applyFont="1" applyProtection="1"/>
    <xf numFmtId="177" fontId="7" fillId="15" borderId="1" xfId="0" applyNumberFormat="1" applyFont="1" applyFill="1" applyBorder="1"/>
    <xf numFmtId="10" fontId="6" fillId="0" borderId="0" xfId="0" applyNumberFormat="1" applyFont="1"/>
    <xf numFmtId="167" fontId="6" fillId="0" borderId="0" xfId="3" applyFont="1" applyProtection="1"/>
    <xf numFmtId="0" fontId="6" fillId="12" borderId="1" xfId="0" applyFont="1" applyFill="1" applyBorder="1" applyAlignment="1">
      <alignment horizontal="center" wrapText="1"/>
    </xf>
    <xf numFmtId="168" fontId="17" fillId="11" borderId="0" xfId="3" applyNumberFormat="1" applyFont="1" applyFill="1" applyBorder="1" applyAlignment="1">
      <alignment horizontal="center"/>
    </xf>
    <xf numFmtId="9" fontId="6" fillId="0" borderId="0" xfId="5" applyFont="1" applyProtection="1"/>
    <xf numFmtId="0" fontId="7" fillId="10" borderId="2" xfId="0" applyFont="1" applyFill="1" applyBorder="1" applyAlignment="1">
      <alignment wrapText="1"/>
    </xf>
    <xf numFmtId="168" fontId="28" fillId="11" borderId="1" xfId="3" applyNumberFormat="1" applyFont="1" applyFill="1" applyBorder="1"/>
    <xf numFmtId="10" fontId="0" fillId="11" borderId="1" xfId="0" applyNumberFormat="1" applyFill="1" applyBorder="1"/>
    <xf numFmtId="0" fontId="7" fillId="10" borderId="1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center"/>
    </xf>
    <xf numFmtId="0" fontId="7" fillId="10" borderId="2" xfId="0" applyFont="1" applyFill="1" applyBorder="1" applyAlignment="1">
      <alignment horizontal="left"/>
    </xf>
    <xf numFmtId="0" fontId="7" fillId="10" borderId="4" xfId="0" applyFont="1" applyFill="1" applyBorder="1" applyAlignment="1">
      <alignment horizontal="left"/>
    </xf>
    <xf numFmtId="0" fontId="7" fillId="10" borderId="1" xfId="0" applyFont="1" applyFill="1" applyBorder="1" applyAlignment="1">
      <alignment horizontal="center"/>
    </xf>
    <xf numFmtId="0" fontId="7" fillId="10" borderId="14" xfId="0" applyFont="1" applyFill="1" applyBorder="1" applyAlignment="1">
      <alignment horizontal="center" vertical="center"/>
    </xf>
    <xf numFmtId="0" fontId="7" fillId="10" borderId="16" xfId="0" applyFont="1" applyFill="1" applyBorder="1" applyAlignment="1">
      <alignment horizontal="center" vertical="center"/>
    </xf>
    <xf numFmtId="0" fontId="7" fillId="10" borderId="9" xfId="0" applyFont="1" applyFill="1" applyBorder="1" applyAlignment="1">
      <alignment horizontal="center" vertical="center"/>
    </xf>
    <xf numFmtId="0" fontId="7" fillId="10" borderId="10" xfId="0" applyFont="1" applyFill="1" applyBorder="1" applyAlignment="1">
      <alignment horizontal="center" vertical="center"/>
    </xf>
    <xf numFmtId="0" fontId="6" fillId="11" borderId="2" xfId="0" applyFont="1" applyFill="1" applyBorder="1" applyAlignment="1">
      <alignment horizontal="left"/>
    </xf>
    <xf numFmtId="0" fontId="6" fillId="11" borderId="3" xfId="0" applyFont="1" applyFill="1" applyBorder="1" applyAlignment="1">
      <alignment horizontal="left"/>
    </xf>
    <xf numFmtId="0" fontId="6" fillId="11" borderId="4" xfId="0" applyFont="1" applyFill="1" applyBorder="1" applyAlignment="1">
      <alignment horizontal="left"/>
    </xf>
    <xf numFmtId="0" fontId="7" fillId="10" borderId="9" xfId="0" applyFont="1" applyFill="1" applyBorder="1" applyAlignment="1">
      <alignment horizontal="center"/>
    </xf>
    <xf numFmtId="0" fontId="7" fillId="10" borderId="7" xfId="0" applyFont="1" applyFill="1" applyBorder="1" applyAlignment="1">
      <alignment horizontal="center"/>
    </xf>
    <xf numFmtId="0" fontId="7" fillId="10" borderId="9" xfId="0" applyFont="1" applyFill="1" applyBorder="1" applyAlignment="1">
      <alignment horizontal="center" vertical="top" wrapText="1"/>
    </xf>
    <xf numFmtId="0" fontId="7" fillId="10" borderId="5" xfId="0" applyFont="1" applyFill="1" applyBorder="1" applyAlignment="1">
      <alignment horizontal="center" vertical="top" wrapText="1"/>
    </xf>
    <xf numFmtId="0" fontId="7" fillId="10" borderId="2" xfId="0" applyFont="1" applyFill="1" applyBorder="1" applyAlignment="1">
      <alignment horizontal="center" vertical="top" wrapText="1"/>
    </xf>
    <xf numFmtId="0" fontId="7" fillId="10" borderId="3" xfId="0" applyFont="1" applyFill="1" applyBorder="1" applyAlignment="1">
      <alignment horizontal="center" vertical="top" wrapText="1"/>
    </xf>
    <xf numFmtId="0" fontId="6" fillId="11" borderId="2" xfId="0" applyFont="1" applyFill="1" applyBorder="1" applyAlignment="1">
      <alignment horizontal="left" vertical="top" wrapText="1"/>
    </xf>
    <xf numFmtId="0" fontId="6" fillId="11" borderId="4" xfId="0" applyFont="1" applyFill="1" applyBorder="1" applyAlignment="1">
      <alignment horizontal="left" vertical="top" wrapText="1"/>
    </xf>
    <xf numFmtId="0" fontId="7" fillId="10" borderId="1" xfId="0" applyFont="1" applyFill="1" applyBorder="1" applyAlignment="1">
      <alignment horizontal="center" vertical="top" wrapText="1"/>
    </xf>
    <xf numFmtId="0" fontId="6" fillId="11" borderId="1" xfId="0" applyFont="1" applyFill="1" applyBorder="1" applyAlignment="1">
      <alignment horizontal="left"/>
    </xf>
    <xf numFmtId="0" fontId="6" fillId="11" borderId="2" xfId="0" applyFont="1" applyFill="1" applyBorder="1" applyAlignment="1">
      <alignment horizontal="left" wrapText="1"/>
    </xf>
    <xf numFmtId="0" fontId="0" fillId="11" borderId="4" xfId="0" applyFill="1" applyBorder="1" applyAlignment="1">
      <alignment horizontal="left" wrapText="1"/>
    </xf>
    <xf numFmtId="0" fontId="7" fillId="10" borderId="14" xfId="0" applyFont="1" applyFill="1" applyBorder="1" applyAlignment="1">
      <alignment horizontal="center" vertical="center" wrapText="1"/>
    </xf>
    <xf numFmtId="0" fontId="7" fillId="10" borderId="16" xfId="0" applyFont="1" applyFill="1" applyBorder="1" applyAlignment="1">
      <alignment horizontal="center" vertical="center" wrapText="1"/>
    </xf>
    <xf numFmtId="0" fontId="6" fillId="10" borderId="16" xfId="0" applyFont="1" applyFill="1" applyBorder="1" applyAlignment="1">
      <alignment horizontal="center" vertical="center"/>
    </xf>
    <xf numFmtId="0" fontId="7" fillId="10" borderId="9" xfId="0" applyFont="1" applyFill="1" applyBorder="1" applyAlignment="1">
      <alignment horizontal="center" vertical="center" wrapText="1"/>
    </xf>
    <xf numFmtId="0" fontId="7" fillId="10" borderId="10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wrapText="1"/>
    </xf>
    <xf numFmtId="0" fontId="7" fillId="10" borderId="14" xfId="0" applyFont="1" applyFill="1" applyBorder="1" applyAlignment="1">
      <alignment horizontal="center" wrapText="1"/>
    </xf>
    <xf numFmtId="0" fontId="6" fillId="10" borderId="16" xfId="0" applyFont="1" applyFill="1" applyBorder="1"/>
    <xf numFmtId="0" fontId="7" fillId="10" borderId="5" xfId="0" applyFont="1" applyFill="1" applyBorder="1" applyAlignment="1">
      <alignment horizontal="center" vertical="center" wrapText="1"/>
    </xf>
    <xf numFmtId="0" fontId="7" fillId="10" borderId="12" xfId="0" applyFont="1" applyFill="1" applyBorder="1" applyAlignment="1">
      <alignment horizontal="center" vertical="center" wrapText="1"/>
    </xf>
    <xf numFmtId="0" fontId="7" fillId="10" borderId="0" xfId="0" applyFont="1" applyFill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/>
    </xf>
    <xf numFmtId="0" fontId="7" fillId="10" borderId="15" xfId="0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center"/>
    </xf>
    <xf numFmtId="0" fontId="7" fillId="10" borderId="3" xfId="0" applyFont="1" applyFill="1" applyBorder="1" applyAlignment="1">
      <alignment horizontal="center"/>
    </xf>
    <xf numFmtId="0" fontId="7" fillId="10" borderId="7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 wrapText="1"/>
    </xf>
    <xf numFmtId="0" fontId="7" fillId="10" borderId="4" xfId="0" applyFont="1" applyFill="1" applyBorder="1" applyAlignment="1">
      <alignment horizontal="center" wrapText="1"/>
    </xf>
    <xf numFmtId="0" fontId="7" fillId="10" borderId="16" xfId="0" applyFont="1" applyFill="1" applyBorder="1" applyAlignment="1">
      <alignment horizontal="center" wrapText="1"/>
    </xf>
    <xf numFmtId="0" fontId="6" fillId="11" borderId="1" xfId="0" applyFont="1" applyFill="1" applyBorder="1" applyAlignment="1">
      <alignment horizontal="left" wrapText="1"/>
    </xf>
    <xf numFmtId="0" fontId="7" fillId="10" borderId="2" xfId="0" applyFont="1" applyFill="1" applyBorder="1" applyAlignment="1">
      <alignment horizontal="left" wrapText="1"/>
    </xf>
    <xf numFmtId="0" fontId="7" fillId="10" borderId="4" xfId="0" applyFont="1" applyFill="1" applyBorder="1" applyAlignment="1">
      <alignment horizontal="left" wrapText="1"/>
    </xf>
    <xf numFmtId="0" fontId="7" fillId="0" borderId="0" xfId="0" applyFont="1" applyAlignment="1">
      <alignment horizontal="center"/>
    </xf>
    <xf numFmtId="0" fontId="7" fillId="10" borderId="9" xfId="0" applyFont="1" applyFill="1" applyBorder="1" applyAlignment="1">
      <alignment horizontal="center" wrapText="1"/>
    </xf>
    <xf numFmtId="0" fontId="7" fillId="10" borderId="10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left"/>
    </xf>
    <xf numFmtId="0" fontId="7" fillId="10" borderId="10" xfId="0" applyFont="1" applyFill="1" applyBorder="1" applyAlignment="1">
      <alignment horizontal="center"/>
    </xf>
    <xf numFmtId="0" fontId="7" fillId="10" borderId="6" xfId="0" applyFont="1" applyFill="1" applyBorder="1" applyAlignment="1">
      <alignment horizontal="center"/>
    </xf>
    <xf numFmtId="0" fontId="7" fillId="10" borderId="4" xfId="0" applyFont="1" applyFill="1" applyBorder="1" applyAlignment="1">
      <alignment horizontal="center"/>
    </xf>
    <xf numFmtId="0" fontId="7" fillId="13" borderId="2" xfId="0" applyFont="1" applyFill="1" applyBorder="1" applyAlignment="1">
      <alignment horizontal="left"/>
    </xf>
    <xf numFmtId="0" fontId="7" fillId="13" borderId="3" xfId="0" applyFont="1" applyFill="1" applyBorder="1" applyAlignment="1">
      <alignment horizontal="left"/>
    </xf>
    <xf numFmtId="0" fontId="7" fillId="13" borderId="4" xfId="0" applyFont="1" applyFill="1" applyBorder="1" applyAlignment="1">
      <alignment horizontal="left"/>
    </xf>
    <xf numFmtId="0" fontId="7" fillId="10" borderId="3" xfId="0" applyFont="1" applyFill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7" fillId="10" borderId="1" xfId="0" applyFont="1" applyFill="1" applyBorder="1" applyAlignment="1">
      <alignment horizontal="left"/>
    </xf>
    <xf numFmtId="171" fontId="6" fillId="12" borderId="1" xfId="0" applyNumberFormat="1" applyFont="1" applyFill="1" applyBorder="1" applyAlignment="1">
      <alignment horizontal="center"/>
    </xf>
    <xf numFmtId="170" fontId="7" fillId="12" borderId="2" xfId="0" applyNumberFormat="1" applyFont="1" applyFill="1" applyBorder="1"/>
    <xf numFmtId="0" fontId="0" fillId="12" borderId="4" xfId="0" applyFill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10" borderId="1" xfId="0" applyFont="1" applyFill="1" applyBorder="1" applyAlignment="1">
      <alignment horizontal="center"/>
    </xf>
    <xf numFmtId="0" fontId="6" fillId="10" borderId="2" xfId="0" applyFont="1" applyFill="1" applyBorder="1" applyAlignment="1">
      <alignment horizontal="center"/>
    </xf>
    <xf numFmtId="9" fontId="7" fillId="11" borderId="1" xfId="0" applyNumberFormat="1" applyFont="1" applyFill="1" applyBorder="1" applyAlignment="1">
      <alignment horizontal="center"/>
    </xf>
    <xf numFmtId="0" fontId="11" fillId="10" borderId="2" xfId="0" applyFont="1" applyFill="1" applyBorder="1" applyAlignment="1">
      <alignment horizontal="left"/>
    </xf>
    <xf numFmtId="0" fontId="11" fillId="10" borderId="3" xfId="0" applyFont="1" applyFill="1" applyBorder="1" applyAlignment="1">
      <alignment horizontal="left"/>
    </xf>
    <xf numFmtId="0" fontId="11" fillId="10" borderId="4" xfId="0" applyFont="1" applyFill="1" applyBorder="1" applyAlignment="1">
      <alignment horizontal="left"/>
    </xf>
    <xf numFmtId="0" fontId="6" fillId="13" borderId="2" xfId="0" applyFont="1" applyFill="1" applyBorder="1" applyAlignment="1">
      <alignment horizontal="left"/>
    </xf>
    <xf numFmtId="0" fontId="6" fillId="13" borderId="3" xfId="0" applyFont="1" applyFill="1" applyBorder="1" applyAlignment="1">
      <alignment horizontal="left"/>
    </xf>
    <xf numFmtId="0" fontId="6" fillId="13" borderId="4" xfId="0" applyFont="1" applyFill="1" applyBorder="1" applyAlignment="1">
      <alignment horizontal="left"/>
    </xf>
    <xf numFmtId="0" fontId="7" fillId="8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7" fillId="8" borderId="16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7" fillId="8" borderId="1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3" borderId="1" xfId="0" applyFont="1" applyFill="1" applyBorder="1" applyAlignment="1">
      <alignment horizontal="left"/>
    </xf>
    <xf numFmtId="0" fontId="7" fillId="8" borderId="1" xfId="0" applyFont="1" applyFill="1" applyBorder="1" applyAlignment="1">
      <alignment horizontal="left"/>
    </xf>
    <xf numFmtId="0" fontId="7" fillId="8" borderId="2" xfId="0" applyFont="1" applyFill="1" applyBorder="1" applyAlignment="1">
      <alignment horizontal="left"/>
    </xf>
    <xf numFmtId="0" fontId="7" fillId="8" borderId="3" xfId="0" applyFont="1" applyFill="1" applyBorder="1" applyAlignment="1">
      <alignment horizontal="left"/>
    </xf>
    <xf numFmtId="0" fontId="7" fillId="8" borderId="4" xfId="0" applyFont="1" applyFill="1" applyBorder="1" applyAlignment="1">
      <alignment horizontal="left"/>
    </xf>
    <xf numFmtId="0" fontId="6" fillId="10" borderId="4" xfId="0" applyFont="1" applyFill="1" applyBorder="1" applyAlignment="1">
      <alignment horizontal="center"/>
    </xf>
    <xf numFmtId="0" fontId="1" fillId="11" borderId="1" xfId="0" applyFont="1" applyFill="1" applyBorder="1"/>
  </cellXfs>
  <cellStyles count="6">
    <cellStyle name="Euro" xfId="1" xr:uid="{00000000-0005-0000-0000-000000000000}"/>
    <cellStyle name="Hipervínculo" xfId="2" builtinId="8"/>
    <cellStyle name="Moneda" xfId="3" builtinId="4"/>
    <cellStyle name="Moneda 2" xfId="4" xr:uid="{00000000-0005-0000-0000-000003000000}"/>
    <cellStyle name="Normal" xfId="0" builtinId="0"/>
    <cellStyle name="Porcentaje" xfId="5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108"/>
  <sheetViews>
    <sheetView showGridLines="0" topLeftCell="A57" zoomScale="85" zoomScaleNormal="85" workbookViewId="0">
      <selection activeCell="K99" sqref="K99"/>
    </sheetView>
  </sheetViews>
  <sheetFormatPr baseColWidth="10" defaultRowHeight="12.75" x14ac:dyDescent="0.2"/>
  <cols>
    <col min="1" max="1" width="11.5703125" style="2" customWidth="1"/>
    <col min="2" max="2" width="43.42578125" style="2" customWidth="1"/>
    <col min="3" max="3" width="14" style="2" customWidth="1"/>
    <col min="4" max="4" width="21.28515625" style="2" customWidth="1"/>
    <col min="5" max="5" width="19.140625" style="2" customWidth="1"/>
    <col min="6" max="6" width="11.42578125" style="2"/>
    <col min="7" max="7" width="12.7109375" style="2" bestFit="1" customWidth="1"/>
    <col min="8" max="16384" width="11.42578125" style="2"/>
  </cols>
  <sheetData>
    <row r="3" spans="1:14" x14ac:dyDescent="0.2">
      <c r="B3" s="3" t="s">
        <v>264</v>
      </c>
    </row>
    <row r="4" spans="1:14" x14ac:dyDescent="0.2">
      <c r="B4" s="380" t="s">
        <v>4</v>
      </c>
      <c r="C4" s="380"/>
      <c r="D4" s="380"/>
      <c r="E4" s="167" t="s">
        <v>21</v>
      </c>
    </row>
    <row r="5" spans="1:14" x14ac:dyDescent="0.2">
      <c r="A5" s="3" t="s">
        <v>258</v>
      </c>
      <c r="B5" s="385" t="s">
        <v>229</v>
      </c>
      <c r="C5" s="386"/>
      <c r="D5" s="387"/>
      <c r="E5" s="162">
        <v>0</v>
      </c>
      <c r="G5"/>
      <c r="H5"/>
      <c r="I5"/>
      <c r="J5"/>
      <c r="K5"/>
      <c r="L5"/>
      <c r="M5"/>
      <c r="N5"/>
    </row>
    <row r="6" spans="1:14" x14ac:dyDescent="0.2">
      <c r="B6" s="380" t="s">
        <v>2</v>
      </c>
      <c r="C6" s="380"/>
      <c r="D6" s="380"/>
      <c r="E6" s="171">
        <f>SUM(E5:E5)</f>
        <v>0</v>
      </c>
    </row>
    <row r="9" spans="1:14" x14ac:dyDescent="0.2">
      <c r="A9" s="3" t="s">
        <v>209</v>
      </c>
      <c r="B9" s="3" t="s">
        <v>371</v>
      </c>
    </row>
    <row r="10" spans="1:14" x14ac:dyDescent="0.2">
      <c r="B10" s="380" t="s">
        <v>4</v>
      </c>
      <c r="C10" s="380"/>
      <c r="D10" s="380"/>
      <c r="E10" s="167" t="s">
        <v>21</v>
      </c>
    </row>
    <row r="11" spans="1:14" x14ac:dyDescent="0.2">
      <c r="B11" s="397" t="s">
        <v>371</v>
      </c>
      <c r="C11" s="397"/>
      <c r="D11" s="397"/>
      <c r="E11" s="162">
        <v>6000000</v>
      </c>
    </row>
    <row r="12" spans="1:14" x14ac:dyDescent="0.2">
      <c r="B12" s="380" t="s">
        <v>2</v>
      </c>
      <c r="C12" s="380"/>
      <c r="D12" s="380"/>
      <c r="E12" s="171">
        <f>SUM(E11:E11)</f>
        <v>6000000</v>
      </c>
    </row>
    <row r="15" spans="1:14" x14ac:dyDescent="0.2">
      <c r="A15" s="3" t="s">
        <v>210</v>
      </c>
      <c r="B15" s="3" t="s">
        <v>22</v>
      </c>
    </row>
    <row r="16" spans="1:14" ht="25.5" x14ac:dyDescent="0.2">
      <c r="B16" s="155" t="s">
        <v>0</v>
      </c>
      <c r="C16" s="172" t="s">
        <v>1</v>
      </c>
      <c r="D16" s="173" t="s">
        <v>324</v>
      </c>
      <c r="E16" s="173" t="s">
        <v>18</v>
      </c>
    </row>
    <row r="17" spans="1:5" x14ac:dyDescent="0.2">
      <c r="B17" s="176" t="s">
        <v>343</v>
      </c>
      <c r="C17" s="177">
        <v>2</v>
      </c>
      <c r="D17" s="178">
        <v>699000</v>
      </c>
      <c r="E17" s="179">
        <f t="shared" ref="E17:E28" si="0">+C17*D17</f>
        <v>1398000</v>
      </c>
    </row>
    <row r="18" spans="1:5" x14ac:dyDescent="0.2">
      <c r="B18" s="180" t="s">
        <v>355</v>
      </c>
      <c r="C18" s="177">
        <v>2</v>
      </c>
      <c r="D18" s="178">
        <v>3000000</v>
      </c>
      <c r="E18" s="179">
        <f t="shared" si="0"/>
        <v>6000000</v>
      </c>
    </row>
    <row r="19" spans="1:5" x14ac:dyDescent="0.2">
      <c r="B19" s="180" t="s">
        <v>353</v>
      </c>
      <c r="C19" s="177">
        <v>1</v>
      </c>
      <c r="D19" s="181">
        <v>1000000</v>
      </c>
      <c r="E19" s="179">
        <f t="shared" si="0"/>
        <v>1000000</v>
      </c>
    </row>
    <row r="20" spans="1:5" x14ac:dyDescent="0.2">
      <c r="B20" s="180" t="s">
        <v>344</v>
      </c>
      <c r="C20" s="177">
        <v>1</v>
      </c>
      <c r="D20" s="178">
        <v>2300000</v>
      </c>
      <c r="E20" s="179">
        <f t="shared" si="0"/>
        <v>2300000</v>
      </c>
    </row>
    <row r="21" spans="1:5" x14ac:dyDescent="0.2">
      <c r="B21" s="180" t="s">
        <v>345</v>
      </c>
      <c r="C21" s="177">
        <v>1</v>
      </c>
      <c r="D21" s="178">
        <v>2500000</v>
      </c>
      <c r="E21" s="179">
        <f t="shared" si="0"/>
        <v>2500000</v>
      </c>
    </row>
    <row r="22" spans="1:5" x14ac:dyDescent="0.2">
      <c r="B22" s="180" t="s">
        <v>346</v>
      </c>
      <c r="C22" s="177">
        <v>1</v>
      </c>
      <c r="D22" s="178">
        <v>950000</v>
      </c>
      <c r="E22" s="179">
        <f t="shared" si="0"/>
        <v>950000</v>
      </c>
    </row>
    <row r="23" spans="1:5" x14ac:dyDescent="0.2">
      <c r="B23" s="180" t="s">
        <v>347</v>
      </c>
      <c r="C23" s="177">
        <v>1</v>
      </c>
      <c r="D23" s="178">
        <v>1200000</v>
      </c>
      <c r="E23" s="179">
        <f t="shared" si="0"/>
        <v>1200000</v>
      </c>
    </row>
    <row r="24" spans="1:5" x14ac:dyDescent="0.2">
      <c r="B24" s="180" t="s">
        <v>356</v>
      </c>
      <c r="C24" s="177">
        <v>1</v>
      </c>
      <c r="D24" s="178">
        <v>15000000</v>
      </c>
      <c r="E24" s="179">
        <f t="shared" si="0"/>
        <v>15000000</v>
      </c>
    </row>
    <row r="25" spans="1:5" x14ac:dyDescent="0.2">
      <c r="B25" s="180" t="s">
        <v>348</v>
      </c>
      <c r="C25" s="177">
        <v>1</v>
      </c>
      <c r="D25" s="178">
        <v>4200000</v>
      </c>
      <c r="E25" s="179">
        <f t="shared" si="0"/>
        <v>4200000</v>
      </c>
    </row>
    <row r="26" spans="1:5" x14ac:dyDescent="0.2">
      <c r="B26" s="180" t="s">
        <v>349</v>
      </c>
      <c r="C26" s="177">
        <v>1</v>
      </c>
      <c r="D26" s="178">
        <v>2300000</v>
      </c>
      <c r="E26" s="179">
        <f t="shared" si="0"/>
        <v>2300000</v>
      </c>
    </row>
    <row r="27" spans="1:5" x14ac:dyDescent="0.2">
      <c r="B27" s="176" t="s">
        <v>350</v>
      </c>
      <c r="C27" s="177">
        <v>1</v>
      </c>
      <c r="D27" s="178">
        <v>4000000</v>
      </c>
      <c r="E27" s="179">
        <f t="shared" si="0"/>
        <v>4000000</v>
      </c>
    </row>
    <row r="28" spans="1:5" x14ac:dyDescent="0.2">
      <c r="B28" s="176" t="s">
        <v>354</v>
      </c>
      <c r="C28" s="213">
        <v>1</v>
      </c>
      <c r="D28" s="178">
        <v>10000000</v>
      </c>
      <c r="E28" s="179">
        <f t="shared" si="0"/>
        <v>10000000</v>
      </c>
    </row>
    <row r="29" spans="1:5" x14ac:dyDescent="0.2">
      <c r="B29" s="155" t="s">
        <v>2</v>
      </c>
      <c r="C29" s="174"/>
      <c r="D29" s="175"/>
      <c r="E29" s="171">
        <f>SUM(E17:E28)</f>
        <v>50848000</v>
      </c>
    </row>
    <row r="32" spans="1:5" x14ac:dyDescent="0.2">
      <c r="A32" s="3" t="s">
        <v>211</v>
      </c>
      <c r="B32" s="3" t="s">
        <v>3</v>
      </c>
    </row>
    <row r="33" spans="1:6" x14ac:dyDescent="0.2">
      <c r="B33" s="155" t="s">
        <v>0</v>
      </c>
      <c r="C33" s="172" t="s">
        <v>1</v>
      </c>
      <c r="D33" s="173" t="s">
        <v>17</v>
      </c>
      <c r="E33" s="173" t="s">
        <v>18</v>
      </c>
    </row>
    <row r="34" spans="1:6" x14ac:dyDescent="0.2">
      <c r="B34" s="176" t="s">
        <v>325</v>
      </c>
      <c r="C34" s="177">
        <v>2</v>
      </c>
      <c r="D34" s="182">
        <v>335900</v>
      </c>
      <c r="E34" s="179">
        <f t="shared" ref="E34:E39" si="1">+D34*C34</f>
        <v>671800</v>
      </c>
    </row>
    <row r="35" spans="1:6" x14ac:dyDescent="0.2">
      <c r="B35" s="176" t="s">
        <v>327</v>
      </c>
      <c r="C35" s="177">
        <v>2</v>
      </c>
      <c r="D35" s="182">
        <v>142900</v>
      </c>
      <c r="E35" s="179">
        <f t="shared" si="1"/>
        <v>285800</v>
      </c>
    </row>
    <row r="36" spans="1:6" x14ac:dyDescent="0.2">
      <c r="B36" s="176" t="s">
        <v>328</v>
      </c>
      <c r="C36" s="177">
        <v>1</v>
      </c>
      <c r="D36" s="182">
        <v>739000</v>
      </c>
      <c r="E36" s="179">
        <f t="shared" si="1"/>
        <v>739000</v>
      </c>
    </row>
    <row r="37" spans="1:6" x14ac:dyDescent="0.2">
      <c r="B37" s="176" t="s">
        <v>329</v>
      </c>
      <c r="C37" s="177">
        <v>1</v>
      </c>
      <c r="D37" s="182">
        <v>460000</v>
      </c>
      <c r="E37" s="179">
        <f t="shared" si="1"/>
        <v>460000</v>
      </c>
    </row>
    <row r="38" spans="1:6" x14ac:dyDescent="0.2">
      <c r="B38" s="176" t="s">
        <v>330</v>
      </c>
      <c r="C38" s="177">
        <v>1</v>
      </c>
      <c r="D38" s="182">
        <v>249400</v>
      </c>
      <c r="E38" s="179">
        <f t="shared" si="1"/>
        <v>249400</v>
      </c>
    </row>
    <row r="39" spans="1:6" x14ac:dyDescent="0.2">
      <c r="B39" s="176" t="s">
        <v>331</v>
      </c>
      <c r="C39" s="177">
        <v>1</v>
      </c>
      <c r="D39" s="182">
        <v>450000</v>
      </c>
      <c r="E39" s="179">
        <f t="shared" si="1"/>
        <v>450000</v>
      </c>
    </row>
    <row r="40" spans="1:6" x14ac:dyDescent="0.2">
      <c r="B40" s="155" t="s">
        <v>2</v>
      </c>
      <c r="C40" s="168"/>
      <c r="D40" s="175"/>
      <c r="E40" s="171">
        <f>SUM(E34:E39)</f>
        <v>2856000</v>
      </c>
      <c r="F40" s="4"/>
    </row>
    <row r="43" spans="1:6" x14ac:dyDescent="0.2">
      <c r="A43" s="3" t="s">
        <v>212</v>
      </c>
      <c r="B43" s="3" t="s">
        <v>316</v>
      </c>
    </row>
    <row r="44" spans="1:6" x14ac:dyDescent="0.2">
      <c r="B44" s="155" t="s">
        <v>0</v>
      </c>
      <c r="C44" s="158" t="s">
        <v>1</v>
      </c>
      <c r="D44" s="155" t="s">
        <v>19</v>
      </c>
      <c r="E44" s="155" t="s">
        <v>20</v>
      </c>
    </row>
    <row r="45" spans="1:6" x14ac:dyDescent="0.2">
      <c r="B45" s="185" t="s">
        <v>326</v>
      </c>
      <c r="C45" s="164">
        <v>2</v>
      </c>
      <c r="D45" s="214">
        <v>1800000</v>
      </c>
      <c r="E45" s="162">
        <f>D45*C45</f>
        <v>3600000</v>
      </c>
    </row>
    <row r="46" spans="1:6" x14ac:dyDescent="0.2">
      <c r="B46" s="186" t="s">
        <v>323</v>
      </c>
      <c r="C46" s="187">
        <v>1</v>
      </c>
      <c r="D46" s="214">
        <v>1599000</v>
      </c>
      <c r="E46" s="162">
        <f>D46*C46</f>
        <v>1599000</v>
      </c>
    </row>
    <row r="47" spans="1:6" x14ac:dyDescent="0.2">
      <c r="B47" s="185" t="s">
        <v>357</v>
      </c>
      <c r="C47" s="164">
        <v>1</v>
      </c>
      <c r="D47" s="214">
        <v>141000</v>
      </c>
      <c r="E47" s="162">
        <f>D47*C47</f>
        <v>141000</v>
      </c>
    </row>
    <row r="48" spans="1:6" x14ac:dyDescent="0.2">
      <c r="B48" s="155" t="s">
        <v>2</v>
      </c>
      <c r="C48" s="158"/>
      <c r="D48" s="175"/>
      <c r="E48" s="171">
        <f>SUM(E45:E47)</f>
        <v>5340000</v>
      </c>
    </row>
    <row r="51" spans="1:5" x14ac:dyDescent="0.2">
      <c r="A51" s="3" t="s">
        <v>225</v>
      </c>
      <c r="B51" s="3" t="s">
        <v>207</v>
      </c>
    </row>
    <row r="52" spans="1:5" ht="15" customHeight="1" x14ac:dyDescent="0.2">
      <c r="B52" s="155" t="s">
        <v>0</v>
      </c>
      <c r="C52" s="158" t="s">
        <v>1</v>
      </c>
      <c r="D52" s="155" t="s">
        <v>19</v>
      </c>
      <c r="E52" s="155" t="s">
        <v>20</v>
      </c>
    </row>
    <row r="53" spans="1:5" x14ac:dyDescent="0.2">
      <c r="B53" s="359"/>
      <c r="C53" s="360">
        <v>0</v>
      </c>
      <c r="D53" s="361">
        <v>0</v>
      </c>
      <c r="E53" s="362">
        <f>D53*C53</f>
        <v>0</v>
      </c>
    </row>
    <row r="54" spans="1:5" x14ac:dyDescent="0.2">
      <c r="B54" s="155" t="s">
        <v>2</v>
      </c>
      <c r="C54" s="158"/>
      <c r="D54" s="363"/>
      <c r="E54" s="171">
        <f>SUM(E53:E53)</f>
        <v>0</v>
      </c>
    </row>
    <row r="55" spans="1:5" x14ac:dyDescent="0.2">
      <c r="B55" s="5"/>
      <c r="C55" s="5"/>
      <c r="D55" s="6"/>
      <c r="E55" s="6"/>
    </row>
    <row r="56" spans="1:5" x14ac:dyDescent="0.2">
      <c r="B56" s="5"/>
      <c r="C56" s="5"/>
      <c r="D56" s="6"/>
      <c r="E56" s="6"/>
    </row>
    <row r="57" spans="1:5" x14ac:dyDescent="0.2">
      <c r="A57" s="3" t="s">
        <v>226</v>
      </c>
      <c r="B57" s="7" t="s">
        <v>26</v>
      </c>
      <c r="C57" s="5"/>
      <c r="D57" s="6"/>
      <c r="E57" s="6"/>
    </row>
    <row r="58" spans="1:5" x14ac:dyDescent="0.2">
      <c r="A58" s="3"/>
      <c r="B58" s="392" t="s">
        <v>0</v>
      </c>
      <c r="C58" s="393"/>
      <c r="D58" s="188" t="s">
        <v>25</v>
      </c>
      <c r="E58" s="6"/>
    </row>
    <row r="59" spans="1:5" x14ac:dyDescent="0.2">
      <c r="A59" s="3"/>
      <c r="B59" s="190" t="s">
        <v>230</v>
      </c>
      <c r="C59" s="191" t="s">
        <v>258</v>
      </c>
      <c r="D59" s="192">
        <f>E5</f>
        <v>0</v>
      </c>
      <c r="E59" s="6"/>
    </row>
    <row r="60" spans="1:5" x14ac:dyDescent="0.2">
      <c r="B60" s="190" t="str">
        <f>B9</f>
        <v>Adecuaciones locativas</v>
      </c>
      <c r="C60" s="191" t="s">
        <v>209</v>
      </c>
      <c r="D60" s="192">
        <f>E12</f>
        <v>6000000</v>
      </c>
      <c r="E60" s="6"/>
    </row>
    <row r="61" spans="1:5" x14ac:dyDescent="0.2">
      <c r="B61" s="190" t="str">
        <f>B15</f>
        <v>Maquinaria y Equipos</v>
      </c>
      <c r="C61" s="191" t="s">
        <v>210</v>
      </c>
      <c r="D61" s="192">
        <f>E29</f>
        <v>50848000</v>
      </c>
      <c r="E61" s="6"/>
    </row>
    <row r="62" spans="1:5" x14ac:dyDescent="0.2">
      <c r="B62" s="190" t="s">
        <v>3</v>
      </c>
      <c r="C62" s="191" t="s">
        <v>259</v>
      </c>
      <c r="D62" s="192">
        <f>E40</f>
        <v>2856000</v>
      </c>
      <c r="E62" s="6"/>
    </row>
    <row r="63" spans="1:5" x14ac:dyDescent="0.2">
      <c r="B63" s="190" t="s">
        <v>9</v>
      </c>
      <c r="C63" s="191" t="s">
        <v>260</v>
      </c>
      <c r="D63" s="192">
        <f>E48</f>
        <v>5340000</v>
      </c>
      <c r="E63" s="6"/>
    </row>
    <row r="64" spans="1:5" x14ac:dyDescent="0.2">
      <c r="B64" s="190" t="s">
        <v>206</v>
      </c>
      <c r="C64" s="191" t="s">
        <v>261</v>
      </c>
      <c r="D64" s="192">
        <f>E54</f>
        <v>0</v>
      </c>
      <c r="E64" s="6"/>
    </row>
    <row r="65" spans="1:11" x14ac:dyDescent="0.2">
      <c r="B65" s="396" t="s">
        <v>2</v>
      </c>
      <c r="C65" s="396"/>
      <c r="D65" s="189">
        <f>SUM(D59:D64)</f>
        <v>65044000</v>
      </c>
      <c r="E65" s="6"/>
    </row>
    <row r="66" spans="1:11" x14ac:dyDescent="0.2">
      <c r="B66" s="5"/>
      <c r="C66" s="5"/>
      <c r="D66" s="6"/>
      <c r="E66" s="6"/>
    </row>
    <row r="67" spans="1:11" x14ac:dyDescent="0.2">
      <c r="B67" s="5"/>
      <c r="C67" s="5"/>
      <c r="D67" s="6"/>
      <c r="E67" s="6"/>
    </row>
    <row r="69" spans="1:11" x14ac:dyDescent="0.2">
      <c r="A69" s="3" t="s">
        <v>238</v>
      </c>
      <c r="B69" s="3" t="s">
        <v>5</v>
      </c>
    </row>
    <row r="70" spans="1:11" x14ac:dyDescent="0.2">
      <c r="B70" s="390" t="s">
        <v>0</v>
      </c>
      <c r="C70" s="391"/>
      <c r="D70" s="155" t="s">
        <v>25</v>
      </c>
      <c r="K70" s="2" t="s">
        <v>263</v>
      </c>
    </row>
    <row r="71" spans="1:11" x14ac:dyDescent="0.2">
      <c r="B71" s="196" t="s">
        <v>332</v>
      </c>
      <c r="C71" s="197"/>
      <c r="D71" s="166">
        <v>316000</v>
      </c>
      <c r="F71" s="8"/>
      <c r="G71" s="8"/>
    </row>
    <row r="72" spans="1:11" ht="12.75" customHeight="1" x14ac:dyDescent="0.2">
      <c r="B72" s="398" t="s">
        <v>333</v>
      </c>
      <c r="C72" s="399"/>
      <c r="D72" s="166">
        <v>1012000</v>
      </c>
    </row>
    <row r="73" spans="1:11" ht="12.75" customHeight="1" x14ac:dyDescent="0.2">
      <c r="B73" s="385" t="s">
        <v>334</v>
      </c>
      <c r="C73" s="387"/>
      <c r="D73" s="166">
        <v>1012000</v>
      </c>
    </row>
    <row r="74" spans="1:11" ht="14.25" customHeight="1" x14ac:dyDescent="0.2">
      <c r="B74" s="394" t="s">
        <v>335</v>
      </c>
      <c r="C74" s="395"/>
      <c r="D74" s="198">
        <v>2789001</v>
      </c>
    </row>
    <row r="75" spans="1:11" x14ac:dyDescent="0.2">
      <c r="B75" s="199" t="s">
        <v>336</v>
      </c>
      <c r="C75" s="200"/>
      <c r="D75" s="198">
        <v>3000000</v>
      </c>
    </row>
    <row r="77" spans="1:11" x14ac:dyDescent="0.2">
      <c r="B77" s="392" t="s">
        <v>2</v>
      </c>
      <c r="C77" s="393"/>
      <c r="D77" s="189">
        <f>SUM(D71:D75)</f>
        <v>8129001</v>
      </c>
    </row>
    <row r="78" spans="1:11" ht="12.75" customHeight="1" x14ac:dyDescent="0.2">
      <c r="D78" s="9"/>
    </row>
    <row r="79" spans="1:11" x14ac:dyDescent="0.2">
      <c r="B79" s="378" t="s">
        <v>208</v>
      </c>
      <c r="C79" s="379"/>
      <c r="D79" s="184">
        <f>D77/5</f>
        <v>1625800.2</v>
      </c>
      <c r="G79" s="9"/>
    </row>
    <row r="83" spans="1:5" x14ac:dyDescent="0.2">
      <c r="B83" s="3" t="s">
        <v>93</v>
      </c>
    </row>
    <row r="84" spans="1:5" x14ac:dyDescent="0.2">
      <c r="B84" s="381" t="s">
        <v>89</v>
      </c>
      <c r="C84" s="388" t="s">
        <v>90</v>
      </c>
      <c r="D84" s="389"/>
    </row>
    <row r="85" spans="1:5" x14ac:dyDescent="0.2">
      <c r="B85" s="382"/>
      <c r="C85" s="174" t="s">
        <v>91</v>
      </c>
      <c r="D85" s="169" t="s">
        <v>92</v>
      </c>
    </row>
    <row r="86" spans="1:5" x14ac:dyDescent="0.2">
      <c r="B86" s="201" t="s">
        <v>88</v>
      </c>
      <c r="C86" s="202">
        <v>0</v>
      </c>
      <c r="D86" s="203">
        <v>0</v>
      </c>
    </row>
    <row r="87" spans="1:5" ht="13.5" customHeight="1" x14ac:dyDescent="0.2">
      <c r="B87" s="201" t="s">
        <v>87</v>
      </c>
      <c r="C87" s="202">
        <v>0.9</v>
      </c>
      <c r="D87" s="203">
        <f>(1-C87)</f>
        <v>9.9999999999999978E-2</v>
      </c>
    </row>
    <row r="88" spans="1:5" x14ac:dyDescent="0.2">
      <c r="B88" s="201" t="s">
        <v>314</v>
      </c>
      <c r="C88" s="202">
        <v>0.9</v>
      </c>
      <c r="D88" s="203">
        <f>(1-C88)</f>
        <v>9.9999999999999978E-2</v>
      </c>
    </row>
    <row r="89" spans="1:5" ht="15" customHeight="1" x14ac:dyDescent="0.2">
      <c r="B89" s="201" t="s">
        <v>6</v>
      </c>
      <c r="C89" s="202">
        <v>0.9</v>
      </c>
      <c r="D89" s="203">
        <f>(1-C89)</f>
        <v>9.9999999999999978E-2</v>
      </c>
    </row>
    <row r="90" spans="1:5" ht="13.5" hidden="1" customHeight="1" x14ac:dyDescent="0.2">
      <c r="B90" s="201" t="s">
        <v>88</v>
      </c>
      <c r="C90" s="202">
        <v>1</v>
      </c>
      <c r="D90" s="203">
        <v>0</v>
      </c>
    </row>
    <row r="91" spans="1:5" ht="15.75" customHeight="1" x14ac:dyDescent="0.2">
      <c r="B91" s="201" t="s">
        <v>315</v>
      </c>
      <c r="C91" s="202">
        <v>0.1</v>
      </c>
      <c r="D91" s="203">
        <f>(1-C91)</f>
        <v>0.9</v>
      </c>
    </row>
    <row r="95" spans="1:5" x14ac:dyDescent="0.2">
      <c r="A95" s="3" t="s">
        <v>235</v>
      </c>
      <c r="B95" s="3" t="s">
        <v>222</v>
      </c>
    </row>
    <row r="96" spans="1:5" x14ac:dyDescent="0.2">
      <c r="B96" s="381" t="s">
        <v>202</v>
      </c>
      <c r="C96" s="383" t="s">
        <v>25</v>
      </c>
      <c r="D96" s="380" t="s">
        <v>90</v>
      </c>
      <c r="E96" s="380"/>
    </row>
    <row r="97" spans="2:11" x14ac:dyDescent="0.2">
      <c r="B97" s="382"/>
      <c r="C97" s="384"/>
      <c r="D97" s="167" t="s">
        <v>91</v>
      </c>
      <c r="E97" s="167" t="s">
        <v>92</v>
      </c>
    </row>
    <row r="98" spans="2:11" x14ac:dyDescent="0.2">
      <c r="B98" s="201" t="s">
        <v>88</v>
      </c>
      <c r="C98" s="204">
        <v>0</v>
      </c>
      <c r="D98" s="205">
        <f>C98*C86</f>
        <v>0</v>
      </c>
      <c r="E98" s="205">
        <f>C98*D86</f>
        <v>0</v>
      </c>
    </row>
    <row r="99" spans="2:11" x14ac:dyDescent="0.2">
      <c r="B99" s="201" t="s">
        <v>87</v>
      </c>
      <c r="C99" s="204">
        <v>0</v>
      </c>
      <c r="D99" s="205">
        <f>C99*C87</f>
        <v>0</v>
      </c>
      <c r="E99" s="205">
        <f>C99*D87</f>
        <v>0</v>
      </c>
    </row>
    <row r="100" spans="2:11" x14ac:dyDescent="0.2">
      <c r="B100" s="201" t="s">
        <v>313</v>
      </c>
      <c r="C100" s="204">
        <v>0</v>
      </c>
      <c r="D100" s="205">
        <f>C100*C88</f>
        <v>0</v>
      </c>
      <c r="E100" s="205">
        <f>C100*D88</f>
        <v>0</v>
      </c>
    </row>
    <row r="101" spans="2:11" x14ac:dyDescent="0.2">
      <c r="B101" s="201" t="s">
        <v>6</v>
      </c>
      <c r="C101" s="204">
        <v>250000</v>
      </c>
      <c r="D101" s="205">
        <f>C101*C89</f>
        <v>225000</v>
      </c>
      <c r="E101" s="205">
        <f>C101*D89</f>
        <v>24999.999999999993</v>
      </c>
    </row>
    <row r="102" spans="2:11" x14ac:dyDescent="0.2">
      <c r="B102" s="201" t="s">
        <v>322</v>
      </c>
      <c r="C102" s="204">
        <v>100000</v>
      </c>
      <c r="D102" s="205">
        <f>C102*C91</f>
        <v>10000</v>
      </c>
      <c r="E102" s="205">
        <f>D91*C102</f>
        <v>90000</v>
      </c>
    </row>
    <row r="103" spans="2:11" x14ac:dyDescent="0.2">
      <c r="B103"/>
    </row>
    <row r="108" spans="2:11" x14ac:dyDescent="0.2">
      <c r="K108" s="3"/>
    </row>
  </sheetData>
  <mergeCells count="19">
    <mergeCell ref="B12:D12"/>
    <mergeCell ref="B72:C72"/>
    <mergeCell ref="B73:C73"/>
    <mergeCell ref="B79:C79"/>
    <mergeCell ref="D96:E96"/>
    <mergeCell ref="B96:B97"/>
    <mergeCell ref="C96:C97"/>
    <mergeCell ref="B4:D4"/>
    <mergeCell ref="B5:D5"/>
    <mergeCell ref="B6:D6"/>
    <mergeCell ref="B84:B85"/>
    <mergeCell ref="C84:D84"/>
    <mergeCell ref="B70:C70"/>
    <mergeCell ref="B77:C77"/>
    <mergeCell ref="B74:C74"/>
    <mergeCell ref="B65:C65"/>
    <mergeCell ref="B58:C58"/>
    <mergeCell ref="B10:D10"/>
    <mergeCell ref="B11:D11"/>
  </mergeCells>
  <phoneticPr fontId="3" type="noConversion"/>
  <pageMargins left="0.75" right="0.75" top="1" bottom="1" header="0" footer="0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R190"/>
  <sheetViews>
    <sheetView showGridLines="0" topLeftCell="A135" zoomScale="70" zoomScaleNormal="70" workbookViewId="0">
      <selection activeCell="C115" sqref="C115"/>
    </sheetView>
  </sheetViews>
  <sheetFormatPr baseColWidth="10" defaultRowHeight="12.75" x14ac:dyDescent="0.2"/>
  <cols>
    <col min="1" max="1" width="7" style="2" customWidth="1"/>
    <col min="2" max="2" width="3.42578125" style="2" customWidth="1"/>
    <col min="3" max="3" width="33.7109375" style="2" customWidth="1"/>
    <col min="4" max="4" width="15.5703125" style="2" customWidth="1"/>
    <col min="5" max="5" width="17.7109375" style="2" customWidth="1"/>
    <col min="6" max="6" width="18.42578125" style="2" customWidth="1"/>
    <col min="7" max="7" width="14.85546875" style="2" customWidth="1"/>
    <col min="8" max="8" width="17.28515625" style="2" customWidth="1"/>
    <col min="9" max="9" width="19" style="2" customWidth="1"/>
    <col min="10" max="10" width="19.85546875" style="2" customWidth="1"/>
    <col min="11" max="11" width="29.28515625" style="2" bestFit="1" customWidth="1"/>
    <col min="12" max="12" width="13.140625" style="2" customWidth="1"/>
    <col min="13" max="13" width="13.5703125" style="2" customWidth="1"/>
    <col min="14" max="14" width="12.42578125" style="2" customWidth="1"/>
    <col min="15" max="15" width="13" style="2" customWidth="1"/>
    <col min="16" max="16" width="13.140625" style="2" customWidth="1"/>
    <col min="17" max="17" width="12.5703125" style="2" customWidth="1"/>
    <col min="18" max="18" width="11.7109375" style="2" customWidth="1"/>
    <col min="19" max="19" width="11" style="2" customWidth="1"/>
    <col min="20" max="20" width="11.42578125" style="2"/>
    <col min="21" max="21" width="15.140625" style="2" customWidth="1"/>
    <col min="22" max="22" width="12.42578125" style="2" customWidth="1"/>
    <col min="23" max="24" width="11.42578125" style="2"/>
    <col min="25" max="25" width="16" style="2" customWidth="1"/>
    <col min="26" max="26" width="11.42578125" style="2"/>
    <col min="27" max="27" width="13.5703125" style="2" bestFit="1" customWidth="1"/>
    <col min="28" max="29" width="11.42578125" style="2"/>
    <col min="30" max="30" width="29.5703125" style="2" customWidth="1"/>
    <col min="31" max="33" width="11.42578125" style="2"/>
    <col min="34" max="34" width="16" style="2" customWidth="1"/>
    <col min="35" max="35" width="11.42578125" style="2"/>
    <col min="36" max="36" width="13.5703125" style="2" bestFit="1" customWidth="1"/>
    <col min="37" max="16384" width="11.42578125" style="2"/>
  </cols>
  <sheetData>
    <row r="2" spans="1:12" ht="20.25" x14ac:dyDescent="0.3">
      <c r="G2" s="106"/>
      <c r="H2" s="16"/>
      <c r="I2" s="16"/>
      <c r="J2" s="16"/>
      <c r="K2" s="16"/>
      <c r="L2" s="16"/>
    </row>
    <row r="3" spans="1:12" x14ac:dyDescent="0.2">
      <c r="G3" s="16"/>
      <c r="H3" s="16"/>
      <c r="I3" s="16"/>
      <c r="J3" s="16"/>
      <c r="K3" s="16"/>
      <c r="L3" s="16"/>
    </row>
    <row r="4" spans="1:12" x14ac:dyDescent="0.2">
      <c r="G4" s="16"/>
      <c r="H4" s="32"/>
      <c r="I4" s="16"/>
      <c r="J4" s="16"/>
      <c r="K4" s="16"/>
      <c r="L4" s="16"/>
    </row>
    <row r="5" spans="1:12" x14ac:dyDescent="0.2">
      <c r="A5" s="3" t="s">
        <v>35</v>
      </c>
      <c r="B5" s="34">
        <v>10</v>
      </c>
      <c r="C5" s="3" t="s">
        <v>34</v>
      </c>
      <c r="D5" s="3"/>
    </row>
    <row r="6" spans="1:12" x14ac:dyDescent="0.2">
      <c r="C6" s="396" t="s">
        <v>0</v>
      </c>
      <c r="D6" s="396"/>
      <c r="E6" s="155" t="s">
        <v>37</v>
      </c>
      <c r="F6" s="155" t="s">
        <v>364</v>
      </c>
      <c r="H6" s="13">
        <v>1300000</v>
      </c>
      <c r="I6" s="2" t="s">
        <v>341</v>
      </c>
    </row>
    <row r="7" spans="1:12" x14ac:dyDescent="0.2">
      <c r="C7" s="420" t="s">
        <v>27</v>
      </c>
      <c r="D7" s="420"/>
      <c r="E7" s="156">
        <v>8.3330000000000001E-2</v>
      </c>
      <c r="F7" s="156">
        <f>+E7/12</f>
        <v>6.9441666666666671E-3</v>
      </c>
      <c r="H7" s="13">
        <v>162000</v>
      </c>
      <c r="I7" s="2" t="s">
        <v>366</v>
      </c>
    </row>
    <row r="8" spans="1:12" x14ac:dyDescent="0.2">
      <c r="C8" s="420" t="s">
        <v>28</v>
      </c>
      <c r="D8" s="420"/>
      <c r="E8" s="156">
        <v>0.12</v>
      </c>
      <c r="F8" s="156">
        <f>+E8/12</f>
        <v>0.01</v>
      </c>
      <c r="H8" s="170">
        <f>H6+H7</f>
        <v>1462000</v>
      </c>
    </row>
    <row r="9" spans="1:12" x14ac:dyDescent="0.2">
      <c r="C9" s="420" t="s">
        <v>29</v>
      </c>
      <c r="D9" s="420"/>
      <c r="E9" s="156">
        <v>4.1669999999999999E-2</v>
      </c>
      <c r="F9" s="156">
        <f>+E9</f>
        <v>4.1669999999999999E-2</v>
      </c>
    </row>
    <row r="10" spans="1:12" x14ac:dyDescent="0.2">
      <c r="C10" s="420" t="s">
        <v>30</v>
      </c>
      <c r="D10" s="420"/>
      <c r="E10" s="156">
        <v>8.3330000000000001E-2</v>
      </c>
      <c r="F10" s="156">
        <f t="shared" ref="F10:F15" si="0">+E10</f>
        <v>8.3330000000000001E-2</v>
      </c>
    </row>
    <row r="11" spans="1:12" x14ac:dyDescent="0.2">
      <c r="C11" s="420" t="s">
        <v>31</v>
      </c>
      <c r="D11" s="420"/>
      <c r="E11" s="156">
        <v>0.04</v>
      </c>
      <c r="F11" s="156">
        <f t="shared" si="0"/>
        <v>0.04</v>
      </c>
    </row>
    <row r="12" spans="1:12" x14ac:dyDescent="0.2">
      <c r="C12" s="420" t="s">
        <v>373</v>
      </c>
      <c r="D12" s="420"/>
      <c r="E12" s="156">
        <v>0.125</v>
      </c>
      <c r="F12" s="156">
        <f>+E12-4%</f>
        <v>8.4999999999999992E-2</v>
      </c>
    </row>
    <row r="13" spans="1:12" x14ac:dyDescent="0.2">
      <c r="C13" s="420" t="s">
        <v>374</v>
      </c>
      <c r="D13" s="420"/>
      <c r="E13" s="156">
        <v>0.16</v>
      </c>
      <c r="F13" s="156">
        <f>+E13-4%</f>
        <v>0.12</v>
      </c>
    </row>
    <row r="14" spans="1:12" x14ac:dyDescent="0.2">
      <c r="C14" s="420" t="s">
        <v>32</v>
      </c>
      <c r="D14" s="420"/>
      <c r="E14" s="156">
        <v>0.03</v>
      </c>
      <c r="F14" s="156">
        <f t="shared" si="0"/>
        <v>0.03</v>
      </c>
    </row>
    <row r="15" spans="1:12" x14ac:dyDescent="0.2">
      <c r="C15" s="420" t="s">
        <v>33</v>
      </c>
      <c r="D15" s="420"/>
      <c r="E15" s="156">
        <v>5.2199999999999998E-3</v>
      </c>
      <c r="F15" s="156">
        <f t="shared" si="0"/>
        <v>5.2199999999999998E-3</v>
      </c>
      <c r="H15" s="368"/>
      <c r="I15" s="369"/>
    </row>
    <row r="16" spans="1:12" ht="18" customHeight="1" x14ac:dyDescent="0.2">
      <c r="C16" s="421" t="s">
        <v>36</v>
      </c>
      <c r="D16" s="422"/>
      <c r="E16" s="157">
        <f>+SUM(E7:E15)</f>
        <v>0.68855</v>
      </c>
      <c r="F16" s="157">
        <f>+SUM(F7:F15)</f>
        <v>0.42216416666666667</v>
      </c>
    </row>
    <row r="19" spans="1:13" x14ac:dyDescent="0.2">
      <c r="A19" s="3" t="s">
        <v>23</v>
      </c>
      <c r="B19" s="34">
        <v>11</v>
      </c>
      <c r="C19" s="83" t="s">
        <v>38</v>
      </c>
      <c r="D19" s="83"/>
    </row>
    <row r="20" spans="1:13" ht="12.75" customHeight="1" x14ac:dyDescent="0.2">
      <c r="C20" s="400" t="s">
        <v>40</v>
      </c>
      <c r="D20" s="400" t="s">
        <v>1</v>
      </c>
      <c r="E20" s="159" t="s">
        <v>41</v>
      </c>
      <c r="F20" s="406" t="s">
        <v>42</v>
      </c>
      <c r="G20" s="406" t="s">
        <v>46</v>
      </c>
      <c r="H20" s="417" t="s">
        <v>43</v>
      </c>
      <c r="I20" s="418"/>
      <c r="J20" s="400" t="s">
        <v>45</v>
      </c>
    </row>
    <row r="21" spans="1:13" x14ac:dyDescent="0.2">
      <c r="C21" s="401"/>
      <c r="D21" s="401"/>
      <c r="E21" s="160" t="s">
        <v>39</v>
      </c>
      <c r="F21" s="419"/>
      <c r="G21" s="419"/>
      <c r="H21" s="161" t="s">
        <v>44</v>
      </c>
      <c r="I21" s="161" t="s">
        <v>2</v>
      </c>
      <c r="J21" s="401"/>
    </row>
    <row r="22" spans="1:13" x14ac:dyDescent="0.2">
      <c r="C22" s="163" t="s">
        <v>342</v>
      </c>
      <c r="D22" s="164">
        <v>1</v>
      </c>
      <c r="E22" s="165">
        <f>+H6</f>
        <v>1300000</v>
      </c>
      <c r="F22" s="166">
        <f>+H7</f>
        <v>162000</v>
      </c>
      <c r="G22" s="162">
        <f>(E22+F22)*($F$16-$F$12)</f>
        <v>492934.01166666672</v>
      </c>
      <c r="H22" s="162">
        <f>E22+F22+G22</f>
        <v>1954934.0116666667</v>
      </c>
      <c r="I22" s="162">
        <f>D22*H22</f>
        <v>1954934.0116666667</v>
      </c>
      <c r="J22" s="162">
        <f>I22*12</f>
        <v>23459208.140000001</v>
      </c>
    </row>
    <row r="23" spans="1:13" x14ac:dyDescent="0.2">
      <c r="C23" s="163" t="s">
        <v>342</v>
      </c>
      <c r="D23" s="164">
        <v>1</v>
      </c>
      <c r="E23" s="165">
        <f>+H6</f>
        <v>1300000</v>
      </c>
      <c r="F23" s="166">
        <f>+H7</f>
        <v>162000</v>
      </c>
      <c r="G23" s="162">
        <f>(E23+F23)*($F$16-$F$12)</f>
        <v>492934.01166666672</v>
      </c>
      <c r="H23" s="162">
        <f>E23+F23+G23</f>
        <v>1954934.0116666667</v>
      </c>
      <c r="I23" s="162">
        <f>D23*H23</f>
        <v>1954934.0116666667</v>
      </c>
      <c r="J23" s="162">
        <f>I23*12</f>
        <v>23459208.140000001</v>
      </c>
    </row>
    <row r="24" spans="1:13" x14ac:dyDescent="0.2">
      <c r="C24" s="163" t="s">
        <v>342</v>
      </c>
      <c r="D24" s="164">
        <v>1</v>
      </c>
      <c r="E24" s="165">
        <f>+H6</f>
        <v>1300000</v>
      </c>
      <c r="F24" s="166">
        <f>+H7</f>
        <v>162000</v>
      </c>
      <c r="G24" s="162">
        <f>(E24+F24)*($F$16-$F$12)</f>
        <v>492934.01166666672</v>
      </c>
      <c r="H24" s="162">
        <f>E24+F24+G24</f>
        <v>1954934.0116666667</v>
      </c>
      <c r="I24" s="162">
        <f>D24*H24</f>
        <v>1954934.0116666667</v>
      </c>
      <c r="J24" s="162">
        <f>I24*12</f>
        <v>23459208.140000001</v>
      </c>
    </row>
    <row r="25" spans="1:13" x14ac:dyDescent="0.2">
      <c r="C25" s="167" t="s">
        <v>2</v>
      </c>
      <c r="D25" s="183">
        <f>SUM(D22:D24)</f>
        <v>3</v>
      </c>
      <c r="E25" s="206"/>
      <c r="F25" s="206"/>
      <c r="G25" s="206"/>
      <c r="H25" s="206"/>
      <c r="I25" s="171">
        <f>SUM(I22:I24)</f>
        <v>5864802.0350000001</v>
      </c>
      <c r="J25" s="171">
        <f>SUM(J22:J24)</f>
        <v>70377624.420000002</v>
      </c>
      <c r="K25" s="4"/>
      <c r="L25" s="4"/>
      <c r="M25" s="3"/>
    </row>
    <row r="28" spans="1:13" x14ac:dyDescent="0.2">
      <c r="A28" s="3" t="s">
        <v>23</v>
      </c>
      <c r="B28" s="34">
        <v>12</v>
      </c>
      <c r="C28" s="83" t="s">
        <v>47</v>
      </c>
      <c r="D28" s="83"/>
    </row>
    <row r="29" spans="1:13" ht="13.5" customHeight="1" x14ac:dyDescent="0.2">
      <c r="C29" s="403" t="s">
        <v>40</v>
      </c>
      <c r="D29" s="408"/>
      <c r="E29" s="400" t="s">
        <v>25</v>
      </c>
      <c r="F29" s="406" t="s">
        <v>48</v>
      </c>
      <c r="G29" s="406" t="s">
        <v>49</v>
      </c>
      <c r="H29" s="406" t="s">
        <v>52</v>
      </c>
      <c r="I29" s="406" t="s">
        <v>51</v>
      </c>
      <c r="J29" s="400" t="s">
        <v>50</v>
      </c>
    </row>
    <row r="30" spans="1:13" x14ac:dyDescent="0.2">
      <c r="C30" s="409"/>
      <c r="D30" s="410"/>
      <c r="E30" s="401" t="s">
        <v>39</v>
      </c>
      <c r="F30" s="407"/>
      <c r="G30" s="407"/>
      <c r="H30" s="407" t="s">
        <v>44</v>
      </c>
      <c r="I30" s="407" t="s">
        <v>2</v>
      </c>
      <c r="J30" s="401"/>
    </row>
    <row r="31" spans="1:13" ht="12.75" customHeight="1" x14ac:dyDescent="0.2">
      <c r="C31" s="207" t="str">
        <f>'INVERSIONES '!B60</f>
        <v>Adecuaciones locativas</v>
      </c>
      <c r="D31" s="208" t="s">
        <v>209</v>
      </c>
      <c r="E31" s="162">
        <f>'INVERSIONES '!D60</f>
        <v>6000000</v>
      </c>
      <c r="F31" s="209">
        <v>20</v>
      </c>
      <c r="G31" s="162">
        <f>E31-((E31/F31)*5)</f>
        <v>4500000</v>
      </c>
      <c r="H31" s="162">
        <f>E31-G31</f>
        <v>1500000</v>
      </c>
      <c r="I31" s="162">
        <f>(J31/12)</f>
        <v>25000</v>
      </c>
      <c r="J31" s="162">
        <f>(H31/5)</f>
        <v>300000</v>
      </c>
    </row>
    <row r="32" spans="1:13" x14ac:dyDescent="0.2">
      <c r="C32" s="207" t="str">
        <f>'INVERSIONES '!B61</f>
        <v>Maquinaria y Equipos</v>
      </c>
      <c r="D32" s="208" t="s">
        <v>210</v>
      </c>
      <c r="E32" s="162">
        <f>'INVERSIONES '!D61</f>
        <v>50848000</v>
      </c>
      <c r="F32" s="209">
        <v>10</v>
      </c>
      <c r="G32" s="162">
        <f>E32-((E32/F32)*5)</f>
        <v>25424000</v>
      </c>
      <c r="H32" s="162">
        <f>E32-G32</f>
        <v>25424000</v>
      </c>
      <c r="I32" s="162">
        <f>(J32/12)</f>
        <v>423733.33333333331</v>
      </c>
      <c r="J32" s="162">
        <f>(H32/5)</f>
        <v>5084800</v>
      </c>
    </row>
    <row r="33" spans="1:18" x14ac:dyDescent="0.2">
      <c r="C33" s="207" t="str">
        <f>'INVERSIONES '!B62</f>
        <v>Muebles y enseres</v>
      </c>
      <c r="D33" s="208" t="s">
        <v>211</v>
      </c>
      <c r="E33" s="162">
        <f>'INVERSIONES '!D62</f>
        <v>2856000</v>
      </c>
      <c r="F33" s="209">
        <v>10</v>
      </c>
      <c r="G33" s="162">
        <f>E33-((E33/F33)*5)</f>
        <v>1428000</v>
      </c>
      <c r="H33" s="162">
        <f>E33-G33</f>
        <v>1428000</v>
      </c>
      <c r="I33" s="162">
        <f>(J33/12)</f>
        <v>23800</v>
      </c>
      <c r="J33" s="162">
        <f>(H33/5)</f>
        <v>285600</v>
      </c>
    </row>
    <row r="34" spans="1:18" x14ac:dyDescent="0.2">
      <c r="C34" s="207" t="str">
        <f>'INVERSIONES '!B63</f>
        <v>Equipos de oficina</v>
      </c>
      <c r="D34" s="208" t="s">
        <v>212</v>
      </c>
      <c r="E34" s="162">
        <f>'INVERSIONES '!D63</f>
        <v>5340000</v>
      </c>
      <c r="F34" s="209">
        <v>5</v>
      </c>
      <c r="G34" s="162">
        <f>E34-((E34/F34)*5)</f>
        <v>0</v>
      </c>
      <c r="H34" s="162">
        <f>E34-G34</f>
        <v>5340000</v>
      </c>
      <c r="I34" s="162">
        <f>(J34/12)</f>
        <v>89000</v>
      </c>
      <c r="J34" s="162">
        <f>(H34/5)</f>
        <v>1068000</v>
      </c>
    </row>
    <row r="35" spans="1:18" x14ac:dyDescent="0.2">
      <c r="C35" s="207" t="str">
        <f>'INVERSIONES '!B64</f>
        <v>Herraminentas</v>
      </c>
      <c r="D35" s="208" t="s">
        <v>225</v>
      </c>
      <c r="E35" s="162">
        <f>'INVERSIONES '!D64</f>
        <v>0</v>
      </c>
      <c r="F35" s="209">
        <v>5</v>
      </c>
      <c r="G35" s="162">
        <f>E35-((E35/F35)*5)</f>
        <v>0</v>
      </c>
      <c r="H35" s="162">
        <f>E35-G35</f>
        <v>0</v>
      </c>
      <c r="I35" s="162">
        <f>(J35/12)</f>
        <v>0</v>
      </c>
      <c r="J35" s="162">
        <f>(H35/5)</f>
        <v>0</v>
      </c>
    </row>
    <row r="36" spans="1:18" x14ac:dyDescent="0.2">
      <c r="C36" s="413" t="s">
        <v>2</v>
      </c>
      <c r="D36" s="414"/>
      <c r="E36" s="206"/>
      <c r="F36" s="206"/>
      <c r="G36" s="206"/>
      <c r="H36" s="171">
        <f>SUM(H31:H35)</f>
        <v>33692000</v>
      </c>
      <c r="I36" s="171">
        <f>SUM(I31:I35)</f>
        <v>561533.33333333326</v>
      </c>
      <c r="J36" s="171">
        <f>SUM(J31:J35)</f>
        <v>6738400</v>
      </c>
    </row>
    <row r="38" spans="1:18" ht="13.5" customHeight="1" x14ac:dyDescent="0.2">
      <c r="G38"/>
      <c r="H38"/>
      <c r="I38"/>
      <c r="J38"/>
      <c r="K38"/>
      <c r="L38"/>
      <c r="M38"/>
      <c r="N38"/>
    </row>
    <row r="39" spans="1:18" ht="14.25" customHeight="1" x14ac:dyDescent="0.2">
      <c r="A39" s="3" t="s">
        <v>23</v>
      </c>
      <c r="B39" s="3">
        <v>13</v>
      </c>
      <c r="C39" s="3" t="s">
        <v>93</v>
      </c>
      <c r="G39"/>
      <c r="H39"/>
      <c r="I39"/>
      <c r="J39"/>
      <c r="K39"/>
      <c r="L39"/>
      <c r="M39"/>
      <c r="N39"/>
    </row>
    <row r="40" spans="1:18" x14ac:dyDescent="0.2">
      <c r="C40" s="411" t="s">
        <v>194</v>
      </c>
      <c r="D40" s="380" t="s">
        <v>90</v>
      </c>
      <c r="E40" s="380"/>
      <c r="G40"/>
      <c r="H40"/>
      <c r="I40"/>
      <c r="J40"/>
      <c r="K40"/>
      <c r="L40"/>
      <c r="M40"/>
      <c r="N40"/>
    </row>
    <row r="41" spans="1:18" x14ac:dyDescent="0.2">
      <c r="C41" s="411"/>
      <c r="D41" s="167" t="s">
        <v>91</v>
      </c>
      <c r="E41" s="167" t="s">
        <v>92</v>
      </c>
      <c r="G41"/>
      <c r="H41"/>
      <c r="I41"/>
      <c r="J41"/>
      <c r="K41"/>
      <c r="L41"/>
      <c r="M41"/>
      <c r="N41"/>
    </row>
    <row r="42" spans="1:18" ht="13.5" customHeight="1" x14ac:dyDescent="0.2">
      <c r="C42" s="201" t="str">
        <f>C31</f>
        <v>Adecuaciones locativas</v>
      </c>
      <c r="D42" s="210">
        <v>0.9</v>
      </c>
      <c r="E42" s="210">
        <f>(1-D42)</f>
        <v>9.9999999999999978E-2</v>
      </c>
      <c r="G42"/>
      <c r="H42"/>
      <c r="I42"/>
      <c r="J42"/>
      <c r="K42"/>
      <c r="L42"/>
      <c r="M42"/>
      <c r="N42"/>
      <c r="R42" s="84"/>
    </row>
    <row r="43" spans="1:18" ht="14.25" customHeight="1" x14ac:dyDescent="0.2">
      <c r="C43" s="201" t="str">
        <f>C32</f>
        <v>Maquinaria y Equipos</v>
      </c>
      <c r="D43" s="210">
        <v>1</v>
      </c>
      <c r="E43" s="210">
        <f>(1-D43)</f>
        <v>0</v>
      </c>
      <c r="G43"/>
      <c r="H43"/>
      <c r="I43"/>
      <c r="J43"/>
      <c r="K43"/>
      <c r="L43"/>
      <c r="M43"/>
      <c r="N43"/>
    </row>
    <row r="44" spans="1:18" ht="13.5" customHeight="1" x14ac:dyDescent="0.2">
      <c r="C44" s="201" t="str">
        <f>C33</f>
        <v>Muebles y enseres</v>
      </c>
      <c r="D44" s="210">
        <v>0.1</v>
      </c>
      <c r="E44" s="210">
        <f>(1-D44)</f>
        <v>0.9</v>
      </c>
      <c r="G44"/>
      <c r="H44"/>
      <c r="I44"/>
      <c r="J44"/>
      <c r="K44"/>
      <c r="L44"/>
      <c r="M44"/>
      <c r="N44"/>
    </row>
    <row r="45" spans="1:18" ht="14.25" customHeight="1" x14ac:dyDescent="0.2">
      <c r="C45" s="201" t="str">
        <f>C34</f>
        <v>Equipos de oficina</v>
      </c>
      <c r="D45" s="210">
        <v>0.1</v>
      </c>
      <c r="E45" s="210">
        <f>(1-D45)</f>
        <v>0.9</v>
      </c>
      <c r="G45"/>
      <c r="H45"/>
      <c r="I45"/>
      <c r="J45"/>
      <c r="K45"/>
      <c r="L45"/>
      <c r="M45"/>
      <c r="N45"/>
    </row>
    <row r="46" spans="1:18" x14ac:dyDescent="0.2">
      <c r="C46" s="201" t="str">
        <f>C35</f>
        <v>Herraminentas</v>
      </c>
      <c r="D46" s="210">
        <v>1</v>
      </c>
      <c r="E46" s="210">
        <f>(1-D46)</f>
        <v>0</v>
      </c>
      <c r="G46"/>
      <c r="H46"/>
      <c r="I46"/>
      <c r="J46"/>
      <c r="K46"/>
      <c r="L46"/>
      <c r="M46"/>
      <c r="N46"/>
    </row>
    <row r="47" spans="1:18" x14ac:dyDescent="0.2">
      <c r="C47" s="16"/>
      <c r="D47" s="16"/>
      <c r="E47" s="16"/>
      <c r="G47"/>
      <c r="H47"/>
      <c r="I47"/>
      <c r="J47"/>
      <c r="K47"/>
      <c r="L47"/>
      <c r="M47"/>
      <c r="N47"/>
    </row>
    <row r="48" spans="1:18" ht="13.5" customHeight="1" x14ac:dyDescent="0.2">
      <c r="C48" s="16"/>
      <c r="D48" s="16"/>
      <c r="E48" s="16"/>
      <c r="G48"/>
      <c r="H48"/>
      <c r="I48"/>
      <c r="J48"/>
      <c r="K48"/>
      <c r="L48"/>
      <c r="M48"/>
      <c r="N48"/>
    </row>
    <row r="49" spans="1:11" ht="14.25" customHeight="1" x14ac:dyDescent="0.2">
      <c r="C49" s="381" t="s">
        <v>194</v>
      </c>
      <c r="D49" s="211" t="s">
        <v>25</v>
      </c>
      <c r="E49" s="380" t="s">
        <v>237</v>
      </c>
      <c r="F49" s="380"/>
    </row>
    <row r="50" spans="1:11" x14ac:dyDescent="0.2">
      <c r="C50" s="412"/>
      <c r="D50" s="212" t="s">
        <v>65</v>
      </c>
      <c r="E50" s="167" t="s">
        <v>91</v>
      </c>
      <c r="F50" s="167" t="s">
        <v>92</v>
      </c>
    </row>
    <row r="51" spans="1:11" x14ac:dyDescent="0.2">
      <c r="C51" s="466" t="str">
        <f>C31</f>
        <v>Adecuaciones locativas</v>
      </c>
      <c r="D51" s="162">
        <f>J31</f>
        <v>300000</v>
      </c>
      <c r="E51" s="241">
        <f>D42*D51</f>
        <v>270000</v>
      </c>
      <c r="F51" s="241">
        <f>D51*E42</f>
        <v>29999.999999999993</v>
      </c>
    </row>
    <row r="52" spans="1:11" x14ac:dyDescent="0.2">
      <c r="C52" s="201" t="s">
        <v>186</v>
      </c>
      <c r="D52" s="162">
        <f>J32</f>
        <v>5084800</v>
      </c>
      <c r="E52" s="241">
        <f>D43*D52</f>
        <v>5084800</v>
      </c>
      <c r="F52" s="241">
        <f>D52*E43</f>
        <v>0</v>
      </c>
    </row>
    <row r="53" spans="1:11" x14ac:dyDescent="0.2">
      <c r="C53" s="201" t="s">
        <v>3</v>
      </c>
      <c r="D53" s="162">
        <f>J33</f>
        <v>285600</v>
      </c>
      <c r="E53" s="241">
        <f>D44*D53</f>
        <v>28560</v>
      </c>
      <c r="F53" s="241">
        <f>D53*E44</f>
        <v>257040</v>
      </c>
    </row>
    <row r="54" spans="1:11" x14ac:dyDescent="0.2">
      <c r="C54" s="201" t="s">
        <v>185</v>
      </c>
      <c r="D54" s="162">
        <f>J34</f>
        <v>1068000</v>
      </c>
      <c r="E54" s="241">
        <f>D45*D54</f>
        <v>106800</v>
      </c>
      <c r="F54" s="241">
        <f>D54*E45</f>
        <v>961200</v>
      </c>
    </row>
    <row r="55" spans="1:11" x14ac:dyDescent="0.2">
      <c r="C55" s="201" t="s">
        <v>24</v>
      </c>
      <c r="D55" s="162">
        <f>J35</f>
        <v>0</v>
      </c>
      <c r="E55" s="241">
        <f>D46*D55</f>
        <v>0</v>
      </c>
      <c r="F55" s="241">
        <f>D55*E46</f>
        <v>0</v>
      </c>
    </row>
    <row r="58" spans="1:11" ht="13.5" customHeight="1" x14ac:dyDescent="0.2">
      <c r="A58" s="3" t="s">
        <v>23</v>
      </c>
      <c r="B58" s="3">
        <v>14</v>
      </c>
      <c r="C58" s="3" t="s">
        <v>216</v>
      </c>
    </row>
    <row r="59" spans="1:11" ht="12.75" customHeight="1" x14ac:dyDescent="0.2">
      <c r="C59" s="403" t="s">
        <v>75</v>
      </c>
      <c r="D59" s="403" t="s">
        <v>76</v>
      </c>
      <c r="E59" s="403" t="s">
        <v>265</v>
      </c>
      <c r="F59" s="403" t="s">
        <v>213</v>
      </c>
      <c r="G59" s="400" t="s">
        <v>195</v>
      </c>
      <c r="H59" s="400" t="s">
        <v>77</v>
      </c>
      <c r="I59" s="400" t="s">
        <v>196</v>
      </c>
      <c r="J59" s="400" t="s">
        <v>81</v>
      </c>
      <c r="K59" s="2" t="s">
        <v>379</v>
      </c>
    </row>
    <row r="60" spans="1:11" ht="27" customHeight="1" x14ac:dyDescent="0.2">
      <c r="C60" s="404"/>
      <c r="D60" s="404"/>
      <c r="E60" s="404"/>
      <c r="F60" s="404" t="s">
        <v>39</v>
      </c>
      <c r="G60" s="401"/>
      <c r="H60" s="401"/>
      <c r="I60" s="401"/>
      <c r="J60" s="401"/>
    </row>
    <row r="61" spans="1:11" ht="13.5" customHeight="1" x14ac:dyDescent="0.2">
      <c r="C61" s="207" t="s">
        <v>358</v>
      </c>
      <c r="D61" s="216" t="s">
        <v>338</v>
      </c>
      <c r="E61" s="217">
        <v>75</v>
      </c>
      <c r="F61" s="227">
        <f>E61/$D$69</f>
        <v>1.1140819964349376E-2</v>
      </c>
      <c r="G61" s="162">
        <v>6500</v>
      </c>
      <c r="H61" s="162">
        <f>F61*G61</f>
        <v>72.415329768270951</v>
      </c>
      <c r="I61" s="219">
        <f>H61*$D$68</f>
        <v>5850000.0000000009</v>
      </c>
      <c r="J61" s="220">
        <f>+H61*$D$69</f>
        <v>487500.00000000006</v>
      </c>
    </row>
    <row r="62" spans="1:11" ht="13.5" customHeight="1" x14ac:dyDescent="0.2">
      <c r="C62" s="207" t="s">
        <v>360</v>
      </c>
      <c r="D62" s="216" t="s">
        <v>339</v>
      </c>
      <c r="E62" s="217">
        <f>+D69</f>
        <v>6732</v>
      </c>
      <c r="F62" s="218">
        <v>1</v>
      </c>
      <c r="G62" s="162">
        <v>250</v>
      </c>
      <c r="H62" s="162">
        <f>F62*G62</f>
        <v>250</v>
      </c>
      <c r="I62" s="219">
        <f>H62*$D$68</f>
        <v>20196000</v>
      </c>
      <c r="J62" s="220">
        <f>+H62*$D$69</f>
        <v>1683000</v>
      </c>
    </row>
    <row r="63" spans="1:11" ht="13.5" customHeight="1" x14ac:dyDescent="0.2">
      <c r="C63" s="207" t="s">
        <v>359</v>
      </c>
      <c r="D63" s="216" t="s">
        <v>339</v>
      </c>
      <c r="E63" s="217">
        <f>+D69</f>
        <v>6732</v>
      </c>
      <c r="F63" s="218">
        <v>1</v>
      </c>
      <c r="G63" s="162">
        <v>100</v>
      </c>
      <c r="H63" s="162">
        <f>F63*G63</f>
        <v>100</v>
      </c>
      <c r="I63" s="219">
        <f>H63*$D$68</f>
        <v>8078400</v>
      </c>
      <c r="J63" s="220">
        <f>+H63*$D$69</f>
        <v>673200</v>
      </c>
    </row>
    <row r="64" spans="1:11" ht="13.5" customHeight="1" x14ac:dyDescent="0.2">
      <c r="C64" s="207" t="s">
        <v>361</v>
      </c>
      <c r="D64" s="216" t="s">
        <v>339</v>
      </c>
      <c r="E64" s="217">
        <f>+D69/6</f>
        <v>1122</v>
      </c>
      <c r="F64" s="218">
        <v>1</v>
      </c>
      <c r="G64" s="162">
        <v>150</v>
      </c>
      <c r="H64" s="162">
        <f>F64*G64</f>
        <v>150</v>
      </c>
      <c r="I64" s="219">
        <f>H64*$D$68</f>
        <v>12117600</v>
      </c>
      <c r="J64" s="220">
        <f>+H64*$D$69</f>
        <v>1009800</v>
      </c>
    </row>
    <row r="65" spans="1:16" x14ac:dyDescent="0.2">
      <c r="C65" s="413" t="s">
        <v>2</v>
      </c>
      <c r="D65" s="414"/>
      <c r="E65" s="170"/>
      <c r="F65" s="170"/>
      <c r="G65" s="170"/>
      <c r="H65" s="215">
        <f>SUM(H61:H64)</f>
        <v>572.41532976827102</v>
      </c>
      <c r="I65" s="215">
        <f>SUM(I61:I64)</f>
        <v>46242000</v>
      </c>
      <c r="J65" s="215">
        <f>SUM(J61:J64)</f>
        <v>3853500</v>
      </c>
    </row>
    <row r="66" spans="1:16" ht="11.25" customHeight="1" x14ac:dyDescent="0.2">
      <c r="F66" s="17"/>
      <c r="H66" s="85"/>
    </row>
    <row r="67" spans="1:16" ht="11.25" customHeight="1" x14ac:dyDescent="0.2">
      <c r="F67" s="17"/>
      <c r="H67" s="85"/>
    </row>
    <row r="68" spans="1:16" ht="16.5" customHeight="1" x14ac:dyDescent="0.2">
      <c r="C68" s="18" t="s">
        <v>214</v>
      </c>
      <c r="D68" s="86">
        <f>+D69*12</f>
        <v>80784</v>
      </c>
      <c r="F68" s="87"/>
      <c r="H68" s="88"/>
    </row>
    <row r="69" spans="1:16" ht="16.5" customHeight="1" x14ac:dyDescent="0.2">
      <c r="C69" s="18" t="s">
        <v>266</v>
      </c>
      <c r="D69" s="14">
        <f>+L71</f>
        <v>6732</v>
      </c>
      <c r="E69" s="19"/>
      <c r="F69" s="87"/>
      <c r="G69" s="364"/>
      <c r="H69" s="364"/>
      <c r="K69" s="2" t="s">
        <v>367</v>
      </c>
      <c r="L69" s="2">
        <v>153</v>
      </c>
      <c r="M69" s="364">
        <f>+(L69*14)/30</f>
        <v>71.400000000000006</v>
      </c>
    </row>
    <row r="70" spans="1:16" x14ac:dyDescent="0.2">
      <c r="C70" s="2" t="s">
        <v>262</v>
      </c>
      <c r="D70" s="20"/>
      <c r="F70" s="107"/>
      <c r="J70" s="2" t="s">
        <v>263</v>
      </c>
      <c r="K70" s="2" t="s">
        <v>368</v>
      </c>
      <c r="L70" s="2">
        <f>+L69*30</f>
        <v>4590</v>
      </c>
    </row>
    <row r="71" spans="1:16" x14ac:dyDescent="0.2">
      <c r="K71" s="2" t="s">
        <v>369</v>
      </c>
      <c r="L71" s="364">
        <f>+(((L69*14)/30)+L69)*30</f>
        <v>6732</v>
      </c>
    </row>
    <row r="73" spans="1:16" ht="12.75" customHeight="1" x14ac:dyDescent="0.2">
      <c r="A73" s="3" t="s">
        <v>23</v>
      </c>
      <c r="B73" s="34">
        <v>15</v>
      </c>
      <c r="C73" s="405" t="s">
        <v>380</v>
      </c>
      <c r="D73" s="405"/>
      <c r="E73" s="405"/>
    </row>
    <row r="74" spans="1:16" ht="14.25" customHeight="1" x14ac:dyDescent="0.2">
      <c r="C74" s="403" t="s">
        <v>40</v>
      </c>
      <c r="D74" s="408"/>
      <c r="E74" s="403" t="s">
        <v>70</v>
      </c>
      <c r="F74" s="400" t="s">
        <v>71</v>
      </c>
    </row>
    <row r="75" spans="1:16" ht="12.75" customHeight="1" x14ac:dyDescent="0.2">
      <c r="C75" s="409"/>
      <c r="D75" s="410"/>
      <c r="E75" s="404" t="s">
        <v>39</v>
      </c>
      <c r="F75" s="401"/>
      <c r="P75" s="20"/>
    </row>
    <row r="76" spans="1:16" x14ac:dyDescent="0.2">
      <c r="C76" s="207" t="s">
        <v>67</v>
      </c>
      <c r="D76" s="221">
        <v>0.05</v>
      </c>
      <c r="E76" s="162">
        <f t="shared" ref="E76:E82" si="1">F76/12</f>
        <v>211866.66666666666</v>
      </c>
      <c r="F76" s="162">
        <f>E32*D76</f>
        <v>2542400</v>
      </c>
    </row>
    <row r="77" spans="1:16" x14ac:dyDescent="0.2">
      <c r="C77" s="222" t="s">
        <v>68</v>
      </c>
      <c r="D77" s="223">
        <v>0.05</v>
      </c>
      <c r="E77" s="162">
        <f t="shared" si="1"/>
        <v>237781.66666666666</v>
      </c>
      <c r="F77" s="162">
        <f>((E31*D42)+(E32*D43)+(E33*D44)+(E34*D45)+(E35*D46))*D77</f>
        <v>2853380</v>
      </c>
    </row>
    <row r="78" spans="1:16" x14ac:dyDescent="0.2">
      <c r="C78" s="207" t="str">
        <f>C31</f>
        <v>Adecuaciones locativas</v>
      </c>
      <c r="D78" s="221" t="s">
        <v>220</v>
      </c>
      <c r="E78" s="162">
        <f t="shared" si="1"/>
        <v>22500</v>
      </c>
      <c r="F78" s="162">
        <f>E51</f>
        <v>270000</v>
      </c>
    </row>
    <row r="79" spans="1:16" x14ac:dyDescent="0.2">
      <c r="C79" s="207" t="s">
        <v>351</v>
      </c>
      <c r="D79" s="221" t="s">
        <v>220</v>
      </c>
      <c r="E79" s="162">
        <f t="shared" si="1"/>
        <v>423733.33333333331</v>
      </c>
      <c r="F79" s="162">
        <f>E52</f>
        <v>5084800</v>
      </c>
    </row>
    <row r="80" spans="1:16" ht="13.5" customHeight="1" x14ac:dyDescent="0.2">
      <c r="C80" s="207" t="s">
        <v>217</v>
      </c>
      <c r="D80" s="208" t="s">
        <v>220</v>
      </c>
      <c r="E80" s="162">
        <f t="shared" si="1"/>
        <v>2380</v>
      </c>
      <c r="F80" s="162">
        <f>E53</f>
        <v>28560</v>
      </c>
    </row>
    <row r="81" spans="1:9" x14ac:dyDescent="0.2">
      <c r="C81" s="207" t="s">
        <v>218</v>
      </c>
      <c r="D81" s="208" t="s">
        <v>220</v>
      </c>
      <c r="E81" s="162">
        <f t="shared" si="1"/>
        <v>8900</v>
      </c>
      <c r="F81" s="162">
        <f>E54</f>
        <v>106800</v>
      </c>
    </row>
    <row r="82" spans="1:9" x14ac:dyDescent="0.2">
      <c r="C82" s="224" t="s">
        <v>219</v>
      </c>
      <c r="D82" s="208" t="s">
        <v>220</v>
      </c>
      <c r="E82" s="162">
        <f t="shared" si="1"/>
        <v>0</v>
      </c>
      <c r="F82" s="162">
        <f>E55</f>
        <v>0</v>
      </c>
    </row>
    <row r="83" spans="1:9" x14ac:dyDescent="0.2">
      <c r="C83" s="207" t="s">
        <v>69</v>
      </c>
      <c r="D83" s="208" t="s">
        <v>235</v>
      </c>
      <c r="E83" s="162">
        <f>('INVERSIONES '!D98+'INVERSIONES '!D100+'INVERSIONES '!D101+'INVERSIONES '!D102)</f>
        <v>235000</v>
      </c>
      <c r="F83" s="162">
        <f>E83*12</f>
        <v>2820000</v>
      </c>
      <c r="I83" s="8"/>
    </row>
    <row r="84" spans="1:9" x14ac:dyDescent="0.2">
      <c r="C84" s="207" t="s">
        <v>87</v>
      </c>
      <c r="D84" s="225" t="s">
        <v>235</v>
      </c>
      <c r="E84" s="162">
        <f>'INVERSIONES '!D99</f>
        <v>0</v>
      </c>
      <c r="F84" s="162">
        <f>E84*12</f>
        <v>0</v>
      </c>
    </row>
    <row r="85" spans="1:9" x14ac:dyDescent="0.2">
      <c r="C85" s="413" t="s">
        <v>2</v>
      </c>
      <c r="D85" s="414"/>
      <c r="E85" s="171">
        <f>SUM(E76:E84)</f>
        <v>1142161.6666666665</v>
      </c>
      <c r="F85" s="171">
        <f>SUM(F76:F84)</f>
        <v>13705940</v>
      </c>
    </row>
    <row r="86" spans="1:9" x14ac:dyDescent="0.2">
      <c r="G86" s="90"/>
    </row>
    <row r="89" spans="1:9" x14ac:dyDescent="0.2">
      <c r="A89" s="3" t="s">
        <v>23</v>
      </c>
      <c r="B89" s="34">
        <v>16</v>
      </c>
      <c r="C89" s="405" t="s">
        <v>382</v>
      </c>
      <c r="D89" s="405"/>
    </row>
    <row r="90" spans="1:9" x14ac:dyDescent="0.2">
      <c r="C90" s="403" t="s">
        <v>40</v>
      </c>
      <c r="D90" s="408"/>
      <c r="E90" s="403" t="s">
        <v>70</v>
      </c>
      <c r="F90" s="400" t="s">
        <v>71</v>
      </c>
    </row>
    <row r="91" spans="1:9" x14ac:dyDescent="0.2">
      <c r="C91" s="409"/>
      <c r="D91" s="410"/>
      <c r="E91" s="404" t="s">
        <v>39</v>
      </c>
      <c r="F91" s="402"/>
    </row>
    <row r="92" spans="1:9" x14ac:dyDescent="0.2">
      <c r="C92" s="207" t="s">
        <v>381</v>
      </c>
      <c r="D92" s="221" t="s">
        <v>236</v>
      </c>
      <c r="E92" s="162">
        <f>I25</f>
        <v>5864802.0350000001</v>
      </c>
      <c r="F92" s="162">
        <f>E92*12</f>
        <v>70377624.420000002</v>
      </c>
    </row>
    <row r="93" spans="1:9" x14ac:dyDescent="0.2">
      <c r="C93" s="224" t="s">
        <v>53</v>
      </c>
      <c r="D93" s="226" t="s">
        <v>221</v>
      </c>
      <c r="E93" s="162">
        <f>J65</f>
        <v>3853500</v>
      </c>
      <c r="F93" s="162">
        <f>E93*12</f>
        <v>46242000</v>
      </c>
    </row>
    <row r="94" spans="1:9" x14ac:dyDescent="0.2">
      <c r="C94" s="207" t="s">
        <v>215</v>
      </c>
      <c r="D94" s="208" t="s">
        <v>223</v>
      </c>
      <c r="E94" s="162">
        <f>E85</f>
        <v>1142161.6666666665</v>
      </c>
      <c r="F94" s="162">
        <f>E94*12</f>
        <v>13705939.999999998</v>
      </c>
    </row>
    <row r="95" spans="1:9" x14ac:dyDescent="0.2">
      <c r="C95" s="413" t="s">
        <v>2</v>
      </c>
      <c r="D95" s="414"/>
      <c r="E95" s="171">
        <f>SUM(E92:E94)</f>
        <v>10860463.701666666</v>
      </c>
      <c r="F95" s="171">
        <f>SUM(F92:F94)</f>
        <v>130325564.42</v>
      </c>
    </row>
    <row r="96" spans="1:9" x14ac:dyDescent="0.2">
      <c r="C96" s="21"/>
      <c r="D96" s="21"/>
      <c r="E96" s="22"/>
      <c r="F96" s="22"/>
    </row>
    <row r="97" spans="1:10" x14ac:dyDescent="0.2">
      <c r="C97" s="21"/>
      <c r="D97" s="21"/>
      <c r="E97" s="22"/>
      <c r="F97" s="22"/>
    </row>
    <row r="99" spans="1:10" x14ac:dyDescent="0.2">
      <c r="A99" s="3" t="s">
        <v>23</v>
      </c>
      <c r="B99" s="34">
        <v>17</v>
      </c>
      <c r="C99" s="405" t="s">
        <v>74</v>
      </c>
      <c r="D99" s="405"/>
    </row>
    <row r="100" spans="1:10" x14ac:dyDescent="0.2">
      <c r="C100" s="400" t="s">
        <v>40</v>
      </c>
      <c r="D100" s="403" t="s">
        <v>1</v>
      </c>
      <c r="E100" s="424" t="s">
        <v>41</v>
      </c>
      <c r="F100" s="406" t="s">
        <v>42</v>
      </c>
      <c r="G100" s="406" t="s">
        <v>46</v>
      </c>
      <c r="H100" s="417" t="s">
        <v>43</v>
      </c>
      <c r="I100" s="418"/>
      <c r="J100" s="400" t="s">
        <v>45</v>
      </c>
    </row>
    <row r="101" spans="1:10" x14ac:dyDescent="0.2">
      <c r="C101" s="401"/>
      <c r="D101" s="404"/>
      <c r="E101" s="425" t="s">
        <v>39</v>
      </c>
      <c r="F101" s="407"/>
      <c r="G101" s="407"/>
      <c r="H101" s="161" t="s">
        <v>44</v>
      </c>
      <c r="I101" s="161" t="s">
        <v>2</v>
      </c>
      <c r="J101" s="401"/>
    </row>
    <row r="102" spans="1:10" x14ac:dyDescent="0.2">
      <c r="C102" s="163" t="s">
        <v>337</v>
      </c>
      <c r="D102" s="164">
        <v>1</v>
      </c>
      <c r="E102" s="166">
        <f>+$H$6*2.2</f>
        <v>2860000</v>
      </c>
      <c r="F102" s="229">
        <v>0</v>
      </c>
      <c r="G102" s="162">
        <f>(E102+F102)*$F$16</f>
        <v>1207389.5166666666</v>
      </c>
      <c r="H102" s="162">
        <f>E102+F102+G102</f>
        <v>4067389.5166666666</v>
      </c>
      <c r="I102" s="162">
        <f>D102*H102</f>
        <v>4067389.5166666666</v>
      </c>
      <c r="J102" s="162">
        <f>I102*12</f>
        <v>48808674.200000003</v>
      </c>
    </row>
    <row r="103" spans="1:10" x14ac:dyDescent="0.2">
      <c r="C103" s="163" t="s">
        <v>362</v>
      </c>
      <c r="D103" s="230">
        <v>1</v>
      </c>
      <c r="E103" s="166">
        <f>+$H$6*2.09</f>
        <v>2717000</v>
      </c>
      <c r="F103" s="229">
        <v>0</v>
      </c>
      <c r="G103" s="162">
        <f>(E103+F103)*$F$16</f>
        <v>1147020.0408333333</v>
      </c>
      <c r="H103" s="162">
        <f>E103+F103+G103</f>
        <v>3864020.0408333335</v>
      </c>
      <c r="I103" s="162">
        <f>D103*H103</f>
        <v>3864020.0408333335</v>
      </c>
      <c r="J103" s="162">
        <f>I103*12</f>
        <v>46368240.490000002</v>
      </c>
    </row>
    <row r="104" spans="1:10" x14ac:dyDescent="0.2">
      <c r="C104" s="163" t="s">
        <v>352</v>
      </c>
      <c r="D104" s="231">
        <v>1</v>
      </c>
      <c r="E104" s="166">
        <f>+H6</f>
        <v>1300000</v>
      </c>
      <c r="F104" s="229">
        <f>+$H$7</f>
        <v>162000</v>
      </c>
      <c r="G104" s="162">
        <f>(E104+F104)*$F$16</f>
        <v>617204.01166666672</v>
      </c>
      <c r="H104" s="162">
        <f>E104+F104+G104</f>
        <v>2079204.0116666667</v>
      </c>
      <c r="I104" s="162">
        <f>D104*H104</f>
        <v>2079204.0116666667</v>
      </c>
      <c r="J104" s="162">
        <f>I104*12</f>
        <v>24950448.140000001</v>
      </c>
    </row>
    <row r="105" spans="1:10" x14ac:dyDescent="0.2">
      <c r="C105" s="167" t="s">
        <v>2</v>
      </c>
      <c r="D105" s="228">
        <f t="shared" ref="D105:J105" si="2">SUM(D102:D104)</f>
        <v>3</v>
      </c>
      <c r="E105" s="171">
        <f>SUM(E102:E104)</f>
        <v>6877000</v>
      </c>
      <c r="F105" s="171">
        <f t="shared" si="2"/>
        <v>162000</v>
      </c>
      <c r="G105" s="171">
        <f t="shared" si="2"/>
        <v>2971613.5691666668</v>
      </c>
      <c r="H105" s="171">
        <f t="shared" si="2"/>
        <v>10010613.569166668</v>
      </c>
      <c r="I105" s="171">
        <f t="shared" si="2"/>
        <v>10010613.569166668</v>
      </c>
      <c r="J105" s="171">
        <f t="shared" si="2"/>
        <v>120127362.83</v>
      </c>
    </row>
    <row r="109" spans="1:10" x14ac:dyDescent="0.2">
      <c r="A109" s="3" t="s">
        <v>23</v>
      </c>
      <c r="B109" s="34">
        <v>18</v>
      </c>
      <c r="C109" s="405" t="s">
        <v>72</v>
      </c>
      <c r="D109" s="405"/>
    </row>
    <row r="110" spans="1:10" x14ac:dyDescent="0.2">
      <c r="C110" s="403" t="s">
        <v>40</v>
      </c>
      <c r="D110" s="408"/>
      <c r="E110" s="403" t="s">
        <v>70</v>
      </c>
      <c r="F110" s="400" t="s">
        <v>71</v>
      </c>
    </row>
    <row r="111" spans="1:10" x14ac:dyDescent="0.2">
      <c r="C111" s="409"/>
      <c r="D111" s="410"/>
      <c r="E111" s="404" t="s">
        <v>39</v>
      </c>
      <c r="F111" s="402"/>
    </row>
    <row r="112" spans="1:10" x14ac:dyDescent="0.2">
      <c r="C112" s="207" t="s">
        <v>67</v>
      </c>
      <c r="D112" s="221">
        <v>0.05</v>
      </c>
      <c r="E112" s="162">
        <f>F112/12</f>
        <v>22250</v>
      </c>
      <c r="F112" s="162">
        <f>E34*D112</f>
        <v>267000</v>
      </c>
    </row>
    <row r="113" spans="3:11" x14ac:dyDescent="0.2">
      <c r="C113" s="224" t="s">
        <v>68</v>
      </c>
      <c r="D113" s="226">
        <v>0.05</v>
      </c>
      <c r="E113" s="162">
        <f t="shared" ref="E113:E118" si="3">F113/12</f>
        <v>33235</v>
      </c>
      <c r="F113" s="232">
        <f>((E31*E42)+(E32*E43)+(E33*E44)+(E34*E45)+(E35*E46))*D113</f>
        <v>398820</v>
      </c>
    </row>
    <row r="114" spans="3:11" x14ac:dyDescent="0.2">
      <c r="C114" s="207" t="str">
        <f>C31</f>
        <v>Adecuaciones locativas</v>
      </c>
      <c r="D114" s="208" t="s">
        <v>220</v>
      </c>
      <c r="E114" s="162">
        <f>F114/12</f>
        <v>2499.9999999999995</v>
      </c>
      <c r="F114" s="162">
        <f>F51</f>
        <v>29999.999999999993</v>
      </c>
      <c r="J114" s="4"/>
    </row>
    <row r="115" spans="3:11" x14ac:dyDescent="0.2">
      <c r="C115" s="207" t="s">
        <v>351</v>
      </c>
      <c r="D115" s="225" t="s">
        <v>220</v>
      </c>
      <c r="E115" s="162">
        <f>F115/12</f>
        <v>0</v>
      </c>
      <c r="F115" s="162">
        <f>F52</f>
        <v>0</v>
      </c>
      <c r="K115" s="2" t="s">
        <v>263</v>
      </c>
    </row>
    <row r="116" spans="3:11" x14ac:dyDescent="0.2">
      <c r="C116" s="207" t="s">
        <v>217</v>
      </c>
      <c r="D116" s="208" t="s">
        <v>220</v>
      </c>
      <c r="E116" s="162">
        <f t="shared" si="3"/>
        <v>21420</v>
      </c>
      <c r="F116" s="162">
        <f>F53</f>
        <v>257040</v>
      </c>
    </row>
    <row r="117" spans="3:11" x14ac:dyDescent="0.2">
      <c r="C117" s="207" t="s">
        <v>218</v>
      </c>
      <c r="D117" s="208" t="s">
        <v>220</v>
      </c>
      <c r="E117" s="162">
        <f t="shared" si="3"/>
        <v>80100</v>
      </c>
      <c r="F117" s="162">
        <f>F54</f>
        <v>961200</v>
      </c>
    </row>
    <row r="118" spans="3:11" x14ac:dyDescent="0.2">
      <c r="C118" s="207" t="s">
        <v>219</v>
      </c>
      <c r="D118" s="208" t="s">
        <v>220</v>
      </c>
      <c r="E118" s="162">
        <f t="shared" si="3"/>
        <v>0</v>
      </c>
      <c r="F118" s="162">
        <f>F55</f>
        <v>0</v>
      </c>
    </row>
    <row r="119" spans="3:11" x14ac:dyDescent="0.2">
      <c r="C119" s="224" t="s">
        <v>87</v>
      </c>
      <c r="D119" s="208" t="s">
        <v>235</v>
      </c>
      <c r="E119" s="162">
        <f>'INVERSIONES '!E99</f>
        <v>0</v>
      </c>
      <c r="F119" s="162">
        <f t="shared" ref="F119:F127" si="4">E119*12</f>
        <v>0</v>
      </c>
    </row>
    <row r="120" spans="3:11" x14ac:dyDescent="0.2">
      <c r="C120" s="207" t="s">
        <v>69</v>
      </c>
      <c r="D120" s="208" t="s">
        <v>235</v>
      </c>
      <c r="E120" s="162">
        <f>('INVERSIONES '!E98+'INVERSIONES '!E100+'INVERSIONES '!E101+'INVERSIONES '!E102)</f>
        <v>115000</v>
      </c>
      <c r="F120" s="162">
        <f>E120*12</f>
        <v>1380000</v>
      </c>
    </row>
    <row r="121" spans="3:11" ht="12.75" hidden="1" customHeight="1" x14ac:dyDescent="0.2">
      <c r="C121" s="224" t="s">
        <v>73</v>
      </c>
      <c r="D121" s="233"/>
      <c r="E121" s="162">
        <f>'INVERSIONES '!E99</f>
        <v>0</v>
      </c>
      <c r="F121" s="162">
        <f t="shared" si="4"/>
        <v>0</v>
      </c>
    </row>
    <row r="122" spans="3:11" x14ac:dyDescent="0.2">
      <c r="C122" s="207" t="s">
        <v>267</v>
      </c>
      <c r="D122" s="208"/>
      <c r="E122" s="162">
        <v>0</v>
      </c>
      <c r="F122" s="162">
        <f t="shared" si="4"/>
        <v>0</v>
      </c>
      <c r="H122" s="4"/>
    </row>
    <row r="123" spans="3:11" x14ac:dyDescent="0.2">
      <c r="C123" s="207" t="s">
        <v>16</v>
      </c>
      <c r="D123" s="208"/>
      <c r="E123" s="162">
        <v>0</v>
      </c>
      <c r="F123" s="162">
        <f>E123*12</f>
        <v>0</v>
      </c>
    </row>
    <row r="124" spans="3:11" x14ac:dyDescent="0.2">
      <c r="C124" s="207" t="s">
        <v>187</v>
      </c>
      <c r="D124" s="208"/>
      <c r="E124" s="162">
        <v>500000</v>
      </c>
      <c r="F124" s="162">
        <f t="shared" si="4"/>
        <v>6000000</v>
      </c>
    </row>
    <row r="125" spans="3:11" x14ac:dyDescent="0.2">
      <c r="C125" s="207" t="s">
        <v>10</v>
      </c>
      <c r="D125" s="208"/>
      <c r="E125" s="162">
        <v>50000</v>
      </c>
      <c r="F125" s="162">
        <f t="shared" si="4"/>
        <v>600000</v>
      </c>
    </row>
    <row r="126" spans="3:11" x14ac:dyDescent="0.2">
      <c r="C126" s="207" t="s">
        <v>363</v>
      </c>
      <c r="D126" s="208"/>
      <c r="E126" s="162">
        <f>F126/12</f>
        <v>135483.35</v>
      </c>
      <c r="F126" s="162">
        <f>'INVERSIONES '!D79</f>
        <v>1625800.2</v>
      </c>
    </row>
    <row r="127" spans="3:11" ht="25.5" x14ac:dyDescent="0.2">
      <c r="C127" s="207" t="s">
        <v>78</v>
      </c>
      <c r="D127" s="208"/>
      <c r="E127" s="162">
        <v>1200000</v>
      </c>
      <c r="F127" s="162">
        <f t="shared" si="4"/>
        <v>14400000</v>
      </c>
    </row>
    <row r="128" spans="3:11" x14ac:dyDescent="0.2">
      <c r="C128" s="413" t="s">
        <v>2</v>
      </c>
      <c r="D128" s="414"/>
      <c r="E128" s="171">
        <f>SUM(E112:E127)</f>
        <v>2159988.35</v>
      </c>
      <c r="F128" s="171">
        <f>SUM(F112:F127)</f>
        <v>25919860.199999999</v>
      </c>
      <c r="G128" s="4"/>
    </row>
    <row r="132" spans="1:8" x14ac:dyDescent="0.2">
      <c r="A132" s="3" t="s">
        <v>23</v>
      </c>
      <c r="B132" s="34">
        <v>19</v>
      </c>
      <c r="C132" s="3" t="s">
        <v>375</v>
      </c>
    </row>
    <row r="133" spans="1:8" ht="12.75" customHeight="1" x14ac:dyDescent="0.2">
      <c r="C133" s="403" t="s">
        <v>40</v>
      </c>
      <c r="D133" s="415"/>
      <c r="E133" s="403" t="s">
        <v>70</v>
      </c>
      <c r="F133" s="400" t="s">
        <v>71</v>
      </c>
    </row>
    <row r="134" spans="1:8" x14ac:dyDescent="0.2">
      <c r="C134" s="404"/>
      <c r="D134" s="416"/>
      <c r="E134" s="404" t="s">
        <v>39</v>
      </c>
      <c r="F134" s="402"/>
      <c r="H134" s="4"/>
    </row>
    <row r="135" spans="1:8" x14ac:dyDescent="0.2">
      <c r="C135" s="256" t="s">
        <v>376</v>
      </c>
      <c r="D135" s="371">
        <v>20</v>
      </c>
      <c r="E135" s="165">
        <f>+D135*'COSTOS Y GASTOS'!D69</f>
        <v>134640</v>
      </c>
      <c r="F135" s="166">
        <f>+E135*12</f>
        <v>1615680</v>
      </c>
    </row>
    <row r="136" spans="1:8" x14ac:dyDescent="0.2">
      <c r="C136" s="167" t="s">
        <v>2</v>
      </c>
      <c r="D136" s="370"/>
      <c r="E136" s="171">
        <f>SUM(E135:E135)</f>
        <v>134640</v>
      </c>
      <c r="F136" s="171">
        <f>SUM(F135:F135)</f>
        <v>1615680</v>
      </c>
    </row>
    <row r="140" spans="1:8" x14ac:dyDescent="0.2">
      <c r="A140" s="3" t="s">
        <v>23</v>
      </c>
      <c r="B140" s="34">
        <v>20</v>
      </c>
      <c r="C140" s="405" t="s">
        <v>197</v>
      </c>
      <c r="D140" s="405"/>
    </row>
    <row r="141" spans="1:8" x14ac:dyDescent="0.2">
      <c r="C141" s="403" t="s">
        <v>40</v>
      </c>
      <c r="D141" s="408"/>
      <c r="E141" s="403" t="s">
        <v>70</v>
      </c>
      <c r="F141" s="400" t="s">
        <v>71</v>
      </c>
    </row>
    <row r="142" spans="1:8" x14ac:dyDescent="0.2">
      <c r="C142" s="409"/>
      <c r="D142" s="410"/>
      <c r="E142" s="404" t="s">
        <v>39</v>
      </c>
      <c r="F142" s="402"/>
    </row>
    <row r="143" spans="1:8" x14ac:dyDescent="0.2">
      <c r="C143" s="207" t="s">
        <v>74</v>
      </c>
      <c r="D143" s="221" t="s">
        <v>239</v>
      </c>
      <c r="E143" s="162">
        <f>F143/12</f>
        <v>10010613.569166666</v>
      </c>
      <c r="F143" s="162">
        <f>J105</f>
        <v>120127362.83</v>
      </c>
    </row>
    <row r="144" spans="1:8" x14ac:dyDescent="0.2">
      <c r="C144" s="207" t="s">
        <v>72</v>
      </c>
      <c r="D144" s="221" t="s">
        <v>241</v>
      </c>
      <c r="E144" s="162">
        <f>F144/12</f>
        <v>1200000</v>
      </c>
      <c r="F144" s="162">
        <f>F127</f>
        <v>14400000</v>
      </c>
    </row>
    <row r="145" spans="1:10" x14ac:dyDescent="0.2">
      <c r="C145" s="207" t="s">
        <v>372</v>
      </c>
      <c r="D145" s="221" t="s">
        <v>240</v>
      </c>
      <c r="E145" s="162">
        <f>F145/12</f>
        <v>134640</v>
      </c>
      <c r="F145" s="162">
        <f>F136</f>
        <v>1615680</v>
      </c>
    </row>
    <row r="146" spans="1:10" x14ac:dyDescent="0.2">
      <c r="C146" s="413" t="s">
        <v>2</v>
      </c>
      <c r="D146" s="414"/>
      <c r="E146" s="171">
        <f>SUM(E143:E145)</f>
        <v>11345253.569166666</v>
      </c>
      <c r="F146" s="171">
        <f>SUM(F143:F145)</f>
        <v>136143042.82999998</v>
      </c>
    </row>
    <row r="147" spans="1:10" x14ac:dyDescent="0.2">
      <c r="C147" s="91"/>
      <c r="D147" s="92"/>
    </row>
    <row r="148" spans="1:10" x14ac:dyDescent="0.2">
      <c r="C148" s="91"/>
      <c r="D148" s="92"/>
    </row>
    <row r="149" spans="1:10" x14ac:dyDescent="0.2">
      <c r="C149" s="91"/>
      <c r="D149" s="92"/>
    </row>
    <row r="150" spans="1:10" x14ac:dyDescent="0.2">
      <c r="A150" s="3" t="s">
        <v>23</v>
      </c>
      <c r="B150" s="34">
        <v>21</v>
      </c>
      <c r="C150" s="405" t="s">
        <v>7</v>
      </c>
      <c r="D150" s="405"/>
    </row>
    <row r="151" spans="1:10" x14ac:dyDescent="0.2">
      <c r="C151" s="403" t="s">
        <v>94</v>
      </c>
      <c r="D151" s="408"/>
      <c r="E151" s="400" t="s">
        <v>95</v>
      </c>
    </row>
    <row r="152" spans="1:10" x14ac:dyDescent="0.2">
      <c r="C152" s="409"/>
      <c r="D152" s="410"/>
      <c r="E152" s="401" t="s">
        <v>39</v>
      </c>
    </row>
    <row r="153" spans="1:10" x14ac:dyDescent="0.2">
      <c r="C153" s="10" t="s">
        <v>101</v>
      </c>
      <c r="D153" s="89" t="s">
        <v>242</v>
      </c>
      <c r="E153" s="162">
        <f>+CRÉDITO!E14</f>
        <v>1330914.4652767067</v>
      </c>
    </row>
    <row r="154" spans="1:10" ht="15" customHeight="1" x14ac:dyDescent="0.2">
      <c r="C154" s="10" t="s">
        <v>102</v>
      </c>
      <c r="D154" s="89" t="s">
        <v>242</v>
      </c>
      <c r="E154" s="162">
        <f>+CRÉDITO!E15</f>
        <v>1310710.0133727023</v>
      </c>
    </row>
    <row r="155" spans="1:10" ht="13.5" customHeight="1" x14ac:dyDescent="0.2">
      <c r="C155" s="10" t="s">
        <v>103</v>
      </c>
      <c r="D155" s="89" t="s">
        <v>242</v>
      </c>
      <c r="E155" s="162">
        <f>+CRÉDITO!E16</f>
        <v>1289859.0190077699</v>
      </c>
    </row>
    <row r="156" spans="1:10" x14ac:dyDescent="0.2">
      <c r="E156" s="171">
        <f>+SUM(E153:E155)</f>
        <v>3931483.4976571789</v>
      </c>
    </row>
    <row r="157" spans="1:10" ht="13.5" thickBot="1" x14ac:dyDescent="0.25">
      <c r="G157" s="8"/>
    </row>
    <row r="158" spans="1:10" ht="13.5" thickBot="1" x14ac:dyDescent="0.25">
      <c r="C158" s="2" t="s">
        <v>100</v>
      </c>
      <c r="F158" s="114">
        <v>3</v>
      </c>
      <c r="G158"/>
      <c r="H158"/>
      <c r="I158"/>
      <c r="J158"/>
    </row>
    <row r="159" spans="1:10" x14ac:dyDescent="0.2">
      <c r="F159" s="44"/>
      <c r="G159"/>
      <c r="H159"/>
      <c r="I159"/>
      <c r="J159"/>
    </row>
    <row r="161" spans="1:6" x14ac:dyDescent="0.2">
      <c r="A161" s="3" t="s">
        <v>23</v>
      </c>
      <c r="B161" s="34">
        <v>22</v>
      </c>
      <c r="C161" s="405" t="s">
        <v>96</v>
      </c>
      <c r="D161" s="405"/>
    </row>
    <row r="162" spans="1:6" x14ac:dyDescent="0.2">
      <c r="C162" s="403" t="s">
        <v>105</v>
      </c>
      <c r="D162" s="408"/>
      <c r="E162" s="403" t="s">
        <v>95</v>
      </c>
      <c r="F162" s="400" t="s">
        <v>104</v>
      </c>
    </row>
    <row r="163" spans="1:6" x14ac:dyDescent="0.2">
      <c r="C163" s="409"/>
      <c r="D163" s="410"/>
      <c r="E163" s="404" t="s">
        <v>39</v>
      </c>
      <c r="F163" s="401"/>
    </row>
    <row r="164" spans="1:6" ht="25.5" x14ac:dyDescent="0.2">
      <c r="C164" s="163" t="s">
        <v>378</v>
      </c>
      <c r="D164" s="208" t="s">
        <v>246</v>
      </c>
      <c r="E164" s="162">
        <f>E95</f>
        <v>10860463.701666666</v>
      </c>
      <c r="F164" s="232">
        <f>E164*F158</f>
        <v>32581391.104999997</v>
      </c>
    </row>
    <row r="165" spans="1:6" x14ac:dyDescent="0.2">
      <c r="C165" s="163" t="s">
        <v>97</v>
      </c>
      <c r="D165" s="208" t="s">
        <v>247</v>
      </c>
      <c r="E165" s="162">
        <f>E146</f>
        <v>11345253.569166666</v>
      </c>
      <c r="F165" s="232">
        <f>E165*F158</f>
        <v>34035760.707499996</v>
      </c>
    </row>
    <row r="166" spans="1:6" x14ac:dyDescent="0.2">
      <c r="C166" s="163" t="s">
        <v>7</v>
      </c>
      <c r="D166" s="208" t="s">
        <v>227</v>
      </c>
      <c r="E166" s="162">
        <f>E153</f>
        <v>1330914.4652767067</v>
      </c>
      <c r="F166" s="232">
        <v>3591947</v>
      </c>
    </row>
    <row r="167" spans="1:6" x14ac:dyDescent="0.2">
      <c r="C167" s="163" t="s">
        <v>147</v>
      </c>
      <c r="D167" s="208" t="s">
        <v>256</v>
      </c>
      <c r="E167" s="162">
        <f>((PROYECCIONES!F30*0.004)/12)</f>
        <v>100009.09246569691</v>
      </c>
      <c r="F167" s="162">
        <f>E167*F158</f>
        <v>300027.27739709074</v>
      </c>
    </row>
    <row r="168" spans="1:6" x14ac:dyDescent="0.2">
      <c r="C168" s="163" t="s">
        <v>224</v>
      </c>
      <c r="D168" s="208" t="s">
        <v>245</v>
      </c>
      <c r="E168" s="162">
        <f>(E126+E118+E117+E116+E115+E114+E78+E79+E80+E81+E82)</f>
        <v>697016.68333333335</v>
      </c>
      <c r="F168" s="162">
        <f>E168*F158</f>
        <v>2091050.05</v>
      </c>
    </row>
    <row r="169" spans="1:6" x14ac:dyDescent="0.2">
      <c r="C169" s="413" t="s">
        <v>2</v>
      </c>
      <c r="D169" s="414"/>
      <c r="E169" s="171">
        <f>SUM(E164:E167)-E168</f>
        <v>22939624.145242404</v>
      </c>
      <c r="F169" s="171">
        <f>SUM(F164:F167)-F168</f>
        <v>68418076.039897099</v>
      </c>
    </row>
    <row r="173" spans="1:6" x14ac:dyDescent="0.2">
      <c r="A173" s="3" t="s">
        <v>23</v>
      </c>
      <c r="B173" s="34">
        <v>23</v>
      </c>
      <c r="C173" s="405" t="s">
        <v>106</v>
      </c>
      <c r="D173" s="405"/>
    </row>
    <row r="174" spans="1:6" x14ac:dyDescent="0.2">
      <c r="C174" s="403" t="s">
        <v>107</v>
      </c>
      <c r="D174" s="408"/>
      <c r="E174" s="400" t="s">
        <v>108</v>
      </c>
    </row>
    <row r="175" spans="1:6" x14ac:dyDescent="0.2">
      <c r="C175" s="409"/>
      <c r="D175" s="410"/>
      <c r="E175" s="401" t="s">
        <v>39</v>
      </c>
    </row>
    <row r="176" spans="1:6" x14ac:dyDescent="0.2">
      <c r="C176" s="163" t="s">
        <v>26</v>
      </c>
      <c r="D176" s="208" t="s">
        <v>226</v>
      </c>
      <c r="E176" s="162">
        <f>'INVERSIONES '!D65</f>
        <v>65044000</v>
      </c>
    </row>
    <row r="177" spans="1:8" x14ac:dyDescent="0.2">
      <c r="C177" s="163" t="s">
        <v>109</v>
      </c>
      <c r="D177" s="208" t="s">
        <v>238</v>
      </c>
      <c r="E177" s="162">
        <f>'INVERSIONES '!D77</f>
        <v>8129001</v>
      </c>
    </row>
    <row r="178" spans="1:8" x14ac:dyDescent="0.2">
      <c r="C178" s="163" t="s">
        <v>144</v>
      </c>
      <c r="D178" s="208" t="s">
        <v>248</v>
      </c>
      <c r="E178" s="162">
        <f>F169</f>
        <v>68418076.039897099</v>
      </c>
    </row>
    <row r="179" spans="1:8" x14ac:dyDescent="0.2">
      <c r="C179" s="413" t="s">
        <v>2</v>
      </c>
      <c r="D179" s="414"/>
      <c r="E179" s="171">
        <f>SUM(E176:E178)</f>
        <v>141591077.03989708</v>
      </c>
    </row>
    <row r="182" spans="1:8" x14ac:dyDescent="0.2">
      <c r="H182" s="4"/>
    </row>
    <row r="183" spans="1:8" x14ac:dyDescent="0.2">
      <c r="G183" s="8"/>
      <c r="H183" s="4"/>
    </row>
    <row r="184" spans="1:8" x14ac:dyDescent="0.2">
      <c r="A184" s="3" t="s">
        <v>23</v>
      </c>
      <c r="B184" s="3">
        <v>24</v>
      </c>
      <c r="C184" s="258" t="s">
        <v>106</v>
      </c>
      <c r="D184" s="162">
        <f>E179</f>
        <v>141591077.03989708</v>
      </c>
      <c r="E184" s="423" t="s">
        <v>249</v>
      </c>
      <c r="F184" s="423"/>
      <c r="G184" s="8"/>
      <c r="H184" s="4"/>
    </row>
    <row r="185" spans="1:8" x14ac:dyDescent="0.2">
      <c r="C185" s="248" t="s">
        <v>149</v>
      </c>
      <c r="D185" s="162">
        <v>100000000</v>
      </c>
      <c r="E185" s="260">
        <f>D185/E179</f>
        <v>0.70625919436874063</v>
      </c>
      <c r="F185" s="169" t="s">
        <v>192</v>
      </c>
    </row>
    <row r="186" spans="1:8" x14ac:dyDescent="0.2">
      <c r="C186" s="248" t="s">
        <v>150</v>
      </c>
      <c r="D186" s="259">
        <f>E179-D185</f>
        <v>41591077.039897084</v>
      </c>
      <c r="E186" s="260">
        <f>D186/E179</f>
        <v>0.29374080563125937</v>
      </c>
      <c r="F186" s="169" t="s">
        <v>193</v>
      </c>
    </row>
    <row r="187" spans="1:8" x14ac:dyDescent="0.2">
      <c r="D187" s="4"/>
    </row>
    <row r="190" spans="1:8" x14ac:dyDescent="0.2">
      <c r="D190" s="4"/>
    </row>
  </sheetData>
  <mergeCells count="82">
    <mergeCell ref="E184:F184"/>
    <mergeCell ref="D40:E40"/>
    <mergeCell ref="D59:D60"/>
    <mergeCell ref="J100:J101"/>
    <mergeCell ref="F110:F111"/>
    <mergeCell ref="H100:I100"/>
    <mergeCell ref="E100:E101"/>
    <mergeCell ref="E141:E142"/>
    <mergeCell ref="E74:E75"/>
    <mergeCell ref="C85:D85"/>
    <mergeCell ref="C162:D163"/>
    <mergeCell ref="C110:D111"/>
    <mergeCell ref="C146:D146"/>
    <mergeCell ref="C161:D161"/>
    <mergeCell ref="C179:D179"/>
    <mergeCell ref="F100:F101"/>
    <mergeCell ref="C6:D6"/>
    <mergeCell ref="C29:D30"/>
    <mergeCell ref="C59:C60"/>
    <mergeCell ref="D100:D101"/>
    <mergeCell ref="C99:D99"/>
    <mergeCell ref="C65:D65"/>
    <mergeCell ref="C90:D91"/>
    <mergeCell ref="C95:D95"/>
    <mergeCell ref="C7:D7"/>
    <mergeCell ref="C8:D8"/>
    <mergeCell ref="C9:D9"/>
    <mergeCell ref="C10:D10"/>
    <mergeCell ref="C11:D11"/>
    <mergeCell ref="C13:D13"/>
    <mergeCell ref="C12:D12"/>
    <mergeCell ref="J20:J21"/>
    <mergeCell ref="H20:I20"/>
    <mergeCell ref="C20:C21"/>
    <mergeCell ref="G20:G21"/>
    <mergeCell ref="C14:D14"/>
    <mergeCell ref="F20:F21"/>
    <mergeCell ref="D20:D21"/>
    <mergeCell ref="C16:D16"/>
    <mergeCell ref="C15:D15"/>
    <mergeCell ref="G100:G101"/>
    <mergeCell ref="C128:D128"/>
    <mergeCell ref="C174:D175"/>
    <mergeCell ref="C173:D173"/>
    <mergeCell ref="E110:E111"/>
    <mergeCell ref="E174:E175"/>
    <mergeCell ref="C109:D109"/>
    <mergeCell ref="E133:E134"/>
    <mergeCell ref="C169:D169"/>
    <mergeCell ref="C133:D134"/>
    <mergeCell ref="C141:D142"/>
    <mergeCell ref="C151:D152"/>
    <mergeCell ref="C140:D140"/>
    <mergeCell ref="C100:C101"/>
    <mergeCell ref="C150:D150"/>
    <mergeCell ref="E162:E163"/>
    <mergeCell ref="J29:J30"/>
    <mergeCell ref="C36:D36"/>
    <mergeCell ref="I29:I30"/>
    <mergeCell ref="H29:H30"/>
    <mergeCell ref="I59:I60"/>
    <mergeCell ref="F59:F60"/>
    <mergeCell ref="G59:G60"/>
    <mergeCell ref="J59:J60"/>
    <mergeCell ref="H59:H60"/>
    <mergeCell ref="G29:G30"/>
    <mergeCell ref="C89:D89"/>
    <mergeCell ref="C74:D75"/>
    <mergeCell ref="E49:F49"/>
    <mergeCell ref="C40:C41"/>
    <mergeCell ref="C49:C50"/>
    <mergeCell ref="F162:F163"/>
    <mergeCell ref="F90:F91"/>
    <mergeCell ref="F141:F142"/>
    <mergeCell ref="E29:E30"/>
    <mergeCell ref="E59:E60"/>
    <mergeCell ref="C73:E73"/>
    <mergeCell ref="F133:F134"/>
    <mergeCell ref="E90:E91"/>
    <mergeCell ref="E151:E152"/>
    <mergeCell ref="F74:F75"/>
    <mergeCell ref="F29:F30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91"/>
  <sheetViews>
    <sheetView showGridLines="0" zoomScale="85" zoomScaleNormal="85" workbookViewId="0">
      <selection activeCell="F5" sqref="F5"/>
    </sheetView>
  </sheetViews>
  <sheetFormatPr baseColWidth="10" defaultRowHeight="12.75" x14ac:dyDescent="0.2"/>
  <cols>
    <col min="1" max="1" width="7.28515625" customWidth="1"/>
    <col min="2" max="2" width="3" customWidth="1"/>
    <col min="3" max="3" width="8.42578125" customWidth="1"/>
    <col min="4" max="4" width="15.5703125" customWidth="1"/>
    <col min="5" max="5" width="16" customWidth="1"/>
    <col min="6" max="6" width="16.42578125" customWidth="1"/>
    <col min="7" max="7" width="19" customWidth="1"/>
    <col min="8" max="8" width="11.5703125" customWidth="1"/>
    <col min="9" max="9" width="6.5703125" customWidth="1"/>
    <col min="10" max="10" width="7.5703125" customWidth="1"/>
    <col min="11" max="11" width="3.7109375" customWidth="1"/>
    <col min="12" max="12" width="11.5703125" bestFit="1" customWidth="1"/>
    <col min="13" max="13" width="17.140625" customWidth="1"/>
    <col min="14" max="14" width="18.85546875" customWidth="1"/>
    <col min="15" max="15" width="18.28515625" customWidth="1"/>
    <col min="16" max="16" width="18.5703125" customWidth="1"/>
  </cols>
  <sheetData>
    <row r="1" spans="1:17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">
      <c r="A3" s="3" t="s">
        <v>23</v>
      </c>
      <c r="B3" s="23">
        <v>25</v>
      </c>
      <c r="C3" s="3" t="s">
        <v>98</v>
      </c>
      <c r="D3" s="3"/>
      <c r="E3" s="2"/>
      <c r="F3" s="2"/>
      <c r="G3" s="2"/>
      <c r="H3" s="8"/>
      <c r="I3" s="2"/>
      <c r="J3" s="2"/>
      <c r="K3" s="2"/>
      <c r="L3" s="2"/>
      <c r="M3" s="2"/>
      <c r="N3" s="2"/>
      <c r="O3" s="2"/>
      <c r="P3" s="2"/>
      <c r="Q3" s="2"/>
    </row>
    <row r="4" spans="1:17" x14ac:dyDescent="0.2">
      <c r="A4" s="2"/>
      <c r="B4" s="2"/>
      <c r="C4" s="2"/>
      <c r="D4" s="2"/>
      <c r="E4" s="2"/>
      <c r="F4" s="2"/>
      <c r="G4" s="2"/>
      <c r="H4" s="8"/>
      <c r="I4" s="3"/>
      <c r="J4" s="3"/>
      <c r="K4" s="3"/>
      <c r="L4" s="3"/>
      <c r="M4" s="2"/>
      <c r="N4" s="2"/>
      <c r="O4" s="2"/>
      <c r="P4" s="2"/>
      <c r="Q4" s="2"/>
    </row>
    <row r="5" spans="1:17" x14ac:dyDescent="0.2">
      <c r="A5" s="2"/>
      <c r="B5" s="2"/>
      <c r="C5" s="2"/>
      <c r="D5" s="426" t="s">
        <v>54</v>
      </c>
      <c r="E5" s="426"/>
      <c r="F5" s="238">
        <f>+'COSTOS Y GASTOS'!D186</f>
        <v>41591077.039897084</v>
      </c>
      <c r="G5" s="2"/>
      <c r="H5" s="2"/>
      <c r="J5" s="2"/>
      <c r="K5" s="2"/>
      <c r="L5" s="2"/>
      <c r="M5" s="2"/>
      <c r="N5" s="2"/>
      <c r="O5" s="2"/>
      <c r="P5" s="2"/>
      <c r="Q5" s="2"/>
    </row>
    <row r="6" spans="1:17" x14ac:dyDescent="0.2">
      <c r="A6" s="2"/>
      <c r="B6" s="2"/>
      <c r="C6" s="2"/>
      <c r="D6" s="426" t="s">
        <v>55</v>
      </c>
      <c r="E6" s="426"/>
      <c r="F6" s="93">
        <v>36</v>
      </c>
      <c r="G6" s="2" t="s">
        <v>57</v>
      </c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x14ac:dyDescent="0.2">
      <c r="A7" s="2"/>
      <c r="B7" s="2"/>
      <c r="C7" s="2"/>
      <c r="D7" s="426" t="s">
        <v>56</v>
      </c>
      <c r="E7" s="426"/>
      <c r="F7" s="94">
        <v>3.2000000000000001E-2</v>
      </c>
      <c r="G7" s="2" t="s">
        <v>58</v>
      </c>
      <c r="H7" s="239">
        <f>((1+F7)^12)-1</f>
        <v>0.45933960013257558</v>
      </c>
      <c r="I7" s="2" t="s">
        <v>181</v>
      </c>
      <c r="K7" s="2"/>
      <c r="L7" s="2"/>
      <c r="M7" s="2"/>
      <c r="N7" s="2"/>
      <c r="O7" s="2"/>
      <c r="P7" s="2"/>
      <c r="Q7" s="2"/>
    </row>
    <row r="8" spans="1:17" x14ac:dyDescent="0.2">
      <c r="A8" s="2"/>
      <c r="B8" s="2"/>
      <c r="C8" s="2"/>
      <c r="D8" s="426" t="s">
        <v>60</v>
      </c>
      <c r="E8" s="426"/>
      <c r="F8" s="237">
        <f>-PMT(F7,F6,F5)</f>
        <v>1962303.5872768415</v>
      </c>
      <c r="G8" s="2" t="s">
        <v>58</v>
      </c>
      <c r="H8" s="2"/>
      <c r="I8" s="2"/>
      <c r="J8" s="2"/>
      <c r="K8" s="2"/>
      <c r="N8" s="2"/>
      <c r="O8" s="2"/>
      <c r="P8" s="2"/>
      <c r="Q8" s="2"/>
    </row>
    <row r="9" spans="1:17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s="109" customFormat="1" x14ac:dyDescent="0.2">
      <c r="A10" s="16"/>
      <c r="B10" s="16"/>
      <c r="C10" s="108"/>
      <c r="D10" s="108"/>
      <c r="E10" s="108"/>
      <c r="F10" s="108"/>
      <c r="G10" s="108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spans="1:17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x14ac:dyDescent="0.2">
      <c r="A12" s="2"/>
      <c r="B12" s="2"/>
      <c r="C12" s="167" t="s">
        <v>59</v>
      </c>
      <c r="D12" s="167" t="s">
        <v>61</v>
      </c>
      <c r="E12" s="167" t="s">
        <v>62</v>
      </c>
      <c r="F12" s="167" t="s">
        <v>63</v>
      </c>
      <c r="G12" s="167" t="s">
        <v>64</v>
      </c>
      <c r="H12" s="2"/>
      <c r="I12" s="2"/>
      <c r="J12" s="3" t="s">
        <v>23</v>
      </c>
      <c r="K12" s="23">
        <f>B3+1</f>
        <v>26</v>
      </c>
      <c r="L12" s="3" t="s">
        <v>99</v>
      </c>
      <c r="M12" s="2"/>
      <c r="N12" s="2"/>
      <c r="O12" s="2"/>
      <c r="P12" s="2"/>
      <c r="Q12" s="2"/>
    </row>
    <row r="13" spans="1:17" x14ac:dyDescent="0.2">
      <c r="A13" s="2"/>
      <c r="B13" s="2"/>
      <c r="C13" s="235">
        <v>0</v>
      </c>
      <c r="D13" s="201"/>
      <c r="E13" s="201"/>
      <c r="F13" s="201"/>
      <c r="G13" s="219">
        <f>F5</f>
        <v>41591077.039897084</v>
      </c>
      <c r="H13" s="2"/>
      <c r="I13" s="2"/>
      <c r="J13" s="2"/>
      <c r="K13" s="2"/>
      <c r="L13" s="167" t="s">
        <v>65</v>
      </c>
      <c r="M13" s="167" t="s">
        <v>66</v>
      </c>
      <c r="N13" s="167" t="s">
        <v>62</v>
      </c>
      <c r="O13" s="167" t="s">
        <v>63</v>
      </c>
      <c r="P13" s="167" t="s">
        <v>64</v>
      </c>
      <c r="Q13" s="2"/>
    </row>
    <row r="14" spans="1:17" x14ac:dyDescent="0.2">
      <c r="A14" s="2"/>
      <c r="B14" s="2"/>
      <c r="C14" s="235">
        <f>C13+1</f>
        <v>1</v>
      </c>
      <c r="D14" s="236">
        <f>F8</f>
        <v>1962303.5872768415</v>
      </c>
      <c r="E14" s="219">
        <f>G13*$F$7</f>
        <v>1330914.4652767067</v>
      </c>
      <c r="F14" s="219">
        <f>D14-E14</f>
        <v>631389.12200013478</v>
      </c>
      <c r="G14" s="219">
        <f>G13-F14</f>
        <v>40959687.917896949</v>
      </c>
      <c r="H14" s="2"/>
      <c r="I14" s="2"/>
      <c r="J14" s="2"/>
      <c r="K14" s="2"/>
      <c r="L14" s="235">
        <v>1</v>
      </c>
      <c r="M14" s="236">
        <f>SUM(D14:D25)</f>
        <v>23547643.047322106</v>
      </c>
      <c r="N14" s="219">
        <f>SUM(E14:E25)</f>
        <v>14484454.708959593</v>
      </c>
      <c r="O14" s="219">
        <f>SUM(F14:F25)</f>
        <v>9063188.3383625019</v>
      </c>
      <c r="P14" s="219">
        <f>G25</f>
        <v>32527888.701534566</v>
      </c>
      <c r="Q14" s="2"/>
    </row>
    <row r="15" spans="1:17" x14ac:dyDescent="0.2">
      <c r="A15" s="2"/>
      <c r="B15" s="2"/>
      <c r="C15" s="235">
        <f t="shared" ref="C15:C49" si="0">C14+1</f>
        <v>2</v>
      </c>
      <c r="D15" s="236">
        <f>D14</f>
        <v>1962303.5872768415</v>
      </c>
      <c r="E15" s="219">
        <f t="shared" ref="E15:E49" si="1">G14*$F$7</f>
        <v>1310710.0133727023</v>
      </c>
      <c r="F15" s="219">
        <f t="shared" ref="F15:F49" si="2">D15-E15</f>
        <v>651593.57390413922</v>
      </c>
      <c r="G15" s="219">
        <f t="shared" ref="G15:G47" si="3">G14-F15</f>
        <v>40308094.343992807</v>
      </c>
      <c r="H15" s="2"/>
      <c r="I15" s="2"/>
      <c r="J15" s="2"/>
      <c r="K15" s="2"/>
      <c r="L15" s="235">
        <f>L14+1</f>
        <v>2</v>
      </c>
      <c r="M15" s="236">
        <f>M14</f>
        <v>23547643.047322106</v>
      </c>
      <c r="N15" s="219">
        <f>SUM(E26:E37)</f>
        <v>10321373.401689935</v>
      </c>
      <c r="O15" s="219">
        <f>M15-N15</f>
        <v>13226269.64563217</v>
      </c>
      <c r="P15" s="219">
        <f>G37</f>
        <v>19301619.055902407</v>
      </c>
      <c r="Q15" s="2"/>
    </row>
    <row r="16" spans="1:17" x14ac:dyDescent="0.2">
      <c r="A16" s="2"/>
      <c r="B16" s="2"/>
      <c r="C16" s="235">
        <f t="shared" si="0"/>
        <v>3</v>
      </c>
      <c r="D16" s="236">
        <f t="shared" ref="D16:D49" si="4">D15</f>
        <v>1962303.5872768415</v>
      </c>
      <c r="E16" s="219">
        <f t="shared" si="1"/>
        <v>1289859.0190077699</v>
      </c>
      <c r="F16" s="219">
        <f t="shared" si="2"/>
        <v>672444.56826907163</v>
      </c>
      <c r="G16" s="219">
        <f t="shared" si="3"/>
        <v>39635649.775723733</v>
      </c>
      <c r="H16" s="2"/>
      <c r="I16" s="2"/>
      <c r="J16" s="2"/>
      <c r="K16" s="2"/>
      <c r="L16" s="235">
        <f>L15+1</f>
        <v>3</v>
      </c>
      <c r="M16" s="236">
        <f>M15</f>
        <v>23547643.047322106</v>
      </c>
      <c r="N16" s="219">
        <f>SUM(E38:E49)</f>
        <v>4246023.9914196357</v>
      </c>
      <c r="O16" s="219">
        <f>M16-N16</f>
        <v>19301619.05590247</v>
      </c>
      <c r="P16" s="219">
        <f>+O16-P15</f>
        <v>6.3329935073852539E-8</v>
      </c>
      <c r="Q16" s="2"/>
    </row>
    <row r="17" spans="1:17" x14ac:dyDescent="0.2">
      <c r="A17" s="2"/>
      <c r="B17" s="2"/>
      <c r="C17" s="235">
        <f t="shared" si="0"/>
        <v>4</v>
      </c>
      <c r="D17" s="236">
        <f t="shared" si="4"/>
        <v>1962303.5872768415</v>
      </c>
      <c r="E17" s="219">
        <f t="shared" si="1"/>
        <v>1268340.7928231594</v>
      </c>
      <c r="F17" s="219">
        <f t="shared" si="2"/>
        <v>693962.79445368215</v>
      </c>
      <c r="G17" s="219">
        <f t="shared" si="3"/>
        <v>38941686.981270052</v>
      </c>
      <c r="H17" s="2"/>
      <c r="I17" s="2"/>
      <c r="J17" s="2"/>
      <c r="K17" s="2"/>
      <c r="L17" s="235">
        <f>L16+1</f>
        <v>4</v>
      </c>
      <c r="M17" s="236"/>
      <c r="N17" s="219"/>
      <c r="O17" s="219"/>
      <c r="P17" s="219"/>
      <c r="Q17" s="2"/>
    </row>
    <row r="18" spans="1:17" x14ac:dyDescent="0.2">
      <c r="A18" s="2"/>
      <c r="B18" s="2"/>
      <c r="C18" s="235">
        <f t="shared" si="0"/>
        <v>5</v>
      </c>
      <c r="D18" s="236">
        <f t="shared" si="4"/>
        <v>1962303.5872768415</v>
      </c>
      <c r="E18" s="219">
        <f t="shared" si="1"/>
        <v>1246133.9834006417</v>
      </c>
      <c r="F18" s="219">
        <f t="shared" si="2"/>
        <v>716169.60387619981</v>
      </c>
      <c r="G18" s="219">
        <f t="shared" si="3"/>
        <v>38225517.377393849</v>
      </c>
      <c r="H18" s="2"/>
      <c r="I18" s="2"/>
      <c r="J18" s="2"/>
      <c r="K18" s="2"/>
      <c r="L18" s="235">
        <f>L17+1</f>
        <v>5</v>
      </c>
      <c r="M18" s="236"/>
      <c r="N18" s="219"/>
      <c r="O18" s="219"/>
      <c r="P18" s="219"/>
      <c r="Q18" s="2"/>
    </row>
    <row r="19" spans="1:17" x14ac:dyDescent="0.2">
      <c r="A19" s="2"/>
      <c r="B19" s="2"/>
      <c r="C19" s="235">
        <f t="shared" si="0"/>
        <v>6</v>
      </c>
      <c r="D19" s="236">
        <f t="shared" si="4"/>
        <v>1962303.5872768415</v>
      </c>
      <c r="E19" s="219">
        <f t="shared" si="1"/>
        <v>1223216.5560766032</v>
      </c>
      <c r="F19" s="219">
        <f t="shared" si="2"/>
        <v>739087.03120023827</v>
      </c>
      <c r="G19" s="219">
        <f t="shared" si="3"/>
        <v>37486430.346193612</v>
      </c>
      <c r="H19" s="2"/>
      <c r="I19" s="2"/>
      <c r="J19" s="2"/>
      <c r="K19" s="2"/>
      <c r="L19" s="169" t="s">
        <v>2</v>
      </c>
      <c r="M19" s="234">
        <f>SUM(M14:M18)</f>
        <v>70642929.141966313</v>
      </c>
      <c r="N19" s="234">
        <f>SUM(N14:N18)</f>
        <v>29051852.102069162</v>
      </c>
      <c r="O19" s="234">
        <f>SUM(O14:O18)</f>
        <v>41591077.039897144</v>
      </c>
      <c r="P19" s="234"/>
      <c r="Q19" s="2"/>
    </row>
    <row r="20" spans="1:17" x14ac:dyDescent="0.2">
      <c r="A20" s="2"/>
      <c r="B20" s="2"/>
      <c r="C20" s="235">
        <f t="shared" si="0"/>
        <v>7</v>
      </c>
      <c r="D20" s="236">
        <f t="shared" si="4"/>
        <v>1962303.5872768415</v>
      </c>
      <c r="E20" s="219">
        <f t="shared" si="1"/>
        <v>1199565.7710781957</v>
      </c>
      <c r="F20" s="219">
        <f t="shared" si="2"/>
        <v>762737.81619864586</v>
      </c>
      <c r="G20" s="219">
        <f t="shared" si="3"/>
        <v>36723692.529994965</v>
      </c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x14ac:dyDescent="0.2">
      <c r="A21" s="2"/>
      <c r="B21" s="2"/>
      <c r="C21" s="235">
        <f t="shared" si="0"/>
        <v>8</v>
      </c>
      <c r="D21" s="236">
        <f t="shared" si="4"/>
        <v>1962303.5872768415</v>
      </c>
      <c r="E21" s="219">
        <f t="shared" si="1"/>
        <v>1175158.1609598389</v>
      </c>
      <c r="F21" s="219">
        <f t="shared" si="2"/>
        <v>787145.42631700262</v>
      </c>
      <c r="G21" s="219">
        <f t="shared" si="3"/>
        <v>35936547.103677958</v>
      </c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x14ac:dyDescent="0.2">
      <c r="A22" s="2"/>
      <c r="B22" s="2"/>
      <c r="C22" s="235">
        <f t="shared" si="0"/>
        <v>9</v>
      </c>
      <c r="D22" s="236">
        <f t="shared" si="4"/>
        <v>1962303.5872768415</v>
      </c>
      <c r="E22" s="219">
        <f t="shared" si="1"/>
        <v>1149969.5073176946</v>
      </c>
      <c r="F22" s="219">
        <f t="shared" si="2"/>
        <v>812334.07995914691</v>
      </c>
      <c r="G22" s="219">
        <f t="shared" si="3"/>
        <v>35124213.023718812</v>
      </c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x14ac:dyDescent="0.2">
      <c r="A23" s="2"/>
      <c r="B23" s="2"/>
      <c r="C23" s="235">
        <f t="shared" si="0"/>
        <v>10</v>
      </c>
      <c r="D23" s="236">
        <f t="shared" si="4"/>
        <v>1962303.5872768415</v>
      </c>
      <c r="E23" s="219">
        <f t="shared" si="1"/>
        <v>1123974.8167590019</v>
      </c>
      <c r="F23" s="219">
        <f t="shared" si="2"/>
        <v>838328.77051783958</v>
      </c>
      <c r="G23" s="219">
        <f t="shared" si="3"/>
        <v>34285884.253200971</v>
      </c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x14ac:dyDescent="0.2">
      <c r="A24" s="2"/>
      <c r="B24" s="2"/>
      <c r="C24" s="235">
        <f t="shared" si="0"/>
        <v>11</v>
      </c>
      <c r="D24" s="236">
        <f t="shared" si="4"/>
        <v>1962303.5872768415</v>
      </c>
      <c r="E24" s="219">
        <f t="shared" si="1"/>
        <v>1097148.2961024311</v>
      </c>
      <c r="F24" s="219">
        <f t="shared" si="2"/>
        <v>865155.29117441038</v>
      </c>
      <c r="G24" s="219">
        <f t="shared" si="3"/>
        <v>33420728.962026559</v>
      </c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x14ac:dyDescent="0.2">
      <c r="A25" s="2"/>
      <c r="B25" s="2"/>
      <c r="C25" s="235">
        <f t="shared" si="0"/>
        <v>12</v>
      </c>
      <c r="D25" s="236">
        <f t="shared" si="4"/>
        <v>1962303.5872768415</v>
      </c>
      <c r="E25" s="219">
        <f t="shared" si="1"/>
        <v>1069463.3267848499</v>
      </c>
      <c r="F25" s="219">
        <f t="shared" si="2"/>
        <v>892840.26049199165</v>
      </c>
      <c r="G25" s="219">
        <f t="shared" si="3"/>
        <v>32527888.701534566</v>
      </c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x14ac:dyDescent="0.2">
      <c r="A26" s="2"/>
      <c r="B26" s="2"/>
      <c r="C26" s="235">
        <f t="shared" si="0"/>
        <v>13</v>
      </c>
      <c r="D26" s="236">
        <f t="shared" si="4"/>
        <v>1962303.5872768415</v>
      </c>
      <c r="E26" s="219">
        <f t="shared" si="1"/>
        <v>1040892.4384491061</v>
      </c>
      <c r="F26" s="219">
        <f t="shared" si="2"/>
        <v>921411.14882773545</v>
      </c>
      <c r="G26" s="219">
        <f t="shared" si="3"/>
        <v>31606477.55270683</v>
      </c>
      <c r="H26" s="2"/>
      <c r="I26" s="2"/>
      <c r="J26" s="2"/>
      <c r="K26" s="2"/>
      <c r="L26" s="2"/>
      <c r="M26" s="2"/>
      <c r="N26" s="81"/>
      <c r="O26" s="2"/>
      <c r="P26" s="2"/>
      <c r="Q26" s="2"/>
    </row>
    <row r="27" spans="1:17" x14ac:dyDescent="0.2">
      <c r="A27" s="2"/>
      <c r="B27" s="2"/>
      <c r="C27" s="235">
        <f t="shared" si="0"/>
        <v>14</v>
      </c>
      <c r="D27" s="236">
        <f t="shared" si="4"/>
        <v>1962303.5872768415</v>
      </c>
      <c r="E27" s="219">
        <f t="shared" si="1"/>
        <v>1011407.2816866186</v>
      </c>
      <c r="F27" s="219">
        <f t="shared" si="2"/>
        <v>950896.30559022294</v>
      </c>
      <c r="G27" s="219">
        <f t="shared" si="3"/>
        <v>30655581.247116607</v>
      </c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x14ac:dyDescent="0.2">
      <c r="A28" s="2"/>
      <c r="B28" s="2"/>
      <c r="C28" s="235">
        <f t="shared" si="0"/>
        <v>15</v>
      </c>
      <c r="D28" s="236">
        <f t="shared" si="4"/>
        <v>1962303.5872768415</v>
      </c>
      <c r="E28" s="219">
        <f t="shared" si="1"/>
        <v>980978.5999077314</v>
      </c>
      <c r="F28" s="219">
        <f t="shared" si="2"/>
        <v>981324.98736911011</v>
      </c>
      <c r="G28" s="219">
        <f t="shared" si="3"/>
        <v>29674256.259747498</v>
      </c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x14ac:dyDescent="0.2">
      <c r="A29" s="2"/>
      <c r="B29" s="2"/>
      <c r="C29" s="235">
        <f t="shared" si="0"/>
        <v>16</v>
      </c>
      <c r="D29" s="236">
        <f t="shared" si="4"/>
        <v>1962303.5872768415</v>
      </c>
      <c r="E29" s="219">
        <f t="shared" si="1"/>
        <v>949576.20031191991</v>
      </c>
      <c r="F29" s="219">
        <f t="shared" si="2"/>
        <v>1012727.3869649216</v>
      </c>
      <c r="G29" s="219">
        <f t="shared" si="3"/>
        <v>28661528.872782577</v>
      </c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x14ac:dyDescent="0.2">
      <c r="A30" s="2"/>
      <c r="B30" s="2"/>
      <c r="C30" s="235">
        <f t="shared" si="0"/>
        <v>17</v>
      </c>
      <c r="D30" s="236">
        <f t="shared" si="4"/>
        <v>1962303.5872768415</v>
      </c>
      <c r="E30" s="219">
        <f t="shared" si="1"/>
        <v>917168.92392904253</v>
      </c>
      <c r="F30" s="219">
        <f t="shared" si="2"/>
        <v>1045134.663347799</v>
      </c>
      <c r="G30" s="219">
        <f t="shared" si="3"/>
        <v>27616394.209434777</v>
      </c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x14ac:dyDescent="0.2">
      <c r="A31" s="2"/>
      <c r="B31" s="2"/>
      <c r="C31" s="235">
        <f t="shared" si="0"/>
        <v>18</v>
      </c>
      <c r="D31" s="236">
        <f t="shared" si="4"/>
        <v>1962303.5872768415</v>
      </c>
      <c r="E31" s="219">
        <f t="shared" si="1"/>
        <v>883724.61470191285</v>
      </c>
      <c r="F31" s="219">
        <f t="shared" si="2"/>
        <v>1078578.9725749288</v>
      </c>
      <c r="G31" s="219">
        <f t="shared" si="3"/>
        <v>26537815.236859851</v>
      </c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x14ac:dyDescent="0.2">
      <c r="A32" s="2"/>
      <c r="B32" s="2"/>
      <c r="C32" s="235">
        <f t="shared" si="0"/>
        <v>19</v>
      </c>
      <c r="D32" s="236">
        <f t="shared" si="4"/>
        <v>1962303.5872768415</v>
      </c>
      <c r="E32" s="219">
        <f t="shared" si="1"/>
        <v>849210.08757951518</v>
      </c>
      <c r="F32" s="219">
        <f t="shared" si="2"/>
        <v>1113093.4996973262</v>
      </c>
      <c r="G32" s="219">
        <f t="shared" si="3"/>
        <v>25424721.737162523</v>
      </c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x14ac:dyDescent="0.2">
      <c r="A33" s="2"/>
      <c r="B33" s="2"/>
      <c r="C33" s="235">
        <f t="shared" si="0"/>
        <v>20</v>
      </c>
      <c r="D33" s="236">
        <f t="shared" si="4"/>
        <v>1962303.5872768415</v>
      </c>
      <c r="E33" s="219">
        <f t="shared" si="1"/>
        <v>813591.09558920073</v>
      </c>
      <c r="F33" s="219">
        <f t="shared" si="2"/>
        <v>1148712.4916876408</v>
      </c>
      <c r="G33" s="219">
        <f t="shared" si="3"/>
        <v>24276009.245474882</v>
      </c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x14ac:dyDescent="0.2">
      <c r="A34" s="2"/>
      <c r="B34" s="2"/>
      <c r="C34" s="235">
        <f t="shared" si="0"/>
        <v>21</v>
      </c>
      <c r="D34" s="236">
        <f t="shared" si="4"/>
        <v>1962303.5872768415</v>
      </c>
      <c r="E34" s="219">
        <f t="shared" si="1"/>
        <v>776832.29585519631</v>
      </c>
      <c r="F34" s="219">
        <f t="shared" si="2"/>
        <v>1185471.2914216453</v>
      </c>
      <c r="G34" s="219">
        <f t="shared" si="3"/>
        <v>23090537.954053238</v>
      </c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x14ac:dyDescent="0.2">
      <c r="A35" s="2"/>
      <c r="B35" s="2"/>
      <c r="C35" s="235">
        <f t="shared" si="0"/>
        <v>22</v>
      </c>
      <c r="D35" s="236">
        <f t="shared" si="4"/>
        <v>1962303.5872768415</v>
      </c>
      <c r="E35" s="219">
        <f t="shared" si="1"/>
        <v>738897.2145297036</v>
      </c>
      <c r="F35" s="219">
        <f t="shared" si="2"/>
        <v>1223406.3727471379</v>
      </c>
      <c r="G35" s="219">
        <f t="shared" si="3"/>
        <v>21867131.5813061</v>
      </c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x14ac:dyDescent="0.2">
      <c r="A36" s="2"/>
      <c r="B36" s="2"/>
      <c r="C36" s="235">
        <f t="shared" si="0"/>
        <v>23</v>
      </c>
      <c r="D36" s="236">
        <f t="shared" si="4"/>
        <v>1962303.5872768415</v>
      </c>
      <c r="E36" s="219">
        <f t="shared" si="1"/>
        <v>699748.21060179523</v>
      </c>
      <c r="F36" s="219">
        <f t="shared" si="2"/>
        <v>1262555.3766750463</v>
      </c>
      <c r="G36" s="219">
        <f t="shared" si="3"/>
        <v>20604576.204631053</v>
      </c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x14ac:dyDescent="0.2">
      <c r="A37" s="2"/>
      <c r="B37" s="2"/>
      <c r="C37" s="235">
        <f t="shared" si="0"/>
        <v>24</v>
      </c>
      <c r="D37" s="236">
        <f t="shared" si="4"/>
        <v>1962303.5872768415</v>
      </c>
      <c r="E37" s="219">
        <f t="shared" si="1"/>
        <v>659346.43854819366</v>
      </c>
      <c r="F37" s="219">
        <f t="shared" si="2"/>
        <v>1302957.1487286477</v>
      </c>
      <c r="G37" s="219">
        <f t="shared" si="3"/>
        <v>19301619.055902407</v>
      </c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x14ac:dyDescent="0.2">
      <c r="A38" s="2"/>
      <c r="B38" s="2"/>
      <c r="C38" s="235">
        <f t="shared" si="0"/>
        <v>25</v>
      </c>
      <c r="D38" s="236">
        <f t="shared" si="4"/>
        <v>1962303.5872768415</v>
      </c>
      <c r="E38" s="219">
        <f t="shared" si="1"/>
        <v>617651.80978887703</v>
      </c>
      <c r="F38" s="219">
        <f t="shared" si="2"/>
        <v>1344651.7774879644</v>
      </c>
      <c r="G38" s="219">
        <f t="shared" si="3"/>
        <v>17956967.278414443</v>
      </c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x14ac:dyDescent="0.2">
      <c r="A39" s="2"/>
      <c r="B39" s="2"/>
      <c r="C39" s="235">
        <f t="shared" si="0"/>
        <v>26</v>
      </c>
      <c r="D39" s="236">
        <f t="shared" si="4"/>
        <v>1962303.5872768415</v>
      </c>
      <c r="E39" s="219">
        <f t="shared" si="1"/>
        <v>574622.95290926215</v>
      </c>
      <c r="F39" s="219">
        <f t="shared" si="2"/>
        <v>1387680.6343675794</v>
      </c>
      <c r="G39" s="219">
        <f t="shared" si="3"/>
        <v>16569286.644046864</v>
      </c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x14ac:dyDescent="0.2">
      <c r="A40" s="2"/>
      <c r="B40" s="2"/>
      <c r="C40" s="235">
        <f t="shared" si="0"/>
        <v>27</v>
      </c>
      <c r="D40" s="236">
        <f t="shared" si="4"/>
        <v>1962303.5872768415</v>
      </c>
      <c r="E40" s="219">
        <f t="shared" si="1"/>
        <v>530217.17260949966</v>
      </c>
      <c r="F40" s="219">
        <f t="shared" si="2"/>
        <v>1432086.4146673419</v>
      </c>
      <c r="G40" s="219">
        <f t="shared" si="3"/>
        <v>15137200.229379522</v>
      </c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x14ac:dyDescent="0.2">
      <c r="A41" s="2"/>
      <c r="B41" s="2"/>
      <c r="C41" s="235">
        <f t="shared" si="0"/>
        <v>28</v>
      </c>
      <c r="D41" s="236">
        <f t="shared" si="4"/>
        <v>1962303.5872768415</v>
      </c>
      <c r="E41" s="219">
        <f t="shared" si="1"/>
        <v>484390.40734014468</v>
      </c>
      <c r="F41" s="219">
        <f t="shared" si="2"/>
        <v>1477913.1799366968</v>
      </c>
      <c r="G41" s="219">
        <f t="shared" si="3"/>
        <v>13659287.049442824</v>
      </c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x14ac:dyDescent="0.2">
      <c r="A42" s="2"/>
      <c r="B42" s="2"/>
      <c r="C42" s="235">
        <f t="shared" si="0"/>
        <v>29</v>
      </c>
      <c r="D42" s="236">
        <f t="shared" si="4"/>
        <v>1962303.5872768415</v>
      </c>
      <c r="E42" s="219">
        <f t="shared" si="1"/>
        <v>437097.18558217038</v>
      </c>
      <c r="F42" s="219">
        <f t="shared" si="2"/>
        <v>1525206.4016946713</v>
      </c>
      <c r="G42" s="219">
        <f t="shared" si="3"/>
        <v>12134080.647748154</v>
      </c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x14ac:dyDescent="0.2">
      <c r="A43" s="2"/>
      <c r="B43" s="2"/>
      <c r="C43" s="235">
        <f t="shared" si="0"/>
        <v>30</v>
      </c>
      <c r="D43" s="236">
        <f t="shared" si="4"/>
        <v>1962303.5872768415</v>
      </c>
      <c r="E43" s="219">
        <f t="shared" si="1"/>
        <v>388290.58072794095</v>
      </c>
      <c r="F43" s="219">
        <f t="shared" si="2"/>
        <v>1574013.0065489006</v>
      </c>
      <c r="G43" s="219">
        <f t="shared" si="3"/>
        <v>10560067.641199253</v>
      </c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x14ac:dyDescent="0.2">
      <c r="A44" s="2"/>
      <c r="B44" s="2"/>
      <c r="C44" s="235">
        <f t="shared" si="0"/>
        <v>31</v>
      </c>
      <c r="D44" s="236">
        <f t="shared" si="4"/>
        <v>1962303.5872768415</v>
      </c>
      <c r="E44" s="219">
        <f t="shared" si="1"/>
        <v>337922.16451837611</v>
      </c>
      <c r="F44" s="219">
        <f t="shared" si="2"/>
        <v>1624381.4227584654</v>
      </c>
      <c r="G44" s="219">
        <f t="shared" si="3"/>
        <v>8935686.2184407879</v>
      </c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x14ac:dyDescent="0.2">
      <c r="A45" s="2"/>
      <c r="B45" s="2"/>
      <c r="C45" s="235">
        <f t="shared" si="0"/>
        <v>32</v>
      </c>
      <c r="D45" s="236">
        <f t="shared" si="4"/>
        <v>1962303.5872768415</v>
      </c>
      <c r="E45" s="219">
        <f t="shared" si="1"/>
        <v>285941.95899010519</v>
      </c>
      <c r="F45" s="219">
        <f t="shared" si="2"/>
        <v>1676361.6282867363</v>
      </c>
      <c r="G45" s="219">
        <f t="shared" si="3"/>
        <v>7259324.5901540518</v>
      </c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x14ac:dyDescent="0.2">
      <c r="A46" s="2"/>
      <c r="B46" s="2"/>
      <c r="C46" s="235">
        <f t="shared" si="0"/>
        <v>33</v>
      </c>
      <c r="D46" s="236">
        <f t="shared" si="4"/>
        <v>1962303.5872768415</v>
      </c>
      <c r="E46" s="219">
        <f t="shared" si="1"/>
        <v>232298.38688492967</v>
      </c>
      <c r="F46" s="219">
        <f t="shared" si="2"/>
        <v>1730005.2003919119</v>
      </c>
      <c r="G46" s="219">
        <f t="shared" si="3"/>
        <v>5529319.3897621399</v>
      </c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x14ac:dyDescent="0.2">
      <c r="A47" s="2"/>
      <c r="B47" s="2"/>
      <c r="C47" s="235">
        <f t="shared" si="0"/>
        <v>34</v>
      </c>
      <c r="D47" s="236">
        <f t="shared" si="4"/>
        <v>1962303.5872768415</v>
      </c>
      <c r="E47" s="219">
        <f t="shared" si="1"/>
        <v>176938.22047238849</v>
      </c>
      <c r="F47" s="219">
        <f t="shared" si="2"/>
        <v>1785365.3668044531</v>
      </c>
      <c r="G47" s="219">
        <f t="shared" si="3"/>
        <v>3743954.0229576868</v>
      </c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x14ac:dyDescent="0.2">
      <c r="A48" s="2"/>
      <c r="B48" s="2"/>
      <c r="C48" s="235">
        <f t="shared" si="0"/>
        <v>35</v>
      </c>
      <c r="D48" s="236">
        <f t="shared" si="4"/>
        <v>1962303.5872768415</v>
      </c>
      <c r="E48" s="219">
        <f t="shared" si="1"/>
        <v>119806.52873464598</v>
      </c>
      <c r="F48" s="219">
        <f t="shared" si="2"/>
        <v>1842497.0585421955</v>
      </c>
      <c r="G48" s="219">
        <f>G47-F48</f>
        <v>1901456.9644154913</v>
      </c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1:17" x14ac:dyDescent="0.2">
      <c r="A49" s="2"/>
      <c r="B49" s="2"/>
      <c r="C49" s="235">
        <f t="shared" si="0"/>
        <v>36</v>
      </c>
      <c r="D49" s="236">
        <f t="shared" si="4"/>
        <v>1962303.5872768415</v>
      </c>
      <c r="E49" s="219">
        <f t="shared" si="1"/>
        <v>60846.62286129572</v>
      </c>
      <c r="F49" s="219">
        <f t="shared" si="2"/>
        <v>1901456.9644155458</v>
      </c>
      <c r="G49" s="219">
        <f>G48-F49</f>
        <v>-5.4482370615005493E-8</v>
      </c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17" x14ac:dyDescent="0.2">
      <c r="C50" s="43"/>
      <c r="D50" s="43"/>
      <c r="E50" s="43"/>
      <c r="F50" s="43"/>
      <c r="G50" s="43"/>
      <c r="H50" s="43"/>
      <c r="I50" s="43"/>
      <c r="J50" s="43"/>
      <c r="K50" s="43"/>
    </row>
    <row r="51" spans="1:17" x14ac:dyDescent="0.2">
      <c r="C51" s="43"/>
      <c r="D51" s="43"/>
      <c r="E51" s="43"/>
      <c r="F51" s="43"/>
      <c r="G51" s="43"/>
      <c r="H51" s="43"/>
      <c r="I51" s="43"/>
      <c r="J51" s="43"/>
      <c r="K51" s="43"/>
    </row>
    <row r="52" spans="1:17" x14ac:dyDescent="0.2">
      <c r="C52" s="43"/>
      <c r="D52" s="43"/>
      <c r="E52" s="43"/>
      <c r="F52" s="43"/>
      <c r="G52" s="43"/>
      <c r="H52" s="43"/>
      <c r="I52" s="43"/>
      <c r="J52" s="43"/>
      <c r="K52" s="43"/>
    </row>
    <row r="53" spans="1:17" x14ac:dyDescent="0.2">
      <c r="C53" s="43"/>
      <c r="D53" s="43"/>
      <c r="E53" s="43"/>
      <c r="F53" s="43"/>
      <c r="G53" s="43"/>
      <c r="H53" s="43"/>
      <c r="I53" s="43"/>
      <c r="J53" s="43"/>
      <c r="K53" s="43"/>
    </row>
    <row r="54" spans="1:17" x14ac:dyDescent="0.2">
      <c r="C54" s="43"/>
      <c r="D54" s="43"/>
      <c r="E54" s="43"/>
      <c r="F54" s="43"/>
      <c r="G54" s="43"/>
      <c r="H54" s="43"/>
      <c r="I54" s="43"/>
      <c r="J54" s="43"/>
      <c r="K54" s="43"/>
    </row>
    <row r="55" spans="1:17" x14ac:dyDescent="0.2">
      <c r="C55" s="43"/>
      <c r="D55" s="43"/>
      <c r="E55" s="43"/>
      <c r="F55" s="43"/>
      <c r="G55" s="43"/>
      <c r="H55" s="43"/>
      <c r="I55" s="43"/>
      <c r="J55" s="43"/>
      <c r="K55" s="43"/>
    </row>
    <row r="56" spans="1:17" x14ac:dyDescent="0.2">
      <c r="C56" s="43"/>
      <c r="D56" s="43"/>
      <c r="E56" s="43"/>
      <c r="F56" s="43"/>
      <c r="G56" s="43"/>
      <c r="H56" s="43"/>
      <c r="I56" s="43"/>
      <c r="J56" s="43"/>
      <c r="K56" s="43"/>
    </row>
    <row r="57" spans="1:17" x14ac:dyDescent="0.2">
      <c r="C57" s="43"/>
      <c r="D57" s="43"/>
      <c r="E57" s="43"/>
      <c r="F57" s="43"/>
      <c r="G57" s="43"/>
      <c r="H57" s="43"/>
      <c r="I57" s="43"/>
      <c r="J57" s="43"/>
      <c r="K57" s="43"/>
    </row>
    <row r="58" spans="1:17" x14ac:dyDescent="0.2">
      <c r="C58" s="43"/>
      <c r="D58" s="43"/>
      <c r="E58" s="43"/>
      <c r="F58" s="43"/>
      <c r="G58" s="43"/>
      <c r="H58" s="43"/>
      <c r="I58" s="43"/>
      <c r="J58" s="43"/>
      <c r="K58" s="43"/>
    </row>
    <row r="59" spans="1:17" x14ac:dyDescent="0.2">
      <c r="C59" s="43"/>
      <c r="D59" s="43"/>
      <c r="E59" s="43"/>
      <c r="F59" s="43"/>
      <c r="G59" s="43"/>
      <c r="H59" s="43"/>
      <c r="I59" s="43"/>
      <c r="J59" s="43"/>
      <c r="K59" s="43"/>
    </row>
    <row r="60" spans="1:17" x14ac:dyDescent="0.2">
      <c r="C60" s="43"/>
      <c r="D60" s="43"/>
      <c r="E60" s="43"/>
      <c r="F60" s="43"/>
      <c r="G60" s="43"/>
      <c r="H60" s="43"/>
      <c r="I60" s="43"/>
      <c r="J60" s="43"/>
      <c r="K60" s="43"/>
    </row>
    <row r="61" spans="1:17" x14ac:dyDescent="0.2">
      <c r="C61" s="43"/>
      <c r="D61" s="43"/>
      <c r="E61" s="43"/>
      <c r="F61" s="43"/>
      <c r="G61" s="43"/>
      <c r="H61" s="43"/>
      <c r="I61" s="43"/>
      <c r="J61" s="43"/>
      <c r="K61" s="43"/>
    </row>
    <row r="62" spans="1:17" x14ac:dyDescent="0.2">
      <c r="C62" s="43"/>
      <c r="D62" s="43"/>
      <c r="E62" s="43"/>
      <c r="F62" s="43"/>
      <c r="G62" s="43"/>
      <c r="H62" s="43"/>
      <c r="I62" s="43"/>
      <c r="J62" s="43"/>
      <c r="K62" s="43"/>
    </row>
    <row r="63" spans="1:17" x14ac:dyDescent="0.2">
      <c r="C63" s="43"/>
      <c r="D63" s="43"/>
      <c r="E63" s="43"/>
      <c r="F63" s="43"/>
      <c r="G63" s="43"/>
      <c r="H63" s="43"/>
      <c r="I63" s="43"/>
      <c r="J63" s="43"/>
      <c r="K63" s="43"/>
    </row>
    <row r="64" spans="1:17" x14ac:dyDescent="0.2">
      <c r="C64" s="43"/>
      <c r="D64" s="43"/>
      <c r="E64" s="43"/>
      <c r="F64" s="43"/>
      <c r="G64" s="43"/>
      <c r="H64" s="43"/>
      <c r="I64" s="43"/>
      <c r="J64" s="43"/>
      <c r="K64" s="43"/>
    </row>
    <row r="65" spans="3:11" x14ac:dyDescent="0.2">
      <c r="C65" s="43"/>
      <c r="D65" s="43"/>
      <c r="E65" s="43"/>
      <c r="F65" s="43"/>
      <c r="G65" s="43"/>
      <c r="H65" s="43"/>
      <c r="I65" s="43"/>
      <c r="J65" s="43"/>
      <c r="K65" s="43"/>
    </row>
    <row r="66" spans="3:11" x14ac:dyDescent="0.2">
      <c r="C66" s="43"/>
      <c r="D66" s="43"/>
      <c r="E66" s="43"/>
      <c r="F66" s="43"/>
      <c r="G66" s="43"/>
      <c r="H66" s="43"/>
      <c r="I66" s="43"/>
      <c r="J66" s="43"/>
      <c r="K66" s="43"/>
    </row>
    <row r="67" spans="3:11" x14ac:dyDescent="0.2">
      <c r="C67" s="43"/>
      <c r="D67" s="43"/>
      <c r="E67" s="43"/>
      <c r="F67" s="43"/>
      <c r="G67" s="43"/>
      <c r="H67" s="43"/>
      <c r="I67" s="43"/>
      <c r="J67" s="43"/>
      <c r="K67" s="43"/>
    </row>
    <row r="68" spans="3:11" x14ac:dyDescent="0.2">
      <c r="C68" s="43"/>
      <c r="D68" s="43"/>
      <c r="E68" s="43"/>
      <c r="F68" s="43"/>
      <c r="G68" s="43"/>
      <c r="H68" s="43"/>
      <c r="I68" s="43"/>
      <c r="J68" s="43"/>
      <c r="K68" s="43"/>
    </row>
    <row r="69" spans="3:11" x14ac:dyDescent="0.2">
      <c r="C69" s="43"/>
      <c r="D69" s="43"/>
      <c r="E69" s="43"/>
      <c r="F69" s="43"/>
      <c r="G69" s="43"/>
      <c r="H69" s="43"/>
      <c r="I69" s="43"/>
      <c r="J69" s="43"/>
      <c r="K69" s="43"/>
    </row>
    <row r="70" spans="3:11" x14ac:dyDescent="0.2">
      <c r="C70" s="43"/>
      <c r="D70" s="43"/>
      <c r="E70" s="43"/>
      <c r="F70" s="43"/>
      <c r="G70" s="43"/>
      <c r="H70" s="43"/>
      <c r="I70" s="43"/>
      <c r="J70" s="43"/>
      <c r="K70" s="43"/>
    </row>
    <row r="71" spans="3:11" x14ac:dyDescent="0.2">
      <c r="C71" s="43"/>
      <c r="D71" s="43"/>
      <c r="E71" s="43"/>
      <c r="F71" s="43"/>
      <c r="G71" s="43"/>
      <c r="H71" s="43"/>
      <c r="I71" s="43"/>
      <c r="J71" s="43"/>
      <c r="K71" s="43"/>
    </row>
    <row r="72" spans="3:11" x14ac:dyDescent="0.2">
      <c r="C72" s="43"/>
      <c r="D72" s="43"/>
      <c r="E72" s="43"/>
      <c r="F72" s="43"/>
      <c r="G72" s="43"/>
      <c r="H72" s="43"/>
      <c r="I72" s="43"/>
      <c r="J72" s="43"/>
      <c r="K72" s="43"/>
    </row>
    <row r="73" spans="3:11" x14ac:dyDescent="0.2">
      <c r="C73" s="43"/>
      <c r="D73" s="43"/>
      <c r="E73" s="43"/>
      <c r="F73" s="43"/>
      <c r="G73" s="43"/>
      <c r="H73" s="43"/>
      <c r="I73" s="43"/>
      <c r="J73" s="43"/>
      <c r="K73" s="43"/>
    </row>
    <row r="74" spans="3:11" x14ac:dyDescent="0.2">
      <c r="C74" s="43"/>
      <c r="D74" s="43"/>
      <c r="E74" s="43"/>
      <c r="F74" s="43"/>
      <c r="G74" s="43"/>
      <c r="H74" s="43"/>
      <c r="I74" s="43"/>
      <c r="J74" s="43"/>
      <c r="K74" s="43"/>
    </row>
    <row r="75" spans="3:11" x14ac:dyDescent="0.2">
      <c r="C75" s="43"/>
      <c r="D75" s="43"/>
      <c r="E75" s="43"/>
      <c r="F75" s="43"/>
      <c r="G75" s="43"/>
      <c r="H75" s="43"/>
      <c r="I75" s="43"/>
      <c r="J75" s="43"/>
      <c r="K75" s="43"/>
    </row>
    <row r="76" spans="3:11" x14ac:dyDescent="0.2">
      <c r="C76" s="43"/>
      <c r="D76" s="43"/>
      <c r="E76" s="43"/>
      <c r="F76" s="43"/>
      <c r="G76" s="43"/>
      <c r="H76" s="43"/>
      <c r="I76" s="43"/>
      <c r="J76" s="43"/>
      <c r="K76" s="43"/>
    </row>
    <row r="77" spans="3:11" x14ac:dyDescent="0.2">
      <c r="C77" s="43"/>
      <c r="D77" s="43"/>
      <c r="E77" s="43"/>
      <c r="F77" s="43"/>
      <c r="G77" s="43"/>
      <c r="H77" s="43"/>
      <c r="I77" s="43"/>
      <c r="J77" s="43"/>
      <c r="K77" s="43"/>
    </row>
    <row r="78" spans="3:11" x14ac:dyDescent="0.2">
      <c r="C78" s="43"/>
      <c r="D78" s="43"/>
      <c r="E78" s="43"/>
      <c r="F78" s="43"/>
      <c r="G78" s="43"/>
      <c r="H78" s="43"/>
      <c r="I78" s="43"/>
      <c r="J78" s="43"/>
      <c r="K78" s="43"/>
    </row>
    <row r="79" spans="3:11" x14ac:dyDescent="0.2">
      <c r="C79" s="43"/>
      <c r="D79" s="43"/>
      <c r="E79" s="43"/>
      <c r="F79" s="43"/>
      <c r="G79" s="43"/>
      <c r="H79" s="43"/>
      <c r="I79" s="43"/>
      <c r="J79" s="43"/>
      <c r="K79" s="43"/>
    </row>
    <row r="80" spans="3:11" x14ac:dyDescent="0.2">
      <c r="C80" s="43"/>
      <c r="D80" s="43"/>
      <c r="E80" s="43"/>
      <c r="F80" s="43"/>
      <c r="G80" s="43"/>
      <c r="H80" s="43"/>
      <c r="I80" s="43"/>
      <c r="J80" s="43"/>
      <c r="K80" s="43"/>
    </row>
    <row r="81" spans="3:11" x14ac:dyDescent="0.2">
      <c r="C81" s="43"/>
      <c r="D81" s="43"/>
      <c r="E81" s="43"/>
      <c r="F81" s="43"/>
      <c r="G81" s="43"/>
      <c r="H81" s="43"/>
      <c r="I81" s="43"/>
      <c r="J81" s="43"/>
      <c r="K81" s="43"/>
    </row>
    <row r="82" spans="3:11" x14ac:dyDescent="0.2">
      <c r="C82" s="43"/>
      <c r="D82" s="43"/>
      <c r="E82" s="43"/>
      <c r="F82" s="43"/>
      <c r="G82" s="43"/>
      <c r="H82" s="43"/>
      <c r="I82" s="43"/>
      <c r="J82" s="43"/>
      <c r="K82" s="43"/>
    </row>
    <row r="83" spans="3:11" x14ac:dyDescent="0.2">
      <c r="C83" s="43"/>
      <c r="D83" s="43"/>
      <c r="E83" s="43"/>
      <c r="F83" s="43"/>
      <c r="G83" s="43"/>
      <c r="H83" s="43"/>
      <c r="I83" s="43"/>
      <c r="J83" s="43"/>
      <c r="K83" s="43"/>
    </row>
    <row r="84" spans="3:11" x14ac:dyDescent="0.2">
      <c r="C84" s="43"/>
      <c r="D84" s="43"/>
      <c r="E84" s="43"/>
      <c r="F84" s="43"/>
      <c r="G84" s="43"/>
      <c r="H84" s="43"/>
      <c r="I84" s="43"/>
      <c r="J84" s="43"/>
      <c r="K84" s="43"/>
    </row>
    <row r="85" spans="3:11" x14ac:dyDescent="0.2">
      <c r="C85" s="43"/>
      <c r="D85" s="43"/>
      <c r="E85" s="43"/>
      <c r="F85" s="43"/>
      <c r="G85" s="43"/>
      <c r="H85" s="43"/>
      <c r="I85" s="43"/>
      <c r="J85" s="43"/>
      <c r="K85" s="43"/>
    </row>
    <row r="86" spans="3:11" x14ac:dyDescent="0.2">
      <c r="C86" s="43"/>
      <c r="D86" s="43"/>
      <c r="E86" s="43"/>
      <c r="F86" s="43"/>
      <c r="G86" s="43"/>
      <c r="H86" s="43"/>
      <c r="I86" s="43"/>
      <c r="J86" s="43"/>
      <c r="K86" s="43"/>
    </row>
    <row r="87" spans="3:11" x14ac:dyDescent="0.2">
      <c r="C87" s="43"/>
      <c r="D87" s="43"/>
      <c r="E87" s="43"/>
      <c r="F87" s="43"/>
      <c r="G87" s="43"/>
      <c r="H87" s="43"/>
      <c r="I87" s="43"/>
      <c r="J87" s="43"/>
      <c r="K87" s="43"/>
    </row>
    <row r="88" spans="3:11" x14ac:dyDescent="0.2">
      <c r="C88" s="43"/>
      <c r="D88" s="43"/>
      <c r="E88" s="43"/>
      <c r="F88" s="43"/>
      <c r="G88" s="43"/>
      <c r="H88" s="43"/>
      <c r="I88" s="43"/>
      <c r="J88" s="43"/>
      <c r="K88" s="43"/>
    </row>
    <row r="89" spans="3:11" x14ac:dyDescent="0.2">
      <c r="C89" s="43"/>
      <c r="D89" s="43"/>
      <c r="E89" s="43"/>
      <c r="F89" s="43"/>
      <c r="G89" s="43"/>
      <c r="H89" s="43"/>
      <c r="I89" s="43"/>
      <c r="J89" s="43"/>
      <c r="K89" s="43"/>
    </row>
    <row r="90" spans="3:11" x14ac:dyDescent="0.2">
      <c r="C90" s="43"/>
      <c r="D90" s="43"/>
      <c r="E90" s="43"/>
      <c r="F90" s="43"/>
      <c r="G90" s="43"/>
      <c r="H90" s="43"/>
      <c r="I90" s="43"/>
      <c r="J90" s="43"/>
      <c r="K90" s="43"/>
    </row>
    <row r="91" spans="3:11" x14ac:dyDescent="0.2">
      <c r="C91" s="43"/>
      <c r="D91" s="43"/>
      <c r="E91" s="43"/>
      <c r="F91" s="43"/>
      <c r="G91" s="43"/>
      <c r="H91" s="43"/>
      <c r="I91" s="43"/>
      <c r="J91" s="43"/>
      <c r="K91" s="43"/>
    </row>
  </sheetData>
  <mergeCells count="4">
    <mergeCell ref="D5:E5"/>
    <mergeCell ref="D6:E6"/>
    <mergeCell ref="D7:E7"/>
    <mergeCell ref="D8:E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I41"/>
  <sheetViews>
    <sheetView showGridLines="0" topLeftCell="D19" zoomScale="85" zoomScaleNormal="85" workbookViewId="0">
      <selection activeCell="G40" sqref="G40"/>
    </sheetView>
  </sheetViews>
  <sheetFormatPr baseColWidth="10" defaultRowHeight="12.75" x14ac:dyDescent="0.2"/>
  <cols>
    <col min="1" max="1" width="8" customWidth="1"/>
    <col min="2" max="2" width="3.28515625" bestFit="1" customWidth="1"/>
    <col min="3" max="3" width="32" customWidth="1"/>
    <col min="4" max="4" width="19.7109375" customWidth="1"/>
    <col min="5" max="5" width="14.85546875" customWidth="1"/>
    <col min="6" max="6" width="21.42578125" customWidth="1"/>
    <col min="7" max="7" width="18.28515625" customWidth="1"/>
    <col min="8" max="8" width="16.140625" customWidth="1"/>
    <col min="9" max="9" width="21.140625" customWidth="1"/>
    <col min="10" max="10" width="13.85546875" customWidth="1"/>
    <col min="11" max="11" width="16.7109375" customWidth="1"/>
    <col min="13" max="13" width="17.140625" bestFit="1" customWidth="1"/>
  </cols>
  <sheetData>
    <row r="3" spans="1:7" x14ac:dyDescent="0.2">
      <c r="F3" s="19"/>
      <c r="G3" s="2"/>
    </row>
    <row r="4" spans="1:7" x14ac:dyDescent="0.2">
      <c r="C4" s="2" t="s">
        <v>269</v>
      </c>
      <c r="F4" s="242">
        <f>'COSTOS Y GASTOS'!D68</f>
        <v>80784</v>
      </c>
      <c r="G4" s="2"/>
    </row>
    <row r="6" spans="1:7" x14ac:dyDescent="0.2">
      <c r="A6" s="3" t="s">
        <v>23</v>
      </c>
      <c r="B6" s="23">
        <v>27</v>
      </c>
      <c r="C6" s="23" t="s">
        <v>188</v>
      </c>
      <c r="D6" s="24"/>
    </row>
    <row r="8" spans="1:7" x14ac:dyDescent="0.2">
      <c r="C8" s="403" t="s">
        <v>110</v>
      </c>
      <c r="D8" s="408"/>
      <c r="E8" s="408"/>
      <c r="F8" s="400" t="s">
        <v>71</v>
      </c>
    </row>
    <row r="9" spans="1:7" x14ac:dyDescent="0.2">
      <c r="C9" s="409"/>
      <c r="D9" s="410"/>
      <c r="E9" s="410"/>
      <c r="F9" s="401" t="s">
        <v>39</v>
      </c>
      <c r="G9" s="25"/>
    </row>
    <row r="10" spans="1:7" x14ac:dyDescent="0.2">
      <c r="C10" s="243" t="s">
        <v>80</v>
      </c>
      <c r="D10" s="244"/>
      <c r="E10" s="245" t="s">
        <v>236</v>
      </c>
      <c r="F10" s="246">
        <f>'COSTOS Y GASTOS'!F92</f>
        <v>70377624.420000002</v>
      </c>
    </row>
    <row r="11" spans="1:7" x14ac:dyDescent="0.2">
      <c r="C11" s="163" t="s">
        <v>250</v>
      </c>
      <c r="D11" s="249"/>
      <c r="E11" s="250" t="s">
        <v>223</v>
      </c>
      <c r="F11" s="162">
        <f>SUM(D12:D16)</f>
        <v>11449940</v>
      </c>
    </row>
    <row r="12" spans="1:7" x14ac:dyDescent="0.2">
      <c r="C12" s="163" t="s">
        <v>111</v>
      </c>
      <c r="D12" s="247">
        <f>('COSTOS Y GASTOS'!F84)</f>
        <v>0</v>
      </c>
      <c r="E12" s="208"/>
      <c r="F12" s="162"/>
    </row>
    <row r="13" spans="1:7" x14ac:dyDescent="0.2">
      <c r="C13" s="256" t="s">
        <v>112</v>
      </c>
      <c r="D13" s="247">
        <f>('COSTOS Y GASTOS'!F83)*0.2</f>
        <v>564000</v>
      </c>
      <c r="E13" s="233"/>
      <c r="F13" s="251"/>
    </row>
    <row r="14" spans="1:7" x14ac:dyDescent="0.2">
      <c r="C14" s="163" t="s">
        <v>113</v>
      </c>
      <c r="D14" s="247">
        <f>'COSTOS Y GASTOS'!F80+'COSTOS Y GASTOS'!F81+'COSTOS Y GASTOS'!F79+'COSTOS Y GASTOS'!F78+'COSTOS Y GASTOS'!F82</f>
        <v>5490160</v>
      </c>
      <c r="E14" s="208"/>
      <c r="F14" s="162"/>
    </row>
    <row r="15" spans="1:7" x14ac:dyDescent="0.2">
      <c r="C15" s="256" t="s">
        <v>114</v>
      </c>
      <c r="D15" s="247">
        <f>'COSTOS Y GASTOS'!F76</f>
        <v>2542400</v>
      </c>
      <c r="E15" s="233"/>
      <c r="F15" s="251"/>
    </row>
    <row r="16" spans="1:7" x14ac:dyDescent="0.2">
      <c r="C16" s="163" t="s">
        <v>115</v>
      </c>
      <c r="D16" s="247">
        <f>'COSTOS Y GASTOS'!F77</f>
        <v>2853380</v>
      </c>
      <c r="E16" s="208"/>
      <c r="F16" s="162"/>
    </row>
    <row r="17" spans="1:9" x14ac:dyDescent="0.2">
      <c r="C17" s="253" t="s">
        <v>268</v>
      </c>
      <c r="D17" s="254"/>
      <c r="E17" s="250" t="s">
        <v>247</v>
      </c>
      <c r="F17" s="252">
        <f>'COSTOS Y GASTOS'!F146</f>
        <v>136143042.82999998</v>
      </c>
    </row>
    <row r="18" spans="1:9" x14ac:dyDescent="0.2">
      <c r="C18" s="253"/>
      <c r="D18" s="255"/>
      <c r="E18" s="225"/>
      <c r="F18" s="252"/>
    </row>
    <row r="19" spans="1:9" x14ac:dyDescent="0.2">
      <c r="C19" s="427" t="s">
        <v>2</v>
      </c>
      <c r="D19" s="428"/>
      <c r="E19" s="428"/>
      <c r="F19" s="257">
        <f>SUM(F10:F18)</f>
        <v>217970607.25</v>
      </c>
    </row>
    <row r="20" spans="1:9" x14ac:dyDescent="0.2">
      <c r="H20" s="28"/>
      <c r="I20" s="2"/>
    </row>
    <row r="21" spans="1:9" x14ac:dyDescent="0.2">
      <c r="H21" s="28"/>
    </row>
    <row r="22" spans="1:9" x14ac:dyDescent="0.2">
      <c r="A22" s="3" t="s">
        <v>23</v>
      </c>
      <c r="B22" s="23">
        <v>28</v>
      </c>
      <c r="C22" s="23" t="s">
        <v>189</v>
      </c>
      <c r="D22" s="24"/>
    </row>
    <row r="23" spans="1:9" x14ac:dyDescent="0.2">
      <c r="A23" s="3"/>
      <c r="B23" s="23"/>
      <c r="C23" s="23"/>
      <c r="D23" s="24"/>
    </row>
    <row r="24" spans="1:9" x14ac:dyDescent="0.2">
      <c r="C24" s="403" t="s">
        <v>304</v>
      </c>
      <c r="D24" s="408"/>
      <c r="E24" s="408"/>
      <c r="F24" s="403" t="s">
        <v>71</v>
      </c>
      <c r="G24" s="2"/>
    </row>
    <row r="25" spans="1:9" x14ac:dyDescent="0.2">
      <c r="C25" s="409"/>
      <c r="D25" s="410"/>
      <c r="E25" s="410"/>
      <c r="F25" s="404" t="s">
        <v>39</v>
      </c>
      <c r="G25" s="2"/>
    </row>
    <row r="26" spans="1:9" x14ac:dyDescent="0.2">
      <c r="C26" s="163" t="s">
        <v>53</v>
      </c>
      <c r="D26" s="249"/>
      <c r="E26" s="245" t="s">
        <v>221</v>
      </c>
      <c r="F26" s="162">
        <f>'COSTOS Y GASTOS'!F93</f>
        <v>46242000</v>
      </c>
      <c r="G26" s="2"/>
      <c r="H26" s="2"/>
    </row>
    <row r="27" spans="1:9" x14ac:dyDescent="0.2">
      <c r="C27" s="163" t="s">
        <v>251</v>
      </c>
      <c r="D27" s="249"/>
      <c r="E27" s="245" t="s">
        <v>223</v>
      </c>
      <c r="F27" s="162">
        <f>D28</f>
        <v>2256000</v>
      </c>
      <c r="G27" s="2"/>
      <c r="H27" s="2"/>
    </row>
    <row r="28" spans="1:9" x14ac:dyDescent="0.2">
      <c r="C28" s="196" t="s">
        <v>69</v>
      </c>
      <c r="D28" s="261">
        <f>('COSTOS Y GASTOS'!F83)*0.8</f>
        <v>2256000</v>
      </c>
      <c r="E28" s="208"/>
      <c r="F28" s="162"/>
      <c r="G28" s="2"/>
      <c r="H28" s="2"/>
    </row>
    <row r="29" spans="1:9" x14ac:dyDescent="0.2">
      <c r="C29" s="413" t="s">
        <v>2</v>
      </c>
      <c r="D29" s="414"/>
      <c r="E29" s="414"/>
      <c r="F29" s="171">
        <f>SUM(F26:F28)</f>
        <v>48498000</v>
      </c>
      <c r="G29" s="2"/>
    </row>
    <row r="30" spans="1:9" x14ac:dyDescent="0.2">
      <c r="C30" s="2"/>
      <c r="D30" s="2"/>
      <c r="E30" s="2"/>
      <c r="F30" s="2"/>
      <c r="G30" s="2"/>
    </row>
    <row r="31" spans="1:9" x14ac:dyDescent="0.2">
      <c r="C31" s="2"/>
      <c r="D31" s="2"/>
      <c r="E31" s="2"/>
      <c r="F31" s="2"/>
      <c r="G31" s="2"/>
    </row>
    <row r="32" spans="1:9" x14ac:dyDescent="0.2">
      <c r="A32" s="3" t="s">
        <v>23</v>
      </c>
      <c r="B32" s="23">
        <v>29</v>
      </c>
      <c r="C32" s="23" t="s">
        <v>190</v>
      </c>
      <c r="D32" s="2"/>
      <c r="E32" s="2"/>
      <c r="F32" s="2"/>
      <c r="G32" s="2"/>
    </row>
    <row r="33" spans="1:9" x14ac:dyDescent="0.2">
      <c r="A33" s="3"/>
      <c r="B33" s="23"/>
      <c r="C33" s="23"/>
      <c r="D33" s="2"/>
      <c r="E33" s="2"/>
      <c r="F33" s="2"/>
      <c r="G33" s="2"/>
    </row>
    <row r="34" spans="1:9" ht="12.75" customHeight="1" x14ac:dyDescent="0.2">
      <c r="C34" s="403" t="s">
        <v>305</v>
      </c>
      <c r="D34" s="408"/>
      <c r="E34" s="408"/>
      <c r="F34" s="403" t="s">
        <v>71</v>
      </c>
      <c r="G34" s="403" t="s">
        <v>77</v>
      </c>
    </row>
    <row r="35" spans="1:9" x14ac:dyDescent="0.2">
      <c r="C35" s="409"/>
      <c r="D35" s="410"/>
      <c r="E35" s="410"/>
      <c r="F35" s="404" t="s">
        <v>39</v>
      </c>
      <c r="G35" s="404"/>
    </row>
    <row r="36" spans="1:9" x14ac:dyDescent="0.2">
      <c r="C36" s="163" t="s">
        <v>117</v>
      </c>
      <c r="D36" s="249"/>
      <c r="E36" s="245" t="s">
        <v>244</v>
      </c>
      <c r="F36" s="162">
        <f>F19</f>
        <v>217970607.25</v>
      </c>
      <c r="G36" s="162">
        <f>F36/$F$4</f>
        <v>2698.1903254357298</v>
      </c>
    </row>
    <row r="37" spans="1:9" x14ac:dyDescent="0.2">
      <c r="C37" s="163" t="s">
        <v>118</v>
      </c>
      <c r="D37" s="249"/>
      <c r="E37" s="245" t="s">
        <v>255</v>
      </c>
      <c r="F37" s="162">
        <f>F29</f>
        <v>48498000</v>
      </c>
      <c r="G37" s="162">
        <f>F37/$F$4</f>
        <v>600.34165181224</v>
      </c>
    </row>
    <row r="38" spans="1:9" hidden="1" x14ac:dyDescent="0.2">
      <c r="C38" s="15"/>
      <c r="D38" s="26"/>
      <c r="E38" s="11"/>
      <c r="F38" s="115"/>
      <c r="G38" s="27">
        <f>F38/$F$4</f>
        <v>0</v>
      </c>
    </row>
    <row r="39" spans="1:9" x14ac:dyDescent="0.2">
      <c r="C39" s="413" t="s">
        <v>2</v>
      </c>
      <c r="D39" s="414"/>
      <c r="E39" s="414"/>
      <c r="F39" s="171">
        <f>SUM(F36:F38)</f>
        <v>266468607.25</v>
      </c>
      <c r="G39" s="358">
        <f>F39/$F$4</f>
        <v>3298.5319772479697</v>
      </c>
      <c r="H39" s="365">
        <v>1</v>
      </c>
      <c r="I39" s="366">
        <v>0.12593855048600952</v>
      </c>
    </row>
    <row r="40" spans="1:9" x14ac:dyDescent="0.2">
      <c r="C40" s="413" t="s">
        <v>370</v>
      </c>
      <c r="D40" s="414"/>
      <c r="E40" s="414"/>
      <c r="F40" s="429"/>
      <c r="G40" s="367">
        <f>+G39*(H39+I39)</f>
        <v>3713.9443131943299</v>
      </c>
    </row>
    <row r="41" spans="1:9" x14ac:dyDescent="0.2">
      <c r="C41" s="29"/>
      <c r="F41" s="19"/>
      <c r="G41" s="4"/>
    </row>
  </sheetData>
  <mergeCells count="11">
    <mergeCell ref="C40:F40"/>
    <mergeCell ref="C34:E35"/>
    <mergeCell ref="F34:F35"/>
    <mergeCell ref="C39:E39"/>
    <mergeCell ref="G34:G35"/>
    <mergeCell ref="C8:E9"/>
    <mergeCell ref="F8:F9"/>
    <mergeCell ref="C19:E19"/>
    <mergeCell ref="C24:E25"/>
    <mergeCell ref="F24:F25"/>
    <mergeCell ref="C29:E29"/>
  </mergeCells>
  <pageMargins left="0.7" right="0.7" top="0.75" bottom="0.75" header="0.3" footer="0.3"/>
  <pageSetup paperSize="5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203"/>
  <sheetViews>
    <sheetView showGridLines="0" topLeftCell="A128" zoomScale="55" zoomScaleNormal="55" workbookViewId="0">
      <selection activeCell="C28" sqref="C28:J62"/>
    </sheetView>
  </sheetViews>
  <sheetFormatPr baseColWidth="10" defaultRowHeight="12.75" x14ac:dyDescent="0.2"/>
  <cols>
    <col min="1" max="1" width="7.42578125" style="2" customWidth="1"/>
    <col min="2" max="2" width="3.42578125" style="2" customWidth="1"/>
    <col min="3" max="3" width="34.85546875" style="2" customWidth="1"/>
    <col min="4" max="5" width="14.42578125" style="2" hidden="1" customWidth="1"/>
    <col min="6" max="11" width="23.28515625" style="2" bestFit="1" customWidth="1"/>
    <col min="12" max="12" width="18.140625" style="2" customWidth="1"/>
    <col min="13" max="13" width="17.5703125" style="2" customWidth="1"/>
    <col min="14" max="14" width="16.7109375" style="2" customWidth="1"/>
    <col min="15" max="15" width="16" style="2" customWidth="1"/>
    <col min="16" max="16" width="22.5703125" style="2" customWidth="1"/>
    <col min="17" max="17" width="17.85546875" style="2" customWidth="1"/>
    <col min="18" max="18" width="16.7109375" style="2" customWidth="1"/>
    <col min="19" max="19" width="15.140625" style="2" customWidth="1"/>
    <col min="20" max="16384" width="11.42578125" style="2"/>
  </cols>
  <sheetData>
    <row r="2" spans="1:13" x14ac:dyDescent="0.2">
      <c r="C2" s="262" t="s">
        <v>310</v>
      </c>
      <c r="D2" s="262"/>
      <c r="E2" s="3"/>
      <c r="F2" s="3"/>
      <c r="G2" s="3"/>
      <c r="H2" s="3"/>
      <c r="I2" s="3"/>
    </row>
    <row r="3" spans="1:13" x14ac:dyDescent="0.2">
      <c r="C3" s="8"/>
      <c r="D3" s="8"/>
      <c r="E3" s="8"/>
      <c r="F3" s="8"/>
      <c r="G3" s="8"/>
    </row>
    <row r="4" spans="1:13" x14ac:dyDescent="0.2">
      <c r="C4" s="206" t="s">
        <v>253</v>
      </c>
      <c r="D4" s="263">
        <v>0</v>
      </c>
      <c r="E4" s="20"/>
    </row>
    <row r="6" spans="1:13" x14ac:dyDescent="0.2">
      <c r="A6" s="3" t="s">
        <v>23</v>
      </c>
      <c r="B6" s="3">
        <v>30</v>
      </c>
      <c r="C6" s="3" t="s">
        <v>191</v>
      </c>
      <c r="F6" s="30"/>
      <c r="G6" s="30"/>
      <c r="H6" s="30"/>
      <c r="I6" s="30"/>
      <c r="J6" s="30"/>
    </row>
    <row r="7" spans="1:13" x14ac:dyDescent="0.2">
      <c r="A7" s="3"/>
      <c r="B7" s="3"/>
      <c r="C7" s="3"/>
    </row>
    <row r="8" spans="1:13" x14ac:dyDescent="0.2">
      <c r="D8" s="403" t="s">
        <v>82</v>
      </c>
      <c r="E8" s="415"/>
      <c r="F8" s="211" t="s">
        <v>11</v>
      </c>
      <c r="G8" s="211" t="s">
        <v>11</v>
      </c>
      <c r="H8" s="211" t="s">
        <v>11</v>
      </c>
      <c r="I8" s="211" t="s">
        <v>11</v>
      </c>
      <c r="J8" s="211" t="s">
        <v>11</v>
      </c>
    </row>
    <row r="9" spans="1:13" x14ac:dyDescent="0.2">
      <c r="D9" s="404"/>
      <c r="E9" s="416"/>
      <c r="F9" s="264">
        <f>D4+1</f>
        <v>1</v>
      </c>
      <c r="G9" s="264">
        <f>F9+1</f>
        <v>2</v>
      </c>
      <c r="H9" s="264">
        <f>G9+1</f>
        <v>3</v>
      </c>
      <c r="I9" s="264">
        <f>H9+1</f>
        <v>4</v>
      </c>
      <c r="J9" s="264">
        <f>I9+1</f>
        <v>5</v>
      </c>
    </row>
    <row r="10" spans="1:13" x14ac:dyDescent="0.2">
      <c r="C10" s="169" t="s">
        <v>252</v>
      </c>
      <c r="D10" s="443"/>
      <c r="E10" s="444"/>
      <c r="F10" s="267">
        <f>'COSTOS Y GASTOS'!D68</f>
        <v>80784</v>
      </c>
      <c r="G10" s="267">
        <f>F10*(1+G11)</f>
        <v>84823.2</v>
      </c>
      <c r="H10" s="267">
        <f>G10*(1+H11)</f>
        <v>89064.36</v>
      </c>
      <c r="I10" s="267">
        <f>H10*(1+I11)</f>
        <v>93517.578000000009</v>
      </c>
      <c r="J10" s="267">
        <f>I10*(1+J11)</f>
        <v>98193.456900000019</v>
      </c>
    </row>
    <row r="11" spans="1:13" x14ac:dyDescent="0.2">
      <c r="C11" s="194" t="s">
        <v>234</v>
      </c>
      <c r="D11" s="380"/>
      <c r="E11" s="380"/>
      <c r="F11" s="268"/>
      <c r="G11" s="269">
        <v>0.05</v>
      </c>
      <c r="H11" s="269">
        <v>0.05</v>
      </c>
      <c r="I11" s="269">
        <v>0.05</v>
      </c>
      <c r="J11" s="269">
        <v>0.05</v>
      </c>
    </row>
    <row r="15" spans="1:13" x14ac:dyDescent="0.2">
      <c r="A15" s="3" t="s">
        <v>23</v>
      </c>
      <c r="B15" s="3">
        <v>31</v>
      </c>
      <c r="C15" s="3" t="s">
        <v>257</v>
      </c>
    </row>
    <row r="16" spans="1:13" x14ac:dyDescent="0.2">
      <c r="E16" s="270" t="s">
        <v>317</v>
      </c>
      <c r="F16" s="270" t="s">
        <v>318</v>
      </c>
      <c r="G16" s="270" t="s">
        <v>319</v>
      </c>
      <c r="H16" s="270" t="s">
        <v>320</v>
      </c>
      <c r="I16" s="270" t="s">
        <v>321</v>
      </c>
      <c r="J16" s="434"/>
      <c r="K16" s="434"/>
      <c r="L16" s="434"/>
      <c r="M16" s="434"/>
    </row>
    <row r="17" spans="1:12" x14ac:dyDescent="0.2">
      <c r="C17" s="169" t="s">
        <v>116</v>
      </c>
      <c r="D17" s="437">
        <f>'COSTOS RESUMEN'!G39</f>
        <v>3298.5319772479697</v>
      </c>
      <c r="E17" s="437"/>
      <c r="F17" s="240">
        <f>+D17*(1+3%)</f>
        <v>3397.4879365654087</v>
      </c>
      <c r="G17" s="240">
        <f>+F17*(1+3%)</f>
        <v>3499.4125746623713</v>
      </c>
      <c r="H17" s="240">
        <f>+G17*(1+3%)</f>
        <v>3604.3949519022426</v>
      </c>
      <c r="I17" s="240">
        <f>+H17*(1+3%)</f>
        <v>3712.5268004593099</v>
      </c>
    </row>
    <row r="18" spans="1:12" x14ac:dyDescent="0.2">
      <c r="C18" s="169" t="s">
        <v>83</v>
      </c>
      <c r="D18" s="445">
        <v>0.2</v>
      </c>
      <c r="E18" s="445"/>
      <c r="F18" s="272">
        <v>0.2</v>
      </c>
      <c r="G18" s="272">
        <v>0.2</v>
      </c>
      <c r="H18" s="272">
        <v>0.2</v>
      </c>
      <c r="I18" s="272">
        <v>0.2</v>
      </c>
    </row>
    <row r="19" spans="1:12" x14ac:dyDescent="0.2">
      <c r="C19" s="169" t="s">
        <v>84</v>
      </c>
      <c r="D19" s="437">
        <f>D17/(1-D18)</f>
        <v>4123.1649715599615</v>
      </c>
      <c r="E19" s="437"/>
      <c r="F19" s="240">
        <f>F17/(1-F18)</f>
        <v>4246.8599207067609</v>
      </c>
      <c r="G19" s="240">
        <f>G17/(1-G18)</f>
        <v>4374.2657183279634</v>
      </c>
      <c r="H19" s="240">
        <f>H17/(1-H18)</f>
        <v>4505.4936898778033</v>
      </c>
      <c r="I19" s="240">
        <f>I17/(1-I18)</f>
        <v>4640.6585005741372</v>
      </c>
    </row>
    <row r="21" spans="1:12" x14ac:dyDescent="0.2">
      <c r="C21" s="169" t="s">
        <v>84</v>
      </c>
      <c r="D21" s="438">
        <f>+'COSTOS RESUMEN'!G40</f>
        <v>3713.9443131943299</v>
      </c>
      <c r="E21" s="439"/>
      <c r="F21" s="271">
        <f>+D21*1.04</f>
        <v>3862.5020857221034</v>
      </c>
      <c r="G21" s="271">
        <f>+F21*1.05</f>
        <v>4055.6271900082088</v>
      </c>
      <c r="H21" s="271">
        <f>+G21*1.05</f>
        <v>4258.4085495086192</v>
      </c>
      <c r="I21" s="171">
        <f>+H21*1.05</f>
        <v>4471.3289769840503</v>
      </c>
      <c r="J21" s="3"/>
    </row>
    <row r="22" spans="1:12" x14ac:dyDescent="0.2">
      <c r="C22"/>
      <c r="D22"/>
      <c r="E22"/>
      <c r="F22" s="3"/>
    </row>
    <row r="23" spans="1:12" x14ac:dyDescent="0.2">
      <c r="D23" s="31"/>
    </row>
    <row r="26" spans="1:12" x14ac:dyDescent="0.2">
      <c r="A26" s="3" t="s">
        <v>23</v>
      </c>
      <c r="B26" s="3">
        <v>32</v>
      </c>
      <c r="C26" s="3" t="s">
        <v>119</v>
      </c>
      <c r="G26" s="4"/>
      <c r="H26" s="4"/>
      <c r="I26" s="4"/>
      <c r="J26" s="4"/>
    </row>
    <row r="27" spans="1:12" x14ac:dyDescent="0.2">
      <c r="A27" s="3"/>
      <c r="C27" s="3"/>
    </row>
    <row r="28" spans="1:12" x14ac:dyDescent="0.2">
      <c r="A28" s="3"/>
      <c r="C28" s="32"/>
      <c r="D28" s="16"/>
      <c r="E28" s="16"/>
      <c r="F28" s="211" t="s">
        <v>11</v>
      </c>
      <c r="G28" s="211" t="s">
        <v>11</v>
      </c>
      <c r="H28" s="211" t="s">
        <v>11</v>
      </c>
      <c r="I28" s="211" t="s">
        <v>11</v>
      </c>
      <c r="J28" s="211" t="s">
        <v>11</v>
      </c>
    </row>
    <row r="29" spans="1:12" x14ac:dyDescent="0.2">
      <c r="C29" s="16"/>
      <c r="D29" s="16"/>
      <c r="E29" s="16"/>
      <c r="F29" s="273">
        <f>F9</f>
        <v>1</v>
      </c>
      <c r="G29" s="273">
        <f>G9</f>
        <v>2</v>
      </c>
      <c r="H29" s="273">
        <f>H9</f>
        <v>3</v>
      </c>
      <c r="I29" s="273">
        <f>I9</f>
        <v>4</v>
      </c>
      <c r="J29" s="273">
        <f>J9</f>
        <v>5</v>
      </c>
    </row>
    <row r="30" spans="1:12" x14ac:dyDescent="0.2">
      <c r="C30" s="449" t="s">
        <v>228</v>
      </c>
      <c r="D30" s="450"/>
      <c r="E30" s="451"/>
      <c r="F30" s="162">
        <f>F10*D21</f>
        <v>300027277.39709073</v>
      </c>
      <c r="G30" s="162">
        <f>+F21*G10</f>
        <v>327629786.9176231</v>
      </c>
      <c r="H30" s="162">
        <f>+G21*H10</f>
        <v>361211840.07667953</v>
      </c>
      <c r="I30" s="162">
        <f>+H21*I10</f>
        <v>398236053.6845392</v>
      </c>
      <c r="J30" s="162">
        <f>+I21*J10</f>
        <v>439055249.18720454</v>
      </c>
      <c r="K30" s="4"/>
      <c r="L30" s="4"/>
    </row>
    <row r="31" spans="1:12" x14ac:dyDescent="0.2">
      <c r="C31" s="378" t="s">
        <v>120</v>
      </c>
      <c r="D31" s="433"/>
      <c r="E31" s="379"/>
      <c r="F31" s="170">
        <f>SUM(F30:F30)</f>
        <v>300027277.39709073</v>
      </c>
      <c r="G31" s="170">
        <f>SUM(G30:G30)</f>
        <v>327629786.9176231</v>
      </c>
      <c r="H31" s="170">
        <f>SUM(H30:H30)</f>
        <v>361211840.07667953</v>
      </c>
      <c r="I31" s="170">
        <f>SUM(I30:I30)</f>
        <v>398236053.6845392</v>
      </c>
      <c r="J31" s="170">
        <f>SUM(J30:J30)</f>
        <v>439055249.18720454</v>
      </c>
      <c r="K31" s="4"/>
      <c r="L31" s="4"/>
    </row>
    <row r="32" spans="1:12" ht="4.5" customHeight="1" x14ac:dyDescent="0.2">
      <c r="K32" s="4"/>
      <c r="L32" s="4"/>
    </row>
    <row r="33" spans="3:12" ht="3.75" customHeight="1" x14ac:dyDescent="0.2">
      <c r="C33" s="281"/>
      <c r="D33" s="281"/>
      <c r="E33" s="281"/>
      <c r="G33" s="4"/>
      <c r="K33" s="4"/>
      <c r="L33" s="4"/>
    </row>
    <row r="34" spans="3:12" x14ac:dyDescent="0.2">
      <c r="C34" s="282" t="s">
        <v>80</v>
      </c>
      <c r="D34" s="283" t="s">
        <v>236</v>
      </c>
      <c r="E34" s="284"/>
      <c r="F34" s="162">
        <f>'COSTOS Y GASTOS'!J25</f>
        <v>70377624.420000002</v>
      </c>
      <c r="G34" s="162">
        <f>F34*1.03</f>
        <v>72488953.152600005</v>
      </c>
      <c r="H34" s="162">
        <f>G34*1.03</f>
        <v>74663621.747178003</v>
      </c>
      <c r="I34" s="162">
        <f>H34*1.03</f>
        <v>76903530.399593338</v>
      </c>
      <c r="J34" s="162">
        <f>I34*1.03</f>
        <v>79210636.311581135</v>
      </c>
      <c r="K34" s="4"/>
      <c r="L34" s="4"/>
    </row>
    <row r="35" spans="3:12" x14ac:dyDescent="0.2">
      <c r="C35" s="282" t="s">
        <v>53</v>
      </c>
      <c r="D35" s="283" t="s">
        <v>221</v>
      </c>
      <c r="E35" s="284"/>
      <c r="F35" s="162">
        <f>F10*'COSTOS Y GASTOS'!$H$65</f>
        <v>46242000.000000007</v>
      </c>
      <c r="G35" s="162">
        <f>(G10*'COSTOS Y GASTOS'!$H$65)*1.03</f>
        <v>50010723.000000007</v>
      </c>
      <c r="H35" s="162">
        <f>(H10*'COSTOS Y GASTOS'!$H$65)*1.03</f>
        <v>52511259.150000006</v>
      </c>
      <c r="I35" s="162">
        <f>(I10*'COSTOS Y GASTOS'!$H$65)*1.03</f>
        <v>55136822.107500017</v>
      </c>
      <c r="J35" s="162">
        <f>(J10*'COSTOS Y GASTOS'!$H$65)*1.03</f>
        <v>57893663.212875023</v>
      </c>
      <c r="K35" s="4"/>
      <c r="L35" s="4"/>
    </row>
    <row r="36" spans="3:12" x14ac:dyDescent="0.2">
      <c r="C36" s="285" t="s">
        <v>204</v>
      </c>
      <c r="D36" s="283" t="s">
        <v>244</v>
      </c>
      <c r="E36" s="284"/>
      <c r="F36" s="162">
        <f>'COSTOS RESUMEN'!F11</f>
        <v>11449940</v>
      </c>
      <c r="G36" s="232">
        <f>F36*1.03</f>
        <v>11793438.200000001</v>
      </c>
      <c r="H36" s="232">
        <f>G36*1.03</f>
        <v>12147241.346000001</v>
      </c>
      <c r="I36" s="232">
        <f>H36*1.03</f>
        <v>12511658.586380001</v>
      </c>
      <c r="J36" s="232">
        <f>I36*1.03</f>
        <v>12887008.343971401</v>
      </c>
      <c r="K36" s="4"/>
      <c r="L36" s="4"/>
    </row>
    <row r="37" spans="3:12" x14ac:dyDescent="0.2">
      <c r="C37" s="285" t="s">
        <v>203</v>
      </c>
      <c r="D37" s="283" t="s">
        <v>255</v>
      </c>
      <c r="E37" s="286"/>
      <c r="F37" s="162">
        <f>'COSTOS RESUMEN'!F27</f>
        <v>2256000</v>
      </c>
      <c r="G37" s="162">
        <f>($F$37/$F$10)*G10</f>
        <v>2368800</v>
      </c>
      <c r="H37" s="162">
        <f>($F$37/$F$10)*H10</f>
        <v>2487240</v>
      </c>
      <c r="I37" s="162">
        <f>($F$37/$F$10)*I10</f>
        <v>2611602</v>
      </c>
      <c r="J37" s="162">
        <f>($F$37/$F$10)*J10</f>
        <v>2742182.1000000006</v>
      </c>
      <c r="K37" s="4"/>
      <c r="L37" s="4"/>
    </row>
    <row r="38" spans="3:12" x14ac:dyDescent="0.2">
      <c r="C38" s="194" t="s">
        <v>205</v>
      </c>
      <c r="D38" s="275"/>
      <c r="E38" s="265"/>
      <c r="F38" s="279">
        <f>SUM(F34:F37)</f>
        <v>130325564.42000002</v>
      </c>
      <c r="G38" s="279">
        <f>SUM(G34:G37)</f>
        <v>136661914.35260001</v>
      </c>
      <c r="H38" s="279">
        <f>SUM(H34:H37)</f>
        <v>141809362.24317801</v>
      </c>
      <c r="I38" s="279">
        <f>SUM(I34:I37)</f>
        <v>147163613.09347335</v>
      </c>
      <c r="J38" s="279">
        <f>SUM(J34:J37)</f>
        <v>152733489.96842754</v>
      </c>
      <c r="K38" s="4"/>
      <c r="L38" s="4"/>
    </row>
    <row r="39" spans="3:12" ht="4.5" customHeight="1" x14ac:dyDescent="0.2">
      <c r="C39" s="3"/>
      <c r="D39" s="21"/>
      <c r="E39" s="276"/>
      <c r="F39" s="280"/>
      <c r="G39" s="280"/>
      <c r="H39" s="280"/>
      <c r="I39" s="280"/>
      <c r="J39" s="280"/>
      <c r="K39" s="4"/>
      <c r="L39" s="4"/>
    </row>
    <row r="40" spans="3:12" x14ac:dyDescent="0.2">
      <c r="C40" s="194" t="s">
        <v>121</v>
      </c>
      <c r="D40" s="275"/>
      <c r="E40" s="277"/>
      <c r="F40" s="170">
        <f>F31-F38</f>
        <v>169701712.97709072</v>
      </c>
      <c r="G40" s="170">
        <f>G31-G38</f>
        <v>190967872.56502309</v>
      </c>
      <c r="H40" s="170">
        <f>H31-H38</f>
        <v>219402477.83350152</v>
      </c>
      <c r="I40" s="170">
        <f>I31-I38</f>
        <v>251072440.59106585</v>
      </c>
      <c r="J40" s="170">
        <f>J31-J38</f>
        <v>286321759.218777</v>
      </c>
      <c r="K40" s="4"/>
      <c r="L40" s="4"/>
    </row>
    <row r="41" spans="3:12" ht="5.25" customHeight="1" x14ac:dyDescent="0.2">
      <c r="K41" s="4"/>
      <c r="L41" s="4"/>
    </row>
    <row r="42" spans="3:12" x14ac:dyDescent="0.2">
      <c r="C42" s="285" t="s">
        <v>85</v>
      </c>
      <c r="D42" s="287" t="s">
        <v>239</v>
      </c>
      <c r="E42" s="288"/>
      <c r="F42" s="232">
        <f>'COSTOS Y GASTOS'!J105</f>
        <v>120127362.83</v>
      </c>
      <c r="G42" s="232">
        <f>F42*1.03</f>
        <v>123731183.7149</v>
      </c>
      <c r="H42" s="232">
        <f>G42*1.03</f>
        <v>127443119.226347</v>
      </c>
      <c r="I42" s="232">
        <f t="shared" ref="H42:J44" si="0">H42*1.03</f>
        <v>131266412.80313741</v>
      </c>
      <c r="J42" s="232">
        <f t="shared" si="0"/>
        <v>135204405.18723154</v>
      </c>
      <c r="K42" s="4"/>
      <c r="L42" s="4"/>
    </row>
    <row r="43" spans="3:12" x14ac:dyDescent="0.2">
      <c r="C43" s="285" t="s">
        <v>72</v>
      </c>
      <c r="D43" s="287" t="s">
        <v>241</v>
      </c>
      <c r="E43" s="288"/>
      <c r="F43" s="232">
        <f>'COSTOS Y GASTOS'!F128</f>
        <v>25919860.199999999</v>
      </c>
      <c r="G43" s="232">
        <f>F43*1.03</f>
        <v>26697456.006000001</v>
      </c>
      <c r="H43" s="232">
        <f t="shared" si="0"/>
        <v>27498379.686180003</v>
      </c>
      <c r="I43" s="232">
        <f t="shared" si="0"/>
        <v>28323331.076765403</v>
      </c>
      <c r="J43" s="232">
        <f t="shared" si="0"/>
        <v>29173031.009068366</v>
      </c>
      <c r="K43" s="4"/>
      <c r="L43" s="4"/>
    </row>
    <row r="44" spans="3:12" x14ac:dyDescent="0.2">
      <c r="C44" s="285" t="s">
        <v>86</v>
      </c>
      <c r="D44" s="287" t="s">
        <v>240</v>
      </c>
      <c r="E44" s="288"/>
      <c r="F44" s="232">
        <f>'COSTOS Y GASTOS'!J136</f>
        <v>0</v>
      </c>
      <c r="G44" s="232">
        <f>F44*1.03</f>
        <v>0</v>
      </c>
      <c r="H44" s="232">
        <f t="shared" si="0"/>
        <v>0</v>
      </c>
      <c r="I44" s="232">
        <f t="shared" si="0"/>
        <v>0</v>
      </c>
      <c r="J44" s="232">
        <f>I44*1.03</f>
        <v>0</v>
      </c>
      <c r="K44" s="4"/>
      <c r="L44" s="4"/>
    </row>
    <row r="45" spans="3:12" ht="25.5" x14ac:dyDescent="0.2">
      <c r="C45" s="373" t="s">
        <v>122</v>
      </c>
      <c r="D45" s="275"/>
      <c r="E45" s="265"/>
      <c r="F45" s="279">
        <f>F42+F43+F44</f>
        <v>146047223.03</v>
      </c>
      <c r="G45" s="279">
        <f>G42+G43+G44</f>
        <v>150428639.7209</v>
      </c>
      <c r="H45" s="279">
        <f>H42+H43+H44</f>
        <v>154941498.91252699</v>
      </c>
      <c r="I45" s="279">
        <f>I42+I43+I44</f>
        <v>159589743.87990281</v>
      </c>
      <c r="J45" s="279">
        <f>J42+J43+J44</f>
        <v>164377436.19629991</v>
      </c>
      <c r="K45" s="4"/>
      <c r="L45" s="4"/>
    </row>
    <row r="46" spans="3:12" ht="4.5" customHeight="1" x14ac:dyDescent="0.2">
      <c r="C46" s="3"/>
      <c r="D46" s="21"/>
      <c r="E46" s="34"/>
      <c r="F46" s="22"/>
      <c r="G46" s="22"/>
      <c r="H46" s="22"/>
      <c r="I46" s="22"/>
      <c r="J46" s="22"/>
      <c r="K46" s="4"/>
      <c r="L46" s="4"/>
    </row>
    <row r="47" spans="3:12" ht="3" customHeight="1" x14ac:dyDescent="0.2">
      <c r="G47" s="4"/>
      <c r="K47" s="4"/>
      <c r="L47" s="4"/>
    </row>
    <row r="48" spans="3:12" ht="13.5" customHeight="1" x14ac:dyDescent="0.2">
      <c r="C48" s="274" t="s">
        <v>274</v>
      </c>
      <c r="D48" s="277"/>
      <c r="E48" s="278"/>
      <c r="F48" s="170">
        <f>F40-F45</f>
        <v>23654489.947090715</v>
      </c>
      <c r="G48" s="170">
        <f>G40-G45</f>
        <v>40539232.844123095</v>
      </c>
      <c r="H48" s="170">
        <f>H40-H45</f>
        <v>64460978.920974523</v>
      </c>
      <c r="I48" s="170">
        <f>I40-I45</f>
        <v>91482696.711163044</v>
      </c>
      <c r="J48" s="170">
        <f>J40-J45</f>
        <v>121944323.02247709</v>
      </c>
      <c r="K48" s="4"/>
      <c r="L48" s="4"/>
    </row>
    <row r="49" spans="3:12" x14ac:dyDescent="0.2">
      <c r="C49" s="289" t="s">
        <v>7</v>
      </c>
      <c r="D49" s="290" t="s">
        <v>243</v>
      </c>
      <c r="E49" s="291"/>
      <c r="F49" s="162">
        <f>CRÉDITO!N14</f>
        <v>14484454.708959593</v>
      </c>
      <c r="G49" s="162">
        <f>CRÉDITO!N15</f>
        <v>10321373.401689935</v>
      </c>
      <c r="H49" s="162">
        <f>CRÉDITO!N16</f>
        <v>4246023.9914196357</v>
      </c>
      <c r="I49" s="162">
        <f>CRÉDITO!N17</f>
        <v>0</v>
      </c>
      <c r="J49" s="162">
        <f>CRÉDITO!N18</f>
        <v>0</v>
      </c>
      <c r="K49" s="4"/>
      <c r="L49" s="4"/>
    </row>
    <row r="50" spans="3:12" x14ac:dyDescent="0.2">
      <c r="C50" s="289" t="s">
        <v>147</v>
      </c>
      <c r="D50" s="292"/>
      <c r="E50" s="293"/>
      <c r="F50" s="162">
        <f>(F31*0.004)</f>
        <v>1200109.109588363</v>
      </c>
      <c r="G50" s="162">
        <f>(G31*0.004)</f>
        <v>1310519.1476704925</v>
      </c>
      <c r="H50" s="162">
        <f>(H31*0.004)</f>
        <v>1444847.3603067182</v>
      </c>
      <c r="I50" s="162">
        <f>(I31*0.004)</f>
        <v>1592944.2147381569</v>
      </c>
      <c r="J50" s="162">
        <f>(J31*0.004)</f>
        <v>1756220.9967488181</v>
      </c>
      <c r="K50" s="4"/>
      <c r="L50" s="4"/>
    </row>
    <row r="51" spans="3:12" x14ac:dyDescent="0.2">
      <c r="C51" s="289" t="s">
        <v>273</v>
      </c>
      <c r="D51" s="294"/>
      <c r="E51" s="295"/>
      <c r="F51" s="162"/>
      <c r="G51" s="232"/>
      <c r="H51" s="232"/>
      <c r="I51" s="232"/>
      <c r="J51" s="232"/>
      <c r="K51" s="4"/>
      <c r="L51" s="4"/>
    </row>
    <row r="52" spans="3:12" hidden="1" x14ac:dyDescent="0.2">
      <c r="F52" s="40"/>
      <c r="G52" s="40"/>
      <c r="H52" s="40"/>
      <c r="I52" s="40"/>
      <c r="J52" s="40"/>
      <c r="K52" s="4"/>
      <c r="L52" s="4"/>
    </row>
    <row r="53" spans="3:12" x14ac:dyDescent="0.2">
      <c r="C53" s="194" t="s">
        <v>123</v>
      </c>
      <c r="D53" s="277"/>
      <c r="E53" s="277"/>
      <c r="F53" s="170">
        <f>F48-F49-F50+F51</f>
        <v>7969926.1285427595</v>
      </c>
      <c r="G53" s="170">
        <f>G48-G49-G50+G51</f>
        <v>28907340.294762667</v>
      </c>
      <c r="H53" s="170">
        <f>H48-H49-H50+H51</f>
        <v>58770107.56924817</v>
      </c>
      <c r="I53" s="170">
        <f>I48-I49-I50+I51</f>
        <v>89889752.496424884</v>
      </c>
      <c r="J53" s="170">
        <f>J48-J49-J50+J51</f>
        <v>120188102.02572827</v>
      </c>
      <c r="K53" s="4"/>
      <c r="L53" s="4"/>
    </row>
    <row r="54" spans="3:12" hidden="1" x14ac:dyDescent="0.2">
      <c r="F54" s="40"/>
      <c r="G54" s="40"/>
      <c r="H54" s="40"/>
      <c r="I54" s="40"/>
      <c r="J54" s="40"/>
      <c r="K54" s="4"/>
      <c r="L54" s="4"/>
    </row>
    <row r="55" spans="3:12" ht="5.25" customHeight="1" x14ac:dyDescent="0.2">
      <c r="K55" s="4"/>
      <c r="L55" s="4"/>
    </row>
    <row r="56" spans="3:12" x14ac:dyDescent="0.2">
      <c r="C56" s="289" t="s">
        <v>124</v>
      </c>
      <c r="D56" s="296">
        <v>0.35</v>
      </c>
      <c r="E56" s="297"/>
      <c r="F56" s="232">
        <f>IF(F53&gt;0,F53*$D$56,0)</f>
        <v>2789474.1449899655</v>
      </c>
      <c r="G56" s="162">
        <f>IF(G53&gt;0,G53*$D$56,0)</f>
        <v>10117569.103166932</v>
      </c>
      <c r="H56" s="162">
        <f>IF(H53&gt;0,H53*$D$56,0)</f>
        <v>20569537.649236858</v>
      </c>
      <c r="I56" s="162">
        <f>IF(I53&gt;0,I53*$D$56,0)</f>
        <v>31461413.373748709</v>
      </c>
      <c r="J56" s="162">
        <f>IF(J53&gt;0,J53*$D$56,0)</f>
        <v>42065835.709004894</v>
      </c>
      <c r="K56" s="4"/>
      <c r="L56" s="4"/>
    </row>
    <row r="57" spans="3:12" hidden="1" x14ac:dyDescent="0.2">
      <c r="F57" s="40"/>
      <c r="G57" s="40"/>
      <c r="H57" s="40"/>
      <c r="I57" s="40"/>
      <c r="J57" s="40"/>
      <c r="K57" s="4"/>
      <c r="L57" s="4"/>
    </row>
    <row r="58" spans="3:12" ht="5.25" customHeight="1" x14ac:dyDescent="0.2">
      <c r="K58" s="4"/>
      <c r="L58" s="4"/>
    </row>
    <row r="59" spans="3:12" x14ac:dyDescent="0.2">
      <c r="C59" s="194" t="s">
        <v>125</v>
      </c>
      <c r="D59" s="193"/>
      <c r="E59" s="266"/>
      <c r="F59" s="170">
        <f>F53-F56</f>
        <v>5180451.983552794</v>
      </c>
      <c r="G59" s="170">
        <f>G53-G56</f>
        <v>18789771.191595733</v>
      </c>
      <c r="H59" s="170">
        <f>H53-H56</f>
        <v>38200569.920011312</v>
      </c>
      <c r="I59" s="170">
        <f>I53-I56</f>
        <v>58428339.122676179</v>
      </c>
      <c r="J59" s="170">
        <f>J53-J56</f>
        <v>78122266.316723377</v>
      </c>
      <c r="K59" s="4"/>
      <c r="L59" s="4"/>
    </row>
    <row r="60" spans="3:12" hidden="1" x14ac:dyDescent="0.2">
      <c r="C60" s="41"/>
      <c r="D60" s="41"/>
      <c r="E60" s="41"/>
      <c r="F60" s="40"/>
      <c r="G60" s="40"/>
      <c r="H60" s="40"/>
      <c r="I60" s="40"/>
      <c r="J60" s="40"/>
      <c r="K60" s="4"/>
      <c r="L60" s="4"/>
    </row>
    <row r="61" spans="3:12" x14ac:dyDescent="0.2">
      <c r="C61" s="289" t="s">
        <v>168</v>
      </c>
      <c r="D61" s="298">
        <v>0.1</v>
      </c>
      <c r="E61" s="299"/>
      <c r="F61" s="232">
        <f>IF(F59&lt;0,0,(F59*$D$61))</f>
        <v>518045.1983552794</v>
      </c>
      <c r="G61" s="162">
        <f>IF(G59&lt;0,0,(G59*$D$61))</f>
        <v>1878977.1191595735</v>
      </c>
      <c r="H61" s="162">
        <f>IF(H59&lt;0,0,(H59*$D$61))</f>
        <v>3820056.9920011312</v>
      </c>
      <c r="I61" s="162">
        <f>IF(I59&lt;0,0,(I59*$D$61))</f>
        <v>5842833.9122676179</v>
      </c>
      <c r="J61" s="162">
        <f>IF(J59&lt;0,0,(J59*$D$61))</f>
        <v>7812226.6316723377</v>
      </c>
      <c r="K61" s="4"/>
      <c r="L61" s="4"/>
    </row>
    <row r="62" spans="3:12" x14ac:dyDescent="0.2">
      <c r="C62" s="436" t="s">
        <v>272</v>
      </c>
      <c r="D62" s="436"/>
      <c r="E62" s="436"/>
      <c r="F62" s="170">
        <f>F59-F61</f>
        <v>4662406.785197515</v>
      </c>
      <c r="G62" s="170">
        <f>G59-G61</f>
        <v>16910794.072436161</v>
      </c>
      <c r="H62" s="170">
        <f>H59-H61</f>
        <v>34380512.928010181</v>
      </c>
      <c r="I62" s="170">
        <f>I59-I61</f>
        <v>52585505.210408561</v>
      </c>
      <c r="J62" s="170">
        <f>J59-J61</f>
        <v>70310039.685051039</v>
      </c>
      <c r="K62" s="4"/>
      <c r="L62" s="4"/>
    </row>
    <row r="63" spans="3:12" x14ac:dyDescent="0.2">
      <c r="K63" s="4"/>
      <c r="L63" s="4"/>
    </row>
    <row r="64" spans="3:12" x14ac:dyDescent="0.2">
      <c r="K64" s="4"/>
      <c r="L64" s="4"/>
    </row>
    <row r="65" spans="1:12" x14ac:dyDescent="0.2">
      <c r="F65" s="4"/>
      <c r="K65" s="4"/>
      <c r="L65" s="4"/>
    </row>
    <row r="66" spans="1:12" x14ac:dyDescent="0.2">
      <c r="K66" s="4"/>
      <c r="L66" s="4"/>
    </row>
    <row r="67" spans="1:12" x14ac:dyDescent="0.2">
      <c r="A67" s="3" t="s">
        <v>23</v>
      </c>
      <c r="B67" s="3">
        <v>33</v>
      </c>
      <c r="C67" s="3" t="s">
        <v>126</v>
      </c>
      <c r="D67" s="43"/>
      <c r="E67" s="43"/>
      <c r="F67" s="43"/>
      <c r="G67" s="43"/>
      <c r="H67" s="43"/>
      <c r="I67" s="43"/>
      <c r="J67" s="43"/>
      <c r="K67" s="43"/>
      <c r="L67" s="4" t="s">
        <v>263</v>
      </c>
    </row>
    <row r="68" spans="1:12" x14ac:dyDescent="0.2">
      <c r="A68"/>
      <c r="B68"/>
      <c r="C68" s="434"/>
      <c r="D68" s="434"/>
      <c r="E68" s="434"/>
      <c r="F68" s="211" t="s">
        <v>11</v>
      </c>
      <c r="G68" s="211" t="s">
        <v>11</v>
      </c>
      <c r="H68" s="211" t="s">
        <v>11</v>
      </c>
      <c r="I68" s="211" t="s">
        <v>11</v>
      </c>
      <c r="J68" s="211" t="s">
        <v>11</v>
      </c>
      <c r="K68" s="211" t="s">
        <v>11</v>
      </c>
      <c r="L68" s="45"/>
    </row>
    <row r="69" spans="1:12" x14ac:dyDescent="0.2">
      <c r="A69"/>
      <c r="B69"/>
      <c r="C69" s="435"/>
      <c r="D69" s="435"/>
      <c r="E69" s="435"/>
      <c r="F69" s="273">
        <f>D4</f>
        <v>0</v>
      </c>
      <c r="G69" s="273">
        <f t="shared" ref="G69:K70" si="1">F29</f>
        <v>1</v>
      </c>
      <c r="H69" s="273">
        <f t="shared" si="1"/>
        <v>2</v>
      </c>
      <c r="I69" s="273">
        <f t="shared" si="1"/>
        <v>3</v>
      </c>
      <c r="J69" s="273">
        <f t="shared" si="1"/>
        <v>4</v>
      </c>
      <c r="K69" s="264">
        <f t="shared" si="1"/>
        <v>5</v>
      </c>
      <c r="L69" s="4"/>
    </row>
    <row r="70" spans="1:12" x14ac:dyDescent="0.2">
      <c r="A70"/>
      <c r="B70"/>
      <c r="C70" s="430" t="s">
        <v>127</v>
      </c>
      <c r="D70" s="431"/>
      <c r="E70" s="432"/>
      <c r="F70" s="301"/>
      <c r="G70" s="162">
        <f>F30</f>
        <v>300027277.39709073</v>
      </c>
      <c r="H70" s="162">
        <f t="shared" si="1"/>
        <v>327629786.9176231</v>
      </c>
      <c r="I70" s="162">
        <f t="shared" si="1"/>
        <v>361211840.07667953</v>
      </c>
      <c r="J70" s="162">
        <f t="shared" si="1"/>
        <v>398236053.6845392</v>
      </c>
      <c r="K70" s="162">
        <f t="shared" si="1"/>
        <v>439055249.18720454</v>
      </c>
      <c r="L70" s="45"/>
    </row>
    <row r="71" spans="1:12" ht="14.25" customHeight="1" x14ac:dyDescent="0.2">
      <c r="A71"/>
      <c r="B71"/>
      <c r="C71" s="430" t="s">
        <v>128</v>
      </c>
      <c r="D71" s="431"/>
      <c r="E71" s="432"/>
      <c r="F71" s="301"/>
      <c r="G71" s="201"/>
      <c r="H71" s="162"/>
      <c r="I71" s="162"/>
      <c r="J71" s="162"/>
      <c r="K71" s="162"/>
      <c r="L71" s="46"/>
    </row>
    <row r="72" spans="1:12" x14ac:dyDescent="0.2">
      <c r="A72"/>
      <c r="B72"/>
      <c r="C72" s="378" t="s">
        <v>129</v>
      </c>
      <c r="D72" s="433"/>
      <c r="E72" s="379"/>
      <c r="F72" s="300"/>
      <c r="G72" s="170">
        <f>G70+G71</f>
        <v>300027277.39709073</v>
      </c>
      <c r="H72" s="170">
        <f>H70+H71</f>
        <v>327629786.9176231</v>
      </c>
      <c r="I72" s="170">
        <f>I70+I71</f>
        <v>361211840.07667953</v>
      </c>
      <c r="J72" s="170">
        <f>J70+J71</f>
        <v>398236053.6845392</v>
      </c>
      <c r="K72" s="170">
        <f>K70+K71</f>
        <v>439055249.18720454</v>
      </c>
      <c r="L72" s="45"/>
    </row>
    <row r="73" spans="1:12" ht="6.75" customHeight="1" x14ac:dyDescent="0.2">
      <c r="A73"/>
      <c r="B73"/>
      <c r="E73" s="47"/>
      <c r="H73" s="4"/>
      <c r="I73" s="4"/>
      <c r="J73" s="4"/>
      <c r="K73" s="4"/>
      <c r="L73" s="45"/>
    </row>
    <row r="74" spans="1:12" ht="12" customHeight="1" x14ac:dyDescent="0.2">
      <c r="A74"/>
      <c r="B74"/>
      <c r="C74" s="3" t="s">
        <v>130</v>
      </c>
      <c r="E74" s="48"/>
      <c r="G74" s="4"/>
      <c r="H74" s="4"/>
      <c r="I74" s="4"/>
      <c r="J74" s="4"/>
      <c r="K74" s="4"/>
      <c r="L74" s="45"/>
    </row>
    <row r="75" spans="1:12" x14ac:dyDescent="0.2">
      <c r="A75"/>
      <c r="B75"/>
      <c r="C75" s="316" t="s">
        <v>131</v>
      </c>
      <c r="D75" s="317" t="s">
        <v>23</v>
      </c>
      <c r="E75" s="318">
        <v>14</v>
      </c>
      <c r="F75" s="302"/>
      <c r="G75" s="162">
        <f>(F35)</f>
        <v>46242000.000000007</v>
      </c>
      <c r="H75" s="162">
        <f>(G35)</f>
        <v>50010723.000000007</v>
      </c>
      <c r="I75" s="162">
        <f>(H35)</f>
        <v>52511259.150000006</v>
      </c>
      <c r="J75" s="162">
        <f>(I35)</f>
        <v>55136822.107500017</v>
      </c>
      <c r="K75" s="162">
        <f>(J35)</f>
        <v>57893663.212875023</v>
      </c>
      <c r="L75" s="45"/>
    </row>
    <row r="76" spans="1:12" x14ac:dyDescent="0.2">
      <c r="A76"/>
      <c r="B76"/>
      <c r="C76" s="316" t="s">
        <v>134</v>
      </c>
      <c r="D76" s="317" t="s">
        <v>23</v>
      </c>
      <c r="E76" s="318">
        <v>11</v>
      </c>
      <c r="F76" s="302"/>
      <c r="G76" s="162">
        <f>F34</f>
        <v>70377624.420000002</v>
      </c>
      <c r="H76" s="162">
        <f>G34</f>
        <v>72488953.152600005</v>
      </c>
      <c r="I76" s="162">
        <f>H34</f>
        <v>74663621.747178003</v>
      </c>
      <c r="J76" s="162">
        <f>I34</f>
        <v>76903530.399593338</v>
      </c>
      <c r="K76" s="162">
        <f>J34</f>
        <v>79210636.311581135</v>
      </c>
      <c r="L76" s="45"/>
    </row>
    <row r="77" spans="1:12" ht="12.75" customHeight="1" x14ac:dyDescent="0.2">
      <c r="A77"/>
      <c r="B77"/>
      <c r="C77" s="289" t="s">
        <v>132</v>
      </c>
      <c r="D77" s="319" t="s">
        <v>23</v>
      </c>
      <c r="E77" s="318">
        <v>15</v>
      </c>
      <c r="F77" s="302"/>
      <c r="G77" s="162">
        <f>F36</f>
        <v>11449940</v>
      </c>
      <c r="H77" s="162">
        <f>G36</f>
        <v>11793438.200000001</v>
      </c>
      <c r="I77" s="162">
        <f>H36</f>
        <v>12147241.346000001</v>
      </c>
      <c r="J77" s="162">
        <f>I36</f>
        <v>12511658.586380001</v>
      </c>
      <c r="K77" s="162">
        <f>J36</f>
        <v>12887008.343971401</v>
      </c>
      <c r="L77" s="45"/>
    </row>
    <row r="78" spans="1:12" x14ac:dyDescent="0.2">
      <c r="A78"/>
      <c r="B78"/>
      <c r="C78" s="320" t="s">
        <v>47</v>
      </c>
      <c r="D78" s="319" t="s">
        <v>23</v>
      </c>
      <c r="E78" s="318">
        <v>13</v>
      </c>
      <c r="F78" s="302"/>
      <c r="G78" s="162">
        <f>-'COSTOS RESUMEN'!D14</f>
        <v>-5490160</v>
      </c>
      <c r="H78" s="162">
        <f>G78</f>
        <v>-5490160</v>
      </c>
      <c r="I78" s="162">
        <f>H78</f>
        <v>-5490160</v>
      </c>
      <c r="J78" s="162">
        <f>I78</f>
        <v>-5490160</v>
      </c>
      <c r="K78" s="162">
        <f>J78</f>
        <v>-5490160</v>
      </c>
      <c r="L78" s="45"/>
    </row>
    <row r="79" spans="1:12" x14ac:dyDescent="0.2">
      <c r="A79"/>
      <c r="B79"/>
      <c r="C79" s="320" t="s">
        <v>133</v>
      </c>
      <c r="D79" s="321" t="s">
        <v>23</v>
      </c>
      <c r="E79" s="322">
        <v>15</v>
      </c>
      <c r="F79" s="302"/>
      <c r="G79" s="162">
        <f>F37</f>
        <v>2256000</v>
      </c>
      <c r="H79" s="162">
        <f>G37</f>
        <v>2368800</v>
      </c>
      <c r="I79" s="162">
        <f>H37</f>
        <v>2487240</v>
      </c>
      <c r="J79" s="162">
        <f>I37</f>
        <v>2611602</v>
      </c>
      <c r="K79" s="162">
        <f>J37</f>
        <v>2742182.1000000006</v>
      </c>
      <c r="L79" s="45"/>
    </row>
    <row r="80" spans="1:12" x14ac:dyDescent="0.2">
      <c r="A80"/>
      <c r="B80"/>
      <c r="C80" s="194" t="s">
        <v>141</v>
      </c>
      <c r="D80" s="193"/>
      <c r="E80" s="266"/>
      <c r="F80" s="266"/>
      <c r="G80" s="170">
        <f>SUM(G75:G79)</f>
        <v>124835404.42000002</v>
      </c>
      <c r="H80" s="170">
        <f>SUM(H75:H79)</f>
        <v>131171754.35260001</v>
      </c>
      <c r="I80" s="170">
        <f>SUM(I75:I79)</f>
        <v>136319202.24317801</v>
      </c>
      <c r="J80" s="170">
        <f>SUM(J75:J79)</f>
        <v>141673453.09347335</v>
      </c>
      <c r="K80" s="170">
        <f>SUM(K75:K79)</f>
        <v>147243329.96842754</v>
      </c>
      <c r="L80" s="45"/>
    </row>
    <row r="81" spans="1:12" ht="8.25" customHeight="1" x14ac:dyDescent="0.2">
      <c r="A81"/>
      <c r="B81"/>
      <c r="L81" s="45"/>
    </row>
    <row r="82" spans="1:12" x14ac:dyDescent="0.2">
      <c r="A82"/>
      <c r="B82"/>
      <c r="C82" s="313" t="s">
        <v>135</v>
      </c>
      <c r="D82" s="314"/>
      <c r="E82" s="315"/>
      <c r="F82" s="278"/>
      <c r="G82" s="170">
        <f>G72-G80</f>
        <v>175191872.97709072</v>
      </c>
      <c r="H82" s="170">
        <f>H72-H80</f>
        <v>196458032.56502309</v>
      </c>
      <c r="I82" s="170">
        <f>I72-I80</f>
        <v>224892637.83350152</v>
      </c>
      <c r="J82" s="170">
        <f>J72-J80</f>
        <v>256562600.59106585</v>
      </c>
      <c r="K82" s="170">
        <f>K72-K80</f>
        <v>291811919.218777</v>
      </c>
      <c r="L82" s="45"/>
    </row>
    <row r="83" spans="1:12" ht="6.75" customHeight="1" x14ac:dyDescent="0.2">
      <c r="A83"/>
      <c r="B83"/>
      <c r="L83" s="45"/>
    </row>
    <row r="84" spans="1:12" x14ac:dyDescent="0.2">
      <c r="A84"/>
      <c r="B84"/>
      <c r="C84" s="32" t="s">
        <v>137</v>
      </c>
      <c r="D84" s="16"/>
      <c r="E84" s="16"/>
      <c r="F84" s="16"/>
      <c r="L84" s="45"/>
    </row>
    <row r="85" spans="1:12" x14ac:dyDescent="0.2">
      <c r="A85"/>
      <c r="B85"/>
      <c r="C85" s="289" t="s">
        <v>136</v>
      </c>
      <c r="D85" s="319" t="s">
        <v>23</v>
      </c>
      <c r="E85" s="322">
        <v>20</v>
      </c>
      <c r="F85" s="303"/>
      <c r="G85" s="162">
        <f>F43+F42</f>
        <v>146047223.03</v>
      </c>
      <c r="H85" s="162">
        <f>G43+G42</f>
        <v>150428639.7209</v>
      </c>
      <c r="I85" s="162">
        <f>H43+H42</f>
        <v>154941498.91252699</v>
      </c>
      <c r="J85" s="162">
        <f>I43+I42</f>
        <v>159589743.87990281</v>
      </c>
      <c r="K85" s="162">
        <f>J43+J42</f>
        <v>164377436.19629991</v>
      </c>
      <c r="L85" s="45"/>
    </row>
    <row r="86" spans="1:12" x14ac:dyDescent="0.2">
      <c r="A86"/>
      <c r="B86"/>
      <c r="C86" s="289" t="s">
        <v>138</v>
      </c>
      <c r="D86" s="319" t="s">
        <v>23</v>
      </c>
      <c r="E86" s="322">
        <v>8</v>
      </c>
      <c r="F86" s="303"/>
      <c r="G86" s="162">
        <f>-'COSTOS Y GASTOS'!F126</f>
        <v>-1625800.2</v>
      </c>
      <c r="H86" s="162">
        <f t="shared" ref="H86:K87" si="2">G86</f>
        <v>-1625800.2</v>
      </c>
      <c r="I86" s="162">
        <f t="shared" si="2"/>
        <v>-1625800.2</v>
      </c>
      <c r="J86" s="162">
        <f t="shared" si="2"/>
        <v>-1625800.2</v>
      </c>
      <c r="K86" s="162">
        <f t="shared" si="2"/>
        <v>-1625800.2</v>
      </c>
      <c r="L86" s="45"/>
    </row>
    <row r="87" spans="1:12" x14ac:dyDescent="0.2">
      <c r="A87"/>
      <c r="B87"/>
      <c r="C87" s="289" t="s">
        <v>47</v>
      </c>
      <c r="D87" s="319" t="s">
        <v>23</v>
      </c>
      <c r="E87" s="322">
        <v>13</v>
      </c>
      <c r="F87" s="303"/>
      <c r="G87" s="162">
        <f>-('COSTOS Y GASTOS'!F114+'COSTOS Y GASTOS'!F115+'COSTOS Y GASTOS'!F116+'COSTOS Y GASTOS'!F117+'COSTOS Y GASTOS'!F118)</f>
        <v>-1248240</v>
      </c>
      <c r="H87" s="162">
        <f t="shared" si="2"/>
        <v>-1248240</v>
      </c>
      <c r="I87" s="162">
        <f t="shared" si="2"/>
        <v>-1248240</v>
      </c>
      <c r="J87" s="162">
        <f t="shared" si="2"/>
        <v>-1248240</v>
      </c>
      <c r="K87" s="162">
        <f t="shared" si="2"/>
        <v>-1248240</v>
      </c>
      <c r="L87" s="45"/>
    </row>
    <row r="88" spans="1:12" x14ac:dyDescent="0.2">
      <c r="A88"/>
      <c r="B88"/>
      <c r="C88" s="289" t="s">
        <v>139</v>
      </c>
      <c r="D88" s="319" t="s">
        <v>23</v>
      </c>
      <c r="E88" s="322">
        <v>20</v>
      </c>
      <c r="F88" s="303"/>
      <c r="G88" s="162">
        <f>F44</f>
        <v>0</v>
      </c>
      <c r="H88" s="162">
        <f>G44</f>
        <v>0</v>
      </c>
      <c r="I88" s="162">
        <f>H44</f>
        <v>0</v>
      </c>
      <c r="J88" s="162">
        <f>I44</f>
        <v>0</v>
      </c>
      <c r="K88" s="162">
        <f>J44</f>
        <v>0</v>
      </c>
      <c r="L88" s="45"/>
    </row>
    <row r="89" spans="1:12" x14ac:dyDescent="0.2">
      <c r="A89"/>
      <c r="B89"/>
      <c r="C89" s="289" t="s">
        <v>146</v>
      </c>
      <c r="D89" s="319" t="s">
        <v>23</v>
      </c>
      <c r="E89" s="322">
        <v>32</v>
      </c>
      <c r="F89" s="303"/>
      <c r="G89" s="304"/>
      <c r="H89" s="162">
        <f>F56</f>
        <v>2789474.1449899655</v>
      </c>
      <c r="I89" s="162">
        <f>G56</f>
        <v>10117569.103166932</v>
      </c>
      <c r="J89" s="162">
        <f>H56</f>
        <v>20569537.649236858</v>
      </c>
      <c r="K89" s="162">
        <f>I56</f>
        <v>31461413.373748709</v>
      </c>
      <c r="L89" s="4"/>
    </row>
    <row r="90" spans="1:12" ht="15" customHeight="1" x14ac:dyDescent="0.2">
      <c r="A90"/>
      <c r="B90"/>
      <c r="C90" s="194" t="s">
        <v>140</v>
      </c>
      <c r="D90" s="193"/>
      <c r="E90" s="266"/>
      <c r="F90" s="312"/>
      <c r="G90" s="170">
        <f>SUM(G85:G89)</f>
        <v>143173182.83000001</v>
      </c>
      <c r="H90" s="170">
        <f>SUM(H85:H89)</f>
        <v>150344073.66588998</v>
      </c>
      <c r="I90" s="170">
        <f>SUM(I85:I89)</f>
        <v>162185027.81569394</v>
      </c>
      <c r="J90" s="170">
        <f>SUM(J85:J89)</f>
        <v>177285241.32913968</v>
      </c>
      <c r="K90" s="170">
        <f>SUM(K85:K89)</f>
        <v>192964809.37004864</v>
      </c>
      <c r="L90" s="45"/>
    </row>
    <row r="91" spans="1:12" ht="6" customHeight="1" x14ac:dyDescent="0.2">
      <c r="A91"/>
      <c r="B91"/>
      <c r="L91" s="45"/>
    </row>
    <row r="92" spans="1:12" x14ac:dyDescent="0.2">
      <c r="A92"/>
      <c r="B92"/>
      <c r="C92" s="446" t="s">
        <v>142</v>
      </c>
      <c r="D92" s="447"/>
      <c r="E92" s="448"/>
      <c r="F92" s="266"/>
      <c r="G92" s="170">
        <f>G82-G90</f>
        <v>32018690.147090703</v>
      </c>
      <c r="H92" s="170">
        <f>H82-H90</f>
        <v>46113958.899133116</v>
      </c>
      <c r="I92" s="170">
        <f>I82-I90</f>
        <v>62707610.017807573</v>
      </c>
      <c r="J92" s="170">
        <f>J82-J90</f>
        <v>79277359.261926174</v>
      </c>
      <c r="K92" s="170">
        <f>K82-K90</f>
        <v>98847109.848728359</v>
      </c>
      <c r="L92" s="45"/>
    </row>
    <row r="93" spans="1:12" ht="8.25" customHeight="1" x14ac:dyDescent="0.2">
      <c r="A93"/>
      <c r="B93"/>
      <c r="L93" s="45"/>
    </row>
    <row r="94" spans="1:12" ht="10.5" customHeight="1" x14ac:dyDescent="0.2">
      <c r="A94" s="45"/>
      <c r="B94"/>
      <c r="C94" s="32" t="s">
        <v>143</v>
      </c>
      <c r="D94" s="16"/>
      <c r="E94" s="16"/>
      <c r="F94" s="16"/>
      <c r="G94" s="16"/>
      <c r="H94" s="16"/>
      <c r="I94" s="16"/>
      <c r="J94" s="16"/>
      <c r="K94" s="16"/>
      <c r="L94" s="45"/>
    </row>
    <row r="95" spans="1:12" x14ac:dyDescent="0.2">
      <c r="A95"/>
      <c r="B95"/>
      <c r="C95" s="289" t="s">
        <v>26</v>
      </c>
      <c r="D95" s="319" t="s">
        <v>23</v>
      </c>
      <c r="E95" s="322">
        <v>7</v>
      </c>
      <c r="F95" s="162">
        <f>'COSTOS Y GASTOS'!E176</f>
        <v>65044000</v>
      </c>
      <c r="G95" s="162"/>
      <c r="H95" s="162"/>
      <c r="I95" s="162"/>
      <c r="J95" s="162"/>
      <c r="K95" s="162"/>
      <c r="L95" s="45"/>
    </row>
    <row r="96" spans="1:12" x14ac:dyDescent="0.2">
      <c r="A96" s="45"/>
      <c r="B96"/>
      <c r="C96" s="289" t="s">
        <v>109</v>
      </c>
      <c r="D96" s="319" t="s">
        <v>23</v>
      </c>
      <c r="E96" s="322">
        <v>8</v>
      </c>
      <c r="F96" s="162">
        <f>'COSTOS Y GASTOS'!E177</f>
        <v>8129001</v>
      </c>
      <c r="G96" s="162"/>
      <c r="H96" s="162"/>
      <c r="I96" s="162"/>
      <c r="J96" s="162"/>
      <c r="K96" s="162"/>
      <c r="L96" s="45"/>
    </row>
    <row r="97" spans="1:16" x14ac:dyDescent="0.2">
      <c r="A97"/>
      <c r="B97"/>
      <c r="C97" s="289" t="s">
        <v>144</v>
      </c>
      <c r="D97" s="319" t="s">
        <v>23</v>
      </c>
      <c r="E97" s="322">
        <v>22</v>
      </c>
      <c r="F97" s="162">
        <f>'COSTOS Y GASTOS'!E178</f>
        <v>68418076.039897099</v>
      </c>
      <c r="G97" s="162"/>
      <c r="H97" s="162"/>
      <c r="I97" s="162"/>
      <c r="J97" s="162"/>
      <c r="K97" s="162"/>
      <c r="L97" s="45"/>
    </row>
    <row r="98" spans="1:16" x14ac:dyDescent="0.2">
      <c r="A98"/>
      <c r="B98"/>
      <c r="C98" s="378" t="s">
        <v>145</v>
      </c>
      <c r="D98" s="433"/>
      <c r="E98" s="379"/>
      <c r="F98" s="307">
        <f t="shared" ref="F98:K98" si="3">SUM(F95:F97)</f>
        <v>141591077.03989708</v>
      </c>
      <c r="G98" s="307">
        <f t="shared" si="3"/>
        <v>0</v>
      </c>
      <c r="H98" s="307">
        <f t="shared" si="3"/>
        <v>0</v>
      </c>
      <c r="I98" s="307">
        <f t="shared" si="3"/>
        <v>0</v>
      </c>
      <c r="J98" s="307">
        <f t="shared" si="3"/>
        <v>0</v>
      </c>
      <c r="K98" s="307">
        <f t="shared" si="3"/>
        <v>0</v>
      </c>
      <c r="L98" s="45"/>
    </row>
    <row r="99" spans="1:16" ht="6" customHeight="1" x14ac:dyDescent="0.2">
      <c r="A99"/>
      <c r="B99"/>
      <c r="C99" s="308"/>
      <c r="D99" s="309"/>
      <c r="E99" s="310"/>
      <c r="F99" s="311"/>
      <c r="G99" s="308"/>
      <c r="H99" s="308"/>
      <c r="I99" s="308"/>
      <c r="J99" s="308"/>
      <c r="K99" s="308"/>
      <c r="L99" s="45"/>
    </row>
    <row r="100" spans="1:16" x14ac:dyDescent="0.2">
      <c r="A100"/>
      <c r="B100"/>
      <c r="C100" s="194" t="s">
        <v>148</v>
      </c>
      <c r="D100" s="305"/>
      <c r="E100" s="306"/>
      <c r="F100" s="170">
        <f t="shared" ref="F100:K100" si="4">F92-F98</f>
        <v>-141591077.03989708</v>
      </c>
      <c r="G100" s="170">
        <f t="shared" si="4"/>
        <v>32018690.147090703</v>
      </c>
      <c r="H100" s="170">
        <f t="shared" si="4"/>
        <v>46113958.899133116</v>
      </c>
      <c r="I100" s="170">
        <f t="shared" si="4"/>
        <v>62707610.017807573</v>
      </c>
      <c r="J100" s="170">
        <f t="shared" si="4"/>
        <v>79277359.261926174</v>
      </c>
      <c r="K100" s="170">
        <f t="shared" si="4"/>
        <v>98847109.848728359</v>
      </c>
      <c r="L100" s="45"/>
    </row>
    <row r="101" spans="1:16" ht="5.25" customHeight="1" x14ac:dyDescent="0.2">
      <c r="A101"/>
      <c r="B101"/>
      <c r="L101" s="45"/>
    </row>
    <row r="102" spans="1:16" x14ac:dyDescent="0.2">
      <c r="A102"/>
      <c r="B102"/>
      <c r="C102" s="32" t="s">
        <v>276</v>
      </c>
      <c r="D102" s="16"/>
      <c r="E102" s="16"/>
      <c r="F102" s="16"/>
      <c r="G102" s="16"/>
      <c r="H102" s="16"/>
      <c r="I102" s="16"/>
      <c r="J102" s="16"/>
      <c r="K102" s="16"/>
      <c r="L102" s="45"/>
    </row>
    <row r="103" spans="1:16" x14ac:dyDescent="0.2">
      <c r="A103"/>
      <c r="B103"/>
      <c r="C103" s="289" t="s">
        <v>277</v>
      </c>
      <c r="D103" s="319"/>
      <c r="E103" s="322"/>
      <c r="F103" s="162">
        <f>'COSTOS Y GASTOS'!D185</f>
        <v>100000000</v>
      </c>
      <c r="G103" s="162"/>
      <c r="H103" s="162"/>
      <c r="I103" s="162"/>
      <c r="J103" s="162"/>
      <c r="K103" s="162"/>
      <c r="L103" s="45"/>
    </row>
    <row r="104" spans="1:16" x14ac:dyDescent="0.2">
      <c r="A104"/>
      <c r="B104"/>
      <c r="C104" s="289" t="s">
        <v>278</v>
      </c>
      <c r="D104" s="319" t="s">
        <v>23</v>
      </c>
      <c r="E104" s="323">
        <v>25</v>
      </c>
      <c r="F104" s="162">
        <f>CRÉDITO!F5</f>
        <v>41591077.039897084</v>
      </c>
      <c r="G104" s="162"/>
      <c r="H104" s="162"/>
      <c r="I104" s="162"/>
      <c r="J104" s="162"/>
      <c r="K104" s="162"/>
      <c r="L104" s="45"/>
    </row>
    <row r="105" spans="1:16" x14ac:dyDescent="0.2">
      <c r="A105"/>
      <c r="B105"/>
      <c r="C105" s="289" t="s">
        <v>279</v>
      </c>
      <c r="D105" s="319"/>
      <c r="E105" s="323"/>
      <c r="F105" s="162"/>
      <c r="G105" s="162"/>
      <c r="H105" s="162"/>
      <c r="I105" s="162"/>
      <c r="J105" s="162"/>
      <c r="K105" s="162"/>
      <c r="L105" s="45"/>
    </row>
    <row r="106" spans="1:16" x14ac:dyDescent="0.2">
      <c r="A106"/>
      <c r="B106"/>
      <c r="C106" s="194" t="s">
        <v>280</v>
      </c>
      <c r="D106" s="193"/>
      <c r="E106" s="266"/>
      <c r="F106" s="170">
        <f t="shared" ref="F106:K106" si="5">F103+F104+F105</f>
        <v>141591077.03989708</v>
      </c>
      <c r="G106" s="170">
        <f t="shared" si="5"/>
        <v>0</v>
      </c>
      <c r="H106" s="170">
        <f t="shared" si="5"/>
        <v>0</v>
      </c>
      <c r="I106" s="170">
        <f t="shared" si="5"/>
        <v>0</v>
      </c>
      <c r="J106" s="170">
        <f t="shared" si="5"/>
        <v>0</v>
      </c>
      <c r="K106" s="170">
        <f t="shared" si="5"/>
        <v>0</v>
      </c>
      <c r="L106" s="45"/>
    </row>
    <row r="107" spans="1:16" hidden="1" x14ac:dyDescent="0.2">
      <c r="A107"/>
      <c r="B107"/>
      <c r="D107" s="51"/>
      <c r="E107" s="52"/>
      <c r="F107" s="4"/>
      <c r="L107" s="45"/>
    </row>
    <row r="108" spans="1:16" ht="6.75" customHeight="1" x14ac:dyDescent="0.2">
      <c r="A108"/>
      <c r="B108"/>
      <c r="L108" s="45"/>
      <c r="M108" s="4"/>
      <c r="N108" s="4"/>
      <c r="O108" s="4"/>
      <c r="P108" s="4"/>
    </row>
    <row r="109" spans="1:16" x14ac:dyDescent="0.2">
      <c r="A109"/>
      <c r="B109"/>
      <c r="C109" s="32" t="s">
        <v>281</v>
      </c>
      <c r="D109" s="16"/>
      <c r="E109" s="16"/>
      <c r="F109" s="16"/>
      <c r="G109" s="16"/>
      <c r="H109" s="16"/>
      <c r="I109" s="16"/>
      <c r="J109" s="16"/>
      <c r="K109" s="16"/>
      <c r="L109" s="45"/>
    </row>
    <row r="110" spans="1:16" x14ac:dyDescent="0.2">
      <c r="A110"/>
      <c r="B110"/>
      <c r="C110" s="289" t="s">
        <v>282</v>
      </c>
      <c r="D110" s="319"/>
      <c r="E110" s="288"/>
      <c r="F110" s="201"/>
      <c r="G110" s="162">
        <f>CRÉDITO!O14</f>
        <v>9063188.3383625019</v>
      </c>
      <c r="H110" s="162">
        <f>CRÉDITO!O15</f>
        <v>13226269.64563217</v>
      </c>
      <c r="I110" s="162">
        <f>CRÉDITO!O16</f>
        <v>19301619.05590247</v>
      </c>
      <c r="J110" s="162">
        <f>CRÉDITO!O17</f>
        <v>0</v>
      </c>
      <c r="K110" s="162">
        <f>CRÉDITO!O18</f>
        <v>0</v>
      </c>
      <c r="L110" s="45"/>
      <c r="M110" s="4"/>
      <c r="N110" s="4"/>
      <c r="O110" s="4"/>
      <c r="P110" s="4"/>
    </row>
    <row r="111" spans="1:16" x14ac:dyDescent="0.2">
      <c r="A111"/>
      <c r="B111"/>
      <c r="C111" s="289" t="s">
        <v>283</v>
      </c>
      <c r="D111" s="319"/>
      <c r="E111" s="288"/>
      <c r="F111" s="201"/>
      <c r="G111" s="162">
        <f>CRÉDITO!N14</f>
        <v>14484454.708959593</v>
      </c>
      <c r="H111" s="162">
        <f>CRÉDITO!N15</f>
        <v>10321373.401689935</v>
      </c>
      <c r="I111" s="162">
        <f>CRÉDITO!N16</f>
        <v>4246023.9914196357</v>
      </c>
      <c r="J111" s="162">
        <f>CRÉDITO!N17</f>
        <v>0</v>
      </c>
      <c r="K111" s="162">
        <f>CRÉDITO!N18</f>
        <v>0</v>
      </c>
      <c r="L111" s="45"/>
    </row>
    <row r="112" spans="1:16" x14ac:dyDescent="0.2">
      <c r="A112"/>
      <c r="B112"/>
      <c r="C112" s="289" t="s">
        <v>147</v>
      </c>
      <c r="D112" s="319"/>
      <c r="E112" s="319"/>
      <c r="F112" s="201"/>
      <c r="G112" s="162">
        <f>F50</f>
        <v>1200109.109588363</v>
      </c>
      <c r="H112" s="162">
        <f>G50</f>
        <v>1310519.1476704925</v>
      </c>
      <c r="I112" s="162">
        <f>H50</f>
        <v>1444847.3603067182</v>
      </c>
      <c r="J112" s="162">
        <f>I50</f>
        <v>1592944.2147381569</v>
      </c>
      <c r="K112" s="162">
        <f>J50</f>
        <v>1756220.9967488181</v>
      </c>
      <c r="L112" s="45"/>
      <c r="M112" s="4"/>
      <c r="N112" s="4"/>
      <c r="O112" s="4"/>
      <c r="P112" s="4"/>
    </row>
    <row r="113" spans="1:16" x14ac:dyDescent="0.2">
      <c r="A113"/>
      <c r="B113"/>
      <c r="C113" s="289" t="s">
        <v>284</v>
      </c>
      <c r="D113" s="319"/>
      <c r="E113" s="319"/>
      <c r="F113" s="201"/>
      <c r="G113" s="162"/>
      <c r="H113" s="162"/>
      <c r="I113" s="162"/>
      <c r="J113" s="162"/>
      <c r="K113" s="162"/>
      <c r="L113" s="45"/>
    </row>
    <row r="114" spans="1:16" x14ac:dyDescent="0.2">
      <c r="A114"/>
      <c r="B114"/>
      <c r="C114" s="194" t="s">
        <v>285</v>
      </c>
      <c r="D114" s="193"/>
      <c r="E114" s="266"/>
      <c r="F114" s="170">
        <f t="shared" ref="F114:K114" si="6">SUM(F110:F113)</f>
        <v>0</v>
      </c>
      <c r="G114" s="170">
        <f t="shared" si="6"/>
        <v>24747752.156910457</v>
      </c>
      <c r="H114" s="170">
        <f t="shared" si="6"/>
        <v>24858162.194992598</v>
      </c>
      <c r="I114" s="170">
        <f t="shared" si="6"/>
        <v>24992490.407628823</v>
      </c>
      <c r="J114" s="170">
        <f t="shared" si="6"/>
        <v>1592944.2147381569</v>
      </c>
      <c r="K114" s="170">
        <f t="shared" si="6"/>
        <v>1756220.9967488181</v>
      </c>
      <c r="L114" s="45"/>
      <c r="M114" s="4"/>
      <c r="N114" s="4"/>
      <c r="O114" s="4"/>
      <c r="P114" s="4"/>
    </row>
    <row r="115" spans="1:16" ht="8.25" customHeight="1" x14ac:dyDescent="0.2">
      <c r="A115"/>
      <c r="B115"/>
      <c r="L115" s="45"/>
    </row>
    <row r="116" spans="1:16" x14ac:dyDescent="0.2">
      <c r="A116"/>
      <c r="B116"/>
      <c r="C116" s="194" t="s">
        <v>275</v>
      </c>
      <c r="D116" s="305"/>
      <c r="E116" s="306"/>
      <c r="F116" s="170">
        <f t="shared" ref="F116:K116" si="7">F106-F114</f>
        <v>141591077.03989708</v>
      </c>
      <c r="G116" s="170">
        <f t="shared" si="7"/>
        <v>-24747752.156910457</v>
      </c>
      <c r="H116" s="170">
        <f t="shared" si="7"/>
        <v>-24858162.194992598</v>
      </c>
      <c r="I116" s="170">
        <f t="shared" si="7"/>
        <v>-24992490.407628823</v>
      </c>
      <c r="J116" s="170">
        <f t="shared" si="7"/>
        <v>-1592944.2147381569</v>
      </c>
      <c r="K116" s="170">
        <f t="shared" si="7"/>
        <v>-1756220.9967488181</v>
      </c>
      <c r="L116" s="45"/>
    </row>
    <row r="117" spans="1:16" ht="5.25" customHeight="1" x14ac:dyDescent="0.2">
      <c r="A117"/>
      <c r="B117"/>
      <c r="L117" s="45"/>
    </row>
    <row r="118" spans="1:16" ht="3" customHeight="1" x14ac:dyDescent="0.2">
      <c r="A118"/>
      <c r="B118"/>
      <c r="L118" s="45"/>
    </row>
    <row r="119" spans="1:16" x14ac:dyDescent="0.2">
      <c r="A119"/>
      <c r="B119"/>
      <c r="C119" s="194" t="s">
        <v>286</v>
      </c>
      <c r="D119" s="193"/>
      <c r="E119" s="193"/>
      <c r="F119" s="170">
        <f t="shared" ref="F119:K119" si="8">F100+F116</f>
        <v>0</v>
      </c>
      <c r="G119" s="170">
        <f>G100+G116</f>
        <v>7270937.9901802465</v>
      </c>
      <c r="H119" s="170">
        <f t="shared" si="8"/>
        <v>21255796.704140518</v>
      </c>
      <c r="I119" s="170">
        <f t="shared" si="8"/>
        <v>37715119.610178754</v>
      </c>
      <c r="J119" s="170">
        <f t="shared" si="8"/>
        <v>77684415.047188014</v>
      </c>
      <c r="K119" s="170">
        <f t="shared" si="8"/>
        <v>97090888.851979539</v>
      </c>
      <c r="L119" s="45"/>
    </row>
    <row r="120" spans="1:16" ht="6" customHeight="1" x14ac:dyDescent="0.2">
      <c r="A120"/>
      <c r="B120"/>
      <c r="L120" s="45"/>
    </row>
    <row r="121" spans="1:16" x14ac:dyDescent="0.2">
      <c r="A121"/>
      <c r="B121"/>
      <c r="C121" s="289" t="s">
        <v>287</v>
      </c>
      <c r="D121" s="324"/>
      <c r="E121" s="297"/>
      <c r="F121" s="162">
        <f>F100+F119</f>
        <v>-141591077.03989708</v>
      </c>
      <c r="G121" s="162">
        <f>G119</f>
        <v>7270937.9901802465</v>
      </c>
      <c r="H121" s="162">
        <f>H119</f>
        <v>21255796.704140518</v>
      </c>
      <c r="I121" s="162">
        <f>I119</f>
        <v>37715119.610178754</v>
      </c>
      <c r="J121" s="162">
        <f>J119</f>
        <v>77684415.047188014</v>
      </c>
      <c r="K121" s="162">
        <f>K119</f>
        <v>97090888.851979539</v>
      </c>
      <c r="L121" s="45"/>
    </row>
    <row r="122" spans="1:16" x14ac:dyDescent="0.2">
      <c r="A122"/>
      <c r="B122"/>
      <c r="C122" s="289" t="s">
        <v>288</v>
      </c>
      <c r="D122" s="324"/>
      <c r="E122" s="297"/>
      <c r="F122" s="201"/>
      <c r="G122" s="162">
        <f>'COSTOS Y GASTOS'!E178</f>
        <v>68418076.039897099</v>
      </c>
      <c r="H122" s="162">
        <f>G124</f>
        <v>75689014.030077338</v>
      </c>
      <c r="I122" s="162">
        <f>H124</f>
        <v>96944810.734217852</v>
      </c>
      <c r="J122" s="162">
        <f>I124</f>
        <v>134659930.34439659</v>
      </c>
      <c r="K122" s="162">
        <f>J124</f>
        <v>212344345.3915846</v>
      </c>
      <c r="L122" s="45"/>
    </row>
    <row r="123" spans="1:16" ht="6.75" customHeight="1" x14ac:dyDescent="0.2">
      <c r="A123"/>
      <c r="B123"/>
      <c r="L123" s="45"/>
    </row>
    <row r="124" spans="1:16" x14ac:dyDescent="0.2">
      <c r="A124"/>
      <c r="B124"/>
      <c r="C124" s="194" t="s">
        <v>289</v>
      </c>
      <c r="D124" s="277"/>
      <c r="E124" s="278"/>
      <c r="F124" s="170">
        <f t="shared" ref="F124:K124" si="9">F121+F122</f>
        <v>-141591077.03989708</v>
      </c>
      <c r="G124" s="170">
        <f t="shared" si="9"/>
        <v>75689014.030077338</v>
      </c>
      <c r="H124" s="170">
        <f t="shared" si="9"/>
        <v>96944810.734217852</v>
      </c>
      <c r="I124" s="170">
        <f t="shared" si="9"/>
        <v>134659930.34439659</v>
      </c>
      <c r="J124" s="170">
        <f t="shared" si="9"/>
        <v>212344345.3915846</v>
      </c>
      <c r="K124" s="170">
        <f t="shared" si="9"/>
        <v>309435234.24356413</v>
      </c>
      <c r="L124" s="45"/>
    </row>
    <row r="125" spans="1:16" x14ac:dyDescent="0.2">
      <c r="K125" s="4"/>
      <c r="L125" s="4"/>
    </row>
    <row r="126" spans="1:16" x14ac:dyDescent="0.2">
      <c r="K126" s="4"/>
      <c r="L126" s="4"/>
    </row>
    <row r="127" spans="1:16" x14ac:dyDescent="0.2">
      <c r="K127" s="4"/>
      <c r="L127" s="4"/>
    </row>
    <row r="128" spans="1:16" x14ac:dyDescent="0.2">
      <c r="G128" s="4"/>
      <c r="H128" s="4"/>
      <c r="I128" s="4"/>
      <c r="J128" s="4"/>
      <c r="K128" s="4"/>
      <c r="L128" s="4"/>
    </row>
    <row r="129" spans="1:13" x14ac:dyDescent="0.2">
      <c r="A129" s="3" t="s">
        <v>23</v>
      </c>
      <c r="B129" s="3">
        <v>34</v>
      </c>
      <c r="C129" s="3" t="s">
        <v>340</v>
      </c>
      <c r="K129" s="4"/>
      <c r="L129" s="4"/>
    </row>
    <row r="130" spans="1:13" x14ac:dyDescent="0.2">
      <c r="K130" s="4"/>
      <c r="L130" s="4"/>
    </row>
    <row r="131" spans="1:13" x14ac:dyDescent="0.2">
      <c r="D131" s="16"/>
      <c r="E131" s="16"/>
      <c r="F131" s="211" t="s">
        <v>11</v>
      </c>
      <c r="G131" s="211" t="s">
        <v>11</v>
      </c>
      <c r="H131" s="211" t="s">
        <v>11</v>
      </c>
      <c r="I131" s="211" t="s">
        <v>11</v>
      </c>
      <c r="J131" s="211" t="s">
        <v>11</v>
      </c>
      <c r="K131" s="211" t="s">
        <v>11</v>
      </c>
      <c r="L131" s="4"/>
    </row>
    <row r="132" spans="1:13" x14ac:dyDescent="0.2">
      <c r="C132" s="16"/>
      <c r="D132" s="42"/>
      <c r="E132" s="53"/>
      <c r="F132" s="273">
        <v>0</v>
      </c>
      <c r="G132" s="273">
        <v>1</v>
      </c>
      <c r="H132" s="273">
        <v>2</v>
      </c>
      <c r="I132" s="273">
        <v>3</v>
      </c>
      <c r="J132" s="273">
        <v>4</v>
      </c>
      <c r="K132" s="273">
        <v>5</v>
      </c>
      <c r="L132" s="4"/>
    </row>
    <row r="133" spans="1:13" x14ac:dyDescent="0.2">
      <c r="C133" s="289" t="s">
        <v>151</v>
      </c>
      <c r="D133" s="292" t="s">
        <v>23</v>
      </c>
      <c r="E133" s="292">
        <v>33</v>
      </c>
      <c r="F133" s="205">
        <f>'COSTOS Y GASTOS'!E178</f>
        <v>68418076.039897099</v>
      </c>
      <c r="G133" s="232">
        <f>G124</f>
        <v>75689014.030077338</v>
      </c>
      <c r="H133" s="162">
        <f>H124</f>
        <v>96944810.734217852</v>
      </c>
      <c r="I133" s="162">
        <f>I124</f>
        <v>134659930.34439659</v>
      </c>
      <c r="J133" s="162">
        <f>J124</f>
        <v>212344345.3915846</v>
      </c>
      <c r="K133" s="162">
        <f>K124</f>
        <v>309435234.24356413</v>
      </c>
      <c r="L133" s="4"/>
    </row>
    <row r="134" spans="1:13" x14ac:dyDescent="0.2">
      <c r="C134" s="194" t="s">
        <v>152</v>
      </c>
      <c r="D134" s="195"/>
      <c r="E134" s="195"/>
      <c r="F134" s="175">
        <f t="shared" ref="F134:K134" si="10">F133</f>
        <v>68418076.039897099</v>
      </c>
      <c r="G134" s="279">
        <f t="shared" si="10"/>
        <v>75689014.030077338</v>
      </c>
      <c r="H134" s="170">
        <f t="shared" si="10"/>
        <v>96944810.734217852</v>
      </c>
      <c r="I134" s="170">
        <f t="shared" si="10"/>
        <v>134659930.34439659</v>
      </c>
      <c r="J134" s="170">
        <f t="shared" si="10"/>
        <v>212344345.3915846</v>
      </c>
      <c r="K134" s="170">
        <f t="shared" si="10"/>
        <v>309435234.24356413</v>
      </c>
      <c r="L134" s="4"/>
    </row>
    <row r="135" spans="1:13" x14ac:dyDescent="0.2">
      <c r="C135" s="440"/>
      <c r="D135" s="441"/>
      <c r="E135" s="442"/>
      <c r="F135" s="54"/>
      <c r="L135" s="4"/>
    </row>
    <row r="136" spans="1:13" x14ac:dyDescent="0.2">
      <c r="C136" s="320" t="s">
        <v>79</v>
      </c>
      <c r="D136" s="294" t="s">
        <v>23</v>
      </c>
      <c r="E136" s="294">
        <v>1</v>
      </c>
      <c r="F136" s="205">
        <f>'INVERSIONES '!D59</f>
        <v>0</v>
      </c>
      <c r="G136" s="232">
        <f>'INVERSIONES '!E6</f>
        <v>0</v>
      </c>
      <c r="H136" s="162">
        <f t="shared" ref="H136:J137" si="11">G136</f>
        <v>0</v>
      </c>
      <c r="I136" s="162">
        <f>H136</f>
        <v>0</v>
      </c>
      <c r="J136" s="162">
        <f t="shared" si="11"/>
        <v>0</v>
      </c>
      <c r="K136" s="162">
        <f>J136</f>
        <v>0</v>
      </c>
      <c r="L136" s="4"/>
    </row>
    <row r="137" spans="1:13" x14ac:dyDescent="0.2">
      <c r="C137" s="289" t="s">
        <v>153</v>
      </c>
      <c r="D137" s="292" t="s">
        <v>23</v>
      </c>
      <c r="E137" s="292">
        <v>2</v>
      </c>
      <c r="F137" s="205">
        <f>'INVERSIONES '!D60</f>
        <v>6000000</v>
      </c>
      <c r="G137" s="232">
        <f>'INVERSIONES '!E12</f>
        <v>6000000</v>
      </c>
      <c r="H137" s="162">
        <f t="shared" si="11"/>
        <v>6000000</v>
      </c>
      <c r="I137" s="162">
        <f>H137</f>
        <v>6000000</v>
      </c>
      <c r="J137" s="162">
        <f t="shared" si="11"/>
        <v>6000000</v>
      </c>
      <c r="K137" s="162">
        <f>J137</f>
        <v>6000000</v>
      </c>
      <c r="L137" s="4"/>
    </row>
    <row r="138" spans="1:13" x14ac:dyDescent="0.2">
      <c r="C138" s="289" t="s">
        <v>154</v>
      </c>
      <c r="D138" s="292" t="s">
        <v>23</v>
      </c>
      <c r="E138" s="292">
        <v>3</v>
      </c>
      <c r="F138" s="162">
        <f>'INVERSIONES '!D61</f>
        <v>50848000</v>
      </c>
      <c r="G138" s="232">
        <f>'INVERSIONES '!D61</f>
        <v>50848000</v>
      </c>
      <c r="H138" s="232">
        <f>'INVERSIONES '!D61</f>
        <v>50848000</v>
      </c>
      <c r="I138" s="232">
        <f>'INVERSIONES '!D61</f>
        <v>50848000</v>
      </c>
      <c r="J138" s="232">
        <f>'INVERSIONES '!D61</f>
        <v>50848000</v>
      </c>
      <c r="K138" s="232">
        <f>'INVERSIONES '!D61</f>
        <v>50848000</v>
      </c>
      <c r="L138" s="4"/>
    </row>
    <row r="139" spans="1:13" x14ac:dyDescent="0.2">
      <c r="C139" s="289" t="s">
        <v>155</v>
      </c>
      <c r="D139" s="292" t="s">
        <v>23</v>
      </c>
      <c r="E139" s="292">
        <v>4</v>
      </c>
      <c r="F139" s="162">
        <f>'INVERSIONES '!D62</f>
        <v>2856000</v>
      </c>
      <c r="G139" s="232">
        <f>'INVERSIONES '!D62</f>
        <v>2856000</v>
      </c>
      <c r="H139" s="232">
        <f>'INVERSIONES '!D62</f>
        <v>2856000</v>
      </c>
      <c r="I139" s="232">
        <f>'INVERSIONES '!D62</f>
        <v>2856000</v>
      </c>
      <c r="J139" s="232">
        <f>'INVERSIONES '!D62</f>
        <v>2856000</v>
      </c>
      <c r="K139" s="232">
        <f>'INVERSIONES '!D62</f>
        <v>2856000</v>
      </c>
      <c r="L139" s="4"/>
    </row>
    <row r="140" spans="1:13" x14ac:dyDescent="0.2">
      <c r="C140" s="289" t="s">
        <v>159</v>
      </c>
      <c r="D140" s="292" t="s">
        <v>23</v>
      </c>
      <c r="E140" s="292">
        <v>5</v>
      </c>
      <c r="F140" s="162">
        <f>'INVERSIONES '!D63</f>
        <v>5340000</v>
      </c>
      <c r="G140" s="232">
        <f>'INVERSIONES '!D63</f>
        <v>5340000</v>
      </c>
      <c r="H140" s="232">
        <f>'INVERSIONES '!D63</f>
        <v>5340000</v>
      </c>
      <c r="I140" s="232">
        <f>'INVERSIONES '!D63</f>
        <v>5340000</v>
      </c>
      <c r="J140" s="232">
        <f>'INVERSIONES '!D63</f>
        <v>5340000</v>
      </c>
      <c r="K140" s="232">
        <f>'INVERSIONES '!D63</f>
        <v>5340000</v>
      </c>
      <c r="L140" s="4"/>
    </row>
    <row r="141" spans="1:13" x14ac:dyDescent="0.2">
      <c r="C141" s="289" t="s">
        <v>24</v>
      </c>
      <c r="D141" s="292" t="s">
        <v>23</v>
      </c>
      <c r="E141" s="292">
        <v>6</v>
      </c>
      <c r="F141" s="162">
        <f>'INVERSIONES '!D64</f>
        <v>0</v>
      </c>
      <c r="G141" s="232">
        <f>'INVERSIONES '!D64</f>
        <v>0</v>
      </c>
      <c r="H141" s="232">
        <f>'INVERSIONES '!D64</f>
        <v>0</v>
      </c>
      <c r="I141" s="232">
        <f>'INVERSIONES '!D64</f>
        <v>0</v>
      </c>
      <c r="J141" s="232">
        <f>'INVERSIONES '!D64</f>
        <v>0</v>
      </c>
      <c r="K141" s="232">
        <f>'INVERSIONES '!D64</f>
        <v>0</v>
      </c>
      <c r="L141" s="4"/>
    </row>
    <row r="142" spans="1:13" x14ac:dyDescent="0.2">
      <c r="C142" s="289" t="s">
        <v>156</v>
      </c>
      <c r="D142" s="292" t="s">
        <v>23</v>
      </c>
      <c r="E142" s="292">
        <v>13</v>
      </c>
      <c r="F142" s="162">
        <f>F78+F87</f>
        <v>0</v>
      </c>
      <c r="G142" s="232">
        <f>G78+G87</f>
        <v>-6738400</v>
      </c>
      <c r="H142" s="162">
        <f>G142+H78+H87</f>
        <v>-13476800</v>
      </c>
      <c r="I142" s="162">
        <f>H142+I78+I87</f>
        <v>-20215200</v>
      </c>
      <c r="J142" s="162">
        <f>I142+J78+J87</f>
        <v>-26953600</v>
      </c>
      <c r="K142" s="162">
        <f>J142+K78+K87</f>
        <v>-33692000</v>
      </c>
      <c r="L142" s="4"/>
    </row>
    <row r="143" spans="1:13" x14ac:dyDescent="0.2">
      <c r="C143" s="325" t="s">
        <v>157</v>
      </c>
      <c r="D143" s="195"/>
      <c r="E143" s="195"/>
      <c r="F143" s="175">
        <f t="shared" ref="F143:K143" si="12">SUM(F136:F142)</f>
        <v>65044000</v>
      </c>
      <c r="G143" s="279">
        <f t="shared" si="12"/>
        <v>58305600</v>
      </c>
      <c r="H143" s="170">
        <f t="shared" si="12"/>
        <v>51567200</v>
      </c>
      <c r="I143" s="170">
        <f t="shared" si="12"/>
        <v>44828800</v>
      </c>
      <c r="J143" s="170">
        <f t="shared" si="12"/>
        <v>38090400</v>
      </c>
      <c r="K143" s="170">
        <f t="shared" si="12"/>
        <v>31352000</v>
      </c>
      <c r="L143" s="4"/>
    </row>
    <row r="144" spans="1:13" x14ac:dyDescent="0.2">
      <c r="C144" s="289" t="s">
        <v>270</v>
      </c>
      <c r="D144" s="294" t="s">
        <v>23</v>
      </c>
      <c r="E144" s="294">
        <v>8</v>
      </c>
      <c r="F144" s="162">
        <f>'INVERSIONES '!D77</f>
        <v>8129001</v>
      </c>
      <c r="G144" s="232">
        <f>'INVERSIONES '!D77</f>
        <v>8129001</v>
      </c>
      <c r="H144" s="162">
        <f>G144</f>
        <v>8129001</v>
      </c>
      <c r="I144" s="162">
        <f>H144</f>
        <v>8129001</v>
      </c>
      <c r="J144" s="162">
        <f>I144</f>
        <v>8129001</v>
      </c>
      <c r="K144" s="162">
        <f>J144</f>
        <v>8129001</v>
      </c>
      <c r="L144" s="4"/>
      <c r="M144" s="4"/>
    </row>
    <row r="145" spans="3:12" x14ac:dyDescent="0.2">
      <c r="C145" s="289" t="s">
        <v>271</v>
      </c>
      <c r="D145" s="292"/>
      <c r="E145" s="292"/>
      <c r="F145" s="205"/>
      <c r="G145" s="232">
        <f>G86</f>
        <v>-1625800.2</v>
      </c>
      <c r="H145" s="162">
        <f>G145+G86</f>
        <v>-3251600.4</v>
      </c>
      <c r="I145" s="162">
        <f>H145+H86</f>
        <v>-4877400.5999999996</v>
      </c>
      <c r="J145" s="162">
        <f>I145+I86</f>
        <v>-6503200.7999999998</v>
      </c>
      <c r="K145" s="162">
        <f>J145+J86</f>
        <v>-8129001</v>
      </c>
      <c r="L145" s="4"/>
    </row>
    <row r="146" spans="3:12" x14ac:dyDescent="0.2">
      <c r="C146" s="325" t="s">
        <v>158</v>
      </c>
      <c r="D146" s="326"/>
      <c r="E146" s="326"/>
      <c r="F146" s="175">
        <f t="shared" ref="F146:K146" si="13">SUM(F144:F145)</f>
        <v>8129001</v>
      </c>
      <c r="G146" s="279">
        <f t="shared" si="13"/>
        <v>6503200.7999999998</v>
      </c>
      <c r="H146" s="170">
        <f t="shared" si="13"/>
        <v>4877400.5999999996</v>
      </c>
      <c r="I146" s="170">
        <f t="shared" si="13"/>
        <v>3251600.4000000004</v>
      </c>
      <c r="J146" s="170">
        <f t="shared" si="13"/>
        <v>1625800.2000000002</v>
      </c>
      <c r="K146" s="170">
        <f t="shared" si="13"/>
        <v>0</v>
      </c>
      <c r="L146" s="4"/>
    </row>
    <row r="147" spans="3:12" x14ac:dyDescent="0.2">
      <c r="C147" s="194" t="s">
        <v>290</v>
      </c>
      <c r="D147" s="277"/>
      <c r="E147" s="277"/>
      <c r="F147" s="279">
        <f t="shared" ref="F147:K147" si="14">F146+F143+F134</f>
        <v>141591077.03989708</v>
      </c>
      <c r="G147" s="279">
        <f t="shared" si="14"/>
        <v>140497814.83007735</v>
      </c>
      <c r="H147" s="170">
        <f t="shared" si="14"/>
        <v>153389411.33421785</v>
      </c>
      <c r="I147" s="170">
        <f t="shared" si="14"/>
        <v>182740330.7443966</v>
      </c>
      <c r="J147" s="170">
        <f t="shared" si="14"/>
        <v>252060545.59158462</v>
      </c>
      <c r="K147" s="170">
        <f t="shared" si="14"/>
        <v>340787234.24356413</v>
      </c>
      <c r="L147" s="4"/>
    </row>
    <row r="148" spans="3:12" x14ac:dyDescent="0.2">
      <c r="C148" s="55"/>
      <c r="D148" s="56"/>
      <c r="E148" s="56"/>
      <c r="F148" s="54"/>
      <c r="G148" s="56"/>
      <c r="H148" s="56"/>
      <c r="I148" s="56"/>
      <c r="J148" s="56"/>
      <c r="K148" s="57"/>
      <c r="L148" s="4"/>
    </row>
    <row r="149" spans="3:12" x14ac:dyDescent="0.2">
      <c r="C149" s="289" t="s">
        <v>160</v>
      </c>
      <c r="D149" s="324"/>
      <c r="E149" s="349"/>
      <c r="F149" s="162">
        <f>CRÉDITO!O14</f>
        <v>9063188.3383625019</v>
      </c>
      <c r="G149" s="232">
        <f>CRÉDITO!O15</f>
        <v>13226269.64563217</v>
      </c>
      <c r="H149" s="162">
        <f>CRÉDITO!O16</f>
        <v>19301619.05590247</v>
      </c>
      <c r="I149" s="162">
        <f>CRÉDITO!O17</f>
        <v>0</v>
      </c>
      <c r="J149" s="162">
        <f>CRÉDITO!O18</f>
        <v>0</v>
      </c>
      <c r="K149" s="162">
        <f>CRÉDITO!P18</f>
        <v>0</v>
      </c>
      <c r="L149" s="4" t="s">
        <v>263</v>
      </c>
    </row>
    <row r="150" spans="3:12" x14ac:dyDescent="0.2">
      <c r="C150" s="289" t="s">
        <v>161</v>
      </c>
      <c r="D150" s="324"/>
      <c r="E150" s="292"/>
      <c r="F150" s="205"/>
      <c r="G150" s="232">
        <f>F56</f>
        <v>2789474.1449899655</v>
      </c>
      <c r="H150" s="162">
        <f>G56</f>
        <v>10117569.103166932</v>
      </c>
      <c r="I150" s="162">
        <f>H56</f>
        <v>20569537.649236858</v>
      </c>
      <c r="J150" s="162">
        <f>I56</f>
        <v>31461413.373748709</v>
      </c>
      <c r="K150" s="162">
        <f>J56</f>
        <v>42065835.709004894</v>
      </c>
      <c r="L150" s="4"/>
    </row>
    <row r="151" spans="3:12" x14ac:dyDescent="0.2">
      <c r="C151" s="194" t="s">
        <v>162</v>
      </c>
      <c r="D151" s="193"/>
      <c r="E151" s="193"/>
      <c r="F151" s="279">
        <f t="shared" ref="F151:K151" si="15">SUM(F149:F150)</f>
        <v>9063188.3383625019</v>
      </c>
      <c r="G151" s="279">
        <f t="shared" si="15"/>
        <v>16015743.790622136</v>
      </c>
      <c r="H151" s="170">
        <f t="shared" si="15"/>
        <v>29419188.159069404</v>
      </c>
      <c r="I151" s="170">
        <f t="shared" si="15"/>
        <v>20569537.649236858</v>
      </c>
      <c r="J151" s="170">
        <f t="shared" si="15"/>
        <v>31461413.373748709</v>
      </c>
      <c r="K151" s="170">
        <f t="shared" si="15"/>
        <v>42065835.709004894</v>
      </c>
      <c r="L151" s="4"/>
    </row>
    <row r="152" spans="3:12" x14ac:dyDescent="0.2">
      <c r="C152" s="430" t="s">
        <v>163</v>
      </c>
      <c r="D152" s="431"/>
      <c r="E152" s="432"/>
      <c r="F152" s="232">
        <f>CRÉDITO!P14</f>
        <v>32527888.701534566</v>
      </c>
      <c r="G152" s="232">
        <f>CRÉDITO!P15</f>
        <v>19301619.055902407</v>
      </c>
      <c r="H152" s="162">
        <f>CRÉDITO!P16</f>
        <v>6.3329935073852539E-8</v>
      </c>
      <c r="I152" s="162">
        <f>CRÉDITO!P17</f>
        <v>0</v>
      </c>
      <c r="J152" s="162">
        <f>CRÉDITO!P18</f>
        <v>0</v>
      </c>
      <c r="K152" s="162">
        <f>CRÉDITO!P18</f>
        <v>0</v>
      </c>
      <c r="L152" s="4"/>
    </row>
    <row r="153" spans="3:12" x14ac:dyDescent="0.2">
      <c r="C153" s="194" t="s">
        <v>164</v>
      </c>
      <c r="D153" s="277"/>
      <c r="E153" s="277"/>
      <c r="F153" s="175">
        <f>SUM(F151:F152)</f>
        <v>41591077.039897069</v>
      </c>
      <c r="G153" s="279">
        <f>G151+G152</f>
        <v>35317362.846524544</v>
      </c>
      <c r="H153" s="170">
        <f>H151+H152</f>
        <v>29419188.159069467</v>
      </c>
      <c r="I153" s="170">
        <f>I151+I152</f>
        <v>20569537.649236858</v>
      </c>
      <c r="J153" s="170">
        <f>J151+J152</f>
        <v>31461413.373748709</v>
      </c>
      <c r="K153" s="170">
        <f>K151+K152</f>
        <v>42065835.709004894</v>
      </c>
      <c r="L153" s="4"/>
    </row>
    <row r="154" spans="3:12" x14ac:dyDescent="0.2">
      <c r="C154" s="55"/>
      <c r="D154" s="56"/>
      <c r="E154" s="56"/>
      <c r="F154" s="54"/>
      <c r="G154" s="56"/>
      <c r="H154" s="56"/>
      <c r="I154" s="56"/>
      <c r="J154" s="56"/>
      <c r="K154" s="57"/>
      <c r="L154" s="4"/>
    </row>
    <row r="155" spans="3:12" x14ac:dyDescent="0.2">
      <c r="C155" s="316" t="s">
        <v>165</v>
      </c>
      <c r="D155" s="350"/>
      <c r="E155" s="291"/>
      <c r="F155" s="205">
        <f>'COSTOS Y GASTOS'!D185</f>
        <v>100000000</v>
      </c>
      <c r="G155" s="232">
        <f>F155</f>
        <v>100000000</v>
      </c>
      <c r="H155" s="232">
        <f>G155</f>
        <v>100000000</v>
      </c>
      <c r="I155" s="232">
        <f>H155</f>
        <v>100000000</v>
      </c>
      <c r="J155" s="232">
        <f>I155</f>
        <v>100000000</v>
      </c>
      <c r="K155" s="232">
        <f>J155</f>
        <v>100000000</v>
      </c>
      <c r="L155" s="4"/>
    </row>
    <row r="156" spans="3:12" x14ac:dyDescent="0.2">
      <c r="C156" s="289" t="s">
        <v>166</v>
      </c>
      <c r="D156" s="324"/>
      <c r="E156" s="292"/>
      <c r="F156" s="205"/>
      <c r="G156" s="232"/>
      <c r="H156" s="162">
        <f>G157+G156</f>
        <v>4662406.785197515</v>
      </c>
      <c r="I156" s="162">
        <f>H157+H156</f>
        <v>21573200.857633676</v>
      </c>
      <c r="J156" s="162">
        <f>I157+I156</f>
        <v>55953713.785643861</v>
      </c>
      <c r="K156" s="162">
        <f>J157+J156</f>
        <v>108539218.99605241</v>
      </c>
      <c r="L156" s="4"/>
    </row>
    <row r="157" spans="3:12" x14ac:dyDescent="0.2">
      <c r="C157" s="289" t="s">
        <v>167</v>
      </c>
      <c r="D157" s="324"/>
      <c r="E157" s="292"/>
      <c r="F157" s="205"/>
      <c r="G157" s="232">
        <f>F62</f>
        <v>4662406.785197515</v>
      </c>
      <c r="H157" s="162">
        <f>G62</f>
        <v>16910794.072436161</v>
      </c>
      <c r="I157" s="162">
        <f>H62</f>
        <v>34380512.928010181</v>
      </c>
      <c r="J157" s="162">
        <f>I62</f>
        <v>52585505.210408561</v>
      </c>
      <c r="K157" s="162">
        <f>J62</f>
        <v>70310039.685051039</v>
      </c>
      <c r="L157" s="4"/>
    </row>
    <row r="158" spans="3:12" x14ac:dyDescent="0.2">
      <c r="C158" s="320" t="s">
        <v>377</v>
      </c>
      <c r="D158" s="299"/>
      <c r="E158" s="294"/>
      <c r="F158" s="205"/>
      <c r="G158" s="232">
        <f>F61</f>
        <v>518045.1983552794</v>
      </c>
      <c r="H158" s="162">
        <f>G158+G61</f>
        <v>2397022.3175148526</v>
      </c>
      <c r="I158" s="162">
        <f>H158+H61</f>
        <v>6217079.3095159838</v>
      </c>
      <c r="J158" s="162">
        <f>I158+I61</f>
        <v>12059913.221783601</v>
      </c>
      <c r="K158" s="162">
        <f>J158+J61</f>
        <v>19872139.853455938</v>
      </c>
      <c r="L158" s="4"/>
    </row>
    <row r="159" spans="3:12" x14ac:dyDescent="0.2">
      <c r="C159" s="194" t="s">
        <v>169</v>
      </c>
      <c r="D159" s="193"/>
      <c r="E159" s="193"/>
      <c r="F159" s="327">
        <f t="shared" ref="F159:K159" si="16">SUM(F155:F158)</f>
        <v>100000000</v>
      </c>
      <c r="G159" s="327">
        <f t="shared" si="16"/>
        <v>105180451.98355278</v>
      </c>
      <c r="H159" s="328">
        <f t="shared" si="16"/>
        <v>123970223.17514853</v>
      </c>
      <c r="I159" s="328">
        <f t="shared" si="16"/>
        <v>162170793.09515986</v>
      </c>
      <c r="J159" s="328">
        <f t="shared" si="16"/>
        <v>220599132.21783605</v>
      </c>
      <c r="K159" s="328">
        <f t="shared" si="16"/>
        <v>298721398.53455943</v>
      </c>
      <c r="L159" s="4"/>
    </row>
    <row r="160" spans="3:12" x14ac:dyDescent="0.2">
      <c r="C160" s="194" t="s">
        <v>170</v>
      </c>
      <c r="D160" s="193"/>
      <c r="E160" s="193"/>
      <c r="F160" s="175">
        <f t="shared" ref="F160:K160" si="17">F153+F159</f>
        <v>141591077.03989708</v>
      </c>
      <c r="G160" s="279">
        <f t="shared" si="17"/>
        <v>140497814.83007732</v>
      </c>
      <c r="H160" s="170">
        <f t="shared" si="17"/>
        <v>153389411.334218</v>
      </c>
      <c r="I160" s="170">
        <f t="shared" si="17"/>
        <v>182740330.74439672</v>
      </c>
      <c r="J160" s="170">
        <f t="shared" si="17"/>
        <v>252060545.59158477</v>
      </c>
      <c r="K160" s="170">
        <f t="shared" si="17"/>
        <v>340787234.24356431</v>
      </c>
      <c r="L160" s="4"/>
    </row>
    <row r="161" spans="3:12" x14ac:dyDescent="0.2">
      <c r="F161" s="9"/>
    </row>
    <row r="162" spans="3:12" x14ac:dyDescent="0.2">
      <c r="F162" s="9"/>
      <c r="G162" s="4"/>
      <c r="H162" s="4"/>
      <c r="I162" s="4"/>
      <c r="J162" s="4"/>
      <c r="K162" s="4"/>
    </row>
    <row r="163" spans="3:12" x14ac:dyDescent="0.2">
      <c r="C163" s="194" t="s">
        <v>231</v>
      </c>
      <c r="D163" s="193"/>
      <c r="E163" s="193"/>
      <c r="F163" s="329">
        <f t="shared" ref="F163:K163" si="18">(F147-F160)*-1</f>
        <v>0</v>
      </c>
      <c r="G163" s="330">
        <f t="shared" si="18"/>
        <v>-2.9802322387695313E-8</v>
      </c>
      <c r="H163" s="330">
        <f t="shared" si="18"/>
        <v>1.4901161193847656E-7</v>
      </c>
      <c r="I163" s="330">
        <f t="shared" si="18"/>
        <v>1.1920928955078125E-7</v>
      </c>
      <c r="J163" s="330">
        <f t="shared" si="18"/>
        <v>1.4901161193847656E-7</v>
      </c>
      <c r="K163" s="330">
        <f t="shared" si="18"/>
        <v>1.7881393432617188E-7</v>
      </c>
    </row>
    <row r="164" spans="3:12" ht="19.5" customHeight="1" x14ac:dyDescent="0.25">
      <c r="F164" s="4"/>
      <c r="G164" s="58"/>
      <c r="H164" s="58"/>
      <c r="I164" s="58"/>
      <c r="L164" s="4"/>
    </row>
    <row r="165" spans="3:12" x14ac:dyDescent="0.2">
      <c r="F165" s="4"/>
      <c r="H165" s="4"/>
      <c r="J165" s="4"/>
      <c r="K165" s="4"/>
    </row>
    <row r="166" spans="3:12" x14ac:dyDescent="0.2">
      <c r="F166" s="4"/>
      <c r="H166" s="4"/>
      <c r="J166" s="4"/>
    </row>
    <row r="167" spans="3:12" x14ac:dyDescent="0.2">
      <c r="C167" s="3" t="s">
        <v>232</v>
      </c>
      <c r="D167" s="2" t="s">
        <v>263</v>
      </c>
      <c r="F167" s="4"/>
      <c r="H167" s="4"/>
      <c r="J167" s="4"/>
    </row>
    <row r="168" spans="3:12" x14ac:dyDescent="0.2">
      <c r="F168" s="4"/>
      <c r="G168" s="4"/>
      <c r="H168" s="4"/>
      <c r="I168" s="4"/>
      <c r="J168" s="4"/>
    </row>
    <row r="170" spans="3:12" x14ac:dyDescent="0.2">
      <c r="C170" s="3" t="s">
        <v>198</v>
      </c>
      <c r="F170" s="331" t="s">
        <v>11</v>
      </c>
      <c r="G170" s="211" t="s">
        <v>11</v>
      </c>
      <c r="H170" s="332" t="s">
        <v>11</v>
      </c>
      <c r="I170" s="211" t="s">
        <v>11</v>
      </c>
      <c r="J170" s="333" t="s">
        <v>11</v>
      </c>
    </row>
    <row r="171" spans="3:12" x14ac:dyDescent="0.2">
      <c r="C171" s="3"/>
      <c r="F171" s="334">
        <f>G132</f>
        <v>1</v>
      </c>
      <c r="G171" s="264">
        <f>H132</f>
        <v>2</v>
      </c>
      <c r="H171" s="335">
        <f>I132</f>
        <v>3</v>
      </c>
      <c r="I171" s="264">
        <f>J132</f>
        <v>4</v>
      </c>
      <c r="J171" s="336">
        <f>K132</f>
        <v>5</v>
      </c>
    </row>
    <row r="172" spans="3:12" x14ac:dyDescent="0.2">
      <c r="C172" s="3"/>
      <c r="F172" s="351">
        <f>G134/G151</f>
        <v>4.7259131401937333</v>
      </c>
      <c r="G172" s="351">
        <f>H134/H151</f>
        <v>3.295291841842737</v>
      </c>
      <c r="H172" s="351">
        <f>I134/I151</f>
        <v>6.5465705958341047</v>
      </c>
      <c r="I172" s="351">
        <f>J134/J151</f>
        <v>6.7493581063578016</v>
      </c>
      <c r="J172" s="351">
        <f>K134/K151</f>
        <v>7.3559749622975961</v>
      </c>
    </row>
    <row r="173" spans="3:12" x14ac:dyDescent="0.2">
      <c r="C173" s="3"/>
      <c r="F173" s="59"/>
      <c r="G173" s="59"/>
      <c r="H173" s="59"/>
      <c r="I173" s="59"/>
      <c r="J173" s="59"/>
    </row>
    <row r="174" spans="3:12" x14ac:dyDescent="0.2">
      <c r="C174" s="3"/>
      <c r="F174" s="60"/>
      <c r="G174" s="60"/>
      <c r="H174" s="60"/>
      <c r="I174" s="60"/>
      <c r="J174" s="60"/>
    </row>
    <row r="175" spans="3:12" x14ac:dyDescent="0.2">
      <c r="C175" s="3"/>
      <c r="F175" s="60"/>
      <c r="G175" s="60"/>
      <c r="H175" s="60"/>
      <c r="I175" s="60"/>
      <c r="J175" s="60"/>
    </row>
    <row r="176" spans="3:12" x14ac:dyDescent="0.2">
      <c r="C176" s="3" t="s">
        <v>105</v>
      </c>
      <c r="F176" s="337" t="str">
        <f t="shared" ref="F176:J177" si="19">F170</f>
        <v>Año</v>
      </c>
      <c r="G176" s="338" t="str">
        <f t="shared" si="19"/>
        <v>Año</v>
      </c>
      <c r="H176" s="339" t="str">
        <f t="shared" si="19"/>
        <v>Año</v>
      </c>
      <c r="I176" s="338" t="str">
        <f t="shared" si="19"/>
        <v>Año</v>
      </c>
      <c r="J176" s="340" t="str">
        <f t="shared" si="19"/>
        <v>Año</v>
      </c>
    </row>
    <row r="177" spans="3:10" x14ac:dyDescent="0.2">
      <c r="C177" s="3"/>
      <c r="F177" s="341">
        <f t="shared" si="19"/>
        <v>1</v>
      </c>
      <c r="G177" s="342">
        <f t="shared" si="19"/>
        <v>2</v>
      </c>
      <c r="H177" s="343">
        <f t="shared" si="19"/>
        <v>3</v>
      </c>
      <c r="I177" s="342">
        <f t="shared" si="19"/>
        <v>4</v>
      </c>
      <c r="J177" s="344">
        <f t="shared" si="19"/>
        <v>5</v>
      </c>
    </row>
    <row r="178" spans="3:10" x14ac:dyDescent="0.2">
      <c r="C178" s="3"/>
      <c r="F178" s="252">
        <f>G134-G151</f>
        <v>59673270.239455201</v>
      </c>
      <c r="G178" s="252">
        <f>H134-H151</f>
        <v>67525622.575148448</v>
      </c>
      <c r="H178" s="252">
        <f>I134-I151</f>
        <v>114090392.69515973</v>
      </c>
      <c r="I178" s="252">
        <f>J134-J151</f>
        <v>180882932.01783589</v>
      </c>
      <c r="J178" s="252">
        <f>K134-K151</f>
        <v>267369398.53455925</v>
      </c>
    </row>
    <row r="179" spans="3:10" x14ac:dyDescent="0.2">
      <c r="C179" s="3"/>
      <c r="F179" s="61"/>
      <c r="G179" s="61"/>
      <c r="H179" s="61"/>
      <c r="I179" s="61"/>
      <c r="J179" s="61"/>
    </row>
    <row r="180" spans="3:10" x14ac:dyDescent="0.2">
      <c r="C180" s="3"/>
      <c r="F180" s="4"/>
      <c r="G180" s="4"/>
      <c r="H180" s="4"/>
      <c r="I180" s="4"/>
      <c r="J180" s="4"/>
    </row>
    <row r="181" spans="3:10" x14ac:dyDescent="0.2">
      <c r="C181" s="3"/>
      <c r="F181" s="4"/>
      <c r="G181" s="4"/>
      <c r="H181" s="4"/>
      <c r="I181" s="4"/>
      <c r="J181" s="4"/>
    </row>
    <row r="182" spans="3:10" x14ac:dyDescent="0.2">
      <c r="C182" s="3" t="s">
        <v>199</v>
      </c>
      <c r="F182" s="345" t="str">
        <f>F176</f>
        <v>Año</v>
      </c>
      <c r="G182" s="346" t="str">
        <f>G176</f>
        <v>Año</v>
      </c>
      <c r="H182" s="347" t="str">
        <f>H176</f>
        <v>Año</v>
      </c>
      <c r="I182" s="346" t="str">
        <f>I176</f>
        <v>Año</v>
      </c>
      <c r="J182" s="348" t="str">
        <f>J176</f>
        <v>Año</v>
      </c>
    </row>
    <row r="183" spans="3:10" x14ac:dyDescent="0.2">
      <c r="C183" s="3"/>
      <c r="F183" s="334">
        <f>F171</f>
        <v>1</v>
      </c>
      <c r="G183" s="264">
        <f>G171</f>
        <v>2</v>
      </c>
      <c r="H183" s="335">
        <f>H171</f>
        <v>3</v>
      </c>
      <c r="I183" s="264">
        <f>I171</f>
        <v>4</v>
      </c>
      <c r="J183" s="336">
        <f>J171</f>
        <v>5</v>
      </c>
    </row>
    <row r="184" spans="3:10" x14ac:dyDescent="0.2">
      <c r="C184" s="3"/>
      <c r="F184" s="352">
        <f>G153/G147</f>
        <v>0.25137304013758877</v>
      </c>
      <c r="G184" s="352">
        <f>H153/H147</f>
        <v>0.19179412648613955</v>
      </c>
      <c r="H184" s="352">
        <f>I153/I147</f>
        <v>0.11256156517527582</v>
      </c>
      <c r="I184" s="352">
        <f>J153/J147</f>
        <v>0.12481688992582697</v>
      </c>
      <c r="J184" s="352">
        <f>K153/K147</f>
        <v>0.12343724025454549</v>
      </c>
    </row>
    <row r="185" spans="3:10" x14ac:dyDescent="0.2">
      <c r="C185" s="3"/>
      <c r="F185" s="62"/>
      <c r="G185" s="62"/>
      <c r="H185" s="62"/>
      <c r="I185" s="62"/>
      <c r="J185" s="62"/>
    </row>
    <row r="186" spans="3:10" x14ac:dyDescent="0.2">
      <c r="C186" s="3"/>
      <c r="F186" s="62"/>
      <c r="G186" s="62"/>
      <c r="H186" s="62"/>
      <c r="I186" s="62"/>
      <c r="J186" s="62"/>
    </row>
    <row r="187" spans="3:10" x14ac:dyDescent="0.2">
      <c r="C187" s="3"/>
    </row>
    <row r="188" spans="3:10" x14ac:dyDescent="0.2">
      <c r="C188" s="3" t="s">
        <v>200</v>
      </c>
      <c r="F188" s="345" t="str">
        <f t="shared" ref="F188:J189" si="20">F182</f>
        <v>Año</v>
      </c>
      <c r="G188" s="346" t="str">
        <f t="shared" si="20"/>
        <v>Año</v>
      </c>
      <c r="H188" s="347" t="str">
        <f t="shared" si="20"/>
        <v>Año</v>
      </c>
      <c r="I188" s="346" t="str">
        <f t="shared" si="20"/>
        <v>Año</v>
      </c>
      <c r="J188" s="348" t="str">
        <f t="shared" si="20"/>
        <v>Año</v>
      </c>
    </row>
    <row r="189" spans="3:10" x14ac:dyDescent="0.2">
      <c r="C189" s="3"/>
      <c r="F189" s="341">
        <f t="shared" si="20"/>
        <v>1</v>
      </c>
      <c r="G189" s="342">
        <f t="shared" si="20"/>
        <v>2</v>
      </c>
      <c r="H189" s="343">
        <f t="shared" si="20"/>
        <v>3</v>
      </c>
      <c r="I189" s="342">
        <f t="shared" si="20"/>
        <v>4</v>
      </c>
      <c r="J189" s="344">
        <f t="shared" si="20"/>
        <v>5</v>
      </c>
    </row>
    <row r="190" spans="3:10" x14ac:dyDescent="0.2">
      <c r="C190" s="3"/>
      <c r="F190" s="353">
        <f>F31/G147</f>
        <v>2.1354586742858137</v>
      </c>
      <c r="G190" s="353">
        <f>G31/H147</f>
        <v>2.1359348345353224</v>
      </c>
      <c r="H190" s="353">
        <f>H31/I147</f>
        <v>1.9766399601296303</v>
      </c>
      <c r="I190" s="353">
        <f>I31/J147</f>
        <v>1.5799222077770303</v>
      </c>
      <c r="J190" s="353">
        <f>J31/K147</f>
        <v>1.2883559155663891</v>
      </c>
    </row>
    <row r="191" spans="3:10" x14ac:dyDescent="0.2">
      <c r="C191" s="3"/>
      <c r="F191" s="63"/>
      <c r="G191" s="63"/>
      <c r="H191" s="63"/>
      <c r="I191" s="63"/>
      <c r="J191" s="63"/>
    </row>
    <row r="192" spans="3:10" x14ac:dyDescent="0.2">
      <c r="C192" s="3"/>
      <c r="F192" s="64"/>
      <c r="G192" s="64"/>
      <c r="H192" s="64"/>
      <c r="I192" s="64"/>
      <c r="J192" s="64"/>
    </row>
    <row r="193" spans="3:10" x14ac:dyDescent="0.2">
      <c r="C193" s="3"/>
    </row>
    <row r="194" spans="3:10" x14ac:dyDescent="0.2">
      <c r="C194" s="3" t="s">
        <v>201</v>
      </c>
      <c r="F194" s="345" t="str">
        <f t="shared" ref="F194:J195" si="21">F188</f>
        <v>Año</v>
      </c>
      <c r="G194" s="346" t="str">
        <f t="shared" si="21"/>
        <v>Año</v>
      </c>
      <c r="H194" s="347" t="str">
        <f t="shared" si="21"/>
        <v>Año</v>
      </c>
      <c r="I194" s="346" t="str">
        <f t="shared" si="21"/>
        <v>Año</v>
      </c>
      <c r="J194" s="348" t="str">
        <f t="shared" si="21"/>
        <v>Año</v>
      </c>
    </row>
    <row r="195" spans="3:10" x14ac:dyDescent="0.2">
      <c r="C195" s="3"/>
      <c r="F195" s="341">
        <f t="shared" si="21"/>
        <v>1</v>
      </c>
      <c r="G195" s="342">
        <f t="shared" si="21"/>
        <v>2</v>
      </c>
      <c r="H195" s="343">
        <f t="shared" si="21"/>
        <v>3</v>
      </c>
      <c r="I195" s="342">
        <f t="shared" si="21"/>
        <v>4</v>
      </c>
      <c r="J195" s="344">
        <f t="shared" si="21"/>
        <v>5</v>
      </c>
    </row>
    <row r="196" spans="3:10" x14ac:dyDescent="0.2">
      <c r="C196" s="3"/>
      <c r="F196" s="352">
        <f>F40/F31</f>
        <v>0.56562094769965821</v>
      </c>
      <c r="G196" s="352">
        <f>G40/G31</f>
        <v>0.58287701604200814</v>
      </c>
      <c r="H196" s="352">
        <f>H40/H31</f>
        <v>0.60740666138442712</v>
      </c>
      <c r="I196" s="352">
        <f>I40/I31</f>
        <v>0.63046135142236948</v>
      </c>
      <c r="J196" s="352">
        <f>J40/J31</f>
        <v>0.65213150223992655</v>
      </c>
    </row>
    <row r="197" spans="3:10" x14ac:dyDescent="0.2">
      <c r="C197" s="3"/>
      <c r="F197" s="65"/>
      <c r="G197" s="65"/>
      <c r="H197" s="65"/>
      <c r="I197" s="65"/>
      <c r="J197" s="65"/>
    </row>
    <row r="198" spans="3:10" x14ac:dyDescent="0.2">
      <c r="C198" s="3"/>
      <c r="F198" s="62"/>
      <c r="G198" s="62"/>
      <c r="H198" s="62"/>
      <c r="I198" s="62"/>
      <c r="J198" s="62"/>
    </row>
    <row r="199" spans="3:10" x14ac:dyDescent="0.2">
      <c r="C199" s="3"/>
    </row>
    <row r="200" spans="3:10" x14ac:dyDescent="0.2">
      <c r="C200" s="3" t="s">
        <v>233</v>
      </c>
      <c r="F200" s="346" t="str">
        <f t="shared" ref="F200:J201" si="22">F194</f>
        <v>Año</v>
      </c>
      <c r="G200" s="347" t="str">
        <f t="shared" si="22"/>
        <v>Año</v>
      </c>
      <c r="H200" s="346" t="str">
        <f t="shared" si="22"/>
        <v>Año</v>
      </c>
      <c r="I200" s="346" t="str">
        <f t="shared" si="22"/>
        <v>Año</v>
      </c>
      <c r="J200" s="348" t="str">
        <f t="shared" si="22"/>
        <v>Año</v>
      </c>
    </row>
    <row r="201" spans="3:10" x14ac:dyDescent="0.2">
      <c r="F201" s="342">
        <f t="shared" si="22"/>
        <v>1</v>
      </c>
      <c r="G201" s="343">
        <f t="shared" si="22"/>
        <v>2</v>
      </c>
      <c r="H201" s="342">
        <f t="shared" si="22"/>
        <v>3</v>
      </c>
      <c r="I201" s="342">
        <f t="shared" si="22"/>
        <v>4</v>
      </c>
      <c r="J201" s="344">
        <f t="shared" si="22"/>
        <v>5</v>
      </c>
    </row>
    <row r="202" spans="3:10" x14ac:dyDescent="0.2">
      <c r="F202" s="352">
        <f>F59/F31</f>
        <v>1.7266603318525555E-2</v>
      </c>
      <c r="G202" s="354">
        <f>G59/G31</f>
        <v>5.7350619332790093E-2</v>
      </c>
      <c r="H202" s="352">
        <f>H59/H31</f>
        <v>0.10575669366735581</v>
      </c>
      <c r="I202" s="352">
        <f>I59/I31</f>
        <v>0.1467178538509723</v>
      </c>
      <c r="J202" s="352">
        <f>J59/J31</f>
        <v>0.1779326553123923</v>
      </c>
    </row>
    <row r="203" spans="3:10" x14ac:dyDescent="0.2">
      <c r="F203" s="16"/>
      <c r="G203" s="16"/>
      <c r="H203" s="16"/>
      <c r="I203" s="16"/>
      <c r="J203" s="16"/>
    </row>
  </sheetData>
  <mergeCells count="20">
    <mergeCell ref="D8:E9"/>
    <mergeCell ref="D10:E10"/>
    <mergeCell ref="D18:E18"/>
    <mergeCell ref="C92:E92"/>
    <mergeCell ref="D17:E17"/>
    <mergeCell ref="C30:E30"/>
    <mergeCell ref="D11:E11"/>
    <mergeCell ref="J16:K16"/>
    <mergeCell ref="L16:M16"/>
    <mergeCell ref="D19:E19"/>
    <mergeCell ref="D21:E21"/>
    <mergeCell ref="C135:E135"/>
    <mergeCell ref="C98:E98"/>
    <mergeCell ref="C152:E152"/>
    <mergeCell ref="C31:E31"/>
    <mergeCell ref="C68:E69"/>
    <mergeCell ref="C70:E70"/>
    <mergeCell ref="C71:E71"/>
    <mergeCell ref="C62:E62"/>
    <mergeCell ref="C72:E72"/>
  </mergeCells>
  <pageMargins left="0.7" right="0.7" top="0.75" bottom="0.75" header="0.3" footer="0.3"/>
  <pageSetup paperSize="5" orientation="portrait" horizontalDpi="300" verticalDpi="300" r:id="rId1"/>
  <ignoredErrors>
    <ignoredError sqref="G35:J35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2:Q133"/>
  <sheetViews>
    <sheetView showGridLines="0" tabSelected="1" topLeftCell="A54" zoomScale="55" zoomScaleNormal="55" workbookViewId="0">
      <selection activeCell="P99" sqref="P99"/>
    </sheetView>
  </sheetViews>
  <sheetFormatPr baseColWidth="10" defaultRowHeight="12.75" x14ac:dyDescent="0.2"/>
  <cols>
    <col min="1" max="1" width="7.5703125" style="2" customWidth="1"/>
    <col min="2" max="2" width="3.42578125" style="2" customWidth="1"/>
    <col min="3" max="3" width="32" style="2" customWidth="1"/>
    <col min="4" max="4" width="16.140625" style="2" customWidth="1"/>
    <col min="5" max="5" width="15.5703125" style="96" customWidth="1"/>
    <col min="6" max="6" width="20.140625" style="2" customWidth="1"/>
    <col min="7" max="7" width="17.5703125" style="2" customWidth="1"/>
    <col min="8" max="8" width="17.85546875" style="2" customWidth="1"/>
    <col min="9" max="9" width="18" style="2" customWidth="1"/>
    <col min="10" max="10" width="17.7109375" style="2" customWidth="1"/>
    <col min="11" max="11" width="16.28515625" style="2" customWidth="1"/>
    <col min="12" max="12" width="12.7109375" style="2" customWidth="1"/>
    <col min="13" max="13" width="15.28515625" style="2" customWidth="1"/>
    <col min="14" max="16" width="12.5703125" style="2" customWidth="1"/>
    <col min="17" max="16384" width="11.42578125" style="2"/>
  </cols>
  <sheetData>
    <row r="2" spans="1:17" x14ac:dyDescent="0.2">
      <c r="C2" s="2" t="s">
        <v>254</v>
      </c>
    </row>
    <row r="4" spans="1:17" x14ac:dyDescent="0.2">
      <c r="A4" s="3" t="s">
        <v>23</v>
      </c>
      <c r="B4" s="21">
        <v>35</v>
      </c>
      <c r="C4" s="3" t="s">
        <v>171</v>
      </c>
    </row>
    <row r="5" spans="1:17" x14ac:dyDescent="0.2">
      <c r="G5" s="116" t="s">
        <v>11</v>
      </c>
      <c r="H5" s="116" t="s">
        <v>11</v>
      </c>
      <c r="I5" s="116" t="s">
        <v>11</v>
      </c>
      <c r="J5" s="116" t="s">
        <v>11</v>
      </c>
      <c r="K5" s="116" t="s">
        <v>11</v>
      </c>
      <c r="L5" s="21"/>
      <c r="M5" s="21"/>
      <c r="N5" s="21"/>
      <c r="O5" s="21"/>
      <c r="P5" s="21"/>
    </row>
    <row r="6" spans="1:17" x14ac:dyDescent="0.2">
      <c r="G6" s="117">
        <f>PROYECCIONES!F29</f>
        <v>1</v>
      </c>
      <c r="H6" s="117">
        <f>PROYECCIONES!G29</f>
        <v>2</v>
      </c>
      <c r="I6" s="117">
        <f>PROYECCIONES!H29</f>
        <v>3</v>
      </c>
      <c r="J6" s="117">
        <f>PROYECCIONES!I29</f>
        <v>4</v>
      </c>
      <c r="K6" s="117">
        <f>PROYECCIONES!J29</f>
        <v>5</v>
      </c>
      <c r="L6" s="19"/>
      <c r="M6" s="19"/>
      <c r="N6" s="19"/>
      <c r="O6" s="19"/>
      <c r="P6" s="19"/>
    </row>
    <row r="7" spans="1:17" x14ac:dyDescent="0.2">
      <c r="C7" s="460" t="s">
        <v>127</v>
      </c>
      <c r="D7" s="460"/>
      <c r="E7" s="460"/>
      <c r="F7" s="82"/>
      <c r="G7" s="122">
        <f>PROYECCIONES!G70</f>
        <v>300027277.39709073</v>
      </c>
      <c r="H7" s="122">
        <f>PROYECCIONES!H70</f>
        <v>327629786.9176231</v>
      </c>
      <c r="I7" s="122">
        <f>PROYECCIONES!I70</f>
        <v>361211840.07667953</v>
      </c>
      <c r="J7" s="122">
        <f>PROYECCIONES!J70</f>
        <v>398236053.6845392</v>
      </c>
      <c r="K7" s="122">
        <f>PROYECCIONES!K70</f>
        <v>439055249.18720454</v>
      </c>
      <c r="L7" s="4"/>
      <c r="M7" s="4"/>
      <c r="N7" s="4"/>
      <c r="O7" s="4"/>
      <c r="P7" s="4"/>
      <c r="Q7" s="4"/>
    </row>
    <row r="8" spans="1:17" x14ac:dyDescent="0.2">
      <c r="C8" s="460" t="s">
        <v>128</v>
      </c>
      <c r="D8" s="460"/>
      <c r="E8" s="460"/>
      <c r="F8" s="82"/>
      <c r="G8" s="122"/>
      <c r="H8" s="122"/>
      <c r="I8" s="122"/>
      <c r="J8" s="122"/>
      <c r="K8" s="122"/>
      <c r="L8" s="4"/>
      <c r="M8" s="4"/>
      <c r="N8" s="4"/>
      <c r="O8" s="4"/>
      <c r="P8" s="4"/>
    </row>
    <row r="9" spans="1:17" x14ac:dyDescent="0.2">
      <c r="C9" s="461" t="s">
        <v>129</v>
      </c>
      <c r="D9" s="461"/>
      <c r="E9" s="461"/>
      <c r="F9" s="123"/>
      <c r="G9" s="118">
        <f>G7+G8</f>
        <v>300027277.39709073</v>
      </c>
      <c r="H9" s="118">
        <f>H7+H8</f>
        <v>327629786.9176231</v>
      </c>
      <c r="I9" s="118">
        <f>I7+I8</f>
        <v>361211840.07667953</v>
      </c>
      <c r="J9" s="118">
        <f>J7+J8</f>
        <v>398236053.6845392</v>
      </c>
      <c r="K9" s="118">
        <f>K7+K8</f>
        <v>439055249.18720454</v>
      </c>
      <c r="L9" s="22"/>
      <c r="M9" s="22"/>
      <c r="N9" s="22"/>
      <c r="O9" s="22"/>
      <c r="P9" s="22"/>
    </row>
    <row r="10" spans="1:17" hidden="1" x14ac:dyDescent="0.2">
      <c r="C10" s="16"/>
      <c r="D10" s="16"/>
      <c r="E10" s="97"/>
      <c r="F10" s="16"/>
      <c r="G10" s="16"/>
      <c r="H10" s="16"/>
      <c r="I10" s="16"/>
      <c r="J10" s="16"/>
      <c r="K10" s="16"/>
    </row>
    <row r="11" spans="1:17" x14ac:dyDescent="0.2">
      <c r="C11" s="32" t="s">
        <v>130</v>
      </c>
      <c r="D11" s="16"/>
      <c r="E11" s="97"/>
      <c r="F11" s="16"/>
      <c r="G11" s="16"/>
      <c r="H11" s="16"/>
      <c r="I11" s="16"/>
      <c r="J11" s="16"/>
      <c r="K11" s="16"/>
    </row>
    <row r="12" spans="1:17" x14ac:dyDescent="0.2">
      <c r="C12" s="49" t="s">
        <v>131</v>
      </c>
      <c r="D12" s="36" t="s">
        <v>23</v>
      </c>
      <c r="E12" s="36">
        <v>14</v>
      </c>
      <c r="F12" s="37"/>
      <c r="G12" s="122">
        <f>PROYECCIONES!G75</f>
        <v>46242000.000000007</v>
      </c>
      <c r="H12" s="122">
        <f>PROYECCIONES!H75</f>
        <v>50010723.000000007</v>
      </c>
      <c r="I12" s="122">
        <f>PROYECCIONES!I75</f>
        <v>52511259.150000006</v>
      </c>
      <c r="J12" s="122">
        <f>PROYECCIONES!J75</f>
        <v>55136822.107500017</v>
      </c>
      <c r="K12" s="122">
        <f>PROYECCIONES!K75</f>
        <v>57893663.212875023</v>
      </c>
      <c r="L12" s="4"/>
      <c r="M12" s="4"/>
      <c r="N12" s="4"/>
      <c r="O12" s="4"/>
      <c r="P12" s="4"/>
    </row>
    <row r="13" spans="1:17" x14ac:dyDescent="0.2">
      <c r="C13" s="49" t="s">
        <v>134</v>
      </c>
      <c r="D13" s="36" t="s">
        <v>23</v>
      </c>
      <c r="E13" s="36">
        <v>11</v>
      </c>
      <c r="F13" s="37"/>
      <c r="G13" s="122">
        <f>PROYECCIONES!G76</f>
        <v>70377624.420000002</v>
      </c>
      <c r="H13" s="122">
        <f>PROYECCIONES!H76</f>
        <v>72488953.152600005</v>
      </c>
      <c r="I13" s="122">
        <f>PROYECCIONES!I76</f>
        <v>74663621.747178003</v>
      </c>
      <c r="J13" s="122">
        <f>PROYECCIONES!J76</f>
        <v>76903530.399593338</v>
      </c>
      <c r="K13" s="122">
        <f>PROYECCIONES!K76</f>
        <v>79210636.311581135</v>
      </c>
      <c r="L13" s="4"/>
      <c r="M13" s="4"/>
      <c r="N13" s="4"/>
      <c r="O13" s="4"/>
      <c r="P13" s="4"/>
    </row>
    <row r="14" spans="1:17" x14ac:dyDescent="0.2">
      <c r="C14" s="35" t="s">
        <v>132</v>
      </c>
      <c r="D14" s="38" t="s">
        <v>23</v>
      </c>
      <c r="E14" s="36">
        <v>15</v>
      </c>
      <c r="F14" s="37"/>
      <c r="G14" s="122">
        <f>PROYECCIONES!G77</f>
        <v>11449940</v>
      </c>
      <c r="H14" s="122">
        <f>PROYECCIONES!H77</f>
        <v>11793438.200000001</v>
      </c>
      <c r="I14" s="122">
        <f>PROYECCIONES!I77</f>
        <v>12147241.346000001</v>
      </c>
      <c r="J14" s="122">
        <f>PROYECCIONES!J77</f>
        <v>12511658.586380001</v>
      </c>
      <c r="K14" s="122">
        <f>PROYECCIONES!K77</f>
        <v>12887008.343971401</v>
      </c>
      <c r="L14" s="4"/>
      <c r="M14" s="4"/>
      <c r="N14" s="4"/>
      <c r="O14" s="4"/>
      <c r="P14" s="4"/>
    </row>
    <row r="15" spans="1:17" x14ac:dyDescent="0.2">
      <c r="C15" s="50" t="s">
        <v>47</v>
      </c>
      <c r="D15" s="38" t="s">
        <v>23</v>
      </c>
      <c r="E15" s="36">
        <v>13</v>
      </c>
      <c r="F15" s="37"/>
      <c r="G15" s="122">
        <f>PROYECCIONES!G78</f>
        <v>-5490160</v>
      </c>
      <c r="H15" s="122">
        <f>PROYECCIONES!H78</f>
        <v>-5490160</v>
      </c>
      <c r="I15" s="122">
        <f>PROYECCIONES!I78</f>
        <v>-5490160</v>
      </c>
      <c r="J15" s="122">
        <f>PROYECCIONES!J78</f>
        <v>-5490160</v>
      </c>
      <c r="K15" s="122">
        <f>PROYECCIONES!K78</f>
        <v>-5490160</v>
      </c>
      <c r="L15" s="4"/>
      <c r="M15" s="4"/>
      <c r="N15" s="4"/>
      <c r="O15" s="4"/>
      <c r="P15" s="4"/>
    </row>
    <row r="16" spans="1:17" x14ac:dyDescent="0.2">
      <c r="C16" s="50" t="s">
        <v>133</v>
      </c>
      <c r="D16" s="39" t="s">
        <v>23</v>
      </c>
      <c r="E16" s="36">
        <v>15</v>
      </c>
      <c r="F16" s="37"/>
      <c r="G16" s="122">
        <f>PROYECCIONES!G79</f>
        <v>2256000</v>
      </c>
      <c r="H16" s="122">
        <f>PROYECCIONES!H79</f>
        <v>2368800</v>
      </c>
      <c r="I16" s="122">
        <f>PROYECCIONES!I79</f>
        <v>2487240</v>
      </c>
      <c r="J16" s="122">
        <f>PROYECCIONES!J79</f>
        <v>2611602</v>
      </c>
      <c r="K16" s="122">
        <f>PROYECCIONES!K79</f>
        <v>2742182.1000000006</v>
      </c>
      <c r="L16" s="4"/>
      <c r="M16" s="4"/>
      <c r="N16" s="4"/>
      <c r="O16" s="4"/>
      <c r="P16" s="4"/>
    </row>
    <row r="17" spans="3:16" x14ac:dyDescent="0.2">
      <c r="C17" s="125" t="s">
        <v>141</v>
      </c>
      <c r="D17" s="126"/>
      <c r="E17" s="127"/>
      <c r="F17" s="128"/>
      <c r="G17" s="124">
        <f>SUM(G12:G16)</f>
        <v>124835404.42000002</v>
      </c>
      <c r="H17" s="124">
        <f>SUM(H12:H16)</f>
        <v>131171754.35260001</v>
      </c>
      <c r="I17" s="124">
        <f>SUM(I12:I16)</f>
        <v>136319202.24317801</v>
      </c>
      <c r="J17" s="124">
        <f>SUM(J12:J16)</f>
        <v>141673453.09347335</v>
      </c>
      <c r="K17" s="124">
        <f>SUM(K12:K16)</f>
        <v>147243329.96842754</v>
      </c>
      <c r="L17" s="22"/>
      <c r="M17" s="22"/>
      <c r="N17" s="22"/>
      <c r="O17" s="22"/>
      <c r="P17" s="22"/>
    </row>
    <row r="18" spans="3:16" hidden="1" x14ac:dyDescent="0.2">
      <c r="C18" s="16"/>
      <c r="D18" s="16"/>
      <c r="E18" s="97"/>
      <c r="F18" s="16"/>
      <c r="G18" s="16"/>
      <c r="H18" s="16"/>
      <c r="I18" s="16"/>
      <c r="J18" s="16"/>
      <c r="K18" s="66"/>
    </row>
    <row r="19" spans="3:16" x14ac:dyDescent="0.2">
      <c r="C19" s="119" t="s">
        <v>135</v>
      </c>
      <c r="D19" s="129"/>
      <c r="E19" s="130"/>
      <c r="F19" s="120"/>
      <c r="G19" s="118">
        <f>G9-G17</f>
        <v>175191872.97709072</v>
      </c>
      <c r="H19" s="118">
        <f>H9-H17</f>
        <v>196458032.56502309</v>
      </c>
      <c r="I19" s="118">
        <f>I9-I17</f>
        <v>224892637.83350152</v>
      </c>
      <c r="J19" s="118">
        <f>J9-J17</f>
        <v>256562600.59106585</v>
      </c>
      <c r="K19" s="118">
        <f>K9-K17</f>
        <v>291811919.218777</v>
      </c>
      <c r="L19" s="22"/>
      <c r="M19" s="22"/>
      <c r="N19" s="22"/>
      <c r="O19" s="22"/>
      <c r="P19" s="22"/>
    </row>
    <row r="20" spans="3:16" hidden="1" x14ac:dyDescent="0.2">
      <c r="C20" s="16"/>
      <c r="D20" s="16"/>
      <c r="E20" s="97"/>
      <c r="F20" s="16"/>
      <c r="G20" s="16"/>
      <c r="H20" s="16"/>
      <c r="I20" s="16"/>
      <c r="J20" s="16"/>
      <c r="K20" s="16"/>
    </row>
    <row r="21" spans="3:16" x14ac:dyDescent="0.2">
      <c r="C21" s="32" t="s">
        <v>137</v>
      </c>
      <c r="D21" s="16"/>
      <c r="E21" s="97"/>
      <c r="F21" s="16"/>
      <c r="G21" s="16"/>
      <c r="H21" s="16"/>
      <c r="I21" s="16"/>
      <c r="J21" s="16"/>
      <c r="K21" s="16"/>
    </row>
    <row r="22" spans="3:16" x14ac:dyDescent="0.2">
      <c r="C22" s="35" t="s">
        <v>136</v>
      </c>
      <c r="D22" s="36" t="s">
        <v>23</v>
      </c>
      <c r="E22" s="36">
        <v>20</v>
      </c>
      <c r="F22" s="33"/>
      <c r="G22" s="122">
        <f>PROYECCIONES!G85</f>
        <v>146047223.03</v>
      </c>
      <c r="H22" s="122">
        <f>PROYECCIONES!H85</f>
        <v>150428639.7209</v>
      </c>
      <c r="I22" s="122">
        <f>PROYECCIONES!I85</f>
        <v>154941498.91252699</v>
      </c>
      <c r="J22" s="122">
        <f>PROYECCIONES!J85</f>
        <v>159589743.87990281</v>
      </c>
      <c r="K22" s="122">
        <f>PROYECCIONES!K85</f>
        <v>164377436.19629991</v>
      </c>
      <c r="L22" s="4"/>
      <c r="M22" s="4"/>
      <c r="N22" s="4"/>
      <c r="O22" s="4"/>
      <c r="P22" s="4"/>
    </row>
    <row r="23" spans="3:16" x14ac:dyDescent="0.2">
      <c r="C23" s="35" t="s">
        <v>138</v>
      </c>
      <c r="D23" s="36" t="s">
        <v>23</v>
      </c>
      <c r="E23" s="36">
        <v>8</v>
      </c>
      <c r="F23" s="33"/>
      <c r="G23" s="122">
        <f>PROYECCIONES!G86</f>
        <v>-1625800.2</v>
      </c>
      <c r="H23" s="122">
        <f>PROYECCIONES!H86</f>
        <v>-1625800.2</v>
      </c>
      <c r="I23" s="122">
        <f>PROYECCIONES!I86</f>
        <v>-1625800.2</v>
      </c>
      <c r="J23" s="122">
        <f>PROYECCIONES!J86</f>
        <v>-1625800.2</v>
      </c>
      <c r="K23" s="122">
        <f>PROYECCIONES!K86</f>
        <v>-1625800.2</v>
      </c>
      <c r="L23" s="4"/>
      <c r="M23" s="4"/>
      <c r="N23" s="4"/>
      <c r="O23" s="4"/>
      <c r="P23" s="4"/>
    </row>
    <row r="24" spans="3:16" x14ac:dyDescent="0.2">
      <c r="C24" s="35" t="s">
        <v>47</v>
      </c>
      <c r="D24" s="36" t="s">
        <v>23</v>
      </c>
      <c r="E24" s="36">
        <v>13</v>
      </c>
      <c r="F24" s="33"/>
      <c r="G24" s="122">
        <f>PROYECCIONES!G87</f>
        <v>-1248240</v>
      </c>
      <c r="H24" s="122">
        <f>PROYECCIONES!H87</f>
        <v>-1248240</v>
      </c>
      <c r="I24" s="122">
        <f>PROYECCIONES!I87</f>
        <v>-1248240</v>
      </c>
      <c r="J24" s="122">
        <f>PROYECCIONES!J87</f>
        <v>-1248240</v>
      </c>
      <c r="K24" s="122">
        <f>PROYECCIONES!K87</f>
        <v>-1248240</v>
      </c>
      <c r="L24" s="4"/>
      <c r="M24" s="4"/>
      <c r="N24" s="4"/>
      <c r="O24" s="4"/>
      <c r="P24" s="4"/>
    </row>
    <row r="25" spans="3:16" x14ac:dyDescent="0.2">
      <c r="C25" s="35" t="s">
        <v>139</v>
      </c>
      <c r="D25" s="36" t="s">
        <v>23</v>
      </c>
      <c r="E25" s="36">
        <v>20</v>
      </c>
      <c r="F25" s="33"/>
      <c r="G25" s="122">
        <f>PROYECCIONES!G88</f>
        <v>0</v>
      </c>
      <c r="H25" s="122">
        <f>PROYECCIONES!H88</f>
        <v>0</v>
      </c>
      <c r="I25" s="122">
        <f>PROYECCIONES!I88</f>
        <v>0</v>
      </c>
      <c r="J25" s="122">
        <f>PROYECCIONES!J88</f>
        <v>0</v>
      </c>
      <c r="K25" s="122">
        <f>PROYECCIONES!K88</f>
        <v>0</v>
      </c>
      <c r="L25" s="4"/>
      <c r="M25" s="4"/>
      <c r="N25" s="4"/>
      <c r="O25" s="4"/>
      <c r="P25" s="4"/>
    </row>
    <row r="26" spans="3:16" x14ac:dyDescent="0.2">
      <c r="C26" s="35" t="s">
        <v>146</v>
      </c>
      <c r="D26" s="36" t="s">
        <v>23</v>
      </c>
      <c r="E26" s="36">
        <v>32</v>
      </c>
      <c r="F26" s="33"/>
      <c r="G26" s="122">
        <f>PROYECCIONES!G89</f>
        <v>0</v>
      </c>
      <c r="H26" s="122">
        <f>PROYECCIONES!H89</f>
        <v>2789474.1449899655</v>
      </c>
      <c r="I26" s="122">
        <f>PROYECCIONES!I89</f>
        <v>10117569.103166932</v>
      </c>
      <c r="J26" s="122">
        <f>PROYECCIONES!J89</f>
        <v>20569537.649236858</v>
      </c>
      <c r="K26" s="122">
        <f>PROYECCIONES!K89</f>
        <v>31461413.373748709</v>
      </c>
      <c r="L26" s="4"/>
      <c r="M26" s="4"/>
      <c r="N26" s="4"/>
      <c r="O26" s="4"/>
      <c r="P26" s="4"/>
    </row>
    <row r="27" spans="3:16" x14ac:dyDescent="0.2">
      <c r="C27" s="119" t="s">
        <v>140</v>
      </c>
      <c r="D27" s="129"/>
      <c r="E27" s="130"/>
      <c r="F27" s="131"/>
      <c r="G27" s="118">
        <f>SUM(G22:G26)</f>
        <v>143173182.83000001</v>
      </c>
      <c r="H27" s="118">
        <f>SUM(H22:H26)</f>
        <v>150344073.66588998</v>
      </c>
      <c r="I27" s="118">
        <f>SUM(I22:I26)</f>
        <v>162185027.81569394</v>
      </c>
      <c r="J27" s="118">
        <f>SUM(J22:J26)</f>
        <v>177285241.32913968</v>
      </c>
      <c r="K27" s="118">
        <f>SUM(K22:K26)</f>
        <v>192964809.37004864</v>
      </c>
      <c r="L27" s="22"/>
      <c r="M27" s="22"/>
      <c r="N27" s="22"/>
      <c r="O27" s="22"/>
      <c r="P27" s="22"/>
    </row>
    <row r="28" spans="3:16" hidden="1" x14ac:dyDescent="0.2">
      <c r="C28" s="132"/>
      <c r="D28" s="132"/>
      <c r="E28" s="133"/>
      <c r="F28" s="132"/>
      <c r="G28" s="132"/>
      <c r="H28" s="132"/>
      <c r="I28" s="132"/>
      <c r="J28" s="132"/>
      <c r="K28" s="134"/>
    </row>
    <row r="29" spans="3:16" x14ac:dyDescent="0.2">
      <c r="C29" s="462" t="s">
        <v>142</v>
      </c>
      <c r="D29" s="463"/>
      <c r="E29" s="464"/>
      <c r="F29" s="121"/>
      <c r="G29" s="118">
        <f>G19-G27</f>
        <v>32018690.147090703</v>
      </c>
      <c r="H29" s="118">
        <f>H19-H27</f>
        <v>46113958.899133116</v>
      </c>
      <c r="I29" s="118">
        <f>I19-I27</f>
        <v>62707610.017807573</v>
      </c>
      <c r="J29" s="118">
        <f>J19-J27</f>
        <v>79277359.261926174</v>
      </c>
      <c r="K29" s="118">
        <f>K19-K27</f>
        <v>98847109.848728359</v>
      </c>
      <c r="L29" s="22"/>
      <c r="M29" s="22"/>
      <c r="N29" s="22"/>
      <c r="O29" s="22"/>
      <c r="P29" s="22"/>
    </row>
    <row r="30" spans="3:16" hidden="1" x14ac:dyDescent="0.2"/>
    <row r="31" spans="3:16" x14ac:dyDescent="0.2">
      <c r="C31" s="32" t="s">
        <v>143</v>
      </c>
      <c r="D31" s="16"/>
      <c r="E31" s="97"/>
      <c r="F31" s="16"/>
      <c r="G31" s="16"/>
      <c r="H31" s="16"/>
      <c r="I31" s="16"/>
      <c r="J31" s="16"/>
      <c r="K31" s="16"/>
    </row>
    <row r="32" spans="3:16" x14ac:dyDescent="0.2">
      <c r="C32" s="35" t="s">
        <v>26</v>
      </c>
      <c r="D32" s="36" t="s">
        <v>23</v>
      </c>
      <c r="E32" s="36">
        <v>7</v>
      </c>
      <c r="F32" s="122">
        <f>PROYECCIONES!F95</f>
        <v>65044000</v>
      </c>
      <c r="G32" s="13"/>
      <c r="H32" s="13"/>
      <c r="I32" s="13"/>
      <c r="J32" s="13"/>
      <c r="K32" s="13"/>
      <c r="L32" s="4"/>
      <c r="M32" s="4"/>
      <c r="N32" s="4"/>
      <c r="O32" s="4"/>
      <c r="P32" s="4"/>
    </row>
    <row r="33" spans="1:16" x14ac:dyDescent="0.2">
      <c r="C33" s="35" t="s">
        <v>109</v>
      </c>
      <c r="D33" s="36" t="s">
        <v>23</v>
      </c>
      <c r="E33" s="36">
        <v>8</v>
      </c>
      <c r="F33" s="122">
        <f>PROYECCIONES!F96</f>
        <v>8129001</v>
      </c>
      <c r="G33" s="13"/>
      <c r="H33" s="13"/>
      <c r="I33" s="13"/>
      <c r="J33" s="13"/>
      <c r="K33" s="13"/>
      <c r="L33" s="4"/>
      <c r="M33" s="4"/>
      <c r="N33" s="4"/>
      <c r="O33" s="4"/>
      <c r="P33" s="4"/>
    </row>
    <row r="34" spans="1:16" x14ac:dyDescent="0.2">
      <c r="C34" s="35" t="s">
        <v>144</v>
      </c>
      <c r="D34" s="36" t="s">
        <v>23</v>
      </c>
      <c r="E34" s="36">
        <v>22</v>
      </c>
      <c r="F34" s="122">
        <f>PROYECCIONES!F97</f>
        <v>68418076.039897099</v>
      </c>
      <c r="G34" s="13"/>
      <c r="H34" s="13"/>
      <c r="I34" s="13"/>
      <c r="J34" s="13"/>
      <c r="K34" s="13"/>
      <c r="L34" s="4"/>
      <c r="M34" s="4"/>
      <c r="N34" s="4"/>
      <c r="O34" s="4"/>
      <c r="P34" s="4"/>
    </row>
    <row r="35" spans="1:16" x14ac:dyDescent="0.2">
      <c r="C35" s="462" t="s">
        <v>145</v>
      </c>
      <c r="D35" s="463"/>
      <c r="E35" s="464"/>
      <c r="F35" s="135">
        <f t="shared" ref="F35:K35" si="0">SUM(F32:F34)</f>
        <v>141591077.03989708</v>
      </c>
      <c r="G35" s="135">
        <f t="shared" si="0"/>
        <v>0</v>
      </c>
      <c r="H35" s="135">
        <f t="shared" si="0"/>
        <v>0</v>
      </c>
      <c r="I35" s="135">
        <f t="shared" si="0"/>
        <v>0</v>
      </c>
      <c r="J35" s="135">
        <f t="shared" si="0"/>
        <v>0</v>
      </c>
      <c r="K35" s="135">
        <f t="shared" si="0"/>
        <v>0</v>
      </c>
      <c r="L35" s="4"/>
      <c r="M35" s="4"/>
      <c r="N35" s="4"/>
      <c r="O35" s="4"/>
      <c r="P35" s="4"/>
    </row>
    <row r="36" spans="1:16" hidden="1" x14ac:dyDescent="0.2">
      <c r="C36" s="132"/>
      <c r="D36" s="136"/>
      <c r="E36" s="137"/>
      <c r="F36" s="138"/>
      <c r="G36" s="132"/>
      <c r="H36" s="132"/>
      <c r="I36" s="132"/>
      <c r="J36" s="132"/>
      <c r="K36" s="134"/>
    </row>
    <row r="37" spans="1:16" x14ac:dyDescent="0.2">
      <c r="C37" s="119" t="s">
        <v>148</v>
      </c>
      <c r="D37" s="139"/>
      <c r="E37" s="140"/>
      <c r="F37" s="118">
        <f>F29-F35</f>
        <v>-141591077.03989708</v>
      </c>
      <c r="G37" s="118">
        <f>G29</f>
        <v>32018690.147090703</v>
      </c>
      <c r="H37" s="118">
        <f>H29</f>
        <v>46113958.899133116</v>
      </c>
      <c r="I37" s="118">
        <f>I29</f>
        <v>62707610.017807573</v>
      </c>
      <c r="J37" s="118">
        <f>J29</f>
        <v>79277359.261926174</v>
      </c>
      <c r="K37" s="118">
        <f>K29</f>
        <v>98847109.848728359</v>
      </c>
      <c r="L37" s="22"/>
      <c r="M37" s="22"/>
      <c r="N37" s="22"/>
      <c r="O37" s="22"/>
      <c r="P37" s="22"/>
    </row>
    <row r="41" spans="1:16" x14ac:dyDescent="0.2">
      <c r="A41" s="3" t="s">
        <v>35</v>
      </c>
      <c r="B41" s="3">
        <v>36</v>
      </c>
      <c r="C41" s="3" t="s">
        <v>294</v>
      </c>
      <c r="D41" s="3"/>
      <c r="E41" s="98"/>
      <c r="F41" s="3"/>
    </row>
    <row r="42" spans="1:16" x14ac:dyDescent="0.2">
      <c r="A42" s="3"/>
      <c r="B42" s="3"/>
      <c r="C42" s="3"/>
      <c r="D42" s="3"/>
      <c r="E42" s="98"/>
      <c r="F42" s="3"/>
    </row>
    <row r="44" spans="1:16" x14ac:dyDescent="0.2">
      <c r="C44" s="12" t="s">
        <v>291</v>
      </c>
      <c r="D44" s="95">
        <v>4.4299999999999999E-2</v>
      </c>
    </row>
    <row r="45" spans="1:16" x14ac:dyDescent="0.2">
      <c r="C45" s="12" t="s">
        <v>292</v>
      </c>
      <c r="D45" s="67">
        <v>0.09</v>
      </c>
    </row>
    <row r="46" spans="1:16" x14ac:dyDescent="0.2">
      <c r="C46" s="68" t="s">
        <v>311</v>
      </c>
      <c r="D46" s="69">
        <f>((1+D44)*(1+D45))-1</f>
        <v>0.13828700000000005</v>
      </c>
    </row>
    <row r="48" spans="1:16" ht="13.5" customHeight="1" x14ac:dyDescent="0.2">
      <c r="C48" s="455" t="s">
        <v>312</v>
      </c>
      <c r="D48" s="455"/>
      <c r="E48" s="141">
        <f>D46</f>
        <v>0.13828700000000005</v>
      </c>
      <c r="F48" s="142" t="s">
        <v>181</v>
      </c>
    </row>
    <row r="52" spans="1:9" x14ac:dyDescent="0.2">
      <c r="A52" s="3" t="s">
        <v>23</v>
      </c>
      <c r="B52" s="3">
        <v>37</v>
      </c>
      <c r="C52" s="457" t="s">
        <v>184</v>
      </c>
      <c r="D52" s="457"/>
    </row>
    <row r="54" spans="1:9" x14ac:dyDescent="0.2">
      <c r="C54" s="3" t="s">
        <v>174</v>
      </c>
      <c r="D54" s="452" t="s">
        <v>65</v>
      </c>
      <c r="E54" s="452"/>
      <c r="F54" s="452" t="s">
        <v>173</v>
      </c>
      <c r="G54" s="452" t="s">
        <v>176</v>
      </c>
      <c r="H54" s="452" t="s">
        <v>179</v>
      </c>
      <c r="I54" s="452" t="s">
        <v>182</v>
      </c>
    </row>
    <row r="55" spans="1:9" x14ac:dyDescent="0.2">
      <c r="D55" s="456"/>
      <c r="E55" s="456"/>
      <c r="F55" s="452"/>
      <c r="G55" s="452"/>
      <c r="H55" s="452"/>
      <c r="I55" s="452"/>
    </row>
    <row r="56" spans="1:9" x14ac:dyDescent="0.2">
      <c r="D56" s="70" t="s">
        <v>11</v>
      </c>
      <c r="E56" s="111">
        <v>0</v>
      </c>
      <c r="F56" s="143">
        <f>F37</f>
        <v>-141591077.03989708</v>
      </c>
      <c r="G56" s="144">
        <f>E48</f>
        <v>0.13828700000000005</v>
      </c>
      <c r="H56" s="145">
        <f>1/((1+G56)^E56)</f>
        <v>1</v>
      </c>
      <c r="I56" s="122">
        <f t="shared" ref="I56:I61" si="1">F56*H56</f>
        <v>-141591077.03989708</v>
      </c>
    </row>
    <row r="57" spans="1:9" x14ac:dyDescent="0.2">
      <c r="D57" s="71" t="s">
        <v>11</v>
      </c>
      <c r="E57" s="112">
        <v>1</v>
      </c>
      <c r="F57" s="143">
        <f>G37</f>
        <v>32018690.147090703</v>
      </c>
      <c r="G57" s="144">
        <f>G56</f>
        <v>0.13828700000000005</v>
      </c>
      <c r="H57" s="145">
        <f t="shared" ref="H57:H61" si="2">1/((1+G57)^E57)</f>
        <v>0.87851306392851714</v>
      </c>
      <c r="I57" s="122">
        <f t="shared" si="1"/>
        <v>28128837.584098477</v>
      </c>
    </row>
    <row r="58" spans="1:9" x14ac:dyDescent="0.2">
      <c r="D58" s="72" t="s">
        <v>11</v>
      </c>
      <c r="E58" s="113">
        <v>2</v>
      </c>
      <c r="F58" s="143">
        <f>H37</f>
        <v>46113958.899133116</v>
      </c>
      <c r="G58" s="144">
        <f>G57</f>
        <v>0.13828700000000005</v>
      </c>
      <c r="H58" s="145">
        <f t="shared" si="2"/>
        <v>0.77178520349307078</v>
      </c>
      <c r="I58" s="122">
        <f t="shared" si="1"/>
        <v>35590071.152838551</v>
      </c>
    </row>
    <row r="59" spans="1:9" x14ac:dyDescent="0.2">
      <c r="D59" s="70" t="s">
        <v>11</v>
      </c>
      <c r="E59" s="111">
        <v>3</v>
      </c>
      <c r="F59" s="143">
        <f>I37</f>
        <v>62707610.017807573</v>
      </c>
      <c r="G59" s="144">
        <f>G58</f>
        <v>0.13828700000000005</v>
      </c>
      <c r="H59" s="145">
        <f t="shared" si="2"/>
        <v>0.67802338381539162</v>
      </c>
      <c r="I59" s="122">
        <f t="shared" si="1"/>
        <v>42517225.935249843</v>
      </c>
    </row>
    <row r="60" spans="1:9" x14ac:dyDescent="0.2">
      <c r="D60" s="72" t="s">
        <v>11</v>
      </c>
      <c r="E60" s="113">
        <v>4</v>
      </c>
      <c r="F60" s="143">
        <f>J37</f>
        <v>79277359.261926174</v>
      </c>
      <c r="G60" s="144">
        <f>G59</f>
        <v>0.13828700000000005</v>
      </c>
      <c r="H60" s="145">
        <f t="shared" si="2"/>
        <v>0.59565240033084066</v>
      </c>
      <c r="I60" s="122">
        <f t="shared" si="1"/>
        <v>47221749.336256728</v>
      </c>
    </row>
    <row r="61" spans="1:9" x14ac:dyDescent="0.2">
      <c r="D61" s="70" t="s">
        <v>11</v>
      </c>
      <c r="E61" s="111">
        <v>5</v>
      </c>
      <c r="F61" s="143">
        <f>K37</f>
        <v>98847109.848728359</v>
      </c>
      <c r="G61" s="144">
        <f>G60</f>
        <v>0.13828700000000005</v>
      </c>
      <c r="H61" s="145">
        <f t="shared" si="2"/>
        <v>0.52328841525102254</v>
      </c>
      <c r="I61" s="122">
        <f t="shared" si="1"/>
        <v>51725547.464884803</v>
      </c>
    </row>
    <row r="62" spans="1:9" x14ac:dyDescent="0.2">
      <c r="D62" s="454" t="s">
        <v>293</v>
      </c>
      <c r="E62" s="454"/>
      <c r="F62" s="455"/>
      <c r="G62" s="455"/>
      <c r="H62" s="455"/>
      <c r="I62" s="118">
        <f>SUM(I56:I61)</f>
        <v>63592354.433431305</v>
      </c>
    </row>
    <row r="65" spans="1:12" x14ac:dyDescent="0.2">
      <c r="C65" s="3" t="s">
        <v>175</v>
      </c>
    </row>
    <row r="66" spans="1:12" x14ac:dyDescent="0.2">
      <c r="D66" s="453" t="s">
        <v>172</v>
      </c>
      <c r="E66" s="453"/>
      <c r="F66" s="122">
        <f t="shared" ref="F66:F71" si="3">F56</f>
        <v>-141591077.03989708</v>
      </c>
    </row>
    <row r="67" spans="1:12" x14ac:dyDescent="0.2">
      <c r="D67" s="453" t="s">
        <v>12</v>
      </c>
      <c r="E67" s="453"/>
      <c r="F67" s="122">
        <f t="shared" si="3"/>
        <v>32018690.147090703</v>
      </c>
      <c r="K67" s="3"/>
      <c r="L67" s="3"/>
    </row>
    <row r="68" spans="1:12" x14ac:dyDescent="0.2">
      <c r="D68" s="453" t="s">
        <v>13</v>
      </c>
      <c r="E68" s="453"/>
      <c r="F68" s="122">
        <f t="shared" si="3"/>
        <v>46113958.899133116</v>
      </c>
      <c r="K68" s="3"/>
      <c r="L68" s="3"/>
    </row>
    <row r="69" spans="1:12" x14ac:dyDescent="0.2">
      <c r="D69" s="453" t="s">
        <v>8</v>
      </c>
      <c r="E69" s="453"/>
      <c r="F69" s="122">
        <f t="shared" si="3"/>
        <v>62707610.017807573</v>
      </c>
    </row>
    <row r="70" spans="1:12" x14ac:dyDescent="0.2">
      <c r="D70" s="453" t="s">
        <v>14</v>
      </c>
      <c r="E70" s="453"/>
      <c r="F70" s="122">
        <f t="shared" si="3"/>
        <v>79277359.261926174</v>
      </c>
    </row>
    <row r="71" spans="1:12" x14ac:dyDescent="0.2">
      <c r="D71" s="453" t="s">
        <v>15</v>
      </c>
      <c r="E71" s="453"/>
      <c r="F71" s="122">
        <f t="shared" si="3"/>
        <v>98847109.848728359</v>
      </c>
    </row>
    <row r="72" spans="1:12" x14ac:dyDescent="0.2">
      <c r="D72" s="458"/>
      <c r="E72" s="459"/>
      <c r="F72" s="12"/>
    </row>
    <row r="73" spans="1:12" x14ac:dyDescent="0.2">
      <c r="D73" s="455" t="s">
        <v>177</v>
      </c>
      <c r="E73" s="455"/>
      <c r="F73" s="146">
        <f>E48</f>
        <v>0.13828700000000005</v>
      </c>
    </row>
    <row r="74" spans="1:12" x14ac:dyDescent="0.2">
      <c r="D74" s="458"/>
      <c r="E74" s="459"/>
      <c r="F74" s="12"/>
    </row>
    <row r="75" spans="1:12" x14ac:dyDescent="0.2">
      <c r="D75" s="455" t="s">
        <v>178</v>
      </c>
      <c r="E75" s="455"/>
      <c r="F75" s="118">
        <f>NPV(F73,F67:F71)+F66</f>
        <v>63592354.433431327</v>
      </c>
    </row>
    <row r="79" spans="1:12" x14ac:dyDescent="0.2">
      <c r="A79" s="3" t="s">
        <v>23</v>
      </c>
      <c r="B79" s="3">
        <v>38</v>
      </c>
      <c r="C79" s="3" t="s">
        <v>183</v>
      </c>
    </row>
    <row r="80" spans="1:12" x14ac:dyDescent="0.2">
      <c r="A80" s="3"/>
      <c r="B80" s="3"/>
      <c r="C80" s="3"/>
    </row>
    <row r="81" spans="1:12" x14ac:dyDescent="0.2">
      <c r="D81" s="453" t="s">
        <v>172</v>
      </c>
      <c r="E81" s="453"/>
      <c r="F81" s="122">
        <f t="shared" ref="F81:F86" si="4">F66</f>
        <v>-141591077.03989708</v>
      </c>
    </row>
    <row r="82" spans="1:12" x14ac:dyDescent="0.2">
      <c r="D82" s="453" t="s">
        <v>12</v>
      </c>
      <c r="E82" s="453"/>
      <c r="F82" s="122">
        <f t="shared" si="4"/>
        <v>32018690.147090703</v>
      </c>
      <c r="G82" s="2" t="s">
        <v>263</v>
      </c>
    </row>
    <row r="83" spans="1:12" x14ac:dyDescent="0.2">
      <c r="D83" s="453" t="s">
        <v>13</v>
      </c>
      <c r="E83" s="453"/>
      <c r="F83" s="122">
        <f t="shared" si="4"/>
        <v>46113958.899133116</v>
      </c>
    </row>
    <row r="84" spans="1:12" x14ac:dyDescent="0.2">
      <c r="D84" s="453" t="s">
        <v>8</v>
      </c>
      <c r="E84" s="453"/>
      <c r="F84" s="122">
        <f t="shared" si="4"/>
        <v>62707610.017807573</v>
      </c>
    </row>
    <row r="85" spans="1:12" x14ac:dyDescent="0.2">
      <c r="D85" s="453" t="s">
        <v>14</v>
      </c>
      <c r="E85" s="453"/>
      <c r="F85" s="122">
        <f t="shared" si="4"/>
        <v>79277359.261926174</v>
      </c>
      <c r="H85" s="3"/>
      <c r="I85" s="3"/>
    </row>
    <row r="86" spans="1:12" x14ac:dyDescent="0.2">
      <c r="D86" s="453" t="s">
        <v>15</v>
      </c>
      <c r="E86" s="453"/>
      <c r="F86" s="122">
        <f t="shared" si="4"/>
        <v>98847109.848728359</v>
      </c>
      <c r="H86" s="3"/>
      <c r="I86" s="3"/>
    </row>
    <row r="87" spans="1:12" hidden="1" x14ac:dyDescent="0.2">
      <c r="D87" s="458"/>
      <c r="E87" s="459"/>
      <c r="F87" s="12"/>
    </row>
    <row r="88" spans="1:12" x14ac:dyDescent="0.2">
      <c r="D88" s="455" t="s">
        <v>180</v>
      </c>
      <c r="E88" s="455"/>
      <c r="F88" s="146">
        <f>IRR(F81:F86)</f>
        <v>0.27932676111436883</v>
      </c>
      <c r="G88" s="3" t="s">
        <v>181</v>
      </c>
    </row>
    <row r="95" spans="1:12" x14ac:dyDescent="0.2">
      <c r="C95"/>
      <c r="D95"/>
      <c r="E95" s="99"/>
      <c r="F95"/>
      <c r="G95"/>
      <c r="H95"/>
      <c r="I95"/>
      <c r="J95"/>
      <c r="K95"/>
      <c r="L95"/>
    </row>
    <row r="96" spans="1:12" x14ac:dyDescent="0.2">
      <c r="A96" s="3" t="s">
        <v>35</v>
      </c>
      <c r="B96" s="3">
        <v>39</v>
      </c>
      <c r="C96" s="73" t="s">
        <v>300</v>
      </c>
      <c r="D96"/>
      <c r="E96" s="99"/>
      <c r="F96"/>
      <c r="G96"/>
      <c r="H96"/>
      <c r="I96"/>
      <c r="J96"/>
      <c r="K96"/>
      <c r="L96"/>
    </row>
    <row r="97" spans="1:12" ht="12.75" customHeight="1" x14ac:dyDescent="0.2">
      <c r="C97"/>
      <c r="D97"/>
      <c r="E97" s="99"/>
      <c r="F97"/>
      <c r="G97"/>
      <c r="H97"/>
      <c r="I97"/>
      <c r="J97"/>
      <c r="K97"/>
      <c r="L97"/>
    </row>
    <row r="98" spans="1:12" ht="15" x14ac:dyDescent="0.25">
      <c r="C98" s="74" t="s">
        <v>295</v>
      </c>
      <c r="D98" s="75" t="s">
        <v>296</v>
      </c>
      <c r="E98" s="100" t="s">
        <v>301</v>
      </c>
      <c r="F98" s="75" t="s">
        <v>297</v>
      </c>
      <c r="G98" s="76" t="s">
        <v>298</v>
      </c>
      <c r="H98" s="75" t="s">
        <v>57</v>
      </c>
      <c r="I98"/>
      <c r="J98"/>
      <c r="K98"/>
      <c r="L98"/>
    </row>
    <row r="99" spans="1:12" ht="12.75" customHeight="1" x14ac:dyDescent="0.2">
      <c r="C99" s="77" t="s">
        <v>172</v>
      </c>
      <c r="D99" s="1">
        <f>F81</f>
        <v>-141591077.03989708</v>
      </c>
      <c r="E99" s="101"/>
      <c r="F99" s="1">
        <f>F81</f>
        <v>-141591077.03989708</v>
      </c>
      <c r="G99" s="150">
        <v>3</v>
      </c>
      <c r="H99" s="151">
        <f>F102/(-E103)</f>
        <v>9.4707742898580694E-3</v>
      </c>
      <c r="I99"/>
      <c r="J99"/>
      <c r="K99"/>
      <c r="L99"/>
    </row>
    <row r="100" spans="1:12" ht="15" x14ac:dyDescent="0.25">
      <c r="C100" s="77" t="s">
        <v>12</v>
      </c>
      <c r="D100" s="1"/>
      <c r="E100" s="102">
        <f>F82</f>
        <v>32018690.147090703</v>
      </c>
      <c r="F100" s="1">
        <f>F99+E100</f>
        <v>-109572386.89280638</v>
      </c>
      <c r="G100" s="147">
        <f>+G99</f>
        <v>3</v>
      </c>
      <c r="H100" s="148">
        <f>+H99</f>
        <v>9.4707742898580694E-3</v>
      </c>
      <c r="I100"/>
      <c r="J100"/>
      <c r="K100"/>
      <c r="L100"/>
    </row>
    <row r="101" spans="1:12" ht="15" x14ac:dyDescent="0.2">
      <c r="C101" s="77" t="s">
        <v>13</v>
      </c>
      <c r="D101" s="1"/>
      <c r="E101" s="102">
        <f>F83</f>
        <v>46113958.899133116</v>
      </c>
      <c r="F101" s="1">
        <f>E101+F100</f>
        <v>-63458427.993673265</v>
      </c>
      <c r="G101"/>
      <c r="H101"/>
      <c r="I101"/>
      <c r="J101"/>
      <c r="K101"/>
      <c r="L101"/>
    </row>
    <row r="102" spans="1:12" ht="15" x14ac:dyDescent="0.2">
      <c r="C102" s="77" t="s">
        <v>299</v>
      </c>
      <c r="D102" s="1"/>
      <c r="E102" s="102">
        <f>F84</f>
        <v>62707610.017807573</v>
      </c>
      <c r="F102" s="1">
        <f>E102+F101</f>
        <v>-750817.9758656919</v>
      </c>
      <c r="G102" s="78"/>
      <c r="H102"/>
      <c r="I102"/>
      <c r="J102" s="110"/>
      <c r="K102"/>
      <c r="L102"/>
    </row>
    <row r="103" spans="1:12" ht="15" x14ac:dyDescent="0.2">
      <c r="C103" s="77" t="s">
        <v>14</v>
      </c>
      <c r="D103" s="1"/>
      <c r="E103" s="102">
        <f>F85</f>
        <v>79277359.261926174</v>
      </c>
      <c r="F103" s="1">
        <f>E103+F102</f>
        <v>78526541.286060482</v>
      </c>
      <c r="G103"/>
      <c r="H103"/>
      <c r="I103"/>
      <c r="J103"/>
      <c r="K103"/>
      <c r="L103"/>
    </row>
    <row r="104" spans="1:12" ht="15" x14ac:dyDescent="0.2">
      <c r="C104" s="77" t="s">
        <v>15</v>
      </c>
      <c r="D104" s="1"/>
      <c r="E104" s="102">
        <f>F86</f>
        <v>98847109.848728359</v>
      </c>
      <c r="F104" s="1">
        <f>E104+F103</f>
        <v>177373651.13478884</v>
      </c>
      <c r="G104"/>
      <c r="H104" s="78"/>
      <c r="J104"/>
      <c r="K104"/>
      <c r="L104"/>
    </row>
    <row r="106" spans="1:12" x14ac:dyDescent="0.2">
      <c r="F106" s="44"/>
      <c r="G106" s="68" t="s">
        <v>298</v>
      </c>
      <c r="H106" s="68" t="s">
        <v>57</v>
      </c>
    </row>
    <row r="107" spans="1:12" x14ac:dyDescent="0.2">
      <c r="C107" s="79"/>
      <c r="F107" s="142" t="s">
        <v>302</v>
      </c>
      <c r="G107" s="142">
        <f>G100</f>
        <v>3</v>
      </c>
      <c r="H107" s="149">
        <f>H100</f>
        <v>9.4707742898580694E-3</v>
      </c>
    </row>
    <row r="112" spans="1:12" x14ac:dyDescent="0.2">
      <c r="A112" s="3" t="s">
        <v>35</v>
      </c>
      <c r="B112" s="3">
        <v>40</v>
      </c>
      <c r="C112" s="3" t="s">
        <v>309</v>
      </c>
    </row>
    <row r="114" spans="1:11" x14ac:dyDescent="0.2">
      <c r="C114" s="152" t="s">
        <v>303</v>
      </c>
      <c r="D114" s="142" t="s">
        <v>12</v>
      </c>
      <c r="E114" s="153" t="s">
        <v>13</v>
      </c>
      <c r="F114" s="142" t="s">
        <v>299</v>
      </c>
      <c r="G114" s="142" t="s">
        <v>14</v>
      </c>
      <c r="H114" s="142" t="s">
        <v>15</v>
      </c>
    </row>
    <row r="115" spans="1:11" x14ac:dyDescent="0.2">
      <c r="C115" s="12" t="s">
        <v>188</v>
      </c>
      <c r="D115" s="80">
        <f>'COSTOS RESUMEN'!F19</f>
        <v>217970607.25</v>
      </c>
      <c r="E115" s="104">
        <f>'COSTOS RESUMEN'!$G$36*(1+3%)*PROYECCIONES!G10</f>
        <v>235735211.74087501</v>
      </c>
      <c r="F115" s="104">
        <f>'COSTOS RESUMEN'!$G$36*(1+3%)^2*PROYECCIONES!H10</f>
        <v>254947631.4977563</v>
      </c>
      <c r="G115" s="104">
        <f>'COSTOS RESUMEN'!$G$36*(1+3%)^3*PROYECCIONES!I10</f>
        <v>275725863.46482348</v>
      </c>
      <c r="H115" s="104">
        <f>'COSTOS RESUMEN'!$G$36*(1+3%)^4*PROYECCIONES!J10</f>
        <v>298197521.3372066</v>
      </c>
    </row>
    <row r="116" spans="1:11" x14ac:dyDescent="0.2">
      <c r="C116" s="12" t="s">
        <v>306</v>
      </c>
      <c r="D116" s="80">
        <f>+PROYECCIONES!D21</f>
        <v>3713.9443131943299</v>
      </c>
      <c r="E116" s="80">
        <f>+PROYECCIONES!F21</f>
        <v>3862.5020857221034</v>
      </c>
      <c r="F116" s="80">
        <f>+PROYECCIONES!G21</f>
        <v>4055.6271900082088</v>
      </c>
      <c r="G116" s="80">
        <f>+PROYECCIONES!H21</f>
        <v>4258.4085495086192</v>
      </c>
      <c r="H116" s="80">
        <f>+PROYECCIONES!I21</f>
        <v>4471.3289769840503</v>
      </c>
    </row>
    <row r="117" spans="1:11" x14ac:dyDescent="0.2">
      <c r="C117" s="12" t="s">
        <v>307</v>
      </c>
      <c r="D117" s="80">
        <f>'COSTOS RESUMEN'!G37</f>
        <v>600.34165181224</v>
      </c>
      <c r="E117" s="80">
        <f>+D117*(1+3%)</f>
        <v>618.35190136660719</v>
      </c>
      <c r="F117" s="80">
        <f>+E117*(1+3%)</f>
        <v>636.90245840760542</v>
      </c>
      <c r="G117" s="80">
        <f>+F117*(1+3%)</f>
        <v>656.00953215983361</v>
      </c>
      <c r="H117" s="80">
        <f>+G117*(1+3%)</f>
        <v>675.68981812462869</v>
      </c>
    </row>
    <row r="118" spans="1:11" ht="12.75" customHeight="1" x14ac:dyDescent="0.2">
      <c r="C118" s="142" t="s">
        <v>308</v>
      </c>
      <c r="D118" s="154">
        <f>D115/(D116-D117)</f>
        <v>70005.916282601553</v>
      </c>
      <c r="E118" s="154">
        <f>E115/(E116-E117)</f>
        <v>72664.703649565374</v>
      </c>
      <c r="F118" s="154">
        <f>F115/(F116-F117)</f>
        <v>74573.898606452902</v>
      </c>
      <c r="G118" s="154">
        <f>G115/(G116-G117)</f>
        <v>76539.51217978794</v>
      </c>
      <c r="H118" s="154">
        <f>H115/(H116-H117)</f>
        <v>78563.190244568483</v>
      </c>
    </row>
    <row r="119" spans="1:11" x14ac:dyDescent="0.2">
      <c r="E119" s="103"/>
      <c r="F119" s="103"/>
      <c r="G119" s="103"/>
      <c r="H119" s="103"/>
    </row>
    <row r="120" spans="1:11" x14ac:dyDescent="0.2">
      <c r="E120" s="103"/>
      <c r="F120" s="103"/>
      <c r="G120" s="103"/>
      <c r="H120" s="103"/>
    </row>
    <row r="121" spans="1:11" x14ac:dyDescent="0.2">
      <c r="E121" s="103"/>
      <c r="F121" s="103"/>
      <c r="G121" s="103"/>
      <c r="H121" s="103"/>
    </row>
    <row r="122" spans="1:11" x14ac:dyDescent="0.2">
      <c r="E122" s="103"/>
      <c r="F122" s="103"/>
      <c r="G122" s="103"/>
      <c r="H122" s="103"/>
    </row>
    <row r="123" spans="1:11" x14ac:dyDescent="0.2">
      <c r="A123" s="3"/>
      <c r="B123" s="3"/>
      <c r="C123" s="3"/>
      <c r="E123" s="103"/>
      <c r="F123" s="103"/>
      <c r="G123" s="103"/>
      <c r="H123" s="103"/>
    </row>
    <row r="125" spans="1:11" x14ac:dyDescent="0.2">
      <c r="E125" s="105"/>
      <c r="F125" s="105"/>
      <c r="G125" s="105"/>
      <c r="H125" s="105"/>
      <c r="I125" s="105"/>
      <c r="J125" s="105"/>
      <c r="K125" s="105"/>
    </row>
    <row r="126" spans="1:11" x14ac:dyDescent="0.2">
      <c r="E126" s="105"/>
      <c r="F126" s="105"/>
      <c r="G126" s="105"/>
      <c r="H126" s="105"/>
      <c r="I126" s="105"/>
      <c r="J126" s="105"/>
      <c r="K126" s="105"/>
    </row>
    <row r="127" spans="1:11" x14ac:dyDescent="0.2">
      <c r="D127" s="372"/>
      <c r="E127" s="105"/>
      <c r="F127" s="105"/>
      <c r="G127" s="105"/>
      <c r="H127" s="105"/>
      <c r="I127" s="105"/>
      <c r="J127" s="105"/>
      <c r="K127" s="105"/>
    </row>
    <row r="128" spans="1:11" x14ac:dyDescent="0.2">
      <c r="D128" s="372"/>
      <c r="E128" s="105"/>
      <c r="F128" s="105"/>
      <c r="G128" s="105"/>
      <c r="H128" s="105"/>
      <c r="I128" s="105"/>
      <c r="J128" s="105"/>
      <c r="K128" s="105"/>
    </row>
    <row r="129" spans="4:11" x14ac:dyDescent="0.2">
      <c r="D129" s="372"/>
      <c r="E129" s="105"/>
      <c r="F129" s="105"/>
      <c r="G129" s="105"/>
      <c r="H129" s="105"/>
      <c r="I129" s="105"/>
      <c r="J129" s="105"/>
      <c r="K129" s="105"/>
    </row>
    <row r="130" spans="4:11" x14ac:dyDescent="0.2">
      <c r="E130" s="105"/>
      <c r="F130" s="105"/>
      <c r="G130" s="105"/>
      <c r="H130" s="105"/>
      <c r="I130" s="105"/>
      <c r="J130" s="105"/>
      <c r="K130" s="105"/>
    </row>
    <row r="131" spans="4:11" x14ac:dyDescent="0.2">
      <c r="E131" s="105"/>
      <c r="F131" s="105"/>
      <c r="G131" s="105"/>
      <c r="H131" s="105"/>
      <c r="I131" s="105"/>
      <c r="J131" s="105"/>
      <c r="K131" s="105"/>
    </row>
    <row r="132" spans="4:11" x14ac:dyDescent="0.2">
      <c r="E132" s="105"/>
      <c r="F132" s="105"/>
      <c r="G132" s="105"/>
      <c r="H132" s="105"/>
      <c r="I132" s="105"/>
      <c r="J132" s="105"/>
      <c r="K132" s="105"/>
    </row>
    <row r="133" spans="4:11" x14ac:dyDescent="0.2">
      <c r="E133" s="105"/>
      <c r="F133" s="105"/>
      <c r="G133" s="105"/>
      <c r="H133" s="105"/>
      <c r="I133" s="105"/>
      <c r="J133" s="105"/>
      <c r="K133" s="105"/>
    </row>
  </sheetData>
  <mergeCells count="31">
    <mergeCell ref="C7:E7"/>
    <mergeCell ref="C8:E8"/>
    <mergeCell ref="C9:E9"/>
    <mergeCell ref="C29:E29"/>
    <mergeCell ref="C35:E35"/>
    <mergeCell ref="C52:D52"/>
    <mergeCell ref="C48:D48"/>
    <mergeCell ref="D87:E87"/>
    <mergeCell ref="D83:E83"/>
    <mergeCell ref="D84:E84"/>
    <mergeCell ref="D71:E71"/>
    <mergeCell ref="D73:E73"/>
    <mergeCell ref="D72:E72"/>
    <mergeCell ref="D74:E74"/>
    <mergeCell ref="D67:E67"/>
    <mergeCell ref="D88:E88"/>
    <mergeCell ref="D85:E85"/>
    <mergeCell ref="D86:E86"/>
    <mergeCell ref="D75:E75"/>
    <mergeCell ref="D54:E55"/>
    <mergeCell ref="D81:E81"/>
    <mergeCell ref="D82:E82"/>
    <mergeCell ref="F54:F55"/>
    <mergeCell ref="D68:E68"/>
    <mergeCell ref="D69:E69"/>
    <mergeCell ref="D70:E70"/>
    <mergeCell ref="I54:I55"/>
    <mergeCell ref="D62:H62"/>
    <mergeCell ref="H54:H55"/>
    <mergeCell ref="D66:E66"/>
    <mergeCell ref="G54:G55"/>
  </mergeCells>
  <pageMargins left="0.7" right="0.7" top="0.75" bottom="0.75" header="0.3" footer="0.3"/>
  <pageSetup orientation="portrait" r:id="rId1"/>
  <ignoredErrors>
    <ignoredError sqref="F116:H116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Q140"/>
  <sheetViews>
    <sheetView showGridLines="0" topLeftCell="D63" zoomScaleNormal="100" workbookViewId="0">
      <selection activeCell="H96" sqref="H96"/>
    </sheetView>
  </sheetViews>
  <sheetFormatPr baseColWidth="10" defaultRowHeight="12.75" x14ac:dyDescent="0.2"/>
  <cols>
    <col min="1" max="1" width="7.5703125" style="2" customWidth="1"/>
    <col min="2" max="2" width="3.42578125" style="2" customWidth="1"/>
    <col min="3" max="3" width="32" style="2" customWidth="1"/>
    <col min="4" max="4" width="27" style="2" bestFit="1" customWidth="1"/>
    <col min="5" max="5" width="15.5703125" style="96" customWidth="1"/>
    <col min="6" max="6" width="20.140625" style="2" customWidth="1"/>
    <col min="7" max="7" width="17.5703125" style="2" customWidth="1"/>
    <col min="8" max="8" width="17.85546875" style="2" customWidth="1"/>
    <col min="9" max="9" width="18" style="2" customWidth="1"/>
    <col min="10" max="10" width="17.7109375" style="2" customWidth="1"/>
    <col min="11" max="11" width="16.28515625" style="2" customWidth="1"/>
    <col min="12" max="12" width="12.7109375" style="2" customWidth="1"/>
    <col min="13" max="13" width="15.28515625" style="2" customWidth="1"/>
    <col min="14" max="16" width="12.5703125" style="2" customWidth="1"/>
    <col min="17" max="16384" width="11.42578125" style="2"/>
  </cols>
  <sheetData>
    <row r="1" spans="1:17" x14ac:dyDescent="0.2">
      <c r="E1" s="403" t="s">
        <v>82</v>
      </c>
      <c r="F1" s="415"/>
      <c r="G1" s="211" t="s">
        <v>11</v>
      </c>
      <c r="H1" s="211" t="s">
        <v>11</v>
      </c>
      <c r="I1" s="211" t="s">
        <v>11</v>
      </c>
      <c r="J1" s="211" t="s">
        <v>11</v>
      </c>
      <c r="K1" s="211" t="s">
        <v>11</v>
      </c>
    </row>
    <row r="2" spans="1:17" x14ac:dyDescent="0.2">
      <c r="E2" s="404"/>
      <c r="F2" s="416"/>
      <c r="G2" s="264">
        <f>+PROYECCIONES!D4+1</f>
        <v>1</v>
      </c>
      <c r="H2" s="264">
        <f>G2+1</f>
        <v>2</v>
      </c>
      <c r="I2" s="264">
        <f>H2+1</f>
        <v>3</v>
      </c>
      <c r="J2" s="264">
        <f>I2+1</f>
        <v>4</v>
      </c>
      <c r="K2" s="264">
        <f>J2+1</f>
        <v>5</v>
      </c>
    </row>
    <row r="3" spans="1:17" x14ac:dyDescent="0.2">
      <c r="D3" s="169" t="s">
        <v>252</v>
      </c>
      <c r="E3" s="444"/>
      <c r="F3" s="465"/>
      <c r="G3" s="267">
        <f>9997+'COSTOS Y GASTOS'!M69</f>
        <v>10068.4</v>
      </c>
      <c r="H3" s="267">
        <f>G3*(1+H4)</f>
        <v>10571.82</v>
      </c>
      <c r="I3" s="267">
        <f>H3*(1+I4)</f>
        <v>11100.411</v>
      </c>
      <c r="J3" s="267">
        <f>I3*(1+J4)</f>
        <v>11655.431550000001</v>
      </c>
      <c r="K3" s="267">
        <f>J3*(1+K4)</f>
        <v>12238.203127500001</v>
      </c>
    </row>
    <row r="4" spans="1:17" x14ac:dyDescent="0.2">
      <c r="D4" s="194" t="s">
        <v>234</v>
      </c>
      <c r="E4" s="413"/>
      <c r="F4" s="429"/>
      <c r="G4" s="268"/>
      <c r="H4" s="269">
        <v>0.05</v>
      </c>
      <c r="I4" s="269">
        <v>0.05</v>
      </c>
      <c r="J4" s="269">
        <v>0.05</v>
      </c>
      <c r="K4" s="269">
        <v>0.05</v>
      </c>
    </row>
    <row r="5" spans="1:17" x14ac:dyDescent="0.2">
      <c r="D5" s="169" t="s">
        <v>84</v>
      </c>
      <c r="E5" s="413"/>
      <c r="F5" s="429"/>
      <c r="G5" s="271">
        <f>+'COSTOS RESUMEN'!G40</f>
        <v>3713.9443131943299</v>
      </c>
      <c r="H5" s="271">
        <f>+G5*1.04</f>
        <v>3862.5020857221034</v>
      </c>
      <c r="I5" s="271">
        <f>+H5*1.05</f>
        <v>4055.6271900082088</v>
      </c>
      <c r="J5" s="271">
        <f>+I5*1.05</f>
        <v>4258.4085495086192</v>
      </c>
      <c r="K5" s="171">
        <f>+J5*1.05</f>
        <v>4471.3289769840503</v>
      </c>
    </row>
    <row r="6" spans="1:17" x14ac:dyDescent="0.2">
      <c r="D6" s="3"/>
      <c r="E6" s="21"/>
      <c r="F6" s="21"/>
      <c r="G6" s="3"/>
      <c r="H6" s="355"/>
      <c r="I6" s="355"/>
      <c r="J6" s="355"/>
      <c r="K6" s="355"/>
    </row>
    <row r="9" spans="1:17" x14ac:dyDescent="0.2">
      <c r="A9" s="3" t="s">
        <v>23</v>
      </c>
      <c r="B9" s="21">
        <v>35</v>
      </c>
      <c r="C9" s="3" t="s">
        <v>171</v>
      </c>
    </row>
    <row r="10" spans="1:17" x14ac:dyDescent="0.2">
      <c r="G10" s="116" t="s">
        <v>11</v>
      </c>
      <c r="H10" s="116" t="s">
        <v>11</v>
      </c>
      <c r="I10" s="116" t="s">
        <v>11</v>
      </c>
      <c r="J10" s="116" t="s">
        <v>11</v>
      </c>
      <c r="K10" s="116" t="s">
        <v>11</v>
      </c>
      <c r="L10" s="21"/>
      <c r="M10" s="21"/>
      <c r="N10" s="21"/>
      <c r="O10" s="21"/>
      <c r="P10" s="21"/>
    </row>
    <row r="11" spans="1:17" x14ac:dyDescent="0.2">
      <c r="G11" s="117">
        <f>PROYECCIONES!F29</f>
        <v>1</v>
      </c>
      <c r="H11" s="117">
        <f>PROYECCIONES!G29</f>
        <v>2</v>
      </c>
      <c r="I11" s="117">
        <f>PROYECCIONES!H29</f>
        <v>3</v>
      </c>
      <c r="J11" s="117">
        <f>PROYECCIONES!I29</f>
        <v>4</v>
      </c>
      <c r="K11" s="117">
        <f>PROYECCIONES!J29</f>
        <v>5</v>
      </c>
      <c r="L11" s="19"/>
      <c r="M11" s="19"/>
      <c r="N11" s="19"/>
      <c r="O11" s="19"/>
      <c r="P11" s="19"/>
    </row>
    <row r="12" spans="1:17" x14ac:dyDescent="0.2">
      <c r="C12" s="460" t="s">
        <v>127</v>
      </c>
      <c r="D12" s="460"/>
      <c r="E12" s="460"/>
      <c r="F12" s="82"/>
      <c r="G12" s="122">
        <f>+G3*G5</f>
        <v>37393476.922965787</v>
      </c>
      <c r="H12" s="122">
        <f>+H3*H5</f>
        <v>40833676.799878649</v>
      </c>
      <c r="I12" s="122">
        <f>+I3*I5</f>
        <v>45019128.671866208</v>
      </c>
      <c r="J12" s="122">
        <f>+J3*J5</f>
        <v>49633589.360732503</v>
      </c>
      <c r="K12" s="122">
        <f>+K3*K5</f>
        <v>54721032.270207584</v>
      </c>
      <c r="L12" s="4"/>
      <c r="M12" s="4"/>
      <c r="N12" s="4"/>
      <c r="O12" s="4"/>
      <c r="P12" s="4"/>
      <c r="Q12" s="4"/>
    </row>
    <row r="13" spans="1:17" x14ac:dyDescent="0.2">
      <c r="C13" s="460" t="s">
        <v>128</v>
      </c>
      <c r="D13" s="460"/>
      <c r="E13" s="460"/>
      <c r="F13" s="82"/>
      <c r="G13" s="122"/>
      <c r="H13" s="122"/>
      <c r="I13" s="122"/>
      <c r="J13" s="122"/>
      <c r="K13" s="122"/>
      <c r="L13" s="4"/>
      <c r="M13" s="4"/>
      <c r="N13" s="4"/>
      <c r="O13" s="4"/>
      <c r="P13" s="4"/>
    </row>
    <row r="14" spans="1:17" x14ac:dyDescent="0.2">
      <c r="C14" s="461" t="s">
        <v>129</v>
      </c>
      <c r="D14" s="461"/>
      <c r="E14" s="461"/>
      <c r="F14" s="123"/>
      <c r="G14" s="118">
        <f>G12+G13</f>
        <v>37393476.922965787</v>
      </c>
      <c r="H14" s="118">
        <f>H12+H13</f>
        <v>40833676.799878649</v>
      </c>
      <c r="I14" s="118">
        <f>I12+I13</f>
        <v>45019128.671866208</v>
      </c>
      <c r="J14" s="118">
        <f>J12+J13</f>
        <v>49633589.360732503</v>
      </c>
      <c r="K14" s="118">
        <f>K12+K13</f>
        <v>54721032.270207584</v>
      </c>
      <c r="L14" s="22"/>
      <c r="M14" s="22"/>
      <c r="N14" s="22"/>
      <c r="O14" s="22"/>
      <c r="P14" s="22"/>
    </row>
    <row r="15" spans="1:17" hidden="1" x14ac:dyDescent="0.2">
      <c r="C15" s="16"/>
      <c r="D15" s="16"/>
      <c r="E15" s="97"/>
      <c r="F15" s="16"/>
      <c r="G15" s="16"/>
      <c r="H15" s="16"/>
      <c r="I15" s="16"/>
      <c r="J15" s="16"/>
      <c r="K15" s="16"/>
    </row>
    <row r="16" spans="1:17" x14ac:dyDescent="0.2">
      <c r="C16" s="32" t="s">
        <v>130</v>
      </c>
      <c r="D16" s="16"/>
      <c r="E16" s="97"/>
      <c r="F16" s="16"/>
      <c r="G16" s="16"/>
      <c r="H16" s="16"/>
      <c r="I16" s="16"/>
      <c r="J16" s="16"/>
      <c r="K16" s="16"/>
    </row>
    <row r="17" spans="3:16" x14ac:dyDescent="0.2">
      <c r="C17" s="49" t="s">
        <v>131</v>
      </c>
      <c r="D17" s="36" t="s">
        <v>23</v>
      </c>
      <c r="E17" s="36">
        <v>14</v>
      </c>
      <c r="F17" s="37"/>
      <c r="G17" s="122">
        <f>PROYECCIONES!G75</f>
        <v>46242000.000000007</v>
      </c>
      <c r="H17" s="122">
        <f>PROYECCIONES!H75</f>
        <v>50010723.000000007</v>
      </c>
      <c r="I17" s="122">
        <f>PROYECCIONES!I75</f>
        <v>52511259.150000006</v>
      </c>
      <c r="J17" s="122">
        <f>PROYECCIONES!J75</f>
        <v>55136822.107500017</v>
      </c>
      <c r="K17" s="122">
        <f>PROYECCIONES!K75</f>
        <v>57893663.212875023</v>
      </c>
      <c r="L17" s="4"/>
      <c r="M17" s="4"/>
      <c r="N17" s="4"/>
      <c r="O17" s="4"/>
      <c r="P17" s="4"/>
    </row>
    <row r="18" spans="3:16" x14ac:dyDescent="0.2">
      <c r="C18" s="49" t="s">
        <v>134</v>
      </c>
      <c r="D18" s="36" t="s">
        <v>23</v>
      </c>
      <c r="E18" s="36">
        <v>11</v>
      </c>
      <c r="F18" s="37"/>
      <c r="G18" s="122">
        <f>PROYECCIONES!G76</f>
        <v>70377624.420000002</v>
      </c>
      <c r="H18" s="122">
        <f>PROYECCIONES!H76</f>
        <v>72488953.152600005</v>
      </c>
      <c r="I18" s="122">
        <f>PROYECCIONES!I76</f>
        <v>74663621.747178003</v>
      </c>
      <c r="J18" s="122">
        <f>PROYECCIONES!J76</f>
        <v>76903530.399593338</v>
      </c>
      <c r="K18" s="122">
        <f>PROYECCIONES!K76</f>
        <v>79210636.311581135</v>
      </c>
      <c r="L18" s="4"/>
      <c r="M18" s="4"/>
      <c r="N18" s="4"/>
      <c r="O18" s="4"/>
      <c r="P18" s="4"/>
    </row>
    <row r="19" spans="3:16" x14ac:dyDescent="0.2">
      <c r="C19" s="35" t="s">
        <v>132</v>
      </c>
      <c r="D19" s="38" t="s">
        <v>23</v>
      </c>
      <c r="E19" s="36">
        <v>15</v>
      </c>
      <c r="F19" s="37"/>
      <c r="G19" s="122">
        <f>PROYECCIONES!G77</f>
        <v>11449940</v>
      </c>
      <c r="H19" s="122">
        <f>PROYECCIONES!H77</f>
        <v>11793438.200000001</v>
      </c>
      <c r="I19" s="122">
        <f>PROYECCIONES!I77</f>
        <v>12147241.346000001</v>
      </c>
      <c r="J19" s="122">
        <f>PROYECCIONES!J77</f>
        <v>12511658.586380001</v>
      </c>
      <c r="K19" s="122">
        <f>PROYECCIONES!K77</f>
        <v>12887008.343971401</v>
      </c>
      <c r="L19" s="4"/>
      <c r="M19" s="4"/>
      <c r="N19" s="4"/>
      <c r="O19" s="4"/>
      <c r="P19" s="4"/>
    </row>
    <row r="20" spans="3:16" x14ac:dyDescent="0.2">
      <c r="C20" s="50" t="s">
        <v>47</v>
      </c>
      <c r="D20" s="38" t="s">
        <v>23</v>
      </c>
      <c r="E20" s="36">
        <v>13</v>
      </c>
      <c r="F20" s="37"/>
      <c r="G20" s="122">
        <f>PROYECCIONES!G78</f>
        <v>-5490160</v>
      </c>
      <c r="H20" s="122">
        <f>PROYECCIONES!H78</f>
        <v>-5490160</v>
      </c>
      <c r="I20" s="122">
        <f>PROYECCIONES!I78</f>
        <v>-5490160</v>
      </c>
      <c r="J20" s="122">
        <f>PROYECCIONES!J78</f>
        <v>-5490160</v>
      </c>
      <c r="K20" s="122">
        <f>PROYECCIONES!K78</f>
        <v>-5490160</v>
      </c>
      <c r="L20" s="4"/>
      <c r="M20" s="4"/>
      <c r="N20" s="4"/>
      <c r="O20" s="4"/>
      <c r="P20" s="4"/>
    </row>
    <row r="21" spans="3:16" x14ac:dyDescent="0.2">
      <c r="C21" s="50" t="s">
        <v>133</v>
      </c>
      <c r="D21" s="39" t="s">
        <v>23</v>
      </c>
      <c r="E21" s="36">
        <v>15</v>
      </c>
      <c r="F21" s="37"/>
      <c r="G21" s="122">
        <f>PROYECCIONES!G79</f>
        <v>2256000</v>
      </c>
      <c r="H21" s="122">
        <f>PROYECCIONES!H79</f>
        <v>2368800</v>
      </c>
      <c r="I21" s="122">
        <f>PROYECCIONES!I79</f>
        <v>2487240</v>
      </c>
      <c r="J21" s="122">
        <f>PROYECCIONES!J79</f>
        <v>2611602</v>
      </c>
      <c r="K21" s="122">
        <f>PROYECCIONES!K79</f>
        <v>2742182.1000000006</v>
      </c>
      <c r="L21" s="4"/>
      <c r="M21" s="4"/>
      <c r="N21" s="4"/>
      <c r="O21" s="4"/>
      <c r="P21" s="4"/>
    </row>
    <row r="22" spans="3:16" x14ac:dyDescent="0.2">
      <c r="C22" s="125" t="s">
        <v>141</v>
      </c>
      <c r="D22" s="126"/>
      <c r="E22" s="127"/>
      <c r="F22" s="128"/>
      <c r="G22" s="124">
        <f>SUM(G17:G21)</f>
        <v>124835404.42000002</v>
      </c>
      <c r="H22" s="124">
        <f>SUM(H17:H21)</f>
        <v>131171754.35260001</v>
      </c>
      <c r="I22" s="124">
        <f>SUM(I17:I21)</f>
        <v>136319202.24317801</v>
      </c>
      <c r="J22" s="124">
        <f>SUM(J17:J21)</f>
        <v>141673453.09347335</v>
      </c>
      <c r="K22" s="124">
        <f>SUM(K17:K21)</f>
        <v>147243329.96842754</v>
      </c>
      <c r="L22" s="22"/>
      <c r="M22" s="22"/>
      <c r="N22" s="22"/>
      <c r="O22" s="22"/>
      <c r="P22" s="22"/>
    </row>
    <row r="23" spans="3:16" hidden="1" x14ac:dyDescent="0.2">
      <c r="C23" s="16"/>
      <c r="D23" s="16"/>
      <c r="E23" s="97"/>
      <c r="F23" s="16"/>
      <c r="G23" s="16"/>
      <c r="H23" s="16"/>
      <c r="I23" s="16"/>
      <c r="J23" s="16"/>
      <c r="K23" s="66"/>
    </row>
    <row r="24" spans="3:16" x14ac:dyDescent="0.2">
      <c r="C24" s="119" t="s">
        <v>135</v>
      </c>
      <c r="D24" s="129"/>
      <c r="E24" s="130"/>
      <c r="F24" s="120"/>
      <c r="G24" s="118">
        <f>G14-G22</f>
        <v>-87441927.497034222</v>
      </c>
      <c r="H24" s="118">
        <f>H14-H22</f>
        <v>-90338077.552721351</v>
      </c>
      <c r="I24" s="118">
        <f>I14-I22</f>
        <v>-91300073.571311802</v>
      </c>
      <c r="J24" s="118">
        <f>J14-J22</f>
        <v>-92039863.732740849</v>
      </c>
      <c r="K24" s="118">
        <f>K14-K22</f>
        <v>-92522297.698219955</v>
      </c>
      <c r="L24" s="22"/>
      <c r="M24" s="22"/>
      <c r="N24" s="22"/>
      <c r="O24" s="22"/>
      <c r="P24" s="22"/>
    </row>
    <row r="25" spans="3:16" hidden="1" x14ac:dyDescent="0.2">
      <c r="C25" s="16"/>
      <c r="D25" s="16"/>
      <c r="E25" s="97"/>
      <c r="F25" s="16"/>
      <c r="G25" s="16"/>
      <c r="H25" s="16"/>
      <c r="I25" s="16"/>
      <c r="J25" s="16"/>
      <c r="K25" s="16"/>
    </row>
    <row r="26" spans="3:16" x14ac:dyDescent="0.2">
      <c r="C26" s="32" t="s">
        <v>137</v>
      </c>
      <c r="D26" s="16"/>
      <c r="E26" s="97"/>
      <c r="F26" s="16"/>
      <c r="G26" s="16"/>
      <c r="H26" s="16"/>
      <c r="I26" s="16"/>
      <c r="J26" s="16"/>
      <c r="K26" s="16"/>
    </row>
    <row r="27" spans="3:16" x14ac:dyDescent="0.2">
      <c r="C27" s="35" t="s">
        <v>136</v>
      </c>
      <c r="D27" s="36" t="s">
        <v>23</v>
      </c>
      <c r="E27" s="36">
        <v>20</v>
      </c>
      <c r="F27" s="33"/>
      <c r="G27" s="122">
        <f>PROYECCIONES!G85</f>
        <v>146047223.03</v>
      </c>
      <c r="H27" s="122">
        <f>PROYECCIONES!H85</f>
        <v>150428639.7209</v>
      </c>
      <c r="I27" s="122">
        <f>PROYECCIONES!I85</f>
        <v>154941498.91252699</v>
      </c>
      <c r="J27" s="122">
        <f>PROYECCIONES!J85</f>
        <v>159589743.87990281</v>
      </c>
      <c r="K27" s="122">
        <f>PROYECCIONES!K85</f>
        <v>164377436.19629991</v>
      </c>
      <c r="L27" s="4"/>
      <c r="M27" s="4"/>
      <c r="N27" s="4"/>
      <c r="O27" s="4"/>
      <c r="P27" s="4"/>
    </row>
    <row r="28" spans="3:16" x14ac:dyDescent="0.2">
      <c r="C28" s="35" t="s">
        <v>138</v>
      </c>
      <c r="D28" s="36" t="s">
        <v>23</v>
      </c>
      <c r="E28" s="36">
        <v>8</v>
      </c>
      <c r="F28" s="33"/>
      <c r="G28" s="122">
        <f>PROYECCIONES!G86</f>
        <v>-1625800.2</v>
      </c>
      <c r="H28" s="122">
        <f>PROYECCIONES!H86</f>
        <v>-1625800.2</v>
      </c>
      <c r="I28" s="122">
        <f>PROYECCIONES!I86</f>
        <v>-1625800.2</v>
      </c>
      <c r="J28" s="122">
        <f>PROYECCIONES!J86</f>
        <v>-1625800.2</v>
      </c>
      <c r="K28" s="122">
        <f>PROYECCIONES!K86</f>
        <v>-1625800.2</v>
      </c>
      <c r="L28" s="4"/>
      <c r="M28" s="4"/>
      <c r="N28" s="4"/>
      <c r="O28" s="4"/>
      <c r="P28" s="4"/>
    </row>
    <row r="29" spans="3:16" x14ac:dyDescent="0.2">
      <c r="C29" s="35" t="s">
        <v>47</v>
      </c>
      <c r="D29" s="36" t="s">
        <v>23</v>
      </c>
      <c r="E29" s="36">
        <v>13</v>
      </c>
      <c r="F29" s="33"/>
      <c r="G29" s="122">
        <f>PROYECCIONES!G87</f>
        <v>-1248240</v>
      </c>
      <c r="H29" s="122">
        <f>PROYECCIONES!H87</f>
        <v>-1248240</v>
      </c>
      <c r="I29" s="122">
        <f>PROYECCIONES!I87</f>
        <v>-1248240</v>
      </c>
      <c r="J29" s="122">
        <f>PROYECCIONES!J87</f>
        <v>-1248240</v>
      </c>
      <c r="K29" s="122">
        <f>PROYECCIONES!K87</f>
        <v>-1248240</v>
      </c>
      <c r="L29" s="4"/>
      <c r="M29" s="4"/>
      <c r="N29" s="4"/>
      <c r="O29" s="4"/>
      <c r="P29" s="4"/>
    </row>
    <row r="30" spans="3:16" x14ac:dyDescent="0.2">
      <c r="C30" s="35" t="s">
        <v>139</v>
      </c>
      <c r="D30" s="36" t="s">
        <v>23</v>
      </c>
      <c r="E30" s="36">
        <v>20</v>
      </c>
      <c r="F30" s="33"/>
      <c r="G30" s="122">
        <f>PROYECCIONES!G88</f>
        <v>0</v>
      </c>
      <c r="H30" s="122">
        <f>PROYECCIONES!H88</f>
        <v>0</v>
      </c>
      <c r="I30" s="122">
        <f>PROYECCIONES!I88</f>
        <v>0</v>
      </c>
      <c r="J30" s="122">
        <f>PROYECCIONES!J88</f>
        <v>0</v>
      </c>
      <c r="K30" s="122">
        <f>PROYECCIONES!K88</f>
        <v>0</v>
      </c>
      <c r="L30" s="4"/>
      <c r="M30" s="4"/>
      <c r="N30" s="4"/>
      <c r="O30" s="4"/>
      <c r="P30" s="4"/>
    </row>
    <row r="31" spans="3:16" x14ac:dyDescent="0.2">
      <c r="C31" s="35" t="s">
        <v>146</v>
      </c>
      <c r="D31" s="36" t="s">
        <v>23</v>
      </c>
      <c r="E31" s="36">
        <v>32</v>
      </c>
      <c r="F31" s="33"/>
      <c r="G31" s="122">
        <f>PROYECCIONES!G89</f>
        <v>0</v>
      </c>
      <c r="H31" s="122">
        <f>PROYECCIONES!H89</f>
        <v>2789474.1449899655</v>
      </c>
      <c r="I31" s="122">
        <f>PROYECCIONES!I89</f>
        <v>10117569.103166932</v>
      </c>
      <c r="J31" s="122">
        <f>PROYECCIONES!J89</f>
        <v>20569537.649236858</v>
      </c>
      <c r="K31" s="122">
        <f>PROYECCIONES!K89</f>
        <v>31461413.373748709</v>
      </c>
      <c r="L31" s="4"/>
      <c r="M31" s="4"/>
      <c r="N31" s="4"/>
      <c r="O31" s="4"/>
      <c r="P31" s="4"/>
    </row>
    <row r="32" spans="3:16" x14ac:dyDescent="0.2">
      <c r="C32" s="119" t="s">
        <v>140</v>
      </c>
      <c r="D32" s="129"/>
      <c r="E32" s="130"/>
      <c r="F32" s="131"/>
      <c r="G32" s="118">
        <f>SUM(G27:G31)</f>
        <v>143173182.83000001</v>
      </c>
      <c r="H32" s="118">
        <f>SUM(H27:H31)</f>
        <v>150344073.66588998</v>
      </c>
      <c r="I32" s="118">
        <f>SUM(I27:I31)</f>
        <v>162185027.81569394</v>
      </c>
      <c r="J32" s="118">
        <f>SUM(J27:J31)</f>
        <v>177285241.32913968</v>
      </c>
      <c r="K32" s="118">
        <f>SUM(K27:K31)</f>
        <v>192964809.37004864</v>
      </c>
      <c r="L32" s="22"/>
      <c r="M32" s="22"/>
      <c r="N32" s="22"/>
      <c r="O32" s="22"/>
      <c r="P32" s="22"/>
    </row>
    <row r="33" spans="1:16" hidden="1" x14ac:dyDescent="0.2">
      <c r="C33" s="132"/>
      <c r="D33" s="132"/>
      <c r="E33" s="133"/>
      <c r="F33" s="132"/>
      <c r="G33" s="132"/>
      <c r="H33" s="132"/>
      <c r="I33" s="132"/>
      <c r="J33" s="132"/>
      <c r="K33" s="134"/>
    </row>
    <row r="34" spans="1:16" x14ac:dyDescent="0.2">
      <c r="C34" s="462" t="s">
        <v>142</v>
      </c>
      <c r="D34" s="463"/>
      <c r="E34" s="464"/>
      <c r="F34" s="121"/>
      <c r="G34" s="118">
        <f>G24-G32</f>
        <v>-230615110.32703424</v>
      </c>
      <c r="H34" s="118">
        <f>H24-H32</f>
        <v>-240682151.21861133</v>
      </c>
      <c r="I34" s="118">
        <f>I24-I32</f>
        <v>-253485101.38700575</v>
      </c>
      <c r="J34" s="118">
        <f>J24-J32</f>
        <v>-269325105.06188053</v>
      </c>
      <c r="K34" s="118">
        <f>K24-K32</f>
        <v>-285487107.0682686</v>
      </c>
      <c r="L34" s="22"/>
      <c r="M34" s="22"/>
      <c r="N34" s="22"/>
      <c r="O34" s="22"/>
      <c r="P34" s="22"/>
    </row>
    <row r="35" spans="1:16" hidden="1" x14ac:dyDescent="0.2"/>
    <row r="36" spans="1:16" x14ac:dyDescent="0.2">
      <c r="C36" s="32" t="s">
        <v>143</v>
      </c>
      <c r="D36" s="16"/>
      <c r="E36" s="97"/>
      <c r="F36" s="16"/>
      <c r="G36" s="16"/>
      <c r="H36" s="16"/>
      <c r="I36" s="16"/>
      <c r="J36" s="16"/>
      <c r="K36" s="16"/>
    </row>
    <row r="37" spans="1:16" x14ac:dyDescent="0.2">
      <c r="C37" s="35" t="s">
        <v>26</v>
      </c>
      <c r="D37" s="36" t="s">
        <v>23</v>
      </c>
      <c r="E37" s="36">
        <v>7</v>
      </c>
      <c r="F37" s="122">
        <f>PROYECCIONES!F95</f>
        <v>65044000</v>
      </c>
      <c r="G37" s="13"/>
      <c r="H37" s="13"/>
      <c r="I37" s="13"/>
      <c r="J37" s="13"/>
      <c r="K37" s="13"/>
      <c r="L37" s="4"/>
      <c r="M37" s="4"/>
      <c r="N37" s="4"/>
      <c r="O37" s="4"/>
      <c r="P37" s="4"/>
    </row>
    <row r="38" spans="1:16" x14ac:dyDescent="0.2">
      <c r="C38" s="35" t="s">
        <v>109</v>
      </c>
      <c r="D38" s="36" t="s">
        <v>23</v>
      </c>
      <c r="E38" s="36">
        <v>8</v>
      </c>
      <c r="F38" s="122">
        <f>PROYECCIONES!F96</f>
        <v>8129001</v>
      </c>
      <c r="G38" s="13"/>
      <c r="H38" s="13"/>
      <c r="I38" s="13"/>
      <c r="J38" s="13"/>
      <c r="K38" s="13"/>
      <c r="L38" s="4"/>
      <c r="M38" s="4"/>
      <c r="N38" s="4"/>
      <c r="O38" s="4"/>
      <c r="P38" s="4"/>
    </row>
    <row r="39" spans="1:16" x14ac:dyDescent="0.2">
      <c r="C39" s="35" t="s">
        <v>144</v>
      </c>
      <c r="D39" s="36" t="s">
        <v>23</v>
      </c>
      <c r="E39" s="36">
        <v>22</v>
      </c>
      <c r="F39" s="122">
        <f>PROYECCIONES!F97</f>
        <v>68418076.039897099</v>
      </c>
      <c r="G39" s="13"/>
      <c r="H39" s="13"/>
      <c r="I39" s="13"/>
      <c r="J39" s="13"/>
      <c r="K39" s="13"/>
      <c r="L39" s="4"/>
      <c r="M39" s="4"/>
      <c r="N39" s="4"/>
      <c r="O39" s="4"/>
      <c r="P39" s="4"/>
    </row>
    <row r="40" spans="1:16" x14ac:dyDescent="0.2">
      <c r="C40" s="462" t="s">
        <v>145</v>
      </c>
      <c r="D40" s="463"/>
      <c r="E40" s="464"/>
      <c r="F40" s="135">
        <f t="shared" ref="F40:K40" si="0">SUM(F37:F39)</f>
        <v>141591077.03989708</v>
      </c>
      <c r="G40" s="135">
        <f t="shared" si="0"/>
        <v>0</v>
      </c>
      <c r="H40" s="135">
        <f t="shared" si="0"/>
        <v>0</v>
      </c>
      <c r="I40" s="135">
        <f t="shared" si="0"/>
        <v>0</v>
      </c>
      <c r="J40" s="135">
        <f t="shared" si="0"/>
        <v>0</v>
      </c>
      <c r="K40" s="135">
        <f t="shared" si="0"/>
        <v>0</v>
      </c>
      <c r="L40" s="4"/>
      <c r="M40" s="4"/>
      <c r="N40" s="4"/>
      <c r="O40" s="4"/>
      <c r="P40" s="4"/>
    </row>
    <row r="41" spans="1:16" hidden="1" x14ac:dyDescent="0.2">
      <c r="C41" s="132"/>
      <c r="D41" s="136"/>
      <c r="E41" s="137"/>
      <c r="F41" s="138"/>
      <c r="G41" s="132"/>
      <c r="H41" s="132"/>
      <c r="I41" s="132"/>
      <c r="J41" s="132"/>
      <c r="K41" s="134"/>
    </row>
    <row r="42" spans="1:16" x14ac:dyDescent="0.2">
      <c r="C42" s="119" t="s">
        <v>148</v>
      </c>
      <c r="D42" s="139"/>
      <c r="E42" s="140"/>
      <c r="F42" s="118">
        <f>F34-F40</f>
        <v>-141591077.03989708</v>
      </c>
      <c r="G42" s="118">
        <f>G34</f>
        <v>-230615110.32703424</v>
      </c>
      <c r="H42" s="118">
        <f>H34</f>
        <v>-240682151.21861133</v>
      </c>
      <c r="I42" s="118">
        <f>I34</f>
        <v>-253485101.38700575</v>
      </c>
      <c r="J42" s="118">
        <f>J34</f>
        <v>-269325105.06188053</v>
      </c>
      <c r="K42" s="118">
        <f>K34</f>
        <v>-285487107.0682686</v>
      </c>
      <c r="L42" s="22"/>
      <c r="M42" s="22"/>
      <c r="N42" s="22"/>
      <c r="O42" s="22"/>
      <c r="P42" s="22"/>
    </row>
    <row r="46" spans="1:16" x14ac:dyDescent="0.2">
      <c r="A46" s="3" t="s">
        <v>35</v>
      </c>
      <c r="B46" s="3">
        <v>36</v>
      </c>
      <c r="C46" s="3" t="s">
        <v>294</v>
      </c>
      <c r="D46" s="3"/>
      <c r="E46" s="98"/>
      <c r="F46" s="3"/>
    </row>
    <row r="47" spans="1:16" x14ac:dyDescent="0.2">
      <c r="A47" s="3"/>
      <c r="B47" s="3"/>
      <c r="C47" s="3"/>
      <c r="D47" s="3"/>
      <c r="E47" s="98"/>
      <c r="F47" s="3"/>
    </row>
    <row r="49" spans="1:9" x14ac:dyDescent="0.2">
      <c r="C49" s="12" t="s">
        <v>291</v>
      </c>
      <c r="D49" s="95">
        <v>4.4299999999999999E-2</v>
      </c>
    </row>
    <row r="50" spans="1:9" x14ac:dyDescent="0.2">
      <c r="C50" s="12" t="s">
        <v>292</v>
      </c>
      <c r="D50" s="67">
        <v>0.09</v>
      </c>
    </row>
    <row r="51" spans="1:9" x14ac:dyDescent="0.2">
      <c r="C51" s="68" t="s">
        <v>311</v>
      </c>
      <c r="D51" s="69">
        <f>((1+D49)*(1+D50))-1</f>
        <v>0.13828700000000005</v>
      </c>
    </row>
    <row r="53" spans="1:9" ht="13.5" customHeight="1" x14ac:dyDescent="0.2">
      <c r="C53" s="455" t="s">
        <v>312</v>
      </c>
      <c r="D53" s="455"/>
      <c r="E53" s="141">
        <f>D51</f>
        <v>0.13828700000000005</v>
      </c>
      <c r="F53" s="142" t="s">
        <v>181</v>
      </c>
    </row>
    <row r="57" spans="1:9" x14ac:dyDescent="0.2">
      <c r="A57" s="3" t="s">
        <v>23</v>
      </c>
      <c r="B57" s="3">
        <v>37</v>
      </c>
      <c r="C57" s="457" t="s">
        <v>184</v>
      </c>
      <c r="D57" s="457"/>
    </row>
    <row r="59" spans="1:9" x14ac:dyDescent="0.2">
      <c r="C59" s="3" t="s">
        <v>174</v>
      </c>
      <c r="D59" s="452" t="s">
        <v>65</v>
      </c>
      <c r="E59" s="452"/>
      <c r="F59" s="452" t="s">
        <v>173</v>
      </c>
      <c r="G59" s="452" t="s">
        <v>176</v>
      </c>
      <c r="H59" s="452" t="s">
        <v>179</v>
      </c>
      <c r="I59" s="452" t="s">
        <v>182</v>
      </c>
    </row>
    <row r="60" spans="1:9" x14ac:dyDescent="0.2">
      <c r="D60" s="456"/>
      <c r="E60" s="456"/>
      <c r="F60" s="452"/>
      <c r="G60" s="452"/>
      <c r="H60" s="452"/>
      <c r="I60" s="452"/>
    </row>
    <row r="61" spans="1:9" x14ac:dyDescent="0.2">
      <c r="D61" s="70" t="s">
        <v>11</v>
      </c>
      <c r="E61" s="111">
        <v>0</v>
      </c>
      <c r="F61" s="143">
        <f>F42</f>
        <v>-141591077.03989708</v>
      </c>
      <c r="G61" s="144">
        <f>E53</f>
        <v>0.13828700000000005</v>
      </c>
      <c r="H61" s="145">
        <f t="shared" ref="H61:H66" si="1">1/((1+G61)^E61)</f>
        <v>1</v>
      </c>
      <c r="I61" s="122">
        <f t="shared" ref="I61:I66" si="2">F61*H61</f>
        <v>-141591077.03989708</v>
      </c>
    </row>
    <row r="62" spans="1:9" x14ac:dyDescent="0.2">
      <c r="D62" s="71" t="s">
        <v>11</v>
      </c>
      <c r="E62" s="112">
        <v>1</v>
      </c>
      <c r="F62" s="143">
        <f>G42</f>
        <v>-230615110.32703424</v>
      </c>
      <c r="G62" s="144">
        <f>G61</f>
        <v>0.13828700000000005</v>
      </c>
      <c r="H62" s="145">
        <f t="shared" si="1"/>
        <v>0.87851306392851714</v>
      </c>
      <c r="I62" s="122">
        <f t="shared" si="2"/>
        <v>-202598387.16161585</v>
      </c>
    </row>
    <row r="63" spans="1:9" x14ac:dyDescent="0.2">
      <c r="D63" s="72" t="s">
        <v>11</v>
      </c>
      <c r="E63" s="113">
        <v>2</v>
      </c>
      <c r="F63" s="143">
        <f>H42</f>
        <v>-240682151.21861133</v>
      </c>
      <c r="G63" s="144">
        <f>G62</f>
        <v>0.13828700000000005</v>
      </c>
      <c r="H63" s="145">
        <f t="shared" si="1"/>
        <v>0.77178520349307078</v>
      </c>
      <c r="I63" s="122">
        <f t="shared" si="2"/>
        <v>-185754923.05540597</v>
      </c>
    </row>
    <row r="64" spans="1:9" x14ac:dyDescent="0.2">
      <c r="D64" s="70" t="s">
        <v>11</v>
      </c>
      <c r="E64" s="111">
        <v>3</v>
      </c>
      <c r="F64" s="143">
        <f>I42</f>
        <v>-253485101.38700575</v>
      </c>
      <c r="G64" s="144">
        <f>G63</f>
        <v>0.13828700000000005</v>
      </c>
      <c r="H64" s="145">
        <f t="shared" si="1"/>
        <v>0.67802338381539162</v>
      </c>
      <c r="I64" s="122">
        <f t="shared" si="2"/>
        <v>-171868826.18920526</v>
      </c>
    </row>
    <row r="65" spans="3:12" x14ac:dyDescent="0.2">
      <c r="D65" s="72" t="s">
        <v>11</v>
      </c>
      <c r="E65" s="113">
        <v>4</v>
      </c>
      <c r="F65" s="143">
        <f>J42</f>
        <v>-269325105.06188053</v>
      </c>
      <c r="G65" s="144">
        <f>G64</f>
        <v>0.13828700000000005</v>
      </c>
      <c r="H65" s="145">
        <f t="shared" si="1"/>
        <v>0.59565240033084066</v>
      </c>
      <c r="I65" s="122">
        <f t="shared" si="2"/>
        <v>-160424145.29946497</v>
      </c>
    </row>
    <row r="66" spans="3:12" x14ac:dyDescent="0.2">
      <c r="D66" s="70" t="s">
        <v>11</v>
      </c>
      <c r="E66" s="111">
        <v>5</v>
      </c>
      <c r="F66" s="143">
        <f>K42</f>
        <v>-285487107.0682686</v>
      </c>
      <c r="G66" s="144">
        <f>G65</f>
        <v>0.13828700000000005</v>
      </c>
      <c r="H66" s="145">
        <f t="shared" si="1"/>
        <v>0.52328841525102254</v>
      </c>
      <c r="I66" s="122">
        <f t="shared" si="2"/>
        <v>-149392095.83235326</v>
      </c>
    </row>
    <row r="67" spans="3:12" x14ac:dyDescent="0.2">
      <c r="D67" s="454" t="s">
        <v>293</v>
      </c>
      <c r="E67" s="454"/>
      <c r="F67" s="455"/>
      <c r="G67" s="455"/>
      <c r="H67" s="455"/>
      <c r="I67" s="118">
        <f>SUM(I61:I66)</f>
        <v>-1011629454.5779424</v>
      </c>
    </row>
    <row r="70" spans="3:12" x14ac:dyDescent="0.2">
      <c r="C70" s="3" t="s">
        <v>175</v>
      </c>
    </row>
    <row r="71" spans="3:12" x14ac:dyDescent="0.2">
      <c r="D71" s="453" t="s">
        <v>172</v>
      </c>
      <c r="E71" s="453"/>
      <c r="F71" s="122">
        <f t="shared" ref="F71:F76" si="3">F61</f>
        <v>-141591077.03989708</v>
      </c>
    </row>
    <row r="72" spans="3:12" x14ac:dyDescent="0.2">
      <c r="D72" s="453" t="s">
        <v>12</v>
      </c>
      <c r="E72" s="453"/>
      <c r="F72" s="122">
        <f t="shared" si="3"/>
        <v>-230615110.32703424</v>
      </c>
      <c r="K72" s="3"/>
      <c r="L72" s="3"/>
    </row>
    <row r="73" spans="3:12" x14ac:dyDescent="0.2">
      <c r="D73" s="453" t="s">
        <v>13</v>
      </c>
      <c r="E73" s="453"/>
      <c r="F73" s="122">
        <f t="shared" si="3"/>
        <v>-240682151.21861133</v>
      </c>
      <c r="K73" s="3"/>
      <c r="L73" s="3"/>
    </row>
    <row r="74" spans="3:12" x14ac:dyDescent="0.2">
      <c r="D74" s="453" t="s">
        <v>8</v>
      </c>
      <c r="E74" s="453"/>
      <c r="F74" s="122">
        <f t="shared" si="3"/>
        <v>-253485101.38700575</v>
      </c>
    </row>
    <row r="75" spans="3:12" x14ac:dyDescent="0.2">
      <c r="D75" s="453" t="s">
        <v>14</v>
      </c>
      <c r="E75" s="453"/>
      <c r="F75" s="122">
        <f t="shared" si="3"/>
        <v>-269325105.06188053</v>
      </c>
    </row>
    <row r="76" spans="3:12" x14ac:dyDescent="0.2">
      <c r="D76" s="453" t="s">
        <v>15</v>
      </c>
      <c r="E76" s="453"/>
      <c r="F76" s="122">
        <f t="shared" si="3"/>
        <v>-285487107.0682686</v>
      </c>
    </row>
    <row r="77" spans="3:12" x14ac:dyDescent="0.2">
      <c r="D77" s="458"/>
      <c r="E77" s="459"/>
      <c r="F77" s="12"/>
    </row>
    <row r="78" spans="3:12" x14ac:dyDescent="0.2">
      <c r="D78" s="455" t="s">
        <v>177</v>
      </c>
      <c r="E78" s="455"/>
      <c r="F78" s="146">
        <f>E53</f>
        <v>0.13828700000000005</v>
      </c>
    </row>
    <row r="79" spans="3:12" x14ac:dyDescent="0.2">
      <c r="D79" s="458"/>
      <c r="E79" s="459"/>
      <c r="F79" s="12"/>
    </row>
    <row r="80" spans="3:12" x14ac:dyDescent="0.2">
      <c r="D80" s="455" t="s">
        <v>178</v>
      </c>
      <c r="E80" s="455"/>
      <c r="F80" s="118">
        <f>NPV(F78,F72:F76)+F71</f>
        <v>-1011629454.5779424</v>
      </c>
    </row>
    <row r="84" spans="1:9" x14ac:dyDescent="0.2">
      <c r="A84" s="3" t="s">
        <v>23</v>
      </c>
      <c r="B84" s="3">
        <v>38</v>
      </c>
      <c r="C84" s="3" t="s">
        <v>183</v>
      </c>
    </row>
    <row r="85" spans="1:9" x14ac:dyDescent="0.2">
      <c r="A85" s="3"/>
      <c r="B85" s="3"/>
      <c r="C85" s="3"/>
    </row>
    <row r="86" spans="1:9" x14ac:dyDescent="0.2">
      <c r="D86" s="453" t="s">
        <v>172</v>
      </c>
      <c r="E86" s="453"/>
      <c r="F86" s="122">
        <f t="shared" ref="F86:F91" si="4">F71</f>
        <v>-141591077.03989708</v>
      </c>
    </row>
    <row r="87" spans="1:9" x14ac:dyDescent="0.2">
      <c r="D87" s="453" t="s">
        <v>12</v>
      </c>
      <c r="E87" s="453"/>
      <c r="F87" s="122">
        <f t="shared" si="4"/>
        <v>-230615110.32703424</v>
      </c>
      <c r="G87" s="2" t="s">
        <v>263</v>
      </c>
    </row>
    <row r="88" spans="1:9" x14ac:dyDescent="0.2">
      <c r="D88" s="453" t="s">
        <v>13</v>
      </c>
      <c r="E88" s="453"/>
      <c r="F88" s="122">
        <f t="shared" si="4"/>
        <v>-240682151.21861133</v>
      </c>
    </row>
    <row r="89" spans="1:9" x14ac:dyDescent="0.2">
      <c r="D89" s="453" t="s">
        <v>8</v>
      </c>
      <c r="E89" s="453"/>
      <c r="F89" s="122">
        <f t="shared" si="4"/>
        <v>-253485101.38700575</v>
      </c>
    </row>
    <row r="90" spans="1:9" x14ac:dyDescent="0.2">
      <c r="D90" s="453" t="s">
        <v>14</v>
      </c>
      <c r="E90" s="453"/>
      <c r="F90" s="122">
        <f t="shared" si="4"/>
        <v>-269325105.06188053</v>
      </c>
      <c r="H90" s="3"/>
      <c r="I90" s="3"/>
    </row>
    <row r="91" spans="1:9" x14ac:dyDescent="0.2">
      <c r="D91" s="453" t="s">
        <v>15</v>
      </c>
      <c r="E91" s="453"/>
      <c r="F91" s="122">
        <f t="shared" si="4"/>
        <v>-285487107.0682686</v>
      </c>
      <c r="H91" s="3"/>
      <c r="I91" s="3"/>
    </row>
    <row r="92" spans="1:9" hidden="1" x14ac:dyDescent="0.2">
      <c r="D92" s="458"/>
      <c r="E92" s="459"/>
      <c r="F92" s="12"/>
    </row>
    <row r="93" spans="1:9" x14ac:dyDescent="0.2">
      <c r="D93" s="455" t="s">
        <v>180</v>
      </c>
      <c r="E93" s="455"/>
      <c r="F93" s="146" t="e">
        <f>IRR(F86:F91)</f>
        <v>#NUM!</v>
      </c>
      <c r="G93" s="3" t="s">
        <v>181</v>
      </c>
    </row>
    <row r="100" spans="1:12" x14ac:dyDescent="0.2">
      <c r="C100"/>
      <c r="D100"/>
      <c r="E100" s="99"/>
      <c r="F100"/>
      <c r="G100"/>
      <c r="H100"/>
      <c r="I100"/>
      <c r="J100"/>
      <c r="K100"/>
      <c r="L100"/>
    </row>
    <row r="101" spans="1:12" x14ac:dyDescent="0.2">
      <c r="A101" s="3" t="s">
        <v>35</v>
      </c>
      <c r="B101" s="3">
        <v>39</v>
      </c>
      <c r="C101" s="73" t="s">
        <v>300</v>
      </c>
      <c r="D101"/>
      <c r="E101" s="99"/>
      <c r="F101"/>
      <c r="G101"/>
      <c r="H101"/>
      <c r="I101"/>
      <c r="J101"/>
      <c r="K101"/>
      <c r="L101"/>
    </row>
    <row r="102" spans="1:12" ht="12.75" customHeight="1" x14ac:dyDescent="0.2">
      <c r="C102"/>
      <c r="D102"/>
      <c r="E102" s="99"/>
      <c r="F102"/>
      <c r="G102"/>
      <c r="H102"/>
      <c r="I102"/>
      <c r="J102"/>
      <c r="K102"/>
      <c r="L102"/>
    </row>
    <row r="103" spans="1:12" ht="15" x14ac:dyDescent="0.25">
      <c r="C103" s="74" t="s">
        <v>295</v>
      </c>
      <c r="D103" s="75" t="s">
        <v>296</v>
      </c>
      <c r="E103" s="100" t="s">
        <v>301</v>
      </c>
      <c r="F103" s="75" t="s">
        <v>297</v>
      </c>
      <c r="G103" s="76" t="s">
        <v>298</v>
      </c>
      <c r="H103" s="75" t="s">
        <v>57</v>
      </c>
      <c r="I103"/>
      <c r="J103"/>
      <c r="K103"/>
      <c r="L103"/>
    </row>
    <row r="104" spans="1:12" ht="12.75" customHeight="1" x14ac:dyDescent="0.2">
      <c r="C104" s="77" t="s">
        <v>172</v>
      </c>
      <c r="D104" s="1">
        <f>F86</f>
        <v>-141591077.03989708</v>
      </c>
      <c r="E104" s="101"/>
      <c r="F104" s="1">
        <f>F86</f>
        <v>-141591077.03989708</v>
      </c>
      <c r="G104" s="150">
        <v>0</v>
      </c>
      <c r="H104" s="151"/>
      <c r="I104"/>
      <c r="J104"/>
      <c r="K104"/>
      <c r="L104"/>
    </row>
    <row r="105" spans="1:12" ht="15" x14ac:dyDescent="0.25">
      <c r="C105" s="77" t="s">
        <v>12</v>
      </c>
      <c r="D105" s="1"/>
      <c r="E105" s="102">
        <f t="shared" ref="E105:E110" si="5">F87</f>
        <v>-230615110.32703424</v>
      </c>
      <c r="F105" s="1">
        <f>F104+E105</f>
        <v>-372206187.36693132</v>
      </c>
      <c r="G105" s="147">
        <f>G104</f>
        <v>0</v>
      </c>
      <c r="H105" s="148">
        <f>+H104</f>
        <v>0</v>
      </c>
      <c r="I105"/>
      <c r="J105"/>
      <c r="K105"/>
      <c r="L105"/>
    </row>
    <row r="106" spans="1:12" ht="15" x14ac:dyDescent="0.2">
      <c r="C106" s="77" t="s">
        <v>13</v>
      </c>
      <c r="D106" s="1"/>
      <c r="E106" s="102">
        <f t="shared" si="5"/>
        <v>-240682151.21861133</v>
      </c>
      <c r="F106" s="1">
        <f>E106+F105</f>
        <v>-612888338.58554268</v>
      </c>
      <c r="G106"/>
      <c r="H106"/>
      <c r="I106"/>
      <c r="J106"/>
      <c r="K106"/>
      <c r="L106"/>
    </row>
    <row r="107" spans="1:12" ht="15" x14ac:dyDescent="0.2">
      <c r="C107" s="77" t="s">
        <v>299</v>
      </c>
      <c r="D107" s="1"/>
      <c r="E107" s="102">
        <f t="shared" si="5"/>
        <v>-253485101.38700575</v>
      </c>
      <c r="F107" s="1">
        <f>E107+F106</f>
        <v>-866373439.97254848</v>
      </c>
      <c r="G107" s="78"/>
      <c r="H107"/>
      <c r="I107"/>
      <c r="J107" s="110"/>
      <c r="K107"/>
      <c r="L107"/>
    </row>
    <row r="108" spans="1:12" ht="15" x14ac:dyDescent="0.2">
      <c r="C108" s="77" t="s">
        <v>14</v>
      </c>
      <c r="D108" s="1"/>
      <c r="E108" s="102">
        <f t="shared" si="5"/>
        <v>-269325105.06188053</v>
      </c>
      <c r="F108" s="1">
        <f>E108+F107</f>
        <v>-1135698545.0344291</v>
      </c>
      <c r="G108"/>
      <c r="H108"/>
      <c r="I108"/>
      <c r="J108"/>
      <c r="K108"/>
      <c r="L108"/>
    </row>
    <row r="109" spans="1:12" ht="15" x14ac:dyDescent="0.2">
      <c r="C109" s="77" t="s">
        <v>15</v>
      </c>
      <c r="D109" s="1"/>
      <c r="E109" s="102">
        <f t="shared" si="5"/>
        <v>-285487107.0682686</v>
      </c>
      <c r="F109" s="1">
        <f>E109+F108</f>
        <v>-1421185652.1026976</v>
      </c>
      <c r="G109"/>
      <c r="H109" s="78"/>
      <c r="J109"/>
      <c r="K109"/>
      <c r="L109"/>
    </row>
    <row r="110" spans="1:12" ht="15" x14ac:dyDescent="0.2">
      <c r="C110" s="77" t="s">
        <v>365</v>
      </c>
      <c r="D110" s="1"/>
      <c r="E110" s="102">
        <f t="shared" si="5"/>
        <v>0</v>
      </c>
      <c r="F110" s="1">
        <f>E110+F109</f>
        <v>-1421185652.1026976</v>
      </c>
      <c r="G110"/>
      <c r="H110" s="78"/>
      <c r="J110"/>
      <c r="K110"/>
      <c r="L110"/>
    </row>
    <row r="111" spans="1:12" ht="15" x14ac:dyDescent="0.2">
      <c r="C111" s="356"/>
      <c r="D111" s="78"/>
      <c r="E111" s="357"/>
      <c r="F111" s="78"/>
      <c r="G111"/>
      <c r="H111" s="78"/>
      <c r="J111"/>
      <c r="K111"/>
      <c r="L111"/>
    </row>
    <row r="113" spans="1:8" x14ac:dyDescent="0.2">
      <c r="F113" s="44"/>
      <c r="G113" s="68" t="s">
        <v>298</v>
      </c>
      <c r="H113" s="68" t="s">
        <v>57</v>
      </c>
    </row>
    <row r="114" spans="1:8" x14ac:dyDescent="0.2">
      <c r="C114" s="79"/>
      <c r="F114" s="142" t="s">
        <v>302</v>
      </c>
      <c r="G114" s="142">
        <f>G105</f>
        <v>0</v>
      </c>
      <c r="H114" s="149">
        <f>H105</f>
        <v>0</v>
      </c>
    </row>
    <row r="119" spans="1:8" x14ac:dyDescent="0.2">
      <c r="A119" s="3" t="s">
        <v>35</v>
      </c>
      <c r="B119" s="3">
        <v>40</v>
      </c>
      <c r="C119" s="3" t="s">
        <v>309</v>
      </c>
    </row>
    <row r="121" spans="1:8" x14ac:dyDescent="0.2">
      <c r="C121" s="152" t="s">
        <v>303</v>
      </c>
      <c r="D121" s="142" t="s">
        <v>12</v>
      </c>
      <c r="E121" s="153" t="s">
        <v>13</v>
      </c>
      <c r="F121" s="142" t="s">
        <v>299</v>
      </c>
      <c r="G121" s="142" t="s">
        <v>14</v>
      </c>
      <c r="H121" s="142" t="s">
        <v>15</v>
      </c>
    </row>
    <row r="122" spans="1:8" x14ac:dyDescent="0.2">
      <c r="C122" s="12" t="s">
        <v>188</v>
      </c>
      <c r="D122" s="80">
        <f>'COSTOS RESUMEN'!F19</f>
        <v>217970607.25</v>
      </c>
      <c r="E122" s="104">
        <f>'COSTOS RESUMEN'!$G$36*(1+3%)*PROYECCIONES!G10</f>
        <v>235735211.74087501</v>
      </c>
      <c r="F122" s="104">
        <f>'COSTOS RESUMEN'!$G$36*(1+3%)^2*PROYECCIONES!H10</f>
        <v>254947631.4977563</v>
      </c>
      <c r="G122" s="104">
        <f>'COSTOS RESUMEN'!$G$36*(1+3%)^3*PROYECCIONES!I10</f>
        <v>275725863.46482348</v>
      </c>
      <c r="H122" s="104">
        <f>'COSTOS RESUMEN'!$G$36*(1+3%)^4*PROYECCIONES!J10</f>
        <v>298197521.3372066</v>
      </c>
    </row>
    <row r="123" spans="1:8" x14ac:dyDescent="0.2">
      <c r="C123" s="12" t="s">
        <v>306</v>
      </c>
      <c r="D123" s="80">
        <f>+PROYECCIONES!D21</f>
        <v>3713.9443131943299</v>
      </c>
      <c r="E123" s="80">
        <f>+PROYECCIONES!F21</f>
        <v>3862.5020857221034</v>
      </c>
      <c r="F123" s="80">
        <f>+PROYECCIONES!G21</f>
        <v>4055.6271900082088</v>
      </c>
      <c r="G123" s="80">
        <f>+PROYECCIONES!H21</f>
        <v>4258.4085495086192</v>
      </c>
      <c r="H123" s="80">
        <f>+PROYECCIONES!I21</f>
        <v>4471.3289769840503</v>
      </c>
    </row>
    <row r="124" spans="1:8" x14ac:dyDescent="0.2">
      <c r="C124" s="12" t="s">
        <v>307</v>
      </c>
      <c r="D124" s="80">
        <f>'COSTOS RESUMEN'!G37</f>
        <v>600.34165181224</v>
      </c>
      <c r="E124" s="80">
        <f>+D124*(1+3%)</f>
        <v>618.35190136660719</v>
      </c>
      <c r="F124" s="80">
        <f>+E124*(1+3%)</f>
        <v>636.90245840760542</v>
      </c>
      <c r="G124" s="80">
        <f>+F124*(1+3%)</f>
        <v>656.00953215983361</v>
      </c>
      <c r="H124" s="80">
        <f>+G124*(1+3%)</f>
        <v>675.68981812462869</v>
      </c>
    </row>
    <row r="125" spans="1:8" ht="12.75" customHeight="1" x14ac:dyDescent="0.2">
      <c r="C125" s="142" t="s">
        <v>308</v>
      </c>
      <c r="D125" s="154">
        <f>D122/(D123-D124)</f>
        <v>70005.916282601553</v>
      </c>
      <c r="E125" s="154">
        <f>E122/(E123-E124)</f>
        <v>72664.703649565374</v>
      </c>
      <c r="F125" s="154">
        <f>F122/(F123-F124)</f>
        <v>74573.898606452902</v>
      </c>
      <c r="G125" s="154">
        <f>G122/(G123-G124)</f>
        <v>76539.51217978794</v>
      </c>
      <c r="H125" s="154">
        <f>H122/(H123-H124)</f>
        <v>78563.190244568483</v>
      </c>
    </row>
    <row r="126" spans="1:8" x14ac:dyDescent="0.2">
      <c r="E126" s="103"/>
      <c r="F126" s="103"/>
      <c r="G126" s="103"/>
      <c r="H126" s="103"/>
    </row>
    <row r="127" spans="1:8" x14ac:dyDescent="0.2">
      <c r="E127" s="103"/>
      <c r="F127" s="103"/>
      <c r="G127" s="103"/>
      <c r="H127" s="103"/>
    </row>
    <row r="128" spans="1:8" x14ac:dyDescent="0.2">
      <c r="E128" s="103"/>
      <c r="F128" s="103"/>
      <c r="G128" s="103"/>
      <c r="H128" s="103"/>
    </row>
    <row r="129" spans="5:11" x14ac:dyDescent="0.2">
      <c r="E129" s="103"/>
      <c r="F129" s="103"/>
      <c r="G129" s="103"/>
      <c r="H129" s="103"/>
    </row>
    <row r="130" spans="5:11" x14ac:dyDescent="0.2">
      <c r="E130" s="103"/>
      <c r="F130" s="103"/>
      <c r="G130" s="103"/>
      <c r="H130" s="103"/>
    </row>
    <row r="132" spans="5:11" x14ac:dyDescent="0.2">
      <c r="E132" s="105"/>
      <c r="F132" s="105"/>
      <c r="G132" s="105"/>
      <c r="H132" s="105"/>
      <c r="I132" s="105"/>
      <c r="J132" s="105"/>
      <c r="K132" s="105"/>
    </row>
    <row r="133" spans="5:11" x14ac:dyDescent="0.2">
      <c r="E133" s="105"/>
      <c r="F133" s="105"/>
      <c r="G133" s="105"/>
      <c r="H133" s="105"/>
      <c r="I133" s="105"/>
      <c r="J133" s="105"/>
      <c r="K133" s="105"/>
    </row>
    <row r="134" spans="5:11" x14ac:dyDescent="0.2">
      <c r="E134" s="105"/>
      <c r="F134" s="105"/>
      <c r="G134" s="105"/>
      <c r="H134" s="105"/>
      <c r="I134" s="105"/>
      <c r="J134" s="105"/>
      <c r="K134" s="105"/>
    </row>
    <row r="135" spans="5:11" x14ac:dyDescent="0.2">
      <c r="E135" s="105"/>
      <c r="F135" s="105"/>
      <c r="G135" s="105"/>
      <c r="H135" s="105"/>
      <c r="I135" s="105"/>
      <c r="J135" s="105"/>
      <c r="K135" s="105"/>
    </row>
    <row r="136" spans="5:11" x14ac:dyDescent="0.2">
      <c r="E136" s="105"/>
      <c r="F136" s="105"/>
      <c r="G136" s="105"/>
      <c r="H136" s="105"/>
      <c r="I136" s="105"/>
      <c r="J136" s="105"/>
      <c r="K136" s="105"/>
    </row>
    <row r="137" spans="5:11" x14ac:dyDescent="0.2">
      <c r="E137" s="105"/>
      <c r="F137" s="105"/>
      <c r="G137" s="105"/>
      <c r="H137" s="105"/>
      <c r="I137" s="105"/>
      <c r="J137" s="105"/>
      <c r="K137" s="105"/>
    </row>
    <row r="138" spans="5:11" x14ac:dyDescent="0.2">
      <c r="E138" s="105"/>
      <c r="F138" s="105"/>
      <c r="G138" s="105"/>
      <c r="H138" s="105"/>
      <c r="I138" s="105"/>
      <c r="J138" s="105"/>
      <c r="K138" s="105"/>
    </row>
    <row r="139" spans="5:11" x14ac:dyDescent="0.2">
      <c r="E139" s="105"/>
      <c r="F139" s="105"/>
      <c r="G139" s="105"/>
      <c r="H139" s="105"/>
      <c r="I139" s="105"/>
      <c r="J139" s="105"/>
      <c r="K139" s="105"/>
    </row>
    <row r="140" spans="5:11" x14ac:dyDescent="0.2">
      <c r="E140" s="105"/>
      <c r="F140" s="105"/>
      <c r="G140" s="105"/>
      <c r="H140" s="105"/>
      <c r="I140" s="105"/>
      <c r="J140" s="105"/>
      <c r="K140" s="105"/>
    </row>
  </sheetData>
  <mergeCells count="35">
    <mergeCell ref="C12:E12"/>
    <mergeCell ref="C13:E13"/>
    <mergeCell ref="C14:E14"/>
    <mergeCell ref="C34:E34"/>
    <mergeCell ref="C40:E40"/>
    <mergeCell ref="I59:I60"/>
    <mergeCell ref="D67:H67"/>
    <mergeCell ref="D71:E71"/>
    <mergeCell ref="D72:E72"/>
    <mergeCell ref="C53:D53"/>
    <mergeCell ref="C57:D57"/>
    <mergeCell ref="D59:E60"/>
    <mergeCell ref="F59:F60"/>
    <mergeCell ref="G59:G60"/>
    <mergeCell ref="D78:E78"/>
    <mergeCell ref="D79:E79"/>
    <mergeCell ref="D80:E80"/>
    <mergeCell ref="D86:E86"/>
    <mergeCell ref="H59:H60"/>
    <mergeCell ref="D93:E93"/>
    <mergeCell ref="E1:F2"/>
    <mergeCell ref="E3:F3"/>
    <mergeCell ref="E4:F4"/>
    <mergeCell ref="E5:F5"/>
    <mergeCell ref="D87:E87"/>
    <mergeCell ref="D88:E88"/>
    <mergeCell ref="D89:E89"/>
    <mergeCell ref="D90:E90"/>
    <mergeCell ref="D91:E91"/>
    <mergeCell ref="D73:E73"/>
    <mergeCell ref="D74:E74"/>
    <mergeCell ref="D75:E75"/>
    <mergeCell ref="D92:E92"/>
    <mergeCell ref="D76:E76"/>
    <mergeCell ref="D77:E77"/>
  </mergeCells>
  <phoneticPr fontId="3" type="noConversion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Q140"/>
  <sheetViews>
    <sheetView showGridLines="0" topLeftCell="D90" zoomScale="85" zoomScaleNormal="85" workbookViewId="0">
      <selection activeCell="H105" sqref="H105"/>
    </sheetView>
  </sheetViews>
  <sheetFormatPr baseColWidth="10" defaultRowHeight="12.75" x14ac:dyDescent="0.2"/>
  <cols>
    <col min="1" max="1" width="7.5703125" style="2" customWidth="1"/>
    <col min="2" max="2" width="3.42578125" style="2" customWidth="1"/>
    <col min="3" max="3" width="32" style="2" customWidth="1"/>
    <col min="4" max="4" width="27" style="2" bestFit="1" customWidth="1"/>
    <col min="5" max="5" width="15.5703125" style="96" customWidth="1"/>
    <col min="6" max="6" width="20.140625" style="2" customWidth="1"/>
    <col min="7" max="7" width="17.5703125" style="2" customWidth="1"/>
    <col min="8" max="8" width="17.85546875" style="2" customWidth="1"/>
    <col min="9" max="9" width="18" style="2" customWidth="1"/>
    <col min="10" max="10" width="17.7109375" style="2" customWidth="1"/>
    <col min="11" max="11" width="16.28515625" style="2" customWidth="1"/>
    <col min="12" max="12" width="12.7109375" style="2" customWidth="1"/>
    <col min="13" max="13" width="15.28515625" style="2" customWidth="1"/>
    <col min="14" max="16" width="12.5703125" style="2" customWidth="1"/>
    <col min="17" max="16384" width="11.42578125" style="2"/>
  </cols>
  <sheetData>
    <row r="1" spans="1:17" x14ac:dyDescent="0.2">
      <c r="E1" s="403" t="s">
        <v>82</v>
      </c>
      <c r="F1" s="415"/>
      <c r="G1" s="211" t="s">
        <v>11</v>
      </c>
      <c r="H1" s="211" t="s">
        <v>11</v>
      </c>
      <c r="I1" s="211" t="s">
        <v>11</v>
      </c>
      <c r="J1" s="211" t="s">
        <v>11</v>
      </c>
      <c r="K1" s="211" t="s">
        <v>11</v>
      </c>
    </row>
    <row r="2" spans="1:17" x14ac:dyDescent="0.2">
      <c r="E2" s="404"/>
      <c r="F2" s="416"/>
      <c r="G2" s="264">
        <f>+PROYECCIONES!D4+1</f>
        <v>1</v>
      </c>
      <c r="H2" s="264">
        <f>G2+1</f>
        <v>2</v>
      </c>
      <c r="I2" s="264">
        <f>H2+1</f>
        <v>3</v>
      </c>
      <c r="J2" s="264">
        <f>I2+1</f>
        <v>4</v>
      </c>
      <c r="K2" s="264">
        <f>J2+1</f>
        <v>5</v>
      </c>
    </row>
    <row r="3" spans="1:17" x14ac:dyDescent="0.2">
      <c r="D3" s="169" t="s">
        <v>252</v>
      </c>
      <c r="E3" s="443"/>
      <c r="F3" s="444"/>
      <c r="G3" s="267">
        <f>99967+'COSTOS Y GASTOS'!M69</f>
        <v>100038.39999999999</v>
      </c>
      <c r="H3" s="267">
        <f>G3*(1+H4)</f>
        <v>105040.31999999999</v>
      </c>
      <c r="I3" s="267">
        <f>H3*(1+I4)</f>
        <v>110292.336</v>
      </c>
      <c r="J3" s="267">
        <f>I3*(1+J4)</f>
        <v>115806.9528</v>
      </c>
      <c r="K3" s="267">
        <f>J3*(1+K4)</f>
        <v>121597.30044000001</v>
      </c>
    </row>
    <row r="4" spans="1:17" x14ac:dyDescent="0.2">
      <c r="D4" s="194" t="s">
        <v>234</v>
      </c>
      <c r="E4" s="380"/>
      <c r="F4" s="380"/>
      <c r="G4" s="268"/>
      <c r="H4" s="269">
        <v>0.05</v>
      </c>
      <c r="I4" s="269">
        <v>0.05</v>
      </c>
      <c r="J4" s="269">
        <v>0.05</v>
      </c>
      <c r="K4" s="269">
        <v>0.05</v>
      </c>
    </row>
    <row r="5" spans="1:17" x14ac:dyDescent="0.2">
      <c r="D5" s="169" t="s">
        <v>84</v>
      </c>
      <c r="E5" s="413"/>
      <c r="F5" s="429"/>
      <c r="G5" s="271">
        <f>+'COSTOS RESUMEN'!G40</f>
        <v>3713.9443131943299</v>
      </c>
      <c r="H5" s="271">
        <f>+G5*1.04</f>
        <v>3862.5020857221034</v>
      </c>
      <c r="I5" s="271">
        <f>+H5*1.05</f>
        <v>4055.6271900082088</v>
      </c>
      <c r="J5" s="271">
        <f>+I5*1.05</f>
        <v>4258.4085495086192</v>
      </c>
      <c r="K5" s="171">
        <f>+J5*1.05</f>
        <v>4471.3289769840503</v>
      </c>
    </row>
    <row r="6" spans="1:17" x14ac:dyDescent="0.2">
      <c r="D6" s="3"/>
      <c r="E6" s="21"/>
      <c r="F6" s="21"/>
      <c r="G6" s="3"/>
      <c r="H6" s="355"/>
      <c r="I6" s="355"/>
      <c r="J6" s="355"/>
      <c r="K6" s="355"/>
    </row>
    <row r="9" spans="1:17" x14ac:dyDescent="0.2">
      <c r="A9" s="3" t="s">
        <v>23</v>
      </c>
      <c r="B9" s="21">
        <v>35</v>
      </c>
      <c r="C9" s="3" t="s">
        <v>171</v>
      </c>
    </row>
    <row r="10" spans="1:17" x14ac:dyDescent="0.2">
      <c r="G10" s="116" t="s">
        <v>11</v>
      </c>
      <c r="H10" s="116" t="s">
        <v>11</v>
      </c>
      <c r="I10" s="116" t="s">
        <v>11</v>
      </c>
      <c r="J10" s="116" t="s">
        <v>11</v>
      </c>
      <c r="K10" s="116" t="s">
        <v>11</v>
      </c>
      <c r="L10" s="21"/>
      <c r="M10" s="21"/>
      <c r="N10" s="21"/>
      <c r="O10" s="21"/>
      <c r="P10" s="21"/>
    </row>
    <row r="11" spans="1:17" x14ac:dyDescent="0.2">
      <c r="G11" s="117">
        <f>PROYECCIONES!F29</f>
        <v>1</v>
      </c>
      <c r="H11" s="117">
        <f>PROYECCIONES!G29</f>
        <v>2</v>
      </c>
      <c r="I11" s="117">
        <f>PROYECCIONES!H29</f>
        <v>3</v>
      </c>
      <c r="J11" s="117">
        <f>PROYECCIONES!I29</f>
        <v>4</v>
      </c>
      <c r="K11" s="117">
        <f>PROYECCIONES!J29</f>
        <v>5</v>
      </c>
      <c r="L11" s="19"/>
      <c r="M11" s="19"/>
      <c r="N11" s="19"/>
      <c r="O11" s="19"/>
      <c r="P11" s="19"/>
    </row>
    <row r="12" spans="1:17" x14ac:dyDescent="0.2">
      <c r="C12" s="460" t="s">
        <v>127</v>
      </c>
      <c r="D12" s="460"/>
      <c r="E12" s="460"/>
      <c r="F12" s="82"/>
      <c r="G12" s="122">
        <f>+G3*G5</f>
        <v>371537046.78105962</v>
      </c>
      <c r="H12" s="122">
        <f>+H3*H5</f>
        <v>405718455.08491713</v>
      </c>
      <c r="I12" s="122">
        <f>+I3*I5</f>
        <v>447304596.73112118</v>
      </c>
      <c r="J12" s="122">
        <f>+J3*J5</f>
        <v>493153317.89606112</v>
      </c>
      <c r="K12" s="122">
        <f>+K3*K5</f>
        <v>543701532.98040748</v>
      </c>
      <c r="L12" s="4"/>
      <c r="M12" s="4"/>
      <c r="N12" s="4"/>
      <c r="O12" s="4"/>
      <c r="P12" s="4"/>
      <c r="Q12" s="4"/>
    </row>
    <row r="13" spans="1:17" x14ac:dyDescent="0.2">
      <c r="C13" s="460" t="s">
        <v>128</v>
      </c>
      <c r="D13" s="460"/>
      <c r="E13" s="460"/>
      <c r="F13" s="82"/>
      <c r="G13" s="122"/>
      <c r="H13" s="122"/>
      <c r="I13" s="122"/>
      <c r="J13" s="122"/>
      <c r="K13" s="122"/>
      <c r="L13" s="4"/>
      <c r="M13" s="4"/>
      <c r="N13" s="4"/>
      <c r="O13" s="4"/>
      <c r="P13" s="4"/>
    </row>
    <row r="14" spans="1:17" x14ac:dyDescent="0.2">
      <c r="C14" s="461" t="s">
        <v>129</v>
      </c>
      <c r="D14" s="461"/>
      <c r="E14" s="461"/>
      <c r="F14" s="123"/>
      <c r="G14" s="118">
        <f>G12+G13</f>
        <v>371537046.78105962</v>
      </c>
      <c r="H14" s="118">
        <f>H12+H13</f>
        <v>405718455.08491713</v>
      </c>
      <c r="I14" s="118">
        <f>I12+I13</f>
        <v>447304596.73112118</v>
      </c>
      <c r="J14" s="118">
        <f>J12+J13</f>
        <v>493153317.89606112</v>
      </c>
      <c r="K14" s="118">
        <f>K12+K13</f>
        <v>543701532.98040748</v>
      </c>
      <c r="L14" s="22"/>
      <c r="M14" s="22"/>
      <c r="N14" s="22"/>
      <c r="O14" s="22"/>
      <c r="P14" s="22"/>
    </row>
    <row r="15" spans="1:17" hidden="1" x14ac:dyDescent="0.2">
      <c r="C15" s="16"/>
      <c r="D15" s="16"/>
      <c r="E15" s="97"/>
      <c r="F15" s="16"/>
      <c r="G15" s="16"/>
      <c r="H15" s="16"/>
      <c r="I15" s="16"/>
      <c r="J15" s="16"/>
      <c r="K15" s="16"/>
    </row>
    <row r="16" spans="1:17" x14ac:dyDescent="0.2">
      <c r="C16" s="32" t="s">
        <v>130</v>
      </c>
      <c r="D16" s="16"/>
      <c r="E16" s="97"/>
      <c r="F16" s="16"/>
      <c r="G16" s="16"/>
      <c r="H16" s="16"/>
      <c r="I16" s="16"/>
      <c r="J16" s="16"/>
      <c r="K16" s="16"/>
    </row>
    <row r="17" spans="3:16" x14ac:dyDescent="0.2">
      <c r="C17" s="49" t="s">
        <v>131</v>
      </c>
      <c r="D17" s="36" t="s">
        <v>23</v>
      </c>
      <c r="E17" s="36">
        <v>14</v>
      </c>
      <c r="F17" s="37"/>
      <c r="G17" s="122">
        <f>PROYECCIONES!G75</f>
        <v>46242000.000000007</v>
      </c>
      <c r="H17" s="122">
        <f>PROYECCIONES!H75</f>
        <v>50010723.000000007</v>
      </c>
      <c r="I17" s="122">
        <f>PROYECCIONES!I75</f>
        <v>52511259.150000006</v>
      </c>
      <c r="J17" s="122">
        <f>PROYECCIONES!J75</f>
        <v>55136822.107500017</v>
      </c>
      <c r="K17" s="122">
        <f>PROYECCIONES!K75</f>
        <v>57893663.212875023</v>
      </c>
      <c r="L17" s="4"/>
      <c r="M17" s="4"/>
      <c r="N17" s="4"/>
      <c r="O17" s="4"/>
      <c r="P17" s="4"/>
    </row>
    <row r="18" spans="3:16" x14ac:dyDescent="0.2">
      <c r="C18" s="49" t="s">
        <v>134</v>
      </c>
      <c r="D18" s="36" t="s">
        <v>23</v>
      </c>
      <c r="E18" s="36">
        <v>11</v>
      </c>
      <c r="F18" s="37"/>
      <c r="G18" s="122">
        <f>PROYECCIONES!G76</f>
        <v>70377624.420000002</v>
      </c>
      <c r="H18" s="122">
        <f>PROYECCIONES!H76</f>
        <v>72488953.152600005</v>
      </c>
      <c r="I18" s="122">
        <f>PROYECCIONES!I76</f>
        <v>74663621.747178003</v>
      </c>
      <c r="J18" s="122">
        <f>PROYECCIONES!J76</f>
        <v>76903530.399593338</v>
      </c>
      <c r="K18" s="122">
        <f>PROYECCIONES!K76</f>
        <v>79210636.311581135</v>
      </c>
      <c r="L18" s="4"/>
      <c r="M18" s="4"/>
      <c r="N18" s="4"/>
      <c r="O18" s="4"/>
      <c r="P18" s="4"/>
    </row>
    <row r="19" spans="3:16" x14ac:dyDescent="0.2">
      <c r="C19" s="35" t="s">
        <v>132</v>
      </c>
      <c r="D19" s="38" t="s">
        <v>23</v>
      </c>
      <c r="E19" s="36">
        <v>15</v>
      </c>
      <c r="F19" s="37"/>
      <c r="G19" s="122">
        <f>PROYECCIONES!G77</f>
        <v>11449940</v>
      </c>
      <c r="H19" s="122">
        <f>PROYECCIONES!H77</f>
        <v>11793438.200000001</v>
      </c>
      <c r="I19" s="122">
        <f>PROYECCIONES!I77</f>
        <v>12147241.346000001</v>
      </c>
      <c r="J19" s="122">
        <f>PROYECCIONES!J77</f>
        <v>12511658.586380001</v>
      </c>
      <c r="K19" s="122">
        <f>PROYECCIONES!K77</f>
        <v>12887008.343971401</v>
      </c>
      <c r="L19" s="4"/>
      <c r="M19" s="4"/>
      <c r="N19" s="4"/>
      <c r="O19" s="4"/>
      <c r="P19" s="4"/>
    </row>
    <row r="20" spans="3:16" x14ac:dyDescent="0.2">
      <c r="C20" s="50" t="s">
        <v>47</v>
      </c>
      <c r="D20" s="38" t="s">
        <v>23</v>
      </c>
      <c r="E20" s="36">
        <v>13</v>
      </c>
      <c r="F20" s="37"/>
      <c r="G20" s="122">
        <f>PROYECCIONES!G78</f>
        <v>-5490160</v>
      </c>
      <c r="H20" s="122">
        <f>PROYECCIONES!H78</f>
        <v>-5490160</v>
      </c>
      <c r="I20" s="122">
        <f>PROYECCIONES!I78</f>
        <v>-5490160</v>
      </c>
      <c r="J20" s="122">
        <f>PROYECCIONES!J78</f>
        <v>-5490160</v>
      </c>
      <c r="K20" s="122">
        <f>PROYECCIONES!K78</f>
        <v>-5490160</v>
      </c>
      <c r="L20" s="4"/>
      <c r="M20" s="4"/>
      <c r="N20" s="4"/>
      <c r="O20" s="4"/>
      <c r="P20" s="4"/>
    </row>
    <row r="21" spans="3:16" x14ac:dyDescent="0.2">
      <c r="C21" s="50" t="s">
        <v>133</v>
      </c>
      <c r="D21" s="39" t="s">
        <v>23</v>
      </c>
      <c r="E21" s="36">
        <v>15</v>
      </c>
      <c r="F21" s="37"/>
      <c r="G21" s="122">
        <f>PROYECCIONES!G79</f>
        <v>2256000</v>
      </c>
      <c r="H21" s="122">
        <f>PROYECCIONES!H79</f>
        <v>2368800</v>
      </c>
      <c r="I21" s="122">
        <f>PROYECCIONES!I79</f>
        <v>2487240</v>
      </c>
      <c r="J21" s="122">
        <f>PROYECCIONES!J79</f>
        <v>2611602</v>
      </c>
      <c r="K21" s="122">
        <f>PROYECCIONES!K79</f>
        <v>2742182.1000000006</v>
      </c>
      <c r="L21" s="4"/>
      <c r="M21" s="4"/>
      <c r="N21" s="4"/>
      <c r="O21" s="4"/>
      <c r="P21" s="4"/>
    </row>
    <row r="22" spans="3:16" x14ac:dyDescent="0.2">
      <c r="C22" s="125" t="s">
        <v>141</v>
      </c>
      <c r="D22" s="126"/>
      <c r="E22" s="127"/>
      <c r="F22" s="128"/>
      <c r="G22" s="124">
        <f>SUM(G17:G21)</f>
        <v>124835404.42000002</v>
      </c>
      <c r="H22" s="124">
        <f>SUM(H17:H21)</f>
        <v>131171754.35260001</v>
      </c>
      <c r="I22" s="124">
        <f>SUM(I17:I21)</f>
        <v>136319202.24317801</v>
      </c>
      <c r="J22" s="124">
        <f>SUM(J17:J21)</f>
        <v>141673453.09347335</v>
      </c>
      <c r="K22" s="124">
        <f>SUM(K17:K21)</f>
        <v>147243329.96842754</v>
      </c>
      <c r="L22" s="22"/>
      <c r="M22" s="22"/>
      <c r="N22" s="22"/>
      <c r="O22" s="22"/>
      <c r="P22" s="22"/>
    </row>
    <row r="23" spans="3:16" hidden="1" x14ac:dyDescent="0.2">
      <c r="C23" s="16"/>
      <c r="D23" s="16"/>
      <c r="E23" s="97"/>
      <c r="F23" s="16"/>
      <c r="G23" s="16"/>
      <c r="H23" s="16"/>
      <c r="I23" s="16"/>
      <c r="J23" s="16"/>
      <c r="K23" s="66"/>
    </row>
    <row r="24" spans="3:16" x14ac:dyDescent="0.2">
      <c r="C24" s="119" t="s">
        <v>135</v>
      </c>
      <c r="D24" s="129"/>
      <c r="E24" s="130"/>
      <c r="F24" s="120"/>
      <c r="G24" s="118">
        <f>G14-G22</f>
        <v>246701642.36105961</v>
      </c>
      <c r="H24" s="118">
        <f>H14-H22</f>
        <v>274546700.73231709</v>
      </c>
      <c r="I24" s="118">
        <f>I14-I22</f>
        <v>310985394.48794317</v>
      </c>
      <c r="J24" s="118">
        <f>J14-J22</f>
        <v>351479864.80258775</v>
      </c>
      <c r="K24" s="118">
        <f>K14-K22</f>
        <v>396458203.01197994</v>
      </c>
      <c r="L24" s="22"/>
      <c r="M24" s="22"/>
      <c r="N24" s="22"/>
      <c r="O24" s="22"/>
      <c r="P24" s="22"/>
    </row>
    <row r="25" spans="3:16" hidden="1" x14ac:dyDescent="0.2">
      <c r="C25" s="16"/>
      <c r="D25" s="16"/>
      <c r="E25" s="97"/>
      <c r="F25" s="16"/>
      <c r="G25" s="16"/>
      <c r="H25" s="16"/>
      <c r="I25" s="16"/>
      <c r="J25" s="16"/>
      <c r="K25" s="16"/>
    </row>
    <row r="26" spans="3:16" x14ac:dyDescent="0.2">
      <c r="C26" s="32" t="s">
        <v>137</v>
      </c>
      <c r="D26" s="16"/>
      <c r="E26" s="97"/>
      <c r="F26" s="16"/>
      <c r="G26" s="16"/>
      <c r="H26" s="16"/>
      <c r="I26" s="16"/>
      <c r="J26" s="16"/>
      <c r="K26" s="16"/>
    </row>
    <row r="27" spans="3:16" x14ac:dyDescent="0.2">
      <c r="C27" s="35" t="s">
        <v>136</v>
      </c>
      <c r="D27" s="36" t="s">
        <v>23</v>
      </c>
      <c r="E27" s="36">
        <v>20</v>
      </c>
      <c r="F27" s="33"/>
      <c r="G27" s="122">
        <f>PROYECCIONES!G85</f>
        <v>146047223.03</v>
      </c>
      <c r="H27" s="122">
        <f>PROYECCIONES!H85</f>
        <v>150428639.7209</v>
      </c>
      <c r="I27" s="122">
        <f>PROYECCIONES!I85</f>
        <v>154941498.91252699</v>
      </c>
      <c r="J27" s="122">
        <f>PROYECCIONES!J85</f>
        <v>159589743.87990281</v>
      </c>
      <c r="K27" s="122">
        <f>PROYECCIONES!K85</f>
        <v>164377436.19629991</v>
      </c>
      <c r="L27" s="4"/>
      <c r="M27" s="4"/>
      <c r="N27" s="4"/>
      <c r="O27" s="4"/>
      <c r="P27" s="4"/>
    </row>
    <row r="28" spans="3:16" x14ac:dyDescent="0.2">
      <c r="C28" s="35" t="s">
        <v>138</v>
      </c>
      <c r="D28" s="36" t="s">
        <v>23</v>
      </c>
      <c r="E28" s="36">
        <v>8</v>
      </c>
      <c r="F28" s="33"/>
      <c r="G28" s="122">
        <f>PROYECCIONES!G86</f>
        <v>-1625800.2</v>
      </c>
      <c r="H28" s="122">
        <f>PROYECCIONES!H86</f>
        <v>-1625800.2</v>
      </c>
      <c r="I28" s="122">
        <f>PROYECCIONES!I86</f>
        <v>-1625800.2</v>
      </c>
      <c r="J28" s="122">
        <f>PROYECCIONES!J86</f>
        <v>-1625800.2</v>
      </c>
      <c r="K28" s="122">
        <f>PROYECCIONES!K86</f>
        <v>-1625800.2</v>
      </c>
      <c r="L28" s="4"/>
      <c r="M28" s="4"/>
      <c r="N28" s="4"/>
      <c r="O28" s="4"/>
      <c r="P28" s="4"/>
    </row>
    <row r="29" spans="3:16" x14ac:dyDescent="0.2">
      <c r="C29" s="35" t="s">
        <v>47</v>
      </c>
      <c r="D29" s="36" t="s">
        <v>23</v>
      </c>
      <c r="E29" s="36">
        <v>13</v>
      </c>
      <c r="F29" s="33"/>
      <c r="G29" s="122">
        <f>PROYECCIONES!G87</f>
        <v>-1248240</v>
      </c>
      <c r="H29" s="122">
        <f>PROYECCIONES!H87</f>
        <v>-1248240</v>
      </c>
      <c r="I29" s="122">
        <f>PROYECCIONES!I87</f>
        <v>-1248240</v>
      </c>
      <c r="J29" s="122">
        <f>PROYECCIONES!J87</f>
        <v>-1248240</v>
      </c>
      <c r="K29" s="122">
        <f>PROYECCIONES!K87</f>
        <v>-1248240</v>
      </c>
      <c r="L29" s="4"/>
      <c r="M29" s="4"/>
      <c r="N29" s="4"/>
      <c r="O29" s="4"/>
      <c r="P29" s="4"/>
    </row>
    <row r="30" spans="3:16" x14ac:dyDescent="0.2">
      <c r="C30" s="35" t="s">
        <v>139</v>
      </c>
      <c r="D30" s="36" t="s">
        <v>23</v>
      </c>
      <c r="E30" s="36">
        <v>20</v>
      </c>
      <c r="F30" s="33"/>
      <c r="G30" s="122">
        <f>PROYECCIONES!G88</f>
        <v>0</v>
      </c>
      <c r="H30" s="122">
        <f>PROYECCIONES!H88</f>
        <v>0</v>
      </c>
      <c r="I30" s="122">
        <f>PROYECCIONES!I88</f>
        <v>0</v>
      </c>
      <c r="J30" s="122">
        <f>PROYECCIONES!J88</f>
        <v>0</v>
      </c>
      <c r="K30" s="122">
        <f>PROYECCIONES!K88</f>
        <v>0</v>
      </c>
      <c r="L30" s="4"/>
      <c r="M30" s="4"/>
      <c r="N30" s="4"/>
      <c r="O30" s="4"/>
      <c r="P30" s="4"/>
    </row>
    <row r="31" spans="3:16" x14ac:dyDescent="0.2">
      <c r="C31" s="35" t="s">
        <v>146</v>
      </c>
      <c r="D31" s="36" t="s">
        <v>23</v>
      </c>
      <c r="E31" s="36">
        <v>32</v>
      </c>
      <c r="F31" s="33"/>
      <c r="G31" s="122">
        <f>PROYECCIONES!G89</f>
        <v>0</v>
      </c>
      <c r="H31" s="122">
        <f>PROYECCIONES!H89</f>
        <v>2789474.1449899655</v>
      </c>
      <c r="I31" s="122">
        <f>PROYECCIONES!I89</f>
        <v>10117569.103166932</v>
      </c>
      <c r="J31" s="122">
        <f>PROYECCIONES!J89</f>
        <v>20569537.649236858</v>
      </c>
      <c r="K31" s="122">
        <f>PROYECCIONES!K89</f>
        <v>31461413.373748709</v>
      </c>
      <c r="L31" s="4"/>
      <c r="M31" s="4"/>
      <c r="N31" s="4"/>
      <c r="O31" s="4"/>
      <c r="P31" s="4"/>
    </row>
    <row r="32" spans="3:16" x14ac:dyDescent="0.2">
      <c r="C32" s="119" t="s">
        <v>140</v>
      </c>
      <c r="D32" s="129"/>
      <c r="E32" s="130"/>
      <c r="F32" s="131"/>
      <c r="G32" s="118">
        <f>SUM(G27:G31)</f>
        <v>143173182.83000001</v>
      </c>
      <c r="H32" s="118">
        <f>SUM(H27:H31)</f>
        <v>150344073.66588998</v>
      </c>
      <c r="I32" s="118">
        <f>SUM(I27:I31)</f>
        <v>162185027.81569394</v>
      </c>
      <c r="J32" s="118">
        <f>SUM(J27:J31)</f>
        <v>177285241.32913968</v>
      </c>
      <c r="K32" s="118">
        <f>SUM(K27:K31)</f>
        <v>192964809.37004864</v>
      </c>
      <c r="L32" s="22"/>
      <c r="M32" s="22"/>
      <c r="N32" s="22"/>
      <c r="O32" s="22"/>
      <c r="P32" s="22"/>
    </row>
    <row r="33" spans="1:16" hidden="1" x14ac:dyDescent="0.2">
      <c r="C33" s="132"/>
      <c r="D33" s="132"/>
      <c r="E33" s="133"/>
      <c r="F33" s="132"/>
      <c r="G33" s="132"/>
      <c r="H33" s="132"/>
      <c r="I33" s="132"/>
      <c r="J33" s="132"/>
      <c r="K33" s="134"/>
    </row>
    <row r="34" spans="1:16" x14ac:dyDescent="0.2">
      <c r="C34" s="462" t="s">
        <v>142</v>
      </c>
      <c r="D34" s="463"/>
      <c r="E34" s="464"/>
      <c r="F34" s="121"/>
      <c r="G34" s="118">
        <f>G24-G32</f>
        <v>103528459.53105959</v>
      </c>
      <c r="H34" s="118">
        <f>H24-H32</f>
        <v>124202627.06642711</v>
      </c>
      <c r="I34" s="118">
        <f>I24-I32</f>
        <v>148800366.67224923</v>
      </c>
      <c r="J34" s="118">
        <f>J24-J32</f>
        <v>174194623.47344807</v>
      </c>
      <c r="K34" s="118">
        <f>K24-K32</f>
        <v>203493393.6419313</v>
      </c>
      <c r="L34" s="22"/>
      <c r="M34" s="22"/>
      <c r="N34" s="22"/>
      <c r="O34" s="22"/>
      <c r="P34" s="22"/>
    </row>
    <row r="35" spans="1:16" hidden="1" x14ac:dyDescent="0.2"/>
    <row r="36" spans="1:16" x14ac:dyDescent="0.2">
      <c r="C36" s="32" t="s">
        <v>143</v>
      </c>
      <c r="D36" s="16"/>
      <c r="E36" s="97"/>
      <c r="F36" s="16"/>
      <c r="G36" s="16"/>
      <c r="H36" s="16"/>
      <c r="I36" s="16"/>
      <c r="J36" s="16"/>
      <c r="K36" s="16"/>
    </row>
    <row r="37" spans="1:16" x14ac:dyDescent="0.2">
      <c r="C37" s="35" t="s">
        <v>26</v>
      </c>
      <c r="D37" s="36" t="s">
        <v>23</v>
      </c>
      <c r="E37" s="36">
        <v>7</v>
      </c>
      <c r="F37" s="122">
        <f>PROYECCIONES!F95</f>
        <v>65044000</v>
      </c>
      <c r="G37" s="13"/>
      <c r="H37" s="13"/>
      <c r="I37" s="13"/>
      <c r="J37" s="13"/>
      <c r="K37" s="13"/>
      <c r="L37" s="4"/>
      <c r="M37" s="4"/>
      <c r="N37" s="4"/>
      <c r="O37" s="4"/>
      <c r="P37" s="4"/>
    </row>
    <row r="38" spans="1:16" x14ac:dyDescent="0.2">
      <c r="C38" s="35" t="s">
        <v>109</v>
      </c>
      <c r="D38" s="36" t="s">
        <v>23</v>
      </c>
      <c r="E38" s="36">
        <v>8</v>
      </c>
      <c r="F38" s="122">
        <f>PROYECCIONES!F96</f>
        <v>8129001</v>
      </c>
      <c r="G38" s="13"/>
      <c r="H38" s="13"/>
      <c r="I38" s="13"/>
      <c r="J38" s="13"/>
      <c r="K38" s="13"/>
      <c r="L38" s="4"/>
      <c r="M38" s="4"/>
      <c r="N38" s="4"/>
      <c r="O38" s="4"/>
      <c r="P38" s="4"/>
    </row>
    <row r="39" spans="1:16" x14ac:dyDescent="0.2">
      <c r="C39" s="35" t="s">
        <v>144</v>
      </c>
      <c r="D39" s="36" t="s">
        <v>23</v>
      </c>
      <c r="E39" s="36">
        <v>22</v>
      </c>
      <c r="F39" s="122">
        <f>PROYECCIONES!F97</f>
        <v>68418076.039897099</v>
      </c>
      <c r="G39" s="13"/>
      <c r="H39" s="13"/>
      <c r="I39" s="13"/>
      <c r="J39" s="13"/>
      <c r="K39" s="13"/>
      <c r="L39" s="4"/>
      <c r="M39" s="4"/>
      <c r="N39" s="4"/>
      <c r="O39" s="4"/>
      <c r="P39" s="4"/>
    </row>
    <row r="40" spans="1:16" x14ac:dyDescent="0.2">
      <c r="C40" s="462" t="s">
        <v>145</v>
      </c>
      <c r="D40" s="463"/>
      <c r="E40" s="464"/>
      <c r="F40" s="135">
        <f t="shared" ref="F40:K40" si="0">SUM(F37:F39)</f>
        <v>141591077.03989708</v>
      </c>
      <c r="G40" s="135">
        <f t="shared" si="0"/>
        <v>0</v>
      </c>
      <c r="H40" s="135">
        <f t="shared" si="0"/>
        <v>0</v>
      </c>
      <c r="I40" s="135">
        <f t="shared" si="0"/>
        <v>0</v>
      </c>
      <c r="J40" s="135">
        <f t="shared" si="0"/>
        <v>0</v>
      </c>
      <c r="K40" s="135">
        <f t="shared" si="0"/>
        <v>0</v>
      </c>
      <c r="L40" s="4"/>
      <c r="M40" s="4"/>
      <c r="N40" s="4"/>
      <c r="O40" s="4"/>
      <c r="P40" s="4"/>
    </row>
    <row r="41" spans="1:16" hidden="1" x14ac:dyDescent="0.2">
      <c r="C41" s="132"/>
      <c r="D41" s="136"/>
      <c r="E41" s="137"/>
      <c r="F41" s="138"/>
      <c r="G41" s="132"/>
      <c r="H41" s="132"/>
      <c r="I41" s="132"/>
      <c r="J41" s="132"/>
      <c r="K41" s="134"/>
    </row>
    <row r="42" spans="1:16" x14ac:dyDescent="0.2">
      <c r="C42" s="119" t="s">
        <v>148</v>
      </c>
      <c r="D42" s="139"/>
      <c r="E42" s="140"/>
      <c r="F42" s="118">
        <f>F34-F40</f>
        <v>-141591077.03989708</v>
      </c>
      <c r="G42" s="118">
        <f>G34</f>
        <v>103528459.53105959</v>
      </c>
      <c r="H42" s="118">
        <f>H34</f>
        <v>124202627.06642711</v>
      </c>
      <c r="I42" s="118">
        <f>I34</f>
        <v>148800366.67224923</v>
      </c>
      <c r="J42" s="118">
        <f>J34</f>
        <v>174194623.47344807</v>
      </c>
      <c r="K42" s="118">
        <f>K34</f>
        <v>203493393.6419313</v>
      </c>
      <c r="L42" s="22"/>
      <c r="M42" s="22"/>
      <c r="N42" s="22"/>
      <c r="O42" s="22"/>
      <c r="P42" s="22"/>
    </row>
    <row r="46" spans="1:16" x14ac:dyDescent="0.2">
      <c r="A46" s="3" t="s">
        <v>35</v>
      </c>
      <c r="B46" s="3">
        <v>36</v>
      </c>
      <c r="C46" s="3" t="s">
        <v>294</v>
      </c>
      <c r="D46" s="3"/>
      <c r="E46" s="98"/>
      <c r="F46" s="3"/>
    </row>
    <row r="47" spans="1:16" x14ac:dyDescent="0.2">
      <c r="A47" s="3"/>
      <c r="B47" s="3"/>
      <c r="C47" s="3"/>
      <c r="D47" s="3"/>
      <c r="E47" s="98"/>
      <c r="F47" s="3"/>
    </row>
    <row r="49" spans="1:9" x14ac:dyDescent="0.2">
      <c r="C49" s="12" t="s">
        <v>291</v>
      </c>
      <c r="D49" s="95">
        <v>4.4299999999999999E-2</v>
      </c>
    </row>
    <row r="50" spans="1:9" x14ac:dyDescent="0.2">
      <c r="C50" s="12" t="s">
        <v>292</v>
      </c>
      <c r="D50" s="67">
        <v>0.09</v>
      </c>
    </row>
    <row r="51" spans="1:9" x14ac:dyDescent="0.2">
      <c r="C51" s="68" t="s">
        <v>311</v>
      </c>
      <c r="D51" s="69">
        <f>((1+D49)*(1+D50))-1</f>
        <v>0.13828700000000005</v>
      </c>
    </row>
    <row r="53" spans="1:9" ht="13.5" customHeight="1" x14ac:dyDescent="0.2">
      <c r="C53" s="455" t="s">
        <v>312</v>
      </c>
      <c r="D53" s="455"/>
      <c r="E53" s="141">
        <f>D51</f>
        <v>0.13828700000000005</v>
      </c>
      <c r="F53" s="142" t="s">
        <v>181</v>
      </c>
    </row>
    <row r="57" spans="1:9" x14ac:dyDescent="0.2">
      <c r="A57" s="3" t="s">
        <v>23</v>
      </c>
      <c r="B57" s="3">
        <v>37</v>
      </c>
      <c r="C57" s="457" t="s">
        <v>184</v>
      </c>
      <c r="D57" s="457"/>
    </row>
    <row r="59" spans="1:9" x14ac:dyDescent="0.2">
      <c r="C59" s="3" t="s">
        <v>174</v>
      </c>
      <c r="D59" s="452" t="s">
        <v>65</v>
      </c>
      <c r="E59" s="452"/>
      <c r="F59" s="452" t="s">
        <v>173</v>
      </c>
      <c r="G59" s="452" t="s">
        <v>176</v>
      </c>
      <c r="H59" s="452" t="s">
        <v>179</v>
      </c>
      <c r="I59" s="452" t="s">
        <v>182</v>
      </c>
    </row>
    <row r="60" spans="1:9" x14ac:dyDescent="0.2">
      <c r="D60" s="456"/>
      <c r="E60" s="456"/>
      <c r="F60" s="452"/>
      <c r="G60" s="452"/>
      <c r="H60" s="452"/>
      <c r="I60" s="452"/>
    </row>
    <row r="61" spans="1:9" x14ac:dyDescent="0.2">
      <c r="D61" s="70" t="s">
        <v>11</v>
      </c>
      <c r="E61" s="111">
        <v>0</v>
      </c>
      <c r="F61" s="143">
        <f>F42</f>
        <v>-141591077.03989708</v>
      </c>
      <c r="G61" s="144">
        <f>E53</f>
        <v>0.13828700000000005</v>
      </c>
      <c r="H61" s="145">
        <f t="shared" ref="H61:H66" si="1">1/((1+G61)^E61)</f>
        <v>1</v>
      </c>
      <c r="I61" s="122">
        <f t="shared" ref="I61:I66" si="2">F61*H61</f>
        <v>-141591077.03989708</v>
      </c>
    </row>
    <row r="62" spans="1:9" x14ac:dyDescent="0.2">
      <c r="D62" s="71" t="s">
        <v>11</v>
      </c>
      <c r="E62" s="112">
        <v>1</v>
      </c>
      <c r="F62" s="143">
        <f>G42</f>
        <v>103528459.53105959</v>
      </c>
      <c r="G62" s="144">
        <f>G61</f>
        <v>0.13828700000000005</v>
      </c>
      <c r="H62" s="145">
        <f t="shared" si="1"/>
        <v>0.87851306392851714</v>
      </c>
      <c r="I62" s="122">
        <f t="shared" si="2"/>
        <v>90951104.186430648</v>
      </c>
    </row>
    <row r="63" spans="1:9" x14ac:dyDescent="0.2">
      <c r="D63" s="72" t="s">
        <v>11</v>
      </c>
      <c r="E63" s="113">
        <v>2</v>
      </c>
      <c r="F63" s="143">
        <f>H42</f>
        <v>124202627.06642711</v>
      </c>
      <c r="G63" s="144">
        <f>G62</f>
        <v>0.13828700000000005</v>
      </c>
      <c r="H63" s="145">
        <f t="shared" si="1"/>
        <v>0.77178520349307078</v>
      </c>
      <c r="I63" s="122">
        <f t="shared" si="2"/>
        <v>95857749.804836422</v>
      </c>
    </row>
    <row r="64" spans="1:9" x14ac:dyDescent="0.2">
      <c r="D64" s="70" t="s">
        <v>11</v>
      </c>
      <c r="E64" s="111">
        <v>3</v>
      </c>
      <c r="F64" s="143">
        <f>I42</f>
        <v>148800366.67224923</v>
      </c>
      <c r="G64" s="144">
        <f>G63</f>
        <v>0.13828700000000005</v>
      </c>
      <c r="H64" s="145">
        <f t="shared" si="1"/>
        <v>0.67802338381539162</v>
      </c>
      <c r="I64" s="122">
        <f t="shared" si="2"/>
        <v>100890128.12408945</v>
      </c>
    </row>
    <row r="65" spans="3:12" x14ac:dyDescent="0.2">
      <c r="D65" s="72" t="s">
        <v>11</v>
      </c>
      <c r="E65" s="113">
        <v>4</v>
      </c>
      <c r="F65" s="143">
        <f>J42</f>
        <v>174194623.47344807</v>
      </c>
      <c r="G65" s="144">
        <f>G64</f>
        <v>0.13828700000000005</v>
      </c>
      <c r="H65" s="145">
        <f t="shared" si="1"/>
        <v>0.59565240033084066</v>
      </c>
      <c r="I65" s="122">
        <f t="shared" si="2"/>
        <v>103759445.59668635</v>
      </c>
    </row>
    <row r="66" spans="3:12" x14ac:dyDescent="0.2">
      <c r="D66" s="70" t="s">
        <v>11</v>
      </c>
      <c r="E66" s="111">
        <v>5</v>
      </c>
      <c r="F66" s="143">
        <f>K42</f>
        <v>203493393.6419313</v>
      </c>
      <c r="G66" s="144">
        <f>G65</f>
        <v>0.13828700000000005</v>
      </c>
      <c r="H66" s="145">
        <f t="shared" si="1"/>
        <v>0.52328841525102254</v>
      </c>
      <c r="I66" s="122">
        <f t="shared" si="2"/>
        <v>106485735.47293873</v>
      </c>
    </row>
    <row r="67" spans="3:12" x14ac:dyDescent="0.2">
      <c r="D67" s="454" t="s">
        <v>293</v>
      </c>
      <c r="E67" s="454"/>
      <c r="F67" s="455"/>
      <c r="G67" s="455"/>
      <c r="H67" s="455"/>
      <c r="I67" s="118">
        <f>SUM(I61:I66)</f>
        <v>356353086.1450845</v>
      </c>
    </row>
    <row r="70" spans="3:12" x14ac:dyDescent="0.2">
      <c r="C70" s="3" t="s">
        <v>175</v>
      </c>
    </row>
    <row r="71" spans="3:12" x14ac:dyDescent="0.2">
      <c r="D71" s="453" t="s">
        <v>172</v>
      </c>
      <c r="E71" s="453"/>
      <c r="F71" s="122">
        <f t="shared" ref="F71:F76" si="3">F61</f>
        <v>-141591077.03989708</v>
      </c>
    </row>
    <row r="72" spans="3:12" x14ac:dyDescent="0.2">
      <c r="D72" s="453" t="s">
        <v>12</v>
      </c>
      <c r="E72" s="453"/>
      <c r="F72" s="122">
        <f t="shared" si="3"/>
        <v>103528459.53105959</v>
      </c>
      <c r="K72" s="3"/>
      <c r="L72" s="3"/>
    </row>
    <row r="73" spans="3:12" x14ac:dyDescent="0.2">
      <c r="D73" s="453" t="s">
        <v>13</v>
      </c>
      <c r="E73" s="453"/>
      <c r="F73" s="122">
        <f t="shared" si="3"/>
        <v>124202627.06642711</v>
      </c>
      <c r="K73" s="3"/>
      <c r="L73" s="3"/>
    </row>
    <row r="74" spans="3:12" x14ac:dyDescent="0.2">
      <c r="D74" s="453" t="s">
        <v>8</v>
      </c>
      <c r="E74" s="453"/>
      <c r="F74" s="122">
        <f t="shared" si="3"/>
        <v>148800366.67224923</v>
      </c>
    </row>
    <row r="75" spans="3:12" x14ac:dyDescent="0.2">
      <c r="D75" s="453" t="s">
        <v>14</v>
      </c>
      <c r="E75" s="453"/>
      <c r="F75" s="122">
        <f t="shared" si="3"/>
        <v>174194623.47344807</v>
      </c>
    </row>
    <row r="76" spans="3:12" x14ac:dyDescent="0.2">
      <c r="D76" s="453" t="s">
        <v>15</v>
      </c>
      <c r="E76" s="453"/>
      <c r="F76" s="122">
        <f t="shared" si="3"/>
        <v>203493393.6419313</v>
      </c>
    </row>
    <row r="77" spans="3:12" x14ac:dyDescent="0.2">
      <c r="D77" s="458"/>
      <c r="E77" s="459"/>
      <c r="F77" s="12"/>
    </row>
    <row r="78" spans="3:12" x14ac:dyDescent="0.2">
      <c r="D78" s="455" t="s">
        <v>177</v>
      </c>
      <c r="E78" s="455"/>
      <c r="F78" s="146">
        <f>E53</f>
        <v>0.13828700000000005</v>
      </c>
    </row>
    <row r="79" spans="3:12" x14ac:dyDescent="0.2">
      <c r="D79" s="458"/>
      <c r="E79" s="459"/>
      <c r="F79" s="12"/>
    </row>
    <row r="80" spans="3:12" x14ac:dyDescent="0.2">
      <c r="D80" s="455" t="s">
        <v>178</v>
      </c>
      <c r="E80" s="455"/>
      <c r="F80" s="118">
        <f>NPV(F78,F72:F76)+F71</f>
        <v>356353086.14508456</v>
      </c>
    </row>
    <row r="84" spans="1:9" x14ac:dyDescent="0.2">
      <c r="A84" s="3" t="s">
        <v>23</v>
      </c>
      <c r="B84" s="3">
        <v>38</v>
      </c>
      <c r="C84" s="3" t="s">
        <v>183</v>
      </c>
    </row>
    <row r="85" spans="1:9" x14ac:dyDescent="0.2">
      <c r="A85" s="3"/>
      <c r="B85" s="3"/>
      <c r="C85" s="3"/>
    </row>
    <row r="86" spans="1:9" x14ac:dyDescent="0.2">
      <c r="D86" s="453" t="s">
        <v>172</v>
      </c>
      <c r="E86" s="453"/>
      <c r="F86" s="122">
        <f t="shared" ref="F86:F91" si="4">F71</f>
        <v>-141591077.03989708</v>
      </c>
    </row>
    <row r="87" spans="1:9" x14ac:dyDescent="0.2">
      <c r="D87" s="453" t="s">
        <v>12</v>
      </c>
      <c r="E87" s="453"/>
      <c r="F87" s="122">
        <f t="shared" si="4"/>
        <v>103528459.53105959</v>
      </c>
      <c r="G87" s="2" t="s">
        <v>263</v>
      </c>
    </row>
    <row r="88" spans="1:9" x14ac:dyDescent="0.2">
      <c r="D88" s="453" t="s">
        <v>13</v>
      </c>
      <c r="E88" s="453"/>
      <c r="F88" s="122">
        <f t="shared" si="4"/>
        <v>124202627.06642711</v>
      </c>
    </row>
    <row r="89" spans="1:9" x14ac:dyDescent="0.2">
      <c r="D89" s="453" t="s">
        <v>8</v>
      </c>
      <c r="E89" s="453"/>
      <c r="F89" s="122">
        <f t="shared" si="4"/>
        <v>148800366.67224923</v>
      </c>
    </row>
    <row r="90" spans="1:9" x14ac:dyDescent="0.2">
      <c r="D90" s="453" t="s">
        <v>14</v>
      </c>
      <c r="E90" s="453"/>
      <c r="F90" s="122">
        <f t="shared" si="4"/>
        <v>174194623.47344807</v>
      </c>
      <c r="H90" s="3"/>
      <c r="I90" s="3"/>
    </row>
    <row r="91" spans="1:9" x14ac:dyDescent="0.2">
      <c r="D91" s="453" t="s">
        <v>15</v>
      </c>
      <c r="E91" s="453"/>
      <c r="F91" s="122">
        <f t="shared" si="4"/>
        <v>203493393.6419313</v>
      </c>
      <c r="H91" s="3"/>
      <c r="I91" s="3"/>
    </row>
    <row r="92" spans="1:9" hidden="1" x14ac:dyDescent="0.2">
      <c r="D92" s="458"/>
      <c r="E92" s="459"/>
      <c r="F92" s="12"/>
    </row>
    <row r="93" spans="1:9" x14ac:dyDescent="0.2">
      <c r="D93" s="455" t="s">
        <v>180</v>
      </c>
      <c r="E93" s="455"/>
      <c r="F93" s="146">
        <f>IRR(F86:F91)</f>
        <v>0.84054619734414349</v>
      </c>
      <c r="G93" s="3" t="s">
        <v>181</v>
      </c>
    </row>
    <row r="100" spans="1:12" x14ac:dyDescent="0.2">
      <c r="C100"/>
      <c r="D100"/>
      <c r="E100" s="99"/>
      <c r="F100"/>
      <c r="G100"/>
      <c r="H100"/>
      <c r="I100"/>
      <c r="J100"/>
      <c r="K100"/>
      <c r="L100"/>
    </row>
    <row r="101" spans="1:12" x14ac:dyDescent="0.2">
      <c r="A101" s="3" t="s">
        <v>35</v>
      </c>
      <c r="B101" s="3">
        <v>39</v>
      </c>
      <c r="C101" s="73" t="s">
        <v>300</v>
      </c>
      <c r="D101"/>
      <c r="E101" s="99"/>
      <c r="F101"/>
      <c r="G101"/>
      <c r="H101"/>
      <c r="I101"/>
      <c r="J101"/>
      <c r="K101"/>
      <c r="L101"/>
    </row>
    <row r="102" spans="1:12" ht="12.75" customHeight="1" x14ac:dyDescent="0.2">
      <c r="C102"/>
      <c r="D102"/>
      <c r="E102" s="99"/>
      <c r="F102"/>
      <c r="G102"/>
      <c r="H102"/>
      <c r="I102"/>
      <c r="J102"/>
      <c r="K102"/>
      <c r="L102"/>
    </row>
    <row r="103" spans="1:12" ht="15" x14ac:dyDescent="0.25">
      <c r="C103" s="74" t="s">
        <v>295</v>
      </c>
      <c r="D103" s="75" t="s">
        <v>296</v>
      </c>
      <c r="E103" s="100" t="s">
        <v>301</v>
      </c>
      <c r="F103" s="75" t="s">
        <v>297</v>
      </c>
      <c r="G103" s="76" t="s">
        <v>298</v>
      </c>
      <c r="H103" s="75" t="s">
        <v>57</v>
      </c>
      <c r="I103"/>
      <c r="J103"/>
      <c r="K103"/>
      <c r="L103"/>
    </row>
    <row r="104" spans="1:12" ht="12.75" customHeight="1" x14ac:dyDescent="0.2">
      <c r="C104" s="77" t="s">
        <v>172</v>
      </c>
      <c r="D104" s="1">
        <f>F86</f>
        <v>-141591077.03989708</v>
      </c>
      <c r="E104" s="101"/>
      <c r="F104" s="1">
        <f>F86</f>
        <v>-141591077.03989708</v>
      </c>
      <c r="G104" s="150">
        <v>1</v>
      </c>
      <c r="H104" s="151">
        <f>F105/(-E106)</f>
        <v>0.30645581665901894</v>
      </c>
      <c r="I104"/>
      <c r="J104"/>
      <c r="K104"/>
      <c r="L104"/>
    </row>
    <row r="105" spans="1:12" ht="15" x14ac:dyDescent="0.25">
      <c r="C105" s="77" t="s">
        <v>12</v>
      </c>
      <c r="D105" s="1"/>
      <c r="E105" s="102">
        <f t="shared" ref="E105:E110" si="5">F87</f>
        <v>103528459.53105959</v>
      </c>
      <c r="F105" s="1">
        <f>F104+E105</f>
        <v>-38062617.508837491</v>
      </c>
      <c r="G105" s="147">
        <f>+G104</f>
        <v>1</v>
      </c>
      <c r="H105" s="148">
        <f>+H104</f>
        <v>0.30645581665901894</v>
      </c>
      <c r="I105"/>
      <c r="J105"/>
      <c r="K105"/>
      <c r="L105"/>
    </row>
    <row r="106" spans="1:12" ht="15" x14ac:dyDescent="0.2">
      <c r="C106" s="77" t="s">
        <v>13</v>
      </c>
      <c r="D106" s="1"/>
      <c r="E106" s="102">
        <f t="shared" si="5"/>
        <v>124202627.06642711</v>
      </c>
      <c r="F106" s="1">
        <f>E106+F105</f>
        <v>86140009.55758962</v>
      </c>
      <c r="G106"/>
      <c r="H106"/>
      <c r="I106"/>
      <c r="J106"/>
      <c r="K106"/>
      <c r="L106"/>
    </row>
    <row r="107" spans="1:12" ht="15" x14ac:dyDescent="0.2">
      <c r="C107" s="77" t="s">
        <v>299</v>
      </c>
      <c r="D107" s="1"/>
      <c r="E107" s="102">
        <f t="shared" si="5"/>
        <v>148800366.67224923</v>
      </c>
      <c r="F107" s="1">
        <f>E107+F106</f>
        <v>234940376.22983885</v>
      </c>
      <c r="G107" s="78"/>
      <c r="H107"/>
      <c r="I107"/>
      <c r="J107" s="110"/>
      <c r="K107"/>
      <c r="L107"/>
    </row>
    <row r="108" spans="1:12" ht="15" x14ac:dyDescent="0.2">
      <c r="C108" s="77" t="s">
        <v>14</v>
      </c>
      <c r="D108" s="1"/>
      <c r="E108" s="102">
        <f t="shared" si="5"/>
        <v>174194623.47344807</v>
      </c>
      <c r="F108" s="1">
        <f>E108+F107</f>
        <v>409134999.70328689</v>
      </c>
      <c r="G108"/>
      <c r="H108"/>
      <c r="I108"/>
      <c r="J108"/>
      <c r="K108"/>
      <c r="L108"/>
    </row>
    <row r="109" spans="1:12" ht="15" x14ac:dyDescent="0.2">
      <c r="C109" s="77" t="s">
        <v>15</v>
      </c>
      <c r="D109" s="1"/>
      <c r="E109" s="102">
        <f t="shared" si="5"/>
        <v>203493393.6419313</v>
      </c>
      <c r="F109" s="1">
        <f>E109+F108</f>
        <v>612628393.34521818</v>
      </c>
      <c r="G109"/>
      <c r="H109" s="78"/>
      <c r="J109"/>
      <c r="K109"/>
      <c r="L109"/>
    </row>
    <row r="110" spans="1:12" ht="15" x14ac:dyDescent="0.2">
      <c r="C110" s="77" t="s">
        <v>365</v>
      </c>
      <c r="D110" s="1"/>
      <c r="E110" s="102">
        <f t="shared" si="5"/>
        <v>0</v>
      </c>
      <c r="F110" s="1">
        <f>E110+F109</f>
        <v>612628393.34521818</v>
      </c>
      <c r="G110"/>
      <c r="H110" s="78"/>
      <c r="J110"/>
      <c r="K110"/>
      <c r="L110"/>
    </row>
    <row r="111" spans="1:12" ht="15" x14ac:dyDescent="0.2">
      <c r="C111" s="356"/>
      <c r="D111" s="78"/>
      <c r="E111" s="357"/>
      <c r="F111" s="78"/>
      <c r="G111"/>
      <c r="H111" s="78"/>
      <c r="J111"/>
      <c r="K111"/>
      <c r="L111"/>
    </row>
    <row r="113" spans="1:8" x14ac:dyDescent="0.2">
      <c r="F113" s="44"/>
      <c r="G113" s="68" t="s">
        <v>298</v>
      </c>
      <c r="H113" s="68" t="s">
        <v>57</v>
      </c>
    </row>
    <row r="114" spans="1:8" x14ac:dyDescent="0.2">
      <c r="C114" s="79"/>
      <c r="F114" s="142" t="s">
        <v>302</v>
      </c>
      <c r="G114" s="142">
        <f>G105</f>
        <v>1</v>
      </c>
      <c r="H114" s="149">
        <f>H105</f>
        <v>0.30645581665901894</v>
      </c>
    </row>
    <row r="119" spans="1:8" x14ac:dyDescent="0.2">
      <c r="A119" s="3" t="s">
        <v>35</v>
      </c>
      <c r="B119" s="3">
        <v>40</v>
      </c>
      <c r="C119" s="3" t="s">
        <v>309</v>
      </c>
    </row>
    <row r="121" spans="1:8" x14ac:dyDescent="0.2">
      <c r="C121" s="152" t="s">
        <v>303</v>
      </c>
      <c r="D121" s="142" t="s">
        <v>12</v>
      </c>
      <c r="E121" s="153" t="s">
        <v>13</v>
      </c>
      <c r="F121" s="142" t="s">
        <v>299</v>
      </c>
      <c r="G121" s="142" t="s">
        <v>14</v>
      </c>
      <c r="H121" s="142" t="s">
        <v>15</v>
      </c>
    </row>
    <row r="122" spans="1:8" x14ac:dyDescent="0.2">
      <c r="C122" s="12" t="s">
        <v>188</v>
      </c>
      <c r="D122" s="80">
        <f>'COSTOS RESUMEN'!F19</f>
        <v>217970607.25</v>
      </c>
      <c r="E122" s="104">
        <f>'COSTOS RESUMEN'!$G$36*(1+3%)*PROYECCIONES!G10</f>
        <v>235735211.74087501</v>
      </c>
      <c r="F122" s="104">
        <f>'COSTOS RESUMEN'!$G$36*(1+3%)^2*PROYECCIONES!H10</f>
        <v>254947631.4977563</v>
      </c>
      <c r="G122" s="104">
        <f>'COSTOS RESUMEN'!$G$36*(1+3%)^3*PROYECCIONES!I10</f>
        <v>275725863.46482348</v>
      </c>
      <c r="H122" s="104">
        <f>'COSTOS RESUMEN'!$G$36*(1+3%)^4*PROYECCIONES!J10</f>
        <v>298197521.3372066</v>
      </c>
    </row>
    <row r="123" spans="1:8" x14ac:dyDescent="0.2">
      <c r="C123" s="12" t="s">
        <v>306</v>
      </c>
      <c r="D123" s="80">
        <f>+PROYECCIONES!D21</f>
        <v>3713.9443131943299</v>
      </c>
      <c r="E123" s="80">
        <f>+PROYECCIONES!F21</f>
        <v>3862.5020857221034</v>
      </c>
      <c r="F123" s="80">
        <f>+PROYECCIONES!G21</f>
        <v>4055.6271900082088</v>
      </c>
      <c r="G123" s="80">
        <f>+PROYECCIONES!H21</f>
        <v>4258.4085495086192</v>
      </c>
      <c r="H123" s="80">
        <f>+PROYECCIONES!I21</f>
        <v>4471.3289769840503</v>
      </c>
    </row>
    <row r="124" spans="1:8" x14ac:dyDescent="0.2">
      <c r="C124" s="12" t="s">
        <v>307</v>
      </c>
      <c r="D124" s="80">
        <f>'COSTOS RESUMEN'!G37</f>
        <v>600.34165181224</v>
      </c>
      <c r="E124" s="80">
        <f>+D124*(1+3%)</f>
        <v>618.35190136660719</v>
      </c>
      <c r="F124" s="80">
        <f>+E124*(1+3%)</f>
        <v>636.90245840760542</v>
      </c>
      <c r="G124" s="80">
        <f>+F124*(1+3%)</f>
        <v>656.00953215983361</v>
      </c>
      <c r="H124" s="80">
        <f>+G124*(1+3%)</f>
        <v>675.68981812462869</v>
      </c>
    </row>
    <row r="125" spans="1:8" ht="12.75" customHeight="1" x14ac:dyDescent="0.2">
      <c r="C125" s="142" t="s">
        <v>308</v>
      </c>
      <c r="D125" s="154">
        <f>D122/(D123-D124)</f>
        <v>70005.916282601553</v>
      </c>
      <c r="E125" s="154">
        <f>E122/(E123-E124)</f>
        <v>72664.703649565374</v>
      </c>
      <c r="F125" s="154">
        <f>F122/(F123-F124)</f>
        <v>74573.898606452902</v>
      </c>
      <c r="G125" s="154">
        <f>G122/(G123-G124)</f>
        <v>76539.51217978794</v>
      </c>
      <c r="H125" s="154">
        <f>H122/(H123-H124)</f>
        <v>78563.190244568483</v>
      </c>
    </row>
    <row r="126" spans="1:8" x14ac:dyDescent="0.2">
      <c r="E126" s="103"/>
      <c r="F126" s="103"/>
      <c r="G126" s="103"/>
      <c r="H126" s="103"/>
    </row>
    <row r="127" spans="1:8" x14ac:dyDescent="0.2">
      <c r="E127" s="103"/>
      <c r="F127" s="103"/>
      <c r="G127" s="103"/>
      <c r="H127" s="103"/>
    </row>
    <row r="128" spans="1:8" x14ac:dyDescent="0.2">
      <c r="E128" s="103"/>
      <c r="F128" s="103"/>
      <c r="G128" s="103"/>
      <c r="H128" s="103"/>
    </row>
    <row r="129" spans="5:11" x14ac:dyDescent="0.2">
      <c r="E129" s="103"/>
      <c r="F129" s="103"/>
      <c r="G129" s="103"/>
      <c r="H129" s="103"/>
    </row>
    <row r="130" spans="5:11" x14ac:dyDescent="0.2">
      <c r="E130" s="103"/>
      <c r="F130" s="103"/>
      <c r="G130" s="103"/>
      <c r="H130" s="103"/>
    </row>
    <row r="132" spans="5:11" x14ac:dyDescent="0.2">
      <c r="E132" s="105"/>
      <c r="F132" s="105"/>
      <c r="G132" s="105"/>
      <c r="H132" s="105"/>
      <c r="I132" s="105"/>
      <c r="J132" s="105"/>
      <c r="K132" s="105"/>
    </row>
    <row r="133" spans="5:11" x14ac:dyDescent="0.2">
      <c r="E133" s="105"/>
      <c r="F133" s="105"/>
      <c r="G133" s="105"/>
      <c r="H133" s="105"/>
      <c r="I133" s="105"/>
      <c r="J133" s="105"/>
      <c r="K133" s="105"/>
    </row>
    <row r="134" spans="5:11" x14ac:dyDescent="0.2">
      <c r="E134" s="105"/>
      <c r="F134" s="105"/>
      <c r="G134" s="105"/>
      <c r="H134" s="105"/>
      <c r="I134" s="105"/>
      <c r="J134" s="105"/>
      <c r="K134" s="105"/>
    </row>
    <row r="135" spans="5:11" x14ac:dyDescent="0.2">
      <c r="E135" s="105"/>
      <c r="F135" s="105"/>
      <c r="G135" s="105"/>
      <c r="H135" s="105"/>
      <c r="I135" s="105"/>
      <c r="J135" s="105"/>
      <c r="K135" s="105"/>
    </row>
    <row r="136" spans="5:11" x14ac:dyDescent="0.2">
      <c r="E136" s="105"/>
      <c r="F136" s="105"/>
      <c r="G136" s="105"/>
      <c r="H136" s="105"/>
      <c r="I136" s="105"/>
      <c r="J136" s="105"/>
      <c r="K136" s="105"/>
    </row>
    <row r="137" spans="5:11" x14ac:dyDescent="0.2">
      <c r="E137" s="105"/>
      <c r="F137" s="105"/>
      <c r="G137" s="105"/>
      <c r="H137" s="105"/>
      <c r="I137" s="105"/>
      <c r="J137" s="105"/>
      <c r="K137" s="105"/>
    </row>
    <row r="138" spans="5:11" x14ac:dyDescent="0.2">
      <c r="E138" s="105"/>
      <c r="F138" s="105"/>
      <c r="G138" s="105"/>
      <c r="H138" s="105"/>
      <c r="I138" s="105"/>
      <c r="J138" s="105"/>
      <c r="K138" s="105"/>
    </row>
    <row r="139" spans="5:11" x14ac:dyDescent="0.2">
      <c r="E139" s="105"/>
      <c r="F139" s="105"/>
      <c r="G139" s="105"/>
      <c r="H139" s="105"/>
      <c r="I139" s="105"/>
      <c r="J139" s="105"/>
      <c r="K139" s="105"/>
    </row>
    <row r="140" spans="5:11" x14ac:dyDescent="0.2">
      <c r="E140" s="105"/>
      <c r="F140" s="105"/>
      <c r="G140" s="105"/>
      <c r="H140" s="105"/>
      <c r="I140" s="105"/>
      <c r="J140" s="105"/>
      <c r="K140" s="105"/>
    </row>
  </sheetData>
  <mergeCells count="35">
    <mergeCell ref="E1:F2"/>
    <mergeCell ref="E3:F3"/>
    <mergeCell ref="E4:F4"/>
    <mergeCell ref="E5:F5"/>
    <mergeCell ref="C12:E12"/>
    <mergeCell ref="C13:E13"/>
    <mergeCell ref="C14:E14"/>
    <mergeCell ref="C34:E34"/>
    <mergeCell ref="C40:E40"/>
    <mergeCell ref="C53:D53"/>
    <mergeCell ref="C57:D57"/>
    <mergeCell ref="D59:E60"/>
    <mergeCell ref="F59:F60"/>
    <mergeCell ref="G59:G60"/>
    <mergeCell ref="H59:H60"/>
    <mergeCell ref="I59:I60"/>
    <mergeCell ref="D67:H67"/>
    <mergeCell ref="D71:E71"/>
    <mergeCell ref="D88:E88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6:E86"/>
    <mergeCell ref="D87:E87"/>
    <mergeCell ref="D89:E89"/>
    <mergeCell ref="D90:E90"/>
    <mergeCell ref="D91:E91"/>
    <mergeCell ref="D92:E92"/>
    <mergeCell ref="D93:E9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8:E12"/>
  <sheetViews>
    <sheetView workbookViewId="0">
      <selection activeCell="C18" sqref="C18"/>
    </sheetView>
  </sheetViews>
  <sheetFormatPr baseColWidth="10" defaultRowHeight="12.75" x14ac:dyDescent="0.2"/>
  <cols>
    <col min="3" max="3" width="16.140625" bestFit="1" customWidth="1"/>
    <col min="4" max="5" width="13.85546875" bestFit="1" customWidth="1"/>
  </cols>
  <sheetData>
    <row r="8" spans="2:5" x14ac:dyDescent="0.2">
      <c r="C8" s="380" t="s">
        <v>383</v>
      </c>
      <c r="D8" s="380"/>
      <c r="E8" s="380"/>
    </row>
    <row r="9" spans="2:5" x14ac:dyDescent="0.2">
      <c r="C9" s="377" t="s">
        <v>384</v>
      </c>
      <c r="D9" s="377" t="s">
        <v>385</v>
      </c>
      <c r="E9" s="377" t="s">
        <v>386</v>
      </c>
    </row>
    <row r="10" spans="2:5" x14ac:dyDescent="0.2">
      <c r="B10" s="376" t="s">
        <v>178</v>
      </c>
      <c r="C10" s="374">
        <f>+'EVALUACIÓN ESC. PESIMISTA'!F80</f>
        <v>-1011629454.5779424</v>
      </c>
      <c r="D10" s="374">
        <f>+'EVALUACIÓN ESC. MAS PROBABLE'!F75</f>
        <v>63592354.433431327</v>
      </c>
      <c r="E10" s="374">
        <f>+'EVALUACIÓN ESC. OPTIMISTA'!F80</f>
        <v>356353086.14508456</v>
      </c>
    </row>
    <row r="11" spans="2:5" x14ac:dyDescent="0.2">
      <c r="B11" s="376" t="s">
        <v>180</v>
      </c>
      <c r="C11" s="185">
        <v>0</v>
      </c>
      <c r="D11" s="375">
        <f>+'EVALUACIÓN ESC. MAS PROBABLE'!F88</f>
        <v>0.27932676111436883</v>
      </c>
      <c r="E11" s="375">
        <f>+'EVALUACIÓN ESC. OPTIMISTA'!F93</f>
        <v>0.84054619734414349</v>
      </c>
    </row>
    <row r="12" spans="2:5" x14ac:dyDescent="0.2">
      <c r="B12" s="376" t="s">
        <v>302</v>
      </c>
      <c r="C12" s="185">
        <v>0</v>
      </c>
      <c r="D12" s="185" t="s">
        <v>387</v>
      </c>
      <c r="E12" s="185" t="s">
        <v>388</v>
      </c>
    </row>
  </sheetData>
  <mergeCells count="1">
    <mergeCell ref="C8:E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5B45C336F8E549B6B93F74111E0D91" ma:contentTypeVersion="7" ma:contentTypeDescription="Create a new document." ma:contentTypeScope="" ma:versionID="f3cebf5cfa4878a101e0757ab333f3cf">
  <xsd:schema xmlns:xsd="http://www.w3.org/2001/XMLSchema" xmlns:xs="http://www.w3.org/2001/XMLSchema" xmlns:p="http://schemas.microsoft.com/office/2006/metadata/properties" xmlns:ns3="07a81996-9dbc-4e8f-afb7-226fa8836947" xmlns:ns4="761c80b8-5006-4bda-9b88-3803c5d916db" targetNamespace="http://schemas.microsoft.com/office/2006/metadata/properties" ma:root="true" ma:fieldsID="c709fa22bf1038ea743eda8df38464e5" ns3:_="" ns4:_="">
    <xsd:import namespace="07a81996-9dbc-4e8f-afb7-226fa8836947"/>
    <xsd:import namespace="761c80b8-5006-4bda-9b88-3803c5d916d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a81996-9dbc-4e8f-afb7-226fa88369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1c80b8-5006-4bda-9b88-3803c5d916d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7445E5C-04D4-4059-8EEC-E7981E6AAD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a81996-9dbc-4e8f-afb7-226fa8836947"/>
    <ds:schemaRef ds:uri="761c80b8-5006-4bda-9b88-3803c5d916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87D99B-0F85-4F65-99C0-D0246FFCB3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26F9EE-A6E2-416D-BC13-8E81DEF29D8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INVERSIONES </vt:lpstr>
      <vt:lpstr>COSTOS Y GASTOS</vt:lpstr>
      <vt:lpstr>CRÉDITO</vt:lpstr>
      <vt:lpstr>COSTOS RESUMEN</vt:lpstr>
      <vt:lpstr>PROYECCIONES</vt:lpstr>
      <vt:lpstr>EVALUACIÓN ESC. MAS PROBABLE</vt:lpstr>
      <vt:lpstr>EVALUACIÓN ESC. PESIMISTA</vt:lpstr>
      <vt:lpstr>EVALUACIÓN ESC. OPTIMISTA</vt:lpstr>
      <vt:lpstr>Escenarios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Asus</cp:lastModifiedBy>
  <dcterms:created xsi:type="dcterms:W3CDTF">2008-08-27T13:35:26Z</dcterms:created>
  <dcterms:modified xsi:type="dcterms:W3CDTF">2024-07-05T18:22:22Z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0x0101008D5B45C336F8E549B6B93F74111E0D91</vt:lpwstr>
  </property>
</Properties>
</file>