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juancamilo/Library/Mobile Documents/com~apple~CloudDocs/Juan Camilo/Maestria UIS Santander - 2022/Monografia/"/>
    </mc:Choice>
  </mc:AlternateContent>
  <bookViews>
    <workbookView xWindow="0" yWindow="0" windowWidth="28800" windowHeight="18000" tabRatio="500"/>
  </bookViews>
  <sheets>
    <sheet name="Calculos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1" i="1" l="1"/>
  <c r="G108" i="1"/>
  <c r="H63" i="1"/>
  <c r="H64" i="1"/>
  <c r="G106" i="1"/>
  <c r="G111" i="1"/>
  <c r="G112" i="1"/>
  <c r="G113" i="1"/>
  <c r="H106" i="1"/>
  <c r="H108" i="1"/>
  <c r="H111" i="1"/>
  <c r="H112" i="1"/>
  <c r="H113" i="1"/>
  <c r="I106" i="1"/>
  <c r="I108" i="1"/>
  <c r="I111" i="1"/>
  <c r="I112" i="1"/>
  <c r="I113" i="1"/>
  <c r="J106" i="1"/>
  <c r="J108" i="1"/>
  <c r="J111" i="1"/>
  <c r="J112" i="1"/>
  <c r="J113" i="1"/>
  <c r="K106" i="1"/>
  <c r="K108" i="1"/>
  <c r="K111" i="1"/>
  <c r="K112" i="1"/>
  <c r="K113" i="1"/>
  <c r="L106" i="1"/>
  <c r="L108" i="1"/>
  <c r="L111" i="1"/>
  <c r="L112" i="1"/>
  <c r="L113" i="1"/>
  <c r="M106" i="1"/>
  <c r="M108" i="1"/>
  <c r="M109" i="1"/>
  <c r="M111" i="1"/>
  <c r="M112" i="1"/>
  <c r="M113" i="1"/>
  <c r="F117" i="1"/>
  <c r="G107" i="1"/>
  <c r="H107" i="1"/>
  <c r="I107" i="1"/>
  <c r="J107" i="1"/>
  <c r="K107" i="1"/>
  <c r="L107" i="1"/>
  <c r="M107" i="1"/>
  <c r="F120" i="1"/>
  <c r="F119" i="1"/>
  <c r="H41" i="1"/>
  <c r="H42" i="1"/>
  <c r="G75" i="1"/>
  <c r="H75" i="1"/>
  <c r="I75" i="1"/>
  <c r="J75" i="1"/>
  <c r="K75" i="1"/>
  <c r="L75" i="1"/>
  <c r="M75" i="1"/>
  <c r="F89" i="1"/>
  <c r="H29" i="1"/>
  <c r="G77" i="1"/>
  <c r="H31" i="1"/>
  <c r="G78" i="1"/>
  <c r="G79" i="1"/>
  <c r="G76" i="1"/>
  <c r="H77" i="1"/>
  <c r="H78" i="1"/>
  <c r="H79" i="1"/>
  <c r="H76" i="1"/>
  <c r="I77" i="1"/>
  <c r="I78" i="1"/>
  <c r="I79" i="1"/>
  <c r="I76" i="1"/>
  <c r="J77" i="1"/>
  <c r="J78" i="1"/>
  <c r="J79" i="1"/>
  <c r="J76" i="1"/>
  <c r="K77" i="1"/>
  <c r="K78" i="1"/>
  <c r="K79" i="1"/>
  <c r="K76" i="1"/>
  <c r="L77" i="1"/>
  <c r="L78" i="1"/>
  <c r="L79" i="1"/>
  <c r="L76" i="1"/>
  <c r="M77" i="1"/>
  <c r="M78" i="1"/>
  <c r="M79" i="1"/>
  <c r="M76" i="1"/>
  <c r="F88" i="1"/>
  <c r="F90" i="1"/>
  <c r="G80" i="1"/>
  <c r="G81" i="1"/>
  <c r="G82" i="1"/>
  <c r="H80" i="1"/>
  <c r="H81" i="1"/>
  <c r="H82" i="1"/>
  <c r="I80" i="1"/>
  <c r="I81" i="1"/>
  <c r="I82" i="1"/>
  <c r="J80" i="1"/>
  <c r="J81" i="1"/>
  <c r="J82" i="1"/>
  <c r="K80" i="1"/>
  <c r="K81" i="1"/>
  <c r="K82" i="1"/>
  <c r="L80" i="1"/>
  <c r="L81" i="1"/>
  <c r="L82" i="1"/>
  <c r="M80" i="1"/>
  <c r="M81" i="1"/>
  <c r="M82" i="1"/>
  <c r="F86" i="1"/>
  <c r="F116" i="1"/>
  <c r="F121" i="1"/>
  <c r="F118" i="1"/>
  <c r="H53" i="1"/>
  <c r="H54" i="1"/>
  <c r="H55" i="1"/>
  <c r="H56" i="1"/>
  <c r="H57" i="1"/>
  <c r="H58" i="1"/>
  <c r="H59" i="1"/>
  <c r="H60" i="1"/>
  <c r="H48" i="1"/>
  <c r="H49" i="1"/>
  <c r="H260" i="1"/>
  <c r="F260" i="1"/>
  <c r="G260" i="1"/>
  <c r="H19" i="1"/>
  <c r="H20" i="1"/>
  <c r="H145" i="1"/>
  <c r="G226" i="1"/>
  <c r="H10" i="1"/>
  <c r="H11" i="1"/>
  <c r="H14" i="1"/>
  <c r="G228" i="1"/>
  <c r="H8" i="1"/>
  <c r="H13" i="1"/>
  <c r="H15" i="1"/>
  <c r="H12" i="1"/>
  <c r="G229" i="1"/>
  <c r="H9" i="1"/>
  <c r="G230" i="1"/>
  <c r="F163" i="1"/>
  <c r="H163" i="1"/>
  <c r="J163" i="1"/>
  <c r="K163" i="1"/>
  <c r="H143" i="1"/>
  <c r="H156" i="1"/>
  <c r="G231" i="1"/>
  <c r="G232" i="1"/>
  <c r="G233" i="1"/>
  <c r="G234" i="1"/>
  <c r="G237" i="1"/>
  <c r="H226" i="1"/>
  <c r="H228" i="1"/>
  <c r="H229" i="1"/>
  <c r="H230" i="1"/>
  <c r="H231" i="1"/>
  <c r="H232" i="1"/>
  <c r="H233" i="1"/>
  <c r="H234" i="1"/>
  <c r="H237" i="1"/>
  <c r="I226" i="1"/>
  <c r="I228" i="1"/>
  <c r="I229" i="1"/>
  <c r="I230" i="1"/>
  <c r="I231" i="1"/>
  <c r="I232" i="1"/>
  <c r="I233" i="1"/>
  <c r="I234" i="1"/>
  <c r="I237" i="1"/>
  <c r="J226" i="1"/>
  <c r="J228" i="1"/>
  <c r="J229" i="1"/>
  <c r="J230" i="1"/>
  <c r="J231" i="1"/>
  <c r="J232" i="1"/>
  <c r="J233" i="1"/>
  <c r="J234" i="1"/>
  <c r="J237" i="1"/>
  <c r="K226" i="1"/>
  <c r="K228" i="1"/>
  <c r="K229" i="1"/>
  <c r="K230" i="1"/>
  <c r="K231" i="1"/>
  <c r="K232" i="1"/>
  <c r="K233" i="1"/>
  <c r="K234" i="1"/>
  <c r="K237" i="1"/>
  <c r="L226" i="1"/>
  <c r="L228" i="1"/>
  <c r="L229" i="1"/>
  <c r="L230" i="1"/>
  <c r="L231" i="1"/>
  <c r="L232" i="1"/>
  <c r="L233" i="1"/>
  <c r="L234" i="1"/>
  <c r="L237" i="1"/>
  <c r="M226" i="1"/>
  <c r="M228" i="1"/>
  <c r="M229" i="1"/>
  <c r="M230" i="1"/>
  <c r="M231" i="1"/>
  <c r="M232" i="1"/>
  <c r="M233" i="1"/>
  <c r="M234" i="1"/>
  <c r="M237" i="1"/>
  <c r="F235" i="1"/>
  <c r="F237" i="1"/>
  <c r="F240" i="1"/>
  <c r="M236" i="1"/>
  <c r="V233" i="1"/>
  <c r="V228" i="1"/>
  <c r="U229" i="1"/>
  <c r="T230" i="1"/>
  <c r="S231" i="1"/>
  <c r="R232" i="1"/>
  <c r="Q233" i="1"/>
  <c r="P233" i="1"/>
  <c r="M227" i="1"/>
  <c r="V244" i="1"/>
  <c r="L227" i="1"/>
  <c r="U243" i="1"/>
  <c r="K227" i="1"/>
  <c r="T242" i="1"/>
  <c r="J227" i="1"/>
  <c r="S241" i="1"/>
  <c r="I227" i="1"/>
  <c r="R240" i="1"/>
  <c r="H227" i="1"/>
  <c r="Q239" i="1"/>
  <c r="G227" i="1"/>
  <c r="P237" i="1"/>
  <c r="O248" i="1"/>
  <c r="F243" i="1"/>
  <c r="F242" i="1"/>
  <c r="F241" i="1"/>
  <c r="F161" i="1"/>
  <c r="H161" i="1"/>
  <c r="J161" i="1"/>
  <c r="K161" i="1"/>
  <c r="F143" i="1"/>
  <c r="F156" i="1"/>
  <c r="H179" i="1"/>
  <c r="I179" i="1"/>
  <c r="J179" i="1"/>
  <c r="K179" i="1"/>
  <c r="L179" i="1"/>
  <c r="M179" i="1"/>
  <c r="G179" i="1"/>
  <c r="F162" i="1"/>
  <c r="H162" i="1"/>
  <c r="J162" i="1"/>
  <c r="K162" i="1"/>
  <c r="G143" i="1"/>
  <c r="G156" i="1"/>
  <c r="H210" i="1"/>
  <c r="I210" i="1"/>
  <c r="J210" i="1"/>
  <c r="K210" i="1"/>
  <c r="L210" i="1"/>
  <c r="M210" i="1"/>
  <c r="G210" i="1"/>
  <c r="G173" i="1"/>
  <c r="G174" i="1"/>
  <c r="G175" i="1"/>
  <c r="F145" i="1"/>
  <c r="G171" i="1"/>
  <c r="G176" i="1"/>
  <c r="G177" i="1"/>
  <c r="G178" i="1"/>
  <c r="G182" i="1"/>
  <c r="H173" i="1"/>
  <c r="H174" i="1"/>
  <c r="H175" i="1"/>
  <c r="H171" i="1"/>
  <c r="H176" i="1"/>
  <c r="H177" i="1"/>
  <c r="H178" i="1"/>
  <c r="H182" i="1"/>
  <c r="I173" i="1"/>
  <c r="I174" i="1"/>
  <c r="I175" i="1"/>
  <c r="I171" i="1"/>
  <c r="I176" i="1"/>
  <c r="I177" i="1"/>
  <c r="I178" i="1"/>
  <c r="I182" i="1"/>
  <c r="J173" i="1"/>
  <c r="J174" i="1"/>
  <c r="J175" i="1"/>
  <c r="J171" i="1"/>
  <c r="J176" i="1"/>
  <c r="J177" i="1"/>
  <c r="J178" i="1"/>
  <c r="J182" i="1"/>
  <c r="K173" i="1"/>
  <c r="K174" i="1"/>
  <c r="K175" i="1"/>
  <c r="K171" i="1"/>
  <c r="K176" i="1"/>
  <c r="K177" i="1"/>
  <c r="K178" i="1"/>
  <c r="K182" i="1"/>
  <c r="L173" i="1"/>
  <c r="L174" i="1"/>
  <c r="L175" i="1"/>
  <c r="L171" i="1"/>
  <c r="L176" i="1"/>
  <c r="L177" i="1"/>
  <c r="L178" i="1"/>
  <c r="L182" i="1"/>
  <c r="M173" i="1"/>
  <c r="M174" i="1"/>
  <c r="M175" i="1"/>
  <c r="M171" i="1"/>
  <c r="M176" i="1"/>
  <c r="M177" i="1"/>
  <c r="M178" i="1"/>
  <c r="M182" i="1"/>
  <c r="F180" i="1"/>
  <c r="F182" i="1"/>
  <c r="F186" i="1"/>
  <c r="F256" i="1"/>
  <c r="F211" i="1"/>
  <c r="F213" i="1"/>
  <c r="G145" i="1"/>
  <c r="G202" i="1"/>
  <c r="G204" i="1"/>
  <c r="G205" i="1"/>
  <c r="G206" i="1"/>
  <c r="G207" i="1"/>
  <c r="G208" i="1"/>
  <c r="G209" i="1"/>
  <c r="G213" i="1"/>
  <c r="H202" i="1"/>
  <c r="H204" i="1"/>
  <c r="H205" i="1"/>
  <c r="H206" i="1"/>
  <c r="H207" i="1"/>
  <c r="H208" i="1"/>
  <c r="H209" i="1"/>
  <c r="H213" i="1"/>
  <c r="I202" i="1"/>
  <c r="I204" i="1"/>
  <c r="I205" i="1"/>
  <c r="I206" i="1"/>
  <c r="I207" i="1"/>
  <c r="I208" i="1"/>
  <c r="I209" i="1"/>
  <c r="I213" i="1"/>
  <c r="J202" i="1"/>
  <c r="J204" i="1"/>
  <c r="J205" i="1"/>
  <c r="J206" i="1"/>
  <c r="J207" i="1"/>
  <c r="J208" i="1"/>
  <c r="J209" i="1"/>
  <c r="J213" i="1"/>
  <c r="K202" i="1"/>
  <c r="K204" i="1"/>
  <c r="K205" i="1"/>
  <c r="K206" i="1"/>
  <c r="K207" i="1"/>
  <c r="K208" i="1"/>
  <c r="K209" i="1"/>
  <c r="K213" i="1"/>
  <c r="L202" i="1"/>
  <c r="L204" i="1"/>
  <c r="L205" i="1"/>
  <c r="L206" i="1"/>
  <c r="L207" i="1"/>
  <c r="L208" i="1"/>
  <c r="L209" i="1"/>
  <c r="L213" i="1"/>
  <c r="M202" i="1"/>
  <c r="M204" i="1"/>
  <c r="M205" i="1"/>
  <c r="M206" i="1"/>
  <c r="M207" i="1"/>
  <c r="M208" i="1"/>
  <c r="M209" i="1"/>
  <c r="M213" i="1"/>
  <c r="F217" i="1"/>
  <c r="F216" i="1"/>
  <c r="G203" i="1"/>
  <c r="H203" i="1"/>
  <c r="I203" i="1"/>
  <c r="J203" i="1"/>
  <c r="K203" i="1"/>
  <c r="L203" i="1"/>
  <c r="M203" i="1"/>
  <c r="F219" i="1"/>
  <c r="M212" i="1"/>
  <c r="V208" i="1"/>
  <c r="V202" i="1"/>
  <c r="U203" i="1"/>
  <c r="T204" i="1"/>
  <c r="S205" i="1"/>
  <c r="R206" i="1"/>
  <c r="Q207" i="1"/>
  <c r="P208" i="1"/>
  <c r="U217" i="1"/>
  <c r="V218" i="1"/>
  <c r="T216" i="1"/>
  <c r="S215" i="1"/>
  <c r="R214" i="1"/>
  <c r="Q213" i="1"/>
  <c r="P212" i="1"/>
  <c r="O221" i="1"/>
  <c r="F218" i="1"/>
  <c r="M181" i="1"/>
  <c r="M172" i="1"/>
  <c r="V171" i="1"/>
  <c r="U172" i="1"/>
  <c r="T173" i="1"/>
  <c r="S174" i="1"/>
  <c r="R175" i="1"/>
  <c r="Q176" i="1"/>
  <c r="P176" i="1"/>
  <c r="V187" i="1"/>
  <c r="L172" i="1"/>
  <c r="U186" i="1"/>
  <c r="K172" i="1"/>
  <c r="T185" i="1"/>
  <c r="J172" i="1"/>
  <c r="S184" i="1"/>
  <c r="I172" i="1"/>
  <c r="R183" i="1"/>
  <c r="H172" i="1"/>
  <c r="Q182" i="1"/>
  <c r="G172" i="1"/>
  <c r="P181" i="1"/>
  <c r="P177" i="1"/>
  <c r="U177" i="1"/>
  <c r="T177" i="1"/>
  <c r="S177" i="1"/>
  <c r="R177" i="1"/>
  <c r="Q177" i="1"/>
  <c r="V177" i="1"/>
  <c r="O192" i="1"/>
  <c r="F189" i="1"/>
  <c r="F188" i="1"/>
  <c r="F187" i="1"/>
  <c r="F85" i="1"/>
  <c r="F87" i="1"/>
  <c r="G155" i="1"/>
  <c r="H155" i="1"/>
  <c r="F155" i="1"/>
  <c r="H32" i="1"/>
  <c r="H33" i="1"/>
  <c r="H34" i="1"/>
  <c r="H35" i="1"/>
  <c r="H36" i="1"/>
  <c r="H37" i="1"/>
  <c r="H26" i="1"/>
  <c r="H5" i="1"/>
  <c r="H6" i="1"/>
  <c r="H38" i="1"/>
  <c r="H27" i="1"/>
  <c r="H16" i="1"/>
  <c r="F259" i="1"/>
  <c r="G259" i="1"/>
  <c r="F258" i="1"/>
  <c r="F257" i="1"/>
  <c r="G257" i="1"/>
  <c r="H259" i="1"/>
  <c r="H256" i="1"/>
  <c r="G258" i="1"/>
  <c r="G256" i="1"/>
  <c r="H258" i="1"/>
  <c r="H257" i="1"/>
</calcChain>
</file>

<file path=xl/sharedStrings.xml><?xml version="1.0" encoding="utf-8"?>
<sst xmlns="http://schemas.openxmlformats.org/spreadsheetml/2006/main" count="251" uniqueCount="120">
  <si>
    <t>Valor de la inversion bote</t>
  </si>
  <si>
    <t>Opex</t>
  </si>
  <si>
    <t>costo mtto bote</t>
  </si>
  <si>
    <t>combustible bote</t>
  </si>
  <si>
    <t>costo de personal bote (incluye 60% entre entre ellas primas) piloto, paramedico, auxiliares, enfermeros, etc</t>
  </si>
  <si>
    <t>costo polizas</t>
  </si>
  <si>
    <t>costo servicios tercerizados mtto</t>
  </si>
  <si>
    <t>costo mtto equipos hospital movil</t>
  </si>
  <si>
    <t>Costo medicamentos</t>
  </si>
  <si>
    <t>calibraciones equipos medicos</t>
  </si>
  <si>
    <t>beneficios</t>
  </si>
  <si>
    <t>Capex</t>
  </si>
  <si>
    <t>Frecuencia</t>
  </si>
  <si>
    <t>Total</t>
  </si>
  <si>
    <t>Subtotal</t>
  </si>
  <si>
    <t>TOTAL CAPEX</t>
  </si>
  <si>
    <t>Pago de servicio ambulancia bote (poblacion Abscrita a EPS)</t>
  </si>
  <si>
    <t>TOTAL OPEX</t>
  </si>
  <si>
    <t>TOTAL BENEFICIOS</t>
  </si>
  <si>
    <t>ESCENARIO #1: CALCULO COMPRA DE BOTE AMBULANCIA</t>
  </si>
  <si>
    <t>ESCENARIO #2: RENTA BOTE AMBULANCIA</t>
  </si>
  <si>
    <t>Renta bote</t>
  </si>
  <si>
    <t>MOTOR SUZUKI</t>
  </si>
  <si>
    <t>MOTOR HONDA</t>
  </si>
  <si>
    <t>Inversion bote ambulancia</t>
  </si>
  <si>
    <t>Frecuencia costo de operación</t>
  </si>
  <si>
    <t>mensual</t>
  </si>
  <si>
    <t>Incremento costo mtto</t>
  </si>
  <si>
    <t>Incremento costo combustible</t>
  </si>
  <si>
    <t>Frecuencia de mtto</t>
  </si>
  <si>
    <t>trimestral</t>
  </si>
  <si>
    <t>Valor de salvamento</t>
  </si>
  <si>
    <t>Vida util en años</t>
  </si>
  <si>
    <t>Incremento ingresos (anual)</t>
  </si>
  <si>
    <t>Impuesto de renta</t>
  </si>
  <si>
    <t>Depreciacion anual (lineal)</t>
  </si>
  <si>
    <t>SOLUCION:</t>
  </si>
  <si>
    <t>ANALISIS DE LA DEPRECIACION:</t>
  </si>
  <si>
    <t>1. EVALUACION EQUIPO SUZUKI</t>
  </si>
  <si>
    <t>ESTADO DE RESULTADOS</t>
  </si>
  <si>
    <t>AÑO 0</t>
  </si>
  <si>
    <t>AÑO 1</t>
  </si>
  <si>
    <t>AÑO 2</t>
  </si>
  <si>
    <t>AÑO 3</t>
  </si>
  <si>
    <t>AÑO 4</t>
  </si>
  <si>
    <t>AÑO 5</t>
  </si>
  <si>
    <t>AÑO 6</t>
  </si>
  <si>
    <t>AÑO 7</t>
  </si>
  <si>
    <t>Ingresos</t>
  </si>
  <si>
    <t>Egresos</t>
  </si>
  <si>
    <t>Costo combustible</t>
  </si>
  <si>
    <t>Costo Mantenimiento</t>
  </si>
  <si>
    <t>Impuesto renta</t>
  </si>
  <si>
    <t>Depreciacion</t>
  </si>
  <si>
    <t>Costos polizas / personal /medicamentos</t>
  </si>
  <si>
    <t>Incremento costo medicamentos /polizas / personal</t>
  </si>
  <si>
    <t>ANALISIS DE SALVAMENTO:</t>
  </si>
  <si>
    <t>Motor Suzuki</t>
  </si>
  <si>
    <t>Motor Honda</t>
  </si>
  <si>
    <t>Costo</t>
  </si>
  <si>
    <t>Proyeccion en años para la depreciacion</t>
  </si>
  <si>
    <t>Depreciacion acomulada</t>
  </si>
  <si>
    <t>Vida util (años)</t>
  </si>
  <si>
    <t>Depreciacion anual</t>
  </si>
  <si>
    <t>Tasa de oportunidad</t>
  </si>
  <si>
    <t>Valor Presente Neto (VNA)</t>
  </si>
  <si>
    <t>Tasa Interna de retorno (TIR)</t>
  </si>
  <si>
    <t>Valor Anual Equivalente (VAE)</t>
  </si>
  <si>
    <t>Valor Presentre Neto (VNA)</t>
  </si>
  <si>
    <t>Tasa Interna de Retorno (TIR)</t>
  </si>
  <si>
    <t>Valor Anuel Equivalente (VAE)</t>
  </si>
  <si>
    <t>Analisis costo / beneficio</t>
  </si>
  <si>
    <t>DATOS DEL PROBLEMA</t>
  </si>
  <si>
    <t>CONCLUSIONES</t>
  </si>
  <si>
    <t>RESULTADOS</t>
  </si>
  <si>
    <t>Bote Suzuki</t>
  </si>
  <si>
    <t>Bote Honda</t>
  </si>
  <si>
    <t>beneficios / Ingresos (anuales)</t>
  </si>
  <si>
    <t>2. EVALUACION EQUIPO HONDA</t>
  </si>
  <si>
    <t>ANALISIS RENTA DE BOTE</t>
  </si>
  <si>
    <t>1. RENTA DE BOTE</t>
  </si>
  <si>
    <t>CONCLUSION:</t>
  </si>
  <si>
    <r>
      <t xml:space="preserve">No es viable realizar renta de bote porque el Valor Presente Neto </t>
    </r>
    <r>
      <rPr>
        <b/>
        <sz val="12"/>
        <color theme="1"/>
        <rFont val="Calibri"/>
        <family val="2"/>
        <scheme val="minor"/>
      </rPr>
      <t>(VPN)</t>
    </r>
    <r>
      <rPr>
        <sz val="12"/>
        <color theme="1"/>
        <rFont val="Calibri"/>
        <family val="2"/>
        <scheme val="minor"/>
      </rPr>
      <t xml:space="preserve"> es </t>
    </r>
    <r>
      <rPr>
        <sz val="12"/>
        <color rgb="FFFF0000"/>
        <rFont val="Calibri"/>
        <family val="2"/>
        <scheme val="minor"/>
      </rPr>
      <t>Negativo</t>
    </r>
    <r>
      <rPr>
        <sz val="12"/>
        <color theme="1"/>
        <rFont val="Calibri"/>
        <family val="2"/>
        <scheme val="minor"/>
      </rPr>
      <t>, tambien la Tasa Interna de Retorno</t>
    </r>
    <r>
      <rPr>
        <b/>
        <sz val="12"/>
        <color theme="1"/>
        <rFont val="Calibri"/>
        <family val="2"/>
        <scheme val="minor"/>
      </rPr>
      <t xml:space="preserve"> (TIR) </t>
    </r>
    <r>
      <rPr>
        <sz val="12"/>
        <color theme="1"/>
        <rFont val="Calibri"/>
        <family val="2"/>
        <scheme val="minor"/>
      </rPr>
      <t xml:space="preserve">es </t>
    </r>
    <r>
      <rPr>
        <sz val="12"/>
        <color rgb="FFFF0000"/>
        <rFont val="Calibri"/>
        <family val="2"/>
        <scheme val="minor"/>
      </rPr>
      <t>negativa</t>
    </r>
  </si>
  <si>
    <t>ANALISIS COMPRA DE BOTE SEGÚN MARCAS DE MOTORES</t>
  </si>
  <si>
    <t>Puntuacion</t>
  </si>
  <si>
    <t>Puntaje Alto</t>
  </si>
  <si>
    <t>Puntaje Medio</t>
  </si>
  <si>
    <t>Puntaje bajo</t>
  </si>
  <si>
    <t>Tabla puntuacion</t>
  </si>
  <si>
    <t>Impuesto AU (Administrativo y utilidad)</t>
  </si>
  <si>
    <t>FLUJO DE CAJA LIBRE</t>
  </si>
  <si>
    <t>Impuesto AU</t>
  </si>
  <si>
    <t>MOTOR YAMAHA</t>
  </si>
  <si>
    <t>VNA (Beneficios)</t>
  </si>
  <si>
    <t>VNA (Egresos)</t>
  </si>
  <si>
    <t>menos depreciacion (-)</t>
  </si>
  <si>
    <t>Mas depreciacion (+)</t>
  </si>
  <si>
    <t>Flujo de caja libre neto</t>
  </si>
  <si>
    <t>Inversion Equipo (Capex)</t>
  </si>
  <si>
    <t>Valor de Salvamento</t>
  </si>
  <si>
    <t>Flujo de caja libre antes de impuesto</t>
  </si>
  <si>
    <t>De acuerdo a los resultados el Valor Presente Neto (VPN) es positivo, asi como la Tasa interna de retorno (TIR) es superior a la tasa de oportunidad definida por el gobierno nacional. Respecto al analisi costo beneficio es mayor que uno; por lo tanto es una opcion viable para elegir</t>
  </si>
  <si>
    <t>CONCLUSION EVALUACION 1:</t>
  </si>
  <si>
    <t>Menos depreciacion (-)</t>
  </si>
  <si>
    <t>Bote Yamaha</t>
  </si>
  <si>
    <t>3. EVALUACION EQUIPO YAMAHA</t>
  </si>
  <si>
    <t>Motor Yamaha</t>
  </si>
  <si>
    <t>1. De acuerdo al analisis financiero no es viable realizar renta del bote ambulancia ya que el Valor Presente Neto es negativo; asi mismo la Tasa Interna de Retorno es negativa y mucho menor con la tasa de oportunidad definida por el gobierno nacional</t>
  </si>
  <si>
    <t>2. De acuerdo a la tabla de resultados el mejor VPN es el de bote con motor Yamaha; pues posee el Valor Presente Neto mas bajo y es positivo</t>
  </si>
  <si>
    <t>3. De acuerdo a los resultados de la evaluacion financiera, la Tasa Interna de Retorno (TIR) es alta para todas las opciones de motores, sin embargo es mas alta en Bote Yamaha</t>
  </si>
  <si>
    <t>4. El valor Anual Equivalente de del bote honda es el mas bajo, los cuales son los pagos mas bajos en una serie uniforme</t>
  </si>
  <si>
    <t>5. Respecto al analisis costo beneficio todas las propuestas presentan valores superiores a uno, lo que representa un beneficio adicional a la Tasa de Oportunidad, lo que nos indica que el Bote Yamaha tiene la relacion costo - beneficio mayor.</t>
  </si>
  <si>
    <t>6. Al realizar una valoracion cuantitativa de los resultados, se selecciona el Bote con motor Yamaha para comprarlo, debido a que tiene mayor puntuacion de las 3 opciones</t>
  </si>
  <si>
    <t>ESCENARIO #3: RENTA AVION AMBULANCIA</t>
  </si>
  <si>
    <t>Renta avion</t>
  </si>
  <si>
    <t>costo mtto avion</t>
  </si>
  <si>
    <t>combustible avion</t>
  </si>
  <si>
    <t>ANALISIS RENTA DE AVION</t>
  </si>
  <si>
    <t>1. RENTA DE AVION</t>
  </si>
  <si>
    <r>
      <t xml:space="preserve">No es viable realizar renta de avion porque el Valor Presente Neto </t>
    </r>
    <r>
      <rPr>
        <b/>
        <sz val="12"/>
        <color theme="1"/>
        <rFont val="Calibri"/>
        <family val="2"/>
        <scheme val="minor"/>
      </rPr>
      <t>(VPN)</t>
    </r>
    <r>
      <rPr>
        <sz val="12"/>
        <color theme="1"/>
        <rFont val="Calibri"/>
        <family val="2"/>
        <scheme val="minor"/>
      </rPr>
      <t xml:space="preserve"> es </t>
    </r>
    <r>
      <rPr>
        <sz val="12"/>
        <color rgb="FFFF0000"/>
        <rFont val="Calibri"/>
        <family val="2"/>
        <scheme val="minor"/>
      </rPr>
      <t>Negativo</t>
    </r>
    <r>
      <rPr>
        <sz val="12"/>
        <color theme="1"/>
        <rFont val="Calibri"/>
        <family val="2"/>
        <scheme val="minor"/>
      </rPr>
      <t>, tambien la Tasa Interna de Retorno</t>
    </r>
    <r>
      <rPr>
        <b/>
        <sz val="12"/>
        <color theme="1"/>
        <rFont val="Calibri"/>
        <family val="2"/>
        <scheme val="minor"/>
      </rPr>
      <t xml:space="preserve"> (TIR) </t>
    </r>
    <r>
      <rPr>
        <sz val="12"/>
        <color theme="1"/>
        <rFont val="Calibri"/>
        <family val="2"/>
        <scheme val="minor"/>
      </rPr>
      <t>es muy grande por lo tanto no la calcula el programa. Tambien la relacion costo beneficio es negativa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</si>
</sst>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;[Red]\-&quot;$&quot;#,##0"/>
    <numFmt numFmtId="8" formatCode="&quot;$&quot;#,##0.00;[Red]\-&quot;$&quot;#,##0.00"/>
    <numFmt numFmtId="41" formatCode="_-* #,##0_-;\-* #,##0_-;_-* &quot;-&quot;_-;_-@_-"/>
    <numFmt numFmtId="43" formatCode="_-* #,##0.00_-;\-* #,##0.00_-;_-* &quot;-&quot;??_-;_-@_-"/>
    <numFmt numFmtId="164" formatCode="#,##0\ &quot;$&quot;;[Red]\-#,##0\ &quot;$&quot;"/>
    <numFmt numFmtId="165" formatCode="_-* #,##0.00\ &quot;$&quot;_-;\-* #,##0.00\ &quot;$&quot;_-;_-* &quot;-&quot;??\ &quot;$&quot;_-;_-@_-"/>
    <numFmt numFmtId="166" formatCode="0.0%"/>
    <numFmt numFmtId="167" formatCode="_-* #,##0_-;\-* #,##0_-;_-* &quot;-&quot;??_-;_-@_-"/>
    <numFmt numFmtId="168" formatCode="#,##0\ &quot;$&quot;"/>
    <numFmt numFmtId="169" formatCode="_-* #,##0\ &quot;$&quot;_-;\-* #,##0\ &quot;$&quot;_-;_-* &quot;-&quot;??\ &quot;$&quot;_-;_-@_-"/>
    <numFmt numFmtId="170" formatCode="0.000%"/>
    <numFmt numFmtId="171" formatCode="0.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432FF"/>
      <name val="Calibri"/>
      <family val="2"/>
      <scheme val="minor"/>
    </font>
    <font>
      <sz val="12"/>
      <color rgb="FF0432FF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5">
    <xf numFmtId="0" fontId="0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/>
    <xf numFmtId="41" fontId="0" fillId="2" borderId="0" xfId="0" applyNumberFormat="1" applyFill="1"/>
    <xf numFmtId="41" fontId="6" fillId="2" borderId="0" xfId="0" applyNumberFormat="1" applyFont="1" applyFill="1" applyAlignment="1">
      <alignment horizontal="left"/>
    </xf>
    <xf numFmtId="0" fontId="0" fillId="2" borderId="5" xfId="0" applyFill="1" applyBorder="1"/>
    <xf numFmtId="0" fontId="0" fillId="2" borderId="12" xfId="0" applyFill="1" applyBorder="1"/>
    <xf numFmtId="41" fontId="8" fillId="2" borderId="0" xfId="0" applyNumberFormat="1" applyFont="1" applyFill="1"/>
    <xf numFmtId="0" fontId="8" fillId="2" borderId="0" xfId="0" applyFont="1" applyFill="1"/>
    <xf numFmtId="0" fontId="0" fillId="2" borderId="8" xfId="0" applyFill="1" applyBorder="1"/>
    <xf numFmtId="0" fontId="10" fillId="3" borderId="0" xfId="0" applyFont="1" applyFill="1" applyBorder="1"/>
    <xf numFmtId="0" fontId="8" fillId="2" borderId="8" xfId="0" applyFont="1" applyFill="1" applyBorder="1"/>
    <xf numFmtId="0" fontId="8" fillId="4" borderId="8" xfId="0" applyFont="1" applyFill="1" applyBorder="1"/>
    <xf numFmtId="0" fontId="0" fillId="4" borderId="8" xfId="0" applyFill="1" applyBorder="1"/>
    <xf numFmtId="0" fontId="0" fillId="5" borderId="8" xfId="0" applyFill="1" applyBorder="1"/>
    <xf numFmtId="0" fontId="8" fillId="5" borderId="8" xfId="0" applyFont="1" applyFill="1" applyBorder="1" applyAlignment="1">
      <alignment horizontal="center"/>
    </xf>
    <xf numFmtId="167" fontId="0" fillId="2" borderId="8" xfId="3" applyNumberFormat="1" applyFont="1" applyFill="1" applyBorder="1"/>
    <xf numFmtId="41" fontId="0" fillId="2" borderId="8" xfId="0" applyNumberFormat="1" applyFill="1" applyBorder="1"/>
    <xf numFmtId="0" fontId="0" fillId="4" borderId="16" xfId="0" applyFill="1" applyBorder="1"/>
    <xf numFmtId="0" fontId="0" fillId="2" borderId="8" xfId="0" applyFill="1" applyBorder="1" applyAlignment="1">
      <alignment horizontal="left" indent="1"/>
    </xf>
    <xf numFmtId="167" fontId="0" fillId="2" borderId="8" xfId="0" applyNumberFormat="1" applyFill="1" applyBorder="1"/>
    <xf numFmtId="167" fontId="8" fillId="4" borderId="8" xfId="0" applyNumberFormat="1" applyFont="1" applyFill="1" applyBorder="1"/>
    <xf numFmtId="0" fontId="0" fillId="2" borderId="1" xfId="0" applyFill="1" applyBorder="1"/>
    <xf numFmtId="0" fontId="0" fillId="2" borderId="3" xfId="0" applyFill="1" applyBorder="1"/>
    <xf numFmtId="0" fontId="8" fillId="5" borderId="9" xfId="0" applyFont="1" applyFill="1" applyBorder="1"/>
    <xf numFmtId="0" fontId="8" fillId="5" borderId="9" xfId="0" applyFont="1" applyFill="1" applyBorder="1" applyAlignment="1">
      <alignment wrapText="1"/>
    </xf>
    <xf numFmtId="0" fontId="8" fillId="5" borderId="10" xfId="0" applyFont="1" applyFill="1" applyBorder="1"/>
    <xf numFmtId="0" fontId="0" fillId="4" borderId="2" xfId="0" applyFill="1" applyBorder="1"/>
    <xf numFmtId="0" fontId="0" fillId="4" borderId="4" xfId="0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22" xfId="0" applyFill="1" applyBorder="1"/>
    <xf numFmtId="167" fontId="0" fillId="3" borderId="8" xfId="0" applyNumberFormat="1" applyFill="1" applyBorder="1"/>
    <xf numFmtId="167" fontId="0" fillId="2" borderId="11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7" fontId="0" fillId="2" borderId="3" xfId="0" applyNumberFormat="1" applyFill="1" applyBorder="1"/>
    <xf numFmtId="167" fontId="0" fillId="2" borderId="19" xfId="0" applyNumberFormat="1" applyFill="1" applyBorder="1"/>
    <xf numFmtId="0" fontId="10" fillId="2" borderId="0" xfId="0" applyFont="1" applyFill="1"/>
    <xf numFmtId="167" fontId="12" fillId="2" borderId="8" xfId="0" applyNumberFormat="1" applyFont="1" applyFill="1" applyBorder="1"/>
    <xf numFmtId="168" fontId="0" fillId="2" borderId="0" xfId="0" applyNumberFormat="1" applyFill="1"/>
    <xf numFmtId="169" fontId="0" fillId="2" borderId="0" xfId="4" applyNumberFormat="1" applyFont="1" applyFill="1"/>
    <xf numFmtId="164" fontId="0" fillId="2" borderId="0" xfId="0" applyNumberFormat="1" applyFill="1"/>
    <xf numFmtId="41" fontId="0" fillId="3" borderId="0" xfId="0" applyNumberFormat="1" applyFill="1"/>
    <xf numFmtId="0" fontId="0" fillId="3" borderId="0" xfId="0" applyFill="1"/>
    <xf numFmtId="10" fontId="0" fillId="2" borderId="0" xfId="0" applyNumberFormat="1" applyFill="1"/>
    <xf numFmtId="2" fontId="0" fillId="2" borderId="0" xfId="0" applyNumberFormat="1" applyFill="1"/>
    <xf numFmtId="167" fontId="8" fillId="4" borderId="8" xfId="3" applyNumberFormat="1" applyFont="1" applyFill="1" applyBorder="1"/>
    <xf numFmtId="41" fontId="12" fillId="2" borderId="7" xfId="0" applyNumberFormat="1" applyFont="1" applyFill="1" applyBorder="1" applyAlignment="1">
      <alignment horizontal="left"/>
    </xf>
    <xf numFmtId="0" fontId="5" fillId="2" borderId="6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0" fillId="2" borderId="0" xfId="0" applyFill="1" applyBorder="1"/>
    <xf numFmtId="41" fontId="7" fillId="2" borderId="0" xfId="0" applyNumberFormat="1" applyFont="1" applyFill="1" applyBorder="1" applyAlignment="1">
      <alignment horizontal="left"/>
    </xf>
    <xf numFmtId="41" fontId="7" fillId="2" borderId="0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7" xfId="0" applyFill="1" applyBorder="1"/>
    <xf numFmtId="0" fontId="0" fillId="2" borderId="23" xfId="0" applyFill="1" applyBorder="1"/>
    <xf numFmtId="0" fontId="0" fillId="2" borderId="6" xfId="0" applyFill="1" applyBorder="1"/>
    <xf numFmtId="0" fontId="0" fillId="2" borderId="21" xfId="0" applyFill="1" applyBorder="1"/>
    <xf numFmtId="41" fontId="14" fillId="2" borderId="0" xfId="0" applyNumberFormat="1" applyFont="1" applyFill="1" applyAlignment="1">
      <alignment horizontal="left"/>
    </xf>
    <xf numFmtId="41" fontId="14" fillId="2" borderId="7" xfId="0" applyNumberFormat="1" applyFont="1" applyFill="1" applyBorder="1" applyAlignment="1">
      <alignment horizontal="left"/>
    </xf>
    <xf numFmtId="0" fontId="14" fillId="2" borderId="0" xfId="0" applyFont="1" applyFill="1"/>
    <xf numFmtId="0" fontId="14" fillId="2" borderId="7" xfId="0" applyFont="1" applyFill="1" applyBorder="1"/>
    <xf numFmtId="41" fontId="12" fillId="2" borderId="6" xfId="0" applyNumberFormat="1" applyFont="1" applyFill="1" applyBorder="1" applyAlignment="1">
      <alignment horizontal="right"/>
    </xf>
    <xf numFmtId="41" fontId="12" fillId="2" borderId="7" xfId="0" applyNumberFormat="1" applyFont="1" applyFill="1" applyBorder="1" applyAlignment="1">
      <alignment horizontal="right"/>
    </xf>
    <xf numFmtId="0" fontId="0" fillId="2" borderId="24" xfId="0" applyFill="1" applyBorder="1"/>
    <xf numFmtId="41" fontId="6" fillId="2" borderId="0" xfId="0" applyNumberFormat="1" applyFont="1" applyFill="1" applyBorder="1" applyAlignment="1">
      <alignment horizontal="left"/>
    </xf>
    <xf numFmtId="167" fontId="7" fillId="2" borderId="7" xfId="0" applyNumberFormat="1" applyFont="1" applyFill="1" applyBorder="1"/>
    <xf numFmtId="41" fontId="8" fillId="4" borderId="8" xfId="0" applyNumberFormat="1" applyFont="1" applyFill="1" applyBorder="1"/>
    <xf numFmtId="3" fontId="0" fillId="2" borderId="8" xfId="0" applyNumberFormat="1" applyFill="1" applyBorder="1"/>
    <xf numFmtId="0" fontId="0" fillId="5" borderId="1" xfId="0" applyFill="1" applyBorder="1"/>
    <xf numFmtId="0" fontId="0" fillId="5" borderId="9" xfId="0" applyFill="1" applyBorder="1"/>
    <xf numFmtId="0" fontId="0" fillId="5" borderId="10" xfId="0" applyFill="1" applyBorder="1"/>
    <xf numFmtId="167" fontId="0" fillId="2" borderId="3" xfId="3" applyNumberFormat="1" applyFont="1" applyFill="1" applyBorder="1"/>
    <xf numFmtId="3" fontId="0" fillId="2" borderId="3" xfId="0" applyNumberFormat="1" applyFill="1" applyBorder="1"/>
    <xf numFmtId="0" fontId="0" fillId="6" borderId="8" xfId="0" applyFill="1" applyBorder="1"/>
    <xf numFmtId="0" fontId="0" fillId="3" borderId="2" xfId="0" applyFill="1" applyBorder="1"/>
    <xf numFmtId="0" fontId="0" fillId="3" borderId="8" xfId="0" applyFill="1" applyBorder="1"/>
    <xf numFmtId="41" fontId="0" fillId="3" borderId="8" xfId="1" applyFont="1" applyFill="1" applyBorder="1"/>
    <xf numFmtId="41" fontId="0" fillId="3" borderId="3" xfId="1" applyFont="1" applyFill="1" applyBorder="1"/>
    <xf numFmtId="0" fontId="15" fillId="5" borderId="1" xfId="0" applyFont="1" applyFill="1" applyBorder="1"/>
    <xf numFmtId="0" fontId="15" fillId="5" borderId="9" xfId="0" applyFont="1" applyFill="1" applyBorder="1"/>
    <xf numFmtId="0" fontId="15" fillId="5" borderId="10" xfId="0" applyFont="1" applyFill="1" applyBorder="1"/>
    <xf numFmtId="0" fontId="3" fillId="5" borderId="8" xfId="0" applyFont="1" applyFill="1" applyBorder="1"/>
    <xf numFmtId="41" fontId="4" fillId="5" borderId="8" xfId="1" applyFont="1" applyFill="1" applyBorder="1"/>
    <xf numFmtId="41" fontId="4" fillId="5" borderId="3" xfId="1" applyFont="1" applyFill="1" applyBorder="1"/>
    <xf numFmtId="0" fontId="15" fillId="5" borderId="2" xfId="0" applyFont="1" applyFill="1" applyBorder="1"/>
    <xf numFmtId="0" fontId="15" fillId="5" borderId="8" xfId="0" applyFont="1" applyFill="1" applyBorder="1"/>
    <xf numFmtId="41" fontId="13" fillId="5" borderId="8" xfId="1" applyFont="1" applyFill="1" applyBorder="1"/>
    <xf numFmtId="41" fontId="13" fillId="5" borderId="3" xfId="1" applyFont="1" applyFill="1" applyBorder="1"/>
    <xf numFmtId="0" fontId="13" fillId="5" borderId="8" xfId="0" applyFont="1" applyFill="1" applyBorder="1"/>
    <xf numFmtId="41" fontId="8" fillId="4" borderId="8" xfId="1" applyFont="1" applyFill="1" applyBorder="1"/>
    <xf numFmtId="41" fontId="8" fillId="4" borderId="3" xfId="1" applyFont="1" applyFill="1" applyBorder="1"/>
    <xf numFmtId="4" fontId="0" fillId="4" borderId="11" xfId="0" applyNumberFormat="1" applyFill="1" applyBorder="1"/>
    <xf numFmtId="4" fontId="8" fillId="4" borderId="11" xfId="0" applyNumberFormat="1" applyFont="1" applyFill="1" applyBorder="1"/>
    <xf numFmtId="3" fontId="8" fillId="4" borderId="19" xfId="0" applyNumberFormat="1" applyFont="1" applyFill="1" applyBorder="1" applyAlignment="1">
      <alignment horizontal="left" indent="4"/>
    </xf>
    <xf numFmtId="0" fontId="0" fillId="3" borderId="2" xfId="0" applyFill="1" applyBorder="1" applyAlignment="1">
      <alignment wrapText="1"/>
    </xf>
    <xf numFmtId="3" fontId="8" fillId="4" borderId="19" xfId="0" applyNumberFormat="1" applyFont="1" applyFill="1" applyBorder="1"/>
    <xf numFmtId="10" fontId="0" fillId="7" borderId="8" xfId="2" applyNumberFormat="1" applyFont="1" applyFill="1" applyBorder="1"/>
    <xf numFmtId="10" fontId="0" fillId="6" borderId="8" xfId="2" applyNumberFormat="1" applyFont="1" applyFill="1" applyBorder="1"/>
    <xf numFmtId="10" fontId="0" fillId="8" borderId="8" xfId="2" applyNumberFormat="1" applyFont="1" applyFill="1" applyBorder="1"/>
    <xf numFmtId="2" fontId="0" fillId="7" borderId="8" xfId="0" applyNumberFormat="1" applyFill="1" applyBorder="1"/>
    <xf numFmtId="0" fontId="8" fillId="5" borderId="8" xfId="0" applyFont="1" applyFill="1" applyBorder="1"/>
    <xf numFmtId="2" fontId="0" fillId="6" borderId="8" xfId="0" applyNumberFormat="1" applyFill="1" applyBorder="1"/>
    <xf numFmtId="2" fontId="13" fillId="8" borderId="8" xfId="0" applyNumberFormat="1" applyFont="1" applyFill="1" applyBorder="1"/>
    <xf numFmtId="0" fontId="0" fillId="6" borderId="1" xfId="0" applyFill="1" applyBorder="1"/>
    <xf numFmtId="9" fontId="0" fillId="6" borderId="10" xfId="2" applyFont="1" applyFill="1" applyBorder="1"/>
    <xf numFmtId="0" fontId="0" fillId="6" borderId="4" xfId="0" applyFill="1" applyBorder="1"/>
    <xf numFmtId="0" fontId="0" fillId="6" borderId="2" xfId="0" applyFill="1" applyBorder="1"/>
    <xf numFmtId="9" fontId="0" fillId="6" borderId="3" xfId="2" applyFont="1" applyFill="1" applyBorder="1"/>
    <xf numFmtId="9" fontId="0" fillId="6" borderId="19" xfId="0" applyNumberFormat="1" applyFill="1" applyBorder="1"/>
    <xf numFmtId="0" fontId="0" fillId="6" borderId="12" xfId="0" applyFill="1" applyBorder="1"/>
    <xf numFmtId="0" fontId="0" fillId="6" borderId="13" xfId="0" applyFill="1" applyBorder="1"/>
    <xf numFmtId="0" fontId="8" fillId="2" borderId="18" xfId="0" applyFont="1" applyFill="1" applyBorder="1"/>
    <xf numFmtId="41" fontId="8" fillId="2" borderId="18" xfId="0" applyNumberFormat="1" applyFont="1" applyFill="1" applyBorder="1"/>
    <xf numFmtId="0" fontId="16" fillId="2" borderId="0" xfId="0" applyFont="1" applyFill="1"/>
    <xf numFmtId="169" fontId="12" fillId="2" borderId="0" xfId="4" applyNumberFormat="1" applyFont="1" applyFill="1"/>
    <xf numFmtId="0" fontId="8" fillId="2" borderId="0" xfId="0" applyFont="1" applyFill="1" applyBorder="1"/>
    <xf numFmtId="41" fontId="8" fillId="2" borderId="0" xfId="0" applyNumberFormat="1" applyFont="1" applyFill="1" applyBorder="1"/>
    <xf numFmtId="0" fontId="8" fillId="2" borderId="0" xfId="0" applyFont="1" applyFill="1" applyAlignment="1">
      <alignment horizontal="right"/>
    </xf>
    <xf numFmtId="0" fontId="13" fillId="7" borderId="8" xfId="0" applyFont="1" applyFill="1" applyBorder="1"/>
    <xf numFmtId="0" fontId="0" fillId="8" borderId="8" xfId="0" applyFill="1" applyBorder="1"/>
    <xf numFmtId="0" fontId="0" fillId="6" borderId="14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left" vertical="center" wrapText="1"/>
    </xf>
    <xf numFmtId="0" fontId="0" fillId="6" borderId="16" xfId="0" applyFill="1" applyBorder="1" applyAlignment="1">
      <alignment horizontal="left" vertical="center" wrapText="1"/>
    </xf>
    <xf numFmtId="0" fontId="0" fillId="6" borderId="17" xfId="0" applyFill="1" applyBorder="1" applyAlignment="1">
      <alignment horizontal="left" vertical="center" wrapText="1"/>
    </xf>
    <xf numFmtId="0" fontId="0" fillId="9" borderId="8" xfId="0" applyFill="1" applyBorder="1"/>
    <xf numFmtId="41" fontId="0" fillId="9" borderId="8" xfId="1" applyFont="1" applyFill="1" applyBorder="1"/>
    <xf numFmtId="0" fontId="0" fillId="9" borderId="3" xfId="0" applyFill="1" applyBorder="1"/>
    <xf numFmtId="166" fontId="0" fillId="9" borderId="8" xfId="0" applyNumberFormat="1" applyFill="1" applyBorder="1"/>
    <xf numFmtId="166" fontId="0" fillId="9" borderId="8" xfId="2" applyNumberFormat="1" applyFont="1" applyFill="1" applyBorder="1"/>
    <xf numFmtId="166" fontId="0" fillId="9" borderId="3" xfId="2" applyNumberFormat="1" applyFont="1" applyFill="1" applyBorder="1"/>
    <xf numFmtId="166" fontId="0" fillId="3" borderId="8" xfId="2" applyNumberFormat="1" applyFont="1" applyFill="1" applyBorder="1"/>
    <xf numFmtId="166" fontId="0" fillId="3" borderId="3" xfId="2" applyNumberFormat="1" applyFont="1" applyFill="1" applyBorder="1"/>
    <xf numFmtId="0" fontId="0" fillId="6" borderId="3" xfId="0" applyFill="1" applyBorder="1"/>
    <xf numFmtId="9" fontId="0" fillId="6" borderId="11" xfId="2" applyFont="1" applyFill="1" applyBorder="1"/>
    <xf numFmtId="9" fontId="0" fillId="6" borderId="19" xfId="2" applyFont="1" applyFill="1" applyBorder="1"/>
    <xf numFmtId="170" fontId="0" fillId="2" borderId="0" xfId="0" applyNumberFormat="1" applyFill="1"/>
    <xf numFmtId="10" fontId="12" fillId="2" borderId="0" xfId="0" applyNumberFormat="1" applyFont="1" applyFill="1"/>
    <xf numFmtId="6" fontId="0" fillId="2" borderId="0" xfId="0" applyNumberFormat="1" applyFill="1"/>
    <xf numFmtId="8" fontId="0" fillId="2" borderId="0" xfId="1" applyNumberFormat="1" applyFont="1" applyFill="1"/>
    <xf numFmtId="167" fontId="12" fillId="4" borderId="8" xfId="0" applyNumberFormat="1" applyFont="1" applyFill="1" applyBorder="1"/>
    <xf numFmtId="167" fontId="12" fillId="2" borderId="7" xfId="0" applyNumberFormat="1" applyFont="1" applyFill="1" applyBorder="1"/>
    <xf numFmtId="0" fontId="0" fillId="3" borderId="0" xfId="0" applyFill="1" applyBorder="1"/>
    <xf numFmtId="0" fontId="8" fillId="3" borderId="0" xfId="0" applyFont="1" applyFill="1" applyBorder="1" applyAlignment="1">
      <alignment horizontal="center"/>
    </xf>
    <xf numFmtId="0" fontId="8" fillId="3" borderId="0" xfId="0" applyFont="1" applyFill="1" applyBorder="1"/>
    <xf numFmtId="167" fontId="8" fillId="3" borderId="0" xfId="0" applyNumberFormat="1" applyFont="1" applyFill="1" applyBorder="1"/>
    <xf numFmtId="41" fontId="8" fillId="3" borderId="0" xfId="0" applyNumberFormat="1" applyFont="1" applyFill="1" applyBorder="1"/>
    <xf numFmtId="0" fontId="0" fillId="3" borderId="0" xfId="0" applyFill="1" applyBorder="1" applyAlignment="1">
      <alignment horizontal="left" indent="1"/>
    </xf>
    <xf numFmtId="41" fontId="0" fillId="3" borderId="0" xfId="0" applyNumberFormat="1" applyFill="1" applyBorder="1"/>
    <xf numFmtId="167" fontId="0" fillId="3" borderId="0" xfId="0" applyNumberFormat="1" applyFill="1" applyBorder="1"/>
    <xf numFmtId="41" fontId="14" fillId="2" borderId="0" xfId="0" applyNumberFormat="1" applyFont="1" applyFill="1" applyBorder="1" applyAlignment="1">
      <alignment horizontal="left"/>
    </xf>
    <xf numFmtId="167" fontId="8" fillId="2" borderId="8" xfId="0" applyNumberFormat="1" applyFont="1" applyFill="1" applyBorder="1"/>
    <xf numFmtId="0" fontId="0" fillId="6" borderId="14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left" vertical="center" wrapText="1"/>
    </xf>
    <xf numFmtId="0" fontId="0" fillId="6" borderId="16" xfId="0" applyFill="1" applyBorder="1" applyAlignment="1">
      <alignment horizontal="left" vertical="center" wrapText="1"/>
    </xf>
    <xf numFmtId="0" fontId="0" fillId="6" borderId="17" xfId="0" applyFill="1" applyBorder="1" applyAlignment="1">
      <alignment horizontal="left" vertical="center" wrapText="1"/>
    </xf>
    <xf numFmtId="167" fontId="7" fillId="2" borderId="0" xfId="0" applyNumberFormat="1" applyFont="1" applyFill="1" applyBorder="1"/>
    <xf numFmtId="41" fontId="12" fillId="2" borderId="0" xfId="0" applyNumberFormat="1" applyFont="1" applyFill="1" applyBorder="1" applyAlignment="1">
      <alignment horizontal="right"/>
    </xf>
    <xf numFmtId="169" fontId="0" fillId="8" borderId="8" xfId="0" applyNumberFormat="1" applyFill="1" applyBorder="1"/>
    <xf numFmtId="41" fontId="14" fillId="3" borderId="0" xfId="0" applyNumberFormat="1" applyFont="1" applyFill="1" applyAlignment="1">
      <alignment horizontal="left"/>
    </xf>
    <xf numFmtId="41" fontId="6" fillId="3" borderId="0" xfId="0" applyNumberFormat="1" applyFont="1" applyFill="1" applyBorder="1" applyAlignment="1">
      <alignment horizontal="left"/>
    </xf>
    <xf numFmtId="0" fontId="5" fillId="3" borderId="0" xfId="0" applyFont="1" applyFill="1" applyBorder="1" applyAlignment="1">
      <alignment horizontal="right"/>
    </xf>
    <xf numFmtId="41" fontId="7" fillId="3" borderId="0" xfId="0" applyNumberFormat="1" applyFont="1" applyFill="1" applyBorder="1" applyAlignment="1">
      <alignment horizontal="left"/>
    </xf>
    <xf numFmtId="41" fontId="14" fillId="3" borderId="0" xfId="0" applyNumberFormat="1" applyFont="1" applyFill="1" applyBorder="1" applyAlignment="1">
      <alignment horizontal="left"/>
    </xf>
    <xf numFmtId="167" fontId="7" fillId="3" borderId="0" xfId="0" applyNumberFormat="1" applyFont="1" applyFill="1" applyBorder="1"/>
    <xf numFmtId="41" fontId="12" fillId="3" borderId="0" xfId="0" applyNumberFormat="1" applyFont="1" applyFill="1" applyBorder="1" applyAlignment="1">
      <alignment horizontal="right"/>
    </xf>
    <xf numFmtId="167" fontId="7" fillId="2" borderId="6" xfId="0" applyNumberFormat="1" applyFont="1" applyFill="1" applyBorder="1"/>
    <xf numFmtId="164" fontId="13" fillId="7" borderId="8" xfId="0" applyNumberFormat="1" applyFont="1" applyFill="1" applyBorder="1"/>
    <xf numFmtId="168" fontId="13" fillId="6" borderId="8" xfId="0" applyNumberFormat="1" applyFont="1" applyFill="1" applyBorder="1"/>
    <xf numFmtId="169" fontId="13" fillId="8" borderId="8" xfId="0" applyNumberFormat="1" applyFont="1" applyFill="1" applyBorder="1"/>
    <xf numFmtId="1" fontId="8" fillId="2" borderId="8" xfId="2" applyNumberFormat="1" applyFont="1" applyFill="1" applyBorder="1" applyAlignment="1">
      <alignment horizontal="center"/>
    </xf>
    <xf numFmtId="0" fontId="0" fillId="2" borderId="0" xfId="0" applyFill="1" applyAlignment="1">
      <alignment horizontal="left" wrapText="1"/>
    </xf>
    <xf numFmtId="0" fontId="10" fillId="2" borderId="8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0" fillId="6" borderId="14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left" vertical="center" wrapText="1"/>
    </xf>
    <xf numFmtId="0" fontId="0" fillId="6" borderId="16" xfId="0" applyFill="1" applyBorder="1" applyAlignment="1">
      <alignment horizontal="left" vertical="center" wrapText="1"/>
    </xf>
    <xf numFmtId="0" fontId="0" fillId="6" borderId="17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167" fontId="0" fillId="2" borderId="8" xfId="3" applyNumberFormat="1" applyFont="1" applyFill="1" applyBorder="1" applyAlignment="1">
      <alignment horizontal="right" indent="3"/>
    </xf>
    <xf numFmtId="171" fontId="17" fillId="2" borderId="0" xfId="0" applyNumberFormat="1" applyFont="1" applyFill="1"/>
  </cellXfs>
  <cellStyles count="5">
    <cellStyle name="Millares" xfId="3" builtinId="3"/>
    <cellStyle name="Millares [0]" xfId="1" builtinId="6"/>
    <cellStyle name="Moneda" xfId="4" builtinId="4"/>
    <cellStyle name="Normal" xfId="0" builtinId="0"/>
    <cellStyle name="Porcentaje" xfId="2" builtinId="5"/>
  </cellStyles>
  <dxfs count="0"/>
  <tableStyles count="0" defaultTableStyle="TableStyleMedium9" defaultPivotStyle="PivotStyleMedium7"/>
  <colors>
    <mruColors>
      <color rgb="FFFF3300"/>
      <color rgb="FF0432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Z279"/>
  <sheetViews>
    <sheetView tabSelected="1" topLeftCell="D104" zoomScaleNormal="85" zoomScalePageLayoutView="85" workbookViewId="0">
      <selection activeCell="G52" sqref="G52"/>
    </sheetView>
  </sheetViews>
  <sheetFormatPr baseColWidth="10" defaultColWidth="10.83203125" defaultRowHeight="16" x14ac:dyDescent="0.2"/>
  <cols>
    <col min="1" max="4" width="10.83203125" style="1"/>
    <col min="5" max="5" width="60.1640625" style="1" customWidth="1"/>
    <col min="6" max="6" width="22.33203125" style="1" customWidth="1"/>
    <col min="7" max="7" width="16.6640625" style="1" bestFit="1" customWidth="1"/>
    <col min="8" max="8" width="20" style="1" bestFit="1" customWidth="1"/>
    <col min="9" max="9" width="17.1640625" style="1" customWidth="1"/>
    <col min="10" max="10" width="18.1640625" style="1" bestFit="1" customWidth="1"/>
    <col min="11" max="11" width="18.83203125" style="1" bestFit="1" customWidth="1"/>
    <col min="12" max="12" width="16.1640625" style="1" bestFit="1" customWidth="1"/>
    <col min="13" max="13" width="19" style="1" customWidth="1"/>
    <col min="14" max="24" width="14.1640625" style="1" bestFit="1" customWidth="1"/>
    <col min="25" max="16384" width="10.83203125" style="1"/>
  </cols>
  <sheetData>
    <row r="3" spans="5:9" ht="24" thickBot="1" x14ac:dyDescent="0.5">
      <c r="E3" s="174" t="s">
        <v>19</v>
      </c>
      <c r="F3" s="174"/>
      <c r="G3" s="174"/>
      <c r="H3" s="174"/>
    </row>
    <row r="4" spans="5:9" x14ac:dyDescent="0.2">
      <c r="E4" s="80" t="s">
        <v>11</v>
      </c>
      <c r="F4" s="81" t="s">
        <v>12</v>
      </c>
      <c r="G4" s="81" t="s">
        <v>14</v>
      </c>
      <c r="H4" s="82" t="s">
        <v>13</v>
      </c>
    </row>
    <row r="5" spans="5:9" x14ac:dyDescent="0.2">
      <c r="E5" s="76" t="s">
        <v>0</v>
      </c>
      <c r="F5" s="77">
        <v>1</v>
      </c>
      <c r="G5" s="78">
        <v>650000000</v>
      </c>
      <c r="H5" s="79">
        <f>G5*F5</f>
        <v>650000000</v>
      </c>
    </row>
    <row r="6" spans="5:9" x14ac:dyDescent="0.2">
      <c r="E6" s="26"/>
      <c r="F6" s="12"/>
      <c r="G6" s="91" t="s">
        <v>15</v>
      </c>
      <c r="H6" s="92">
        <f>SUM(H5:H5)</f>
        <v>650000000</v>
      </c>
    </row>
    <row r="7" spans="5:9" x14ac:dyDescent="0.2">
      <c r="E7" s="86" t="s">
        <v>1</v>
      </c>
      <c r="F7" s="87"/>
      <c r="G7" s="88"/>
      <c r="H7" s="89"/>
    </row>
    <row r="8" spans="5:9" x14ac:dyDescent="0.2">
      <c r="E8" s="76" t="s">
        <v>2</v>
      </c>
      <c r="F8" s="126">
        <v>12</v>
      </c>
      <c r="G8" s="127">
        <v>1000000</v>
      </c>
      <c r="H8" s="79">
        <f>G8*F8</f>
        <v>12000000</v>
      </c>
      <c r="I8" s="42"/>
    </row>
    <row r="9" spans="5:9" x14ac:dyDescent="0.2">
      <c r="E9" s="76" t="s">
        <v>3</v>
      </c>
      <c r="F9" s="126">
        <v>12</v>
      </c>
      <c r="G9" s="127">
        <v>1500000</v>
      </c>
      <c r="H9" s="79">
        <f t="shared" ref="H9:H11" si="0">G9*F9</f>
        <v>18000000</v>
      </c>
      <c r="I9" s="43"/>
    </row>
    <row r="10" spans="5:9" x14ac:dyDescent="0.2">
      <c r="E10" s="76" t="s">
        <v>4</v>
      </c>
      <c r="F10" s="126">
        <v>12</v>
      </c>
      <c r="G10" s="127">
        <v>15000000</v>
      </c>
      <c r="H10" s="79">
        <f t="shared" si="0"/>
        <v>180000000</v>
      </c>
      <c r="I10" s="43"/>
    </row>
    <row r="11" spans="5:9" x14ac:dyDescent="0.2">
      <c r="E11" s="76" t="s">
        <v>5</v>
      </c>
      <c r="F11" s="126">
        <v>1</v>
      </c>
      <c r="G11" s="127">
        <v>8000000</v>
      </c>
      <c r="H11" s="79">
        <f t="shared" si="0"/>
        <v>8000000</v>
      </c>
      <c r="I11" s="43"/>
    </row>
    <row r="12" spans="5:9" x14ac:dyDescent="0.2">
      <c r="E12" s="76" t="s">
        <v>6</v>
      </c>
      <c r="F12" s="126">
        <v>2</v>
      </c>
      <c r="G12" s="127">
        <v>24000000</v>
      </c>
      <c r="H12" s="79">
        <f>G12*F12</f>
        <v>48000000</v>
      </c>
      <c r="I12" s="43"/>
    </row>
    <row r="13" spans="5:9" x14ac:dyDescent="0.2">
      <c r="E13" s="76" t="s">
        <v>7</v>
      </c>
      <c r="F13" s="126">
        <v>2</v>
      </c>
      <c r="G13" s="127">
        <v>4000000</v>
      </c>
      <c r="H13" s="79">
        <f t="shared" ref="H13:H15" si="1">G13*F13</f>
        <v>8000000</v>
      </c>
      <c r="I13" s="43"/>
    </row>
    <row r="14" spans="5:9" x14ac:dyDescent="0.2">
      <c r="E14" s="76" t="s">
        <v>8</v>
      </c>
      <c r="F14" s="126">
        <v>12</v>
      </c>
      <c r="G14" s="127">
        <v>1500000</v>
      </c>
      <c r="H14" s="79">
        <f t="shared" si="1"/>
        <v>18000000</v>
      </c>
      <c r="I14" s="43"/>
    </row>
    <row r="15" spans="5:9" x14ac:dyDescent="0.2">
      <c r="E15" s="76" t="s">
        <v>9</v>
      </c>
      <c r="F15" s="126">
        <v>4</v>
      </c>
      <c r="G15" s="127">
        <v>1000000</v>
      </c>
      <c r="H15" s="79">
        <f t="shared" si="1"/>
        <v>4000000</v>
      </c>
      <c r="I15" s="43"/>
    </row>
    <row r="16" spans="5:9" x14ac:dyDescent="0.2">
      <c r="E16" s="26"/>
      <c r="F16" s="12"/>
      <c r="G16" s="91" t="s">
        <v>17</v>
      </c>
      <c r="H16" s="92">
        <f>SUM(H8:H15)</f>
        <v>296000000</v>
      </c>
      <c r="I16" s="43"/>
    </row>
    <row r="17" spans="5:9" x14ac:dyDescent="0.2">
      <c r="E17" s="86" t="s">
        <v>10</v>
      </c>
      <c r="F17" s="90"/>
      <c r="G17" s="88"/>
      <c r="H17" s="89"/>
    </row>
    <row r="18" spans="5:9" x14ac:dyDescent="0.2">
      <c r="E18" s="76"/>
      <c r="F18" s="77"/>
      <c r="G18" s="78"/>
      <c r="H18" s="79"/>
    </row>
    <row r="19" spans="5:9" x14ac:dyDescent="0.2">
      <c r="E19" s="76" t="s">
        <v>16</v>
      </c>
      <c r="F19" s="77">
        <v>1524</v>
      </c>
      <c r="G19" s="78">
        <v>1500000</v>
      </c>
      <c r="H19" s="79">
        <f>G19*F19</f>
        <v>2286000000</v>
      </c>
      <c r="I19" s="2"/>
    </row>
    <row r="20" spans="5:9" ht="16.25" thickBot="1" x14ac:dyDescent="0.35">
      <c r="E20" s="27"/>
      <c r="F20" s="93"/>
      <c r="G20" s="94" t="s">
        <v>18</v>
      </c>
      <c r="H20" s="95">
        <f>H19</f>
        <v>2286000000</v>
      </c>
    </row>
    <row r="24" spans="5:9" ht="24" thickBot="1" x14ac:dyDescent="0.5">
      <c r="E24" s="174" t="s">
        <v>20</v>
      </c>
      <c r="F24" s="174"/>
      <c r="G24" s="174"/>
      <c r="H24" s="174"/>
    </row>
    <row r="25" spans="5:9" x14ac:dyDescent="0.2">
      <c r="E25" s="80" t="s">
        <v>11</v>
      </c>
      <c r="F25" s="81" t="s">
        <v>12</v>
      </c>
      <c r="G25" s="81" t="s">
        <v>14</v>
      </c>
      <c r="H25" s="82" t="s">
        <v>13</v>
      </c>
    </row>
    <row r="26" spans="5:9" x14ac:dyDescent="0.2">
      <c r="E26" s="76"/>
      <c r="F26" s="77"/>
      <c r="G26" s="78"/>
      <c r="H26" s="79">
        <f>G26*F26</f>
        <v>0</v>
      </c>
    </row>
    <row r="27" spans="5:9" x14ac:dyDescent="0.2">
      <c r="E27" s="26"/>
      <c r="F27" s="12"/>
      <c r="G27" s="91" t="s">
        <v>15</v>
      </c>
      <c r="H27" s="92">
        <f>SUM(H26:H26)</f>
        <v>0</v>
      </c>
    </row>
    <row r="28" spans="5:9" x14ac:dyDescent="0.2">
      <c r="E28" s="86" t="s">
        <v>1</v>
      </c>
      <c r="F28" s="83"/>
      <c r="G28" s="84"/>
      <c r="H28" s="85"/>
    </row>
    <row r="29" spans="5:9" x14ac:dyDescent="0.2">
      <c r="E29" s="76" t="s">
        <v>21</v>
      </c>
      <c r="F29" s="126">
        <v>12</v>
      </c>
      <c r="G29" s="127">
        <v>209550000</v>
      </c>
      <c r="H29" s="79">
        <f>G29*F29</f>
        <v>2514600000</v>
      </c>
    </row>
    <row r="30" spans="5:9" x14ac:dyDescent="0.2">
      <c r="E30" s="76" t="s">
        <v>2</v>
      </c>
      <c r="F30" s="126"/>
      <c r="G30" s="127"/>
      <c r="H30" s="79"/>
    </row>
    <row r="31" spans="5:9" x14ac:dyDescent="0.2">
      <c r="E31" s="76" t="s">
        <v>3</v>
      </c>
      <c r="F31" s="126">
        <v>12</v>
      </c>
      <c r="G31" s="127">
        <v>1500000</v>
      </c>
      <c r="H31" s="79">
        <f t="shared" ref="H31:H33" si="2">G31*F31</f>
        <v>18000000</v>
      </c>
    </row>
    <row r="32" spans="5:9" ht="32" x14ac:dyDescent="0.2">
      <c r="E32" s="96" t="s">
        <v>4</v>
      </c>
      <c r="F32" s="126"/>
      <c r="G32" s="127"/>
      <c r="H32" s="79">
        <f t="shared" si="2"/>
        <v>0</v>
      </c>
    </row>
    <row r="33" spans="5:8" x14ac:dyDescent="0.2">
      <c r="E33" s="76" t="s">
        <v>5</v>
      </c>
      <c r="F33" s="126"/>
      <c r="G33" s="127"/>
      <c r="H33" s="79">
        <f t="shared" si="2"/>
        <v>0</v>
      </c>
    </row>
    <row r="34" spans="5:8" x14ac:dyDescent="0.2">
      <c r="E34" s="76" t="s">
        <v>6</v>
      </c>
      <c r="F34" s="126"/>
      <c r="G34" s="127"/>
      <c r="H34" s="79">
        <f>G34*F34</f>
        <v>0</v>
      </c>
    </row>
    <row r="35" spans="5:8" x14ac:dyDescent="0.2">
      <c r="E35" s="76" t="s">
        <v>7</v>
      </c>
      <c r="F35" s="126"/>
      <c r="G35" s="127"/>
      <c r="H35" s="79">
        <f t="shared" ref="H35:H37" si="3">G35*F35</f>
        <v>0</v>
      </c>
    </row>
    <row r="36" spans="5:8" x14ac:dyDescent="0.2">
      <c r="E36" s="76" t="s">
        <v>8</v>
      </c>
      <c r="F36" s="126">
        <v>12</v>
      </c>
      <c r="G36" s="127">
        <v>2500000</v>
      </c>
      <c r="H36" s="79">
        <f t="shared" si="3"/>
        <v>30000000</v>
      </c>
    </row>
    <row r="37" spans="5:8" x14ac:dyDescent="0.2">
      <c r="E37" s="76" t="s">
        <v>9</v>
      </c>
      <c r="F37" s="126">
        <v>12</v>
      </c>
      <c r="G37" s="127">
        <v>1000000</v>
      </c>
      <c r="H37" s="79">
        <f t="shared" si="3"/>
        <v>12000000</v>
      </c>
    </row>
    <row r="38" spans="5:8" x14ac:dyDescent="0.2">
      <c r="E38" s="26"/>
      <c r="F38" s="12"/>
      <c r="G38" s="91" t="s">
        <v>17</v>
      </c>
      <c r="H38" s="92">
        <f>SUM(H29:H37)</f>
        <v>2574600000</v>
      </c>
    </row>
    <row r="39" spans="5:8" x14ac:dyDescent="0.2">
      <c r="E39" s="86" t="s">
        <v>10</v>
      </c>
      <c r="F39" s="90"/>
      <c r="G39" s="88"/>
      <c r="H39" s="89"/>
    </row>
    <row r="40" spans="5:8" x14ac:dyDescent="0.2">
      <c r="E40" s="76"/>
      <c r="F40" s="77"/>
      <c r="G40" s="78"/>
      <c r="H40" s="79"/>
    </row>
    <row r="41" spans="5:8" x14ac:dyDescent="0.2">
      <c r="E41" s="76" t="s">
        <v>16</v>
      </c>
      <c r="F41" s="77">
        <v>1524</v>
      </c>
      <c r="G41" s="78">
        <v>1500000</v>
      </c>
      <c r="H41" s="79">
        <f>G41*F41</f>
        <v>2286000000</v>
      </c>
    </row>
    <row r="42" spans="5:8" ht="16.25" thickBot="1" x14ac:dyDescent="0.35">
      <c r="E42" s="27"/>
      <c r="F42" s="93"/>
      <c r="G42" s="94" t="s">
        <v>18</v>
      </c>
      <c r="H42" s="97">
        <f>H41</f>
        <v>2286000000</v>
      </c>
    </row>
    <row r="46" spans="5:8" ht="25" thickBot="1" x14ac:dyDescent="0.35">
      <c r="E46" s="174" t="s">
        <v>113</v>
      </c>
      <c r="F46" s="174"/>
      <c r="G46" s="174"/>
      <c r="H46" s="174"/>
    </row>
    <row r="47" spans="5:8" x14ac:dyDescent="0.2">
      <c r="E47" s="80" t="s">
        <v>11</v>
      </c>
      <c r="F47" s="81" t="s">
        <v>12</v>
      </c>
      <c r="G47" s="81" t="s">
        <v>14</v>
      </c>
      <c r="H47" s="82" t="s">
        <v>13</v>
      </c>
    </row>
    <row r="48" spans="5:8" x14ac:dyDescent="0.2">
      <c r="E48" s="76"/>
      <c r="F48" s="77"/>
      <c r="G48" s="78"/>
      <c r="H48" s="79">
        <f>G48*F48</f>
        <v>0</v>
      </c>
    </row>
    <row r="49" spans="5:8" x14ac:dyDescent="0.2">
      <c r="E49" s="26"/>
      <c r="F49" s="12"/>
      <c r="G49" s="91" t="s">
        <v>15</v>
      </c>
      <c r="H49" s="92">
        <f>SUM(H48:H48)</f>
        <v>0</v>
      </c>
    </row>
    <row r="50" spans="5:8" x14ac:dyDescent="0.2">
      <c r="E50" s="86" t="s">
        <v>1</v>
      </c>
      <c r="F50" s="83"/>
      <c r="G50" s="84"/>
      <c r="H50" s="85"/>
    </row>
    <row r="51" spans="5:8" x14ac:dyDescent="0.2">
      <c r="E51" s="76" t="s">
        <v>114</v>
      </c>
      <c r="F51" s="126">
        <v>1524</v>
      </c>
      <c r="G51" s="127">
        <v>24577653</v>
      </c>
      <c r="H51" s="79">
        <f>G51*F51</f>
        <v>37456343172</v>
      </c>
    </row>
    <row r="52" spans="5:8" x14ac:dyDescent="0.2">
      <c r="E52" s="76" t="s">
        <v>115</v>
      </c>
      <c r="F52" s="126"/>
      <c r="G52" s="127"/>
      <c r="H52" s="79"/>
    </row>
    <row r="53" spans="5:8" x14ac:dyDescent="0.2">
      <c r="E53" s="76" t="s">
        <v>116</v>
      </c>
      <c r="F53" s="126"/>
      <c r="G53" s="127"/>
      <c r="H53" s="79">
        <f t="shared" ref="H53:H55" si="4">G53*F53</f>
        <v>0</v>
      </c>
    </row>
    <row r="54" spans="5:8" ht="32" x14ac:dyDescent="0.2">
      <c r="E54" s="96" t="s">
        <v>4</v>
      </c>
      <c r="F54" s="126"/>
      <c r="G54" s="127"/>
      <c r="H54" s="79">
        <f t="shared" si="4"/>
        <v>0</v>
      </c>
    </row>
    <row r="55" spans="5:8" x14ac:dyDescent="0.2">
      <c r="E55" s="76" t="s">
        <v>5</v>
      </c>
      <c r="F55" s="126"/>
      <c r="G55" s="127"/>
      <c r="H55" s="79">
        <f t="shared" si="4"/>
        <v>0</v>
      </c>
    </row>
    <row r="56" spans="5:8" x14ac:dyDescent="0.2">
      <c r="E56" s="76" t="s">
        <v>6</v>
      </c>
      <c r="F56" s="126"/>
      <c r="G56" s="127"/>
      <c r="H56" s="79">
        <f>G56*F56</f>
        <v>0</v>
      </c>
    </row>
    <row r="57" spans="5:8" x14ac:dyDescent="0.2">
      <c r="E57" s="76" t="s">
        <v>7</v>
      </c>
      <c r="F57" s="126"/>
      <c r="G57" s="127"/>
      <c r="H57" s="79">
        <f t="shared" ref="H57:H59" si="5">G57*F57</f>
        <v>0</v>
      </c>
    </row>
    <row r="58" spans="5:8" x14ac:dyDescent="0.2">
      <c r="E58" s="76" t="s">
        <v>8</v>
      </c>
      <c r="F58" s="126"/>
      <c r="G58" s="127"/>
      <c r="H58" s="79">
        <f t="shared" si="5"/>
        <v>0</v>
      </c>
    </row>
    <row r="59" spans="5:8" x14ac:dyDescent="0.2">
      <c r="E59" s="76" t="s">
        <v>9</v>
      </c>
      <c r="F59" s="126"/>
      <c r="G59" s="127"/>
      <c r="H59" s="79">
        <f t="shared" si="5"/>
        <v>0</v>
      </c>
    </row>
    <row r="60" spans="5:8" x14ac:dyDescent="0.2">
      <c r="E60" s="26"/>
      <c r="F60" s="12"/>
      <c r="G60" s="91" t="s">
        <v>17</v>
      </c>
      <c r="H60" s="92">
        <f>SUM(H51:H59)</f>
        <v>37456343172</v>
      </c>
    </row>
    <row r="61" spans="5:8" x14ac:dyDescent="0.2">
      <c r="E61" s="86" t="s">
        <v>10</v>
      </c>
      <c r="F61" s="90"/>
      <c r="G61" s="88"/>
      <c r="H61" s="89"/>
    </row>
    <row r="62" spans="5:8" x14ac:dyDescent="0.2">
      <c r="E62" s="76"/>
      <c r="F62" s="77"/>
      <c r="G62" s="78"/>
      <c r="H62" s="79"/>
    </row>
    <row r="63" spans="5:8" x14ac:dyDescent="0.2">
      <c r="E63" s="76" t="s">
        <v>16</v>
      </c>
      <c r="F63" s="77">
        <v>1524</v>
      </c>
      <c r="G63" s="78">
        <v>1500000</v>
      </c>
      <c r="H63" s="79">
        <f>G63*F63</f>
        <v>2286000000</v>
      </c>
    </row>
    <row r="64" spans="5:8" ht="17" thickBot="1" x14ac:dyDescent="0.25">
      <c r="E64" s="27"/>
      <c r="F64" s="93"/>
      <c r="G64" s="94" t="s">
        <v>18</v>
      </c>
      <c r="H64" s="97">
        <f>H63</f>
        <v>2286000000</v>
      </c>
    </row>
    <row r="67" spans="5:13" ht="24" thickBot="1" x14ac:dyDescent="0.5">
      <c r="E67" s="174"/>
      <c r="F67" s="174"/>
      <c r="G67" s="174"/>
      <c r="H67" s="174"/>
      <c r="I67" s="54"/>
      <c r="J67" s="54"/>
      <c r="K67" s="54"/>
      <c r="L67" s="54"/>
      <c r="M67" s="54"/>
    </row>
    <row r="68" spans="5:13" x14ac:dyDescent="0.2">
      <c r="G68" s="7"/>
      <c r="H68" s="6"/>
    </row>
    <row r="69" spans="5:13" ht="25.75" x14ac:dyDescent="0.5">
      <c r="E69" s="115" t="s">
        <v>79</v>
      </c>
      <c r="G69" s="7"/>
      <c r="H69" s="6"/>
    </row>
    <row r="70" spans="5:13" x14ac:dyDescent="0.2">
      <c r="G70" s="7"/>
      <c r="H70" s="6"/>
    </row>
    <row r="71" spans="5:13" x14ac:dyDescent="0.2">
      <c r="G71" s="7"/>
      <c r="H71" s="6"/>
    </row>
    <row r="72" spans="5:13" x14ac:dyDescent="0.2">
      <c r="E72" s="7" t="s">
        <v>80</v>
      </c>
    </row>
    <row r="73" spans="5:13" x14ac:dyDescent="0.2">
      <c r="E73" s="1" t="s">
        <v>90</v>
      </c>
    </row>
    <row r="74" spans="5:13" x14ac:dyDescent="0.2">
      <c r="E74" s="13"/>
      <c r="F74" s="14" t="s">
        <v>40</v>
      </c>
      <c r="G74" s="14" t="s">
        <v>41</v>
      </c>
      <c r="H74" s="14" t="s">
        <v>42</v>
      </c>
      <c r="I74" s="14" t="s">
        <v>43</v>
      </c>
      <c r="J74" s="14" t="s">
        <v>44</v>
      </c>
      <c r="K74" s="14" t="s">
        <v>45</v>
      </c>
      <c r="L74" s="14" t="s">
        <v>46</v>
      </c>
      <c r="M74" s="14" t="s">
        <v>47</v>
      </c>
    </row>
    <row r="75" spans="5:13" x14ac:dyDescent="0.2">
      <c r="E75" s="11" t="s">
        <v>48</v>
      </c>
      <c r="F75" s="11"/>
      <c r="G75" s="46">
        <f>H42</f>
        <v>2286000000</v>
      </c>
      <c r="H75" s="46">
        <f>G75*(1+$F$146)</f>
        <v>2400300000</v>
      </c>
      <c r="I75" s="46">
        <f>H75*(1+$F$146)</f>
        <v>2520315000</v>
      </c>
      <c r="J75" s="46">
        <f>I75*(1+$F$146)</f>
        <v>2646330750</v>
      </c>
      <c r="K75" s="46">
        <f>J75*(1+$F$146)</f>
        <v>2778647287.5</v>
      </c>
      <c r="L75" s="46">
        <f>K75*(1+$F$146)</f>
        <v>2917579651.875</v>
      </c>
      <c r="M75" s="46">
        <f>L75*(1+$F$146)</f>
        <v>3063458634.46875</v>
      </c>
    </row>
    <row r="76" spans="5:13" x14ac:dyDescent="0.2">
      <c r="E76" s="11" t="s">
        <v>49</v>
      </c>
      <c r="F76" s="11"/>
      <c r="G76" s="68">
        <f t="shared" ref="G76:M76" si="6">SUM(G77:G79)</f>
        <v>2550600000</v>
      </c>
      <c r="H76" s="68">
        <f t="shared" si="6"/>
        <v>2552418000</v>
      </c>
      <c r="I76" s="68">
        <f t="shared" si="6"/>
        <v>2554351218</v>
      </c>
      <c r="J76" s="68">
        <f t="shared" si="6"/>
        <v>2631845836.8179998</v>
      </c>
      <c r="K76" s="68">
        <f t="shared" si="6"/>
        <v>2711735786.8224182</v>
      </c>
      <c r="L76" s="68">
        <f t="shared" si="6"/>
        <v>2794098405.9473281</v>
      </c>
      <c r="M76" s="68">
        <f t="shared" si="6"/>
        <v>2879013771.6066918</v>
      </c>
    </row>
    <row r="77" spans="5:13" x14ac:dyDescent="0.2">
      <c r="E77" s="18" t="s">
        <v>21</v>
      </c>
      <c r="F77" s="8"/>
      <c r="G77" s="16">
        <f>$H$29</f>
        <v>2514600000</v>
      </c>
      <c r="H77" s="15">
        <f>$G$77</f>
        <v>2514600000</v>
      </c>
      <c r="I77" s="15">
        <f>$G$77</f>
        <v>2514600000</v>
      </c>
      <c r="J77" s="15">
        <f>I77*(1+3%)</f>
        <v>2590038000</v>
      </c>
      <c r="K77" s="15">
        <f>J77*(1+3%)</f>
        <v>2667739140</v>
      </c>
      <c r="L77" s="15">
        <f t="shared" ref="L77:M77" si="7">K77*(1+3%)</f>
        <v>2747771314.2000003</v>
      </c>
      <c r="M77" s="15">
        <f t="shared" si="7"/>
        <v>2830204453.6260004</v>
      </c>
    </row>
    <row r="78" spans="5:13" x14ac:dyDescent="0.2">
      <c r="E78" s="18" t="s">
        <v>51</v>
      </c>
      <c r="F78" s="8"/>
      <c r="G78" s="2">
        <f>H31</f>
        <v>18000000</v>
      </c>
      <c r="H78" s="15">
        <f t="shared" ref="H78:M78" si="8">G78*(1+$H$139)</f>
        <v>18450000</v>
      </c>
      <c r="I78" s="15">
        <f t="shared" si="8"/>
        <v>18911250</v>
      </c>
      <c r="J78" s="15">
        <f t="shared" si="8"/>
        <v>19384031.25</v>
      </c>
      <c r="K78" s="15">
        <f t="shared" si="8"/>
        <v>19868632.03125</v>
      </c>
      <c r="L78" s="15">
        <f t="shared" si="8"/>
        <v>20365347.83203125</v>
      </c>
      <c r="M78" s="15">
        <f t="shared" si="8"/>
        <v>20874481.527832031</v>
      </c>
    </row>
    <row r="79" spans="5:13" x14ac:dyDescent="0.2">
      <c r="E79" s="18" t="s">
        <v>50</v>
      </c>
      <c r="F79" s="8"/>
      <c r="G79" s="15">
        <f>$H$31</f>
        <v>18000000</v>
      </c>
      <c r="H79" s="15">
        <f t="shared" ref="H79:M79" si="9">G79*(1+$H$140)</f>
        <v>19368000</v>
      </c>
      <c r="I79" s="15">
        <f t="shared" si="9"/>
        <v>20839968</v>
      </c>
      <c r="J79" s="15">
        <f t="shared" si="9"/>
        <v>22423805.568</v>
      </c>
      <c r="K79" s="15">
        <f t="shared" si="9"/>
        <v>24128014.791168001</v>
      </c>
      <c r="L79" s="15">
        <f t="shared" si="9"/>
        <v>25961743.915296771</v>
      </c>
      <c r="M79" s="15">
        <f t="shared" si="9"/>
        <v>27934836.452859327</v>
      </c>
    </row>
    <row r="80" spans="5:13" x14ac:dyDescent="0.2">
      <c r="E80" s="10" t="s">
        <v>100</v>
      </c>
      <c r="F80" s="8"/>
      <c r="G80" s="19">
        <f>G75-SUM(G77:G79)</f>
        <v>-264600000</v>
      </c>
      <c r="H80" s="19">
        <f t="shared" ref="H80:M80" si="10">H75-SUM(H77:H79)</f>
        <v>-152118000</v>
      </c>
      <c r="I80" s="19">
        <f t="shared" si="10"/>
        <v>-34036218</v>
      </c>
      <c r="J80" s="19">
        <f t="shared" si="10"/>
        <v>14484913.18200016</v>
      </c>
      <c r="K80" s="19">
        <f t="shared" si="10"/>
        <v>66911500.677581787</v>
      </c>
      <c r="L80" s="19">
        <f t="shared" si="10"/>
        <v>123481245.92767191</v>
      </c>
      <c r="M80" s="19">
        <f t="shared" si="10"/>
        <v>184444862.86205816</v>
      </c>
    </row>
    <row r="81" spans="5:13" x14ac:dyDescent="0.2">
      <c r="E81" s="18" t="s">
        <v>91</v>
      </c>
      <c r="F81" s="8"/>
      <c r="G81" s="19">
        <f t="shared" ref="G81:M81" si="11">G80*$F$151</f>
        <v>-18522000</v>
      </c>
      <c r="H81" s="19">
        <f t="shared" si="11"/>
        <v>-10648260.000000002</v>
      </c>
      <c r="I81" s="19">
        <f t="shared" si="11"/>
        <v>-2382535.2600000002</v>
      </c>
      <c r="J81" s="19">
        <f t="shared" si="11"/>
        <v>1013943.9227400114</v>
      </c>
      <c r="K81" s="19">
        <f t="shared" si="11"/>
        <v>4683805.0474307258</v>
      </c>
      <c r="L81" s="19">
        <f t="shared" si="11"/>
        <v>8643687.214937035</v>
      </c>
      <c r="M81" s="19">
        <f t="shared" si="11"/>
        <v>12911140.400344072</v>
      </c>
    </row>
    <row r="82" spans="5:13" x14ac:dyDescent="0.2">
      <c r="E82" s="11" t="s">
        <v>97</v>
      </c>
      <c r="F82" s="12"/>
      <c r="G82" s="20">
        <f>G80-G81</f>
        <v>-246078000</v>
      </c>
      <c r="H82" s="20">
        <f t="shared" ref="H82" si="12">H80-H81</f>
        <v>-141469740</v>
      </c>
      <c r="I82" s="20">
        <f t="shared" ref="I82" si="13">I80-I81</f>
        <v>-31653682.739999998</v>
      </c>
      <c r="J82" s="20">
        <f t="shared" ref="J82" si="14">J80-J81</f>
        <v>13470969.25926015</v>
      </c>
      <c r="K82" s="20">
        <f t="shared" ref="K82" si="15">K80-K81</f>
        <v>62227695.630151063</v>
      </c>
      <c r="L82" s="20">
        <f t="shared" ref="L82" si="16">L80-L81</f>
        <v>114837558.71273488</v>
      </c>
      <c r="M82" s="20">
        <f t="shared" ref="M82" si="17">M80-M81</f>
        <v>171533722.46171409</v>
      </c>
    </row>
    <row r="83" spans="5:13" x14ac:dyDescent="0.2">
      <c r="F83" s="137"/>
    </row>
    <row r="85" spans="5:13" x14ac:dyDescent="0.2">
      <c r="E85" s="1" t="s">
        <v>65</v>
      </c>
      <c r="F85" s="116">
        <f>NPV(F32,G82:M82)</f>
        <v>-57131476.676139832</v>
      </c>
    </row>
    <row r="86" spans="5:13" x14ac:dyDescent="0.2">
      <c r="E86" s="1" t="s">
        <v>66</v>
      </c>
      <c r="F86" s="138">
        <f>IRR(G82:M82)</f>
        <v>-3.0411123307908849E-2</v>
      </c>
    </row>
    <row r="87" spans="5:13" x14ac:dyDescent="0.2">
      <c r="E87" s="1" t="s">
        <v>67</v>
      </c>
      <c r="F87" s="41">
        <f>PMT($F$149,$F$144,-F85)</f>
        <v>-11351482.628248585</v>
      </c>
    </row>
    <row r="88" spans="5:13" x14ac:dyDescent="0.2">
      <c r="E88" s="1" t="s">
        <v>93</v>
      </c>
      <c r="F88" s="140">
        <f>-NPV(F149,G76:M76)</f>
        <v>-13328603831.506151</v>
      </c>
    </row>
    <row r="89" spans="5:13" x14ac:dyDescent="0.2">
      <c r="E89" s="1" t="s">
        <v>94</v>
      </c>
      <c r="F89" s="139">
        <f>NPV(F149,G75:M75)</f>
        <v>13159809506.221977</v>
      </c>
      <c r="H89" s="6"/>
    </row>
    <row r="90" spans="5:13" x14ac:dyDescent="0.2">
      <c r="E90" s="1" t="s">
        <v>71</v>
      </c>
      <c r="F90" s="181">
        <f>F89/F88</f>
        <v>-0.98733593349926285</v>
      </c>
      <c r="G90" s="7"/>
      <c r="H90" s="6"/>
    </row>
    <row r="91" spans="5:13" ht="16" customHeight="1" thickBot="1" x14ac:dyDescent="0.35">
      <c r="G91" s="7"/>
      <c r="H91" s="6"/>
    </row>
    <row r="92" spans="5:13" x14ac:dyDescent="0.2">
      <c r="E92" s="111" t="s">
        <v>81</v>
      </c>
      <c r="F92" s="112"/>
      <c r="G92" s="7"/>
      <c r="H92" s="6"/>
    </row>
    <row r="93" spans="5:13" ht="32" x14ac:dyDescent="0.2">
      <c r="E93" s="122" t="s">
        <v>82</v>
      </c>
      <c r="F93" s="123"/>
      <c r="G93" s="7"/>
      <c r="H93" s="6"/>
    </row>
    <row r="94" spans="5:13" x14ac:dyDescent="0.2">
      <c r="E94" s="122"/>
      <c r="F94" s="123"/>
      <c r="G94" s="7"/>
      <c r="H94" s="6"/>
    </row>
    <row r="95" spans="5:13" ht="16.25" thickBot="1" x14ac:dyDescent="0.35">
      <c r="E95" s="124"/>
      <c r="F95" s="125"/>
      <c r="G95" s="7"/>
      <c r="H95" s="6"/>
    </row>
    <row r="96" spans="5:13" x14ac:dyDescent="0.2">
      <c r="G96" s="7"/>
      <c r="H96" s="6"/>
    </row>
    <row r="97" spans="5:13" x14ac:dyDescent="0.2">
      <c r="G97" s="7"/>
      <c r="H97" s="6"/>
    </row>
    <row r="98" spans="5:13" x14ac:dyDescent="0.2">
      <c r="G98" s="7"/>
      <c r="H98" s="6"/>
    </row>
    <row r="99" spans="5:13" x14ac:dyDescent="0.2">
      <c r="G99" s="7"/>
      <c r="H99" s="6"/>
    </row>
    <row r="100" spans="5:13" ht="26" x14ac:dyDescent="0.3">
      <c r="E100" s="115" t="s">
        <v>117</v>
      </c>
      <c r="G100" s="7"/>
      <c r="H100" s="6"/>
    </row>
    <row r="101" spans="5:13" x14ac:dyDescent="0.2">
      <c r="G101" s="7"/>
      <c r="H101" s="6"/>
    </row>
    <row r="102" spans="5:13" x14ac:dyDescent="0.2">
      <c r="G102" s="7"/>
      <c r="H102" s="6"/>
    </row>
    <row r="103" spans="5:13" x14ac:dyDescent="0.2">
      <c r="E103" s="7" t="s">
        <v>118</v>
      </c>
    </row>
    <row r="104" spans="5:13" x14ac:dyDescent="0.2">
      <c r="E104" s="1" t="s">
        <v>90</v>
      </c>
    </row>
    <row r="105" spans="5:13" x14ac:dyDescent="0.2">
      <c r="E105" s="13"/>
      <c r="F105" s="14" t="s">
        <v>40</v>
      </c>
      <c r="G105" s="14" t="s">
        <v>41</v>
      </c>
      <c r="H105" s="14" t="s">
        <v>42</v>
      </c>
      <c r="I105" s="14" t="s">
        <v>43</v>
      </c>
      <c r="J105" s="14" t="s">
        <v>44</v>
      </c>
      <c r="K105" s="14" t="s">
        <v>45</v>
      </c>
      <c r="L105" s="14" t="s">
        <v>46</v>
      </c>
      <c r="M105" s="14" t="s">
        <v>47</v>
      </c>
    </row>
    <row r="106" spans="5:13" x14ac:dyDescent="0.2">
      <c r="E106" s="11" t="s">
        <v>48</v>
      </c>
      <c r="F106" s="11"/>
      <c r="G106" s="46">
        <f>H64</f>
        <v>2286000000</v>
      </c>
      <c r="H106" s="46">
        <f>G106*(1+$F$146)</f>
        <v>2400300000</v>
      </c>
      <c r="I106" s="46">
        <f t="shared" ref="I106:M106" si="18">H106*(1+$F$146)</f>
        <v>2520315000</v>
      </c>
      <c r="J106" s="46">
        <f t="shared" si="18"/>
        <v>2646330750</v>
      </c>
      <c r="K106" s="46">
        <f t="shared" si="18"/>
        <v>2778647287.5</v>
      </c>
      <c r="L106" s="46">
        <f t="shared" si="18"/>
        <v>2917579651.875</v>
      </c>
      <c r="M106" s="46">
        <f t="shared" si="18"/>
        <v>3063458634.46875</v>
      </c>
    </row>
    <row r="107" spans="5:13" x14ac:dyDescent="0.2">
      <c r="E107" s="11" t="s">
        <v>49</v>
      </c>
      <c r="F107" s="11"/>
      <c r="G107" s="68">
        <f>SUM(G108:G110)</f>
        <v>37456343172</v>
      </c>
      <c r="H107" s="68">
        <f t="shared" ref="H107:M107" si="19">SUM(H108:H110)</f>
        <v>37943275633.236</v>
      </c>
      <c r="I107" s="68">
        <f t="shared" si="19"/>
        <v>38436538216.468071</v>
      </c>
      <c r="J107" s="68">
        <f t="shared" si="19"/>
        <v>38936213213.282158</v>
      </c>
      <c r="K107" s="68">
        <f t="shared" si="19"/>
        <v>39442383985.054825</v>
      </c>
      <c r="L107" s="68">
        <f t="shared" si="19"/>
        <v>39955134976.860535</v>
      </c>
      <c r="M107" s="68">
        <f t="shared" si="19"/>
        <v>40474551731.559723</v>
      </c>
    </row>
    <row r="108" spans="5:13" x14ac:dyDescent="0.2">
      <c r="E108" s="18" t="s">
        <v>114</v>
      </c>
      <c r="F108" s="8"/>
      <c r="G108" s="16">
        <f>H51</f>
        <v>37456343172</v>
      </c>
      <c r="H108" s="15">
        <f>G108+(G108*1.3%)</f>
        <v>37943275633.236</v>
      </c>
      <c r="I108" s="15">
        <f t="shared" ref="I108:M108" si="20">H108+(H108*1.3%)</f>
        <v>38436538216.468071</v>
      </c>
      <c r="J108" s="15">
        <f t="shared" si="20"/>
        <v>38936213213.282158</v>
      </c>
      <c r="K108" s="15">
        <f t="shared" si="20"/>
        <v>39442383985.054825</v>
      </c>
      <c r="L108" s="15">
        <f t="shared" si="20"/>
        <v>39955134976.860535</v>
      </c>
      <c r="M108" s="15">
        <f t="shared" si="20"/>
        <v>40474551731.559723</v>
      </c>
    </row>
    <row r="109" spans="5:13" x14ac:dyDescent="0.2">
      <c r="E109" s="18" t="s">
        <v>51</v>
      </c>
      <c r="F109" s="8"/>
      <c r="G109" s="2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f>L109*(1+$H$139)</f>
        <v>0</v>
      </c>
    </row>
    <row r="110" spans="5:13" x14ac:dyDescent="0.2">
      <c r="E110" s="18" t="s">
        <v>50</v>
      </c>
      <c r="F110" s="8"/>
      <c r="G110" s="180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</row>
    <row r="111" spans="5:13" x14ac:dyDescent="0.2">
      <c r="E111" s="10" t="s">
        <v>100</v>
      </c>
      <c r="F111" s="8"/>
      <c r="G111" s="19">
        <f>G106-SUM(G108:G110)</f>
        <v>-35170343172</v>
      </c>
      <c r="H111" s="19">
        <f t="shared" ref="H111:M111" si="21">H106-SUM(H108:H110)</f>
        <v>-35542975633.236</v>
      </c>
      <c r="I111" s="19">
        <f t="shared" si="21"/>
        <v>-35916223216.468071</v>
      </c>
      <c r="J111" s="19">
        <f t="shared" si="21"/>
        <v>-36289882463.282158</v>
      </c>
      <c r="K111" s="19">
        <f t="shared" si="21"/>
        <v>-36663736697.554825</v>
      </c>
      <c r="L111" s="19">
        <f t="shared" si="21"/>
        <v>-37037555324.985535</v>
      </c>
      <c r="M111" s="19">
        <f t="shared" si="21"/>
        <v>-37411093097.090973</v>
      </c>
    </row>
    <row r="112" spans="5:13" x14ac:dyDescent="0.2">
      <c r="E112" s="18" t="s">
        <v>91</v>
      </c>
      <c r="F112" s="8"/>
      <c r="G112" s="19">
        <f>G111*$F$151</f>
        <v>-2461924022.0400004</v>
      </c>
      <c r="H112" s="19">
        <f t="shared" ref="H112" si="22">H111*$F$151</f>
        <v>-2488008294.3265204</v>
      </c>
      <c r="I112" s="19">
        <f t="shared" ref="I112" si="23">I111*$F$151</f>
        <v>-2514135625.1527653</v>
      </c>
      <c r="J112" s="19">
        <f t="shared" ref="J112" si="24">J111*$F$151</f>
        <v>-2540291772.4297514</v>
      </c>
      <c r="K112" s="19">
        <f t="shared" ref="K112" si="25">K111*$F$151</f>
        <v>-2566461568.8288379</v>
      </c>
      <c r="L112" s="19">
        <f t="shared" ref="L112" si="26">L111*$F$151</f>
        <v>-2592628872.7489877</v>
      </c>
      <c r="M112" s="19">
        <f t="shared" ref="M112" si="27">M111*$F$151</f>
        <v>-2618776516.7963681</v>
      </c>
    </row>
    <row r="113" spans="5:13" x14ac:dyDescent="0.2">
      <c r="E113" s="11" t="s">
        <v>97</v>
      </c>
      <c r="F113" s="12"/>
      <c r="G113" s="20">
        <f>G111-G112</f>
        <v>-32708419149.959999</v>
      </c>
      <c r="H113" s="20">
        <f t="shared" ref="H113:M113" si="28">H111-H112</f>
        <v>-33054967338.909481</v>
      </c>
      <c r="I113" s="20">
        <f t="shared" si="28"/>
        <v>-33402087591.315308</v>
      </c>
      <c r="J113" s="20">
        <f t="shared" si="28"/>
        <v>-33749590690.852406</v>
      </c>
      <c r="K113" s="20">
        <f t="shared" si="28"/>
        <v>-34097275128.725986</v>
      </c>
      <c r="L113" s="20">
        <f t="shared" si="28"/>
        <v>-34444926452.236549</v>
      </c>
      <c r="M113" s="20">
        <f t="shared" si="28"/>
        <v>-34792316580.294601</v>
      </c>
    </row>
    <row r="114" spans="5:13" x14ac:dyDescent="0.2">
      <c r="F114" s="137"/>
    </row>
    <row r="116" spans="5:13" x14ac:dyDescent="0.2">
      <c r="E116" s="1" t="s">
        <v>65</v>
      </c>
      <c r="F116" s="116">
        <f>NPV(F63,G113:M113)</f>
        <v>-21462366.498708017</v>
      </c>
    </row>
    <row r="117" spans="5:13" x14ac:dyDescent="0.2">
      <c r="E117" s="1" t="s">
        <v>66</v>
      </c>
      <c r="F117" s="138" t="e">
        <f>IRR(G113:M113)</f>
        <v>#NUM!</v>
      </c>
    </row>
    <row r="118" spans="5:13" x14ac:dyDescent="0.2">
      <c r="E118" s="1" t="s">
        <v>67</v>
      </c>
      <c r="F118" s="41">
        <f>PMT($F$149,$F$144,-F116)</f>
        <v>-4264368.6921002874</v>
      </c>
    </row>
    <row r="119" spans="5:13" x14ac:dyDescent="0.2">
      <c r="E119" s="1" t="s">
        <v>93</v>
      </c>
      <c r="F119" s="140">
        <f>NPV(F149,G106:M106)</f>
        <v>13159809506.221977</v>
      </c>
    </row>
    <row r="120" spans="5:13" x14ac:dyDescent="0.2">
      <c r="E120" s="1" t="s">
        <v>94</v>
      </c>
      <c r="F120" s="139">
        <f>-NPV(F149,G107:M107)</f>
        <v>-195162919145.59021</v>
      </c>
      <c r="H120" s="6"/>
    </row>
    <row r="121" spans="5:13" x14ac:dyDescent="0.2">
      <c r="E121" s="1" t="s">
        <v>71</v>
      </c>
      <c r="F121" s="181">
        <f>F120/F119</f>
        <v>-14.830223724235285</v>
      </c>
      <c r="G121" s="7"/>
      <c r="H121" s="6"/>
    </row>
    <row r="122" spans="5:13" ht="17" thickBot="1" x14ac:dyDescent="0.25">
      <c r="G122" s="7"/>
      <c r="H122" s="6"/>
    </row>
    <row r="123" spans="5:13" x14ac:dyDescent="0.2">
      <c r="E123" s="111" t="s">
        <v>81</v>
      </c>
      <c r="F123" s="112"/>
      <c r="G123" s="7"/>
      <c r="H123" s="6"/>
    </row>
    <row r="124" spans="5:13" ht="64" x14ac:dyDescent="0.2">
      <c r="E124" s="153" t="s">
        <v>119</v>
      </c>
      <c r="F124" s="154"/>
      <c r="G124" s="7"/>
      <c r="H124" s="6"/>
    </row>
    <row r="125" spans="5:13" x14ac:dyDescent="0.2">
      <c r="E125" s="153"/>
      <c r="F125" s="154"/>
      <c r="G125" s="7"/>
      <c r="H125" s="6"/>
    </row>
    <row r="126" spans="5:13" ht="17" thickBot="1" x14ac:dyDescent="0.25">
      <c r="E126" s="155"/>
      <c r="F126" s="156"/>
      <c r="G126" s="7"/>
      <c r="H126" s="6"/>
    </row>
    <row r="127" spans="5:13" x14ac:dyDescent="0.2">
      <c r="G127" s="7"/>
      <c r="H127" s="6"/>
    </row>
    <row r="128" spans="5:13" x14ac:dyDescent="0.2">
      <c r="G128" s="7"/>
      <c r="H128" s="6"/>
    </row>
    <row r="129" spans="5:18" ht="17" thickBot="1" x14ac:dyDescent="0.25">
      <c r="E129" s="54"/>
      <c r="F129" s="54"/>
      <c r="G129" s="113"/>
      <c r="H129" s="114"/>
      <c r="I129" s="54"/>
      <c r="J129" s="54"/>
      <c r="K129" s="54"/>
      <c r="L129" s="54"/>
      <c r="M129" s="54"/>
      <c r="N129" s="54"/>
      <c r="O129" s="54"/>
      <c r="P129" s="54"/>
      <c r="Q129" s="54"/>
      <c r="R129" s="54"/>
    </row>
    <row r="130" spans="5:18" x14ac:dyDescent="0.2">
      <c r="E130" s="51"/>
      <c r="F130" s="51"/>
      <c r="G130" s="117"/>
      <c r="H130" s="118"/>
      <c r="I130" s="51"/>
      <c r="J130" s="51"/>
      <c r="K130" s="51"/>
      <c r="L130" s="51"/>
      <c r="M130" s="51"/>
      <c r="N130" s="51"/>
      <c r="O130" s="51"/>
      <c r="P130" s="51"/>
      <c r="Q130" s="51"/>
      <c r="R130" s="51"/>
    </row>
    <row r="131" spans="5:18" x14ac:dyDescent="0.2">
      <c r="E131" s="51"/>
      <c r="F131" s="51"/>
      <c r="G131" s="117"/>
      <c r="H131" s="118"/>
      <c r="I131" s="51"/>
      <c r="J131" s="51"/>
      <c r="K131" s="51"/>
      <c r="L131" s="51"/>
      <c r="M131" s="51"/>
      <c r="N131" s="51"/>
      <c r="O131" s="51"/>
      <c r="P131" s="51"/>
      <c r="Q131" s="51"/>
      <c r="R131" s="51"/>
    </row>
    <row r="132" spans="5:18" x14ac:dyDescent="0.2">
      <c r="G132" s="7"/>
      <c r="H132" s="6"/>
    </row>
    <row r="133" spans="5:18" ht="26" x14ac:dyDescent="0.3">
      <c r="E133" s="115" t="s">
        <v>83</v>
      </c>
      <c r="G133" s="7"/>
      <c r="H133" s="6"/>
    </row>
    <row r="135" spans="5:18" ht="18.5" thickBot="1" x14ac:dyDescent="0.4">
      <c r="E135" s="37" t="s">
        <v>72</v>
      </c>
    </row>
    <row r="136" spans="5:18" x14ac:dyDescent="0.2">
      <c r="E136" s="70"/>
      <c r="F136" s="71" t="s">
        <v>22</v>
      </c>
      <c r="G136" s="71" t="s">
        <v>23</v>
      </c>
      <c r="H136" s="72" t="s">
        <v>92</v>
      </c>
    </row>
    <row r="137" spans="5:18" x14ac:dyDescent="0.2">
      <c r="E137" s="26" t="s">
        <v>24</v>
      </c>
      <c r="F137" s="15">
        <v>650000000</v>
      </c>
      <c r="G137" s="15">
        <v>647980000</v>
      </c>
      <c r="H137" s="73">
        <v>630738000</v>
      </c>
    </row>
    <row r="138" spans="5:18" x14ac:dyDescent="0.2">
      <c r="E138" s="26" t="s">
        <v>25</v>
      </c>
      <c r="F138" s="8" t="s">
        <v>26</v>
      </c>
      <c r="G138" s="8" t="s">
        <v>26</v>
      </c>
      <c r="H138" s="22" t="s">
        <v>26</v>
      </c>
    </row>
    <row r="139" spans="5:18" x14ac:dyDescent="0.2">
      <c r="E139" s="26" t="s">
        <v>27</v>
      </c>
      <c r="F139" s="129">
        <v>0.02</v>
      </c>
      <c r="G139" s="130">
        <v>1.4999999999999999E-2</v>
      </c>
      <c r="H139" s="131">
        <v>2.5000000000000001E-2</v>
      </c>
    </row>
    <row r="140" spans="5:18" x14ac:dyDescent="0.2">
      <c r="E140" s="26" t="s">
        <v>28</v>
      </c>
      <c r="F140" s="132">
        <v>7.5999999999999998E-2</v>
      </c>
      <c r="G140" s="132">
        <v>7.5999999999999998E-2</v>
      </c>
      <c r="H140" s="133">
        <v>7.5999999999999998E-2</v>
      </c>
    </row>
    <row r="141" spans="5:18" x14ac:dyDescent="0.2">
      <c r="E141" s="26" t="s">
        <v>55</v>
      </c>
      <c r="F141" s="132">
        <v>1.2E-2</v>
      </c>
      <c r="G141" s="132">
        <v>1.2E-2</v>
      </c>
      <c r="H141" s="133">
        <v>1.2E-2</v>
      </c>
    </row>
    <row r="142" spans="5:18" x14ac:dyDescent="0.2">
      <c r="E142" s="26" t="s">
        <v>29</v>
      </c>
      <c r="F142" s="126" t="s">
        <v>30</v>
      </c>
      <c r="G142" s="126" t="s">
        <v>26</v>
      </c>
      <c r="H142" s="128" t="s">
        <v>30</v>
      </c>
    </row>
    <row r="143" spans="5:18" x14ac:dyDescent="0.2">
      <c r="E143" s="26" t="s">
        <v>31</v>
      </c>
      <c r="F143" s="19">
        <f>K161</f>
        <v>92857142.857142925</v>
      </c>
      <c r="G143" s="19">
        <f>K162</f>
        <v>92568571.428571463</v>
      </c>
      <c r="H143" s="35">
        <f>K163</f>
        <v>90105428.571428537</v>
      </c>
    </row>
    <row r="144" spans="5:18" x14ac:dyDescent="0.2">
      <c r="E144" s="26" t="s">
        <v>32</v>
      </c>
      <c r="F144" s="134">
        <v>7</v>
      </c>
      <c r="G144" s="134">
        <v>7</v>
      </c>
      <c r="H144" s="134">
        <v>7</v>
      </c>
    </row>
    <row r="145" spans="5:11" x14ac:dyDescent="0.2">
      <c r="E145" s="26" t="s">
        <v>77</v>
      </c>
      <c r="F145" s="69">
        <f>H20</f>
        <v>2286000000</v>
      </c>
      <c r="G145" s="69">
        <f>H20</f>
        <v>2286000000</v>
      </c>
      <c r="H145" s="74">
        <f>H20</f>
        <v>2286000000</v>
      </c>
    </row>
    <row r="146" spans="5:11" ht="16.25" thickBot="1" x14ac:dyDescent="0.35">
      <c r="E146" s="27" t="s">
        <v>33</v>
      </c>
      <c r="F146" s="135">
        <v>0.05</v>
      </c>
      <c r="G146" s="135">
        <v>0.05</v>
      </c>
      <c r="H146" s="136">
        <v>0.05</v>
      </c>
    </row>
    <row r="148" spans="5:11" ht="16.25" thickBot="1" x14ac:dyDescent="0.35"/>
    <row r="149" spans="5:11" x14ac:dyDescent="0.2">
      <c r="E149" s="105" t="s">
        <v>64</v>
      </c>
      <c r="F149" s="106">
        <v>0.09</v>
      </c>
    </row>
    <row r="150" spans="5:11" x14ac:dyDescent="0.2">
      <c r="E150" s="108" t="s">
        <v>34</v>
      </c>
      <c r="F150" s="109">
        <v>0.35</v>
      </c>
    </row>
    <row r="151" spans="5:11" ht="16.25" thickBot="1" x14ac:dyDescent="0.35">
      <c r="E151" s="107" t="s">
        <v>89</v>
      </c>
      <c r="F151" s="110">
        <v>7.0000000000000007E-2</v>
      </c>
    </row>
    <row r="154" spans="5:11" ht="18.5" thickBot="1" x14ac:dyDescent="0.4">
      <c r="E154" s="9" t="s">
        <v>37</v>
      </c>
    </row>
    <row r="155" spans="5:11" x14ac:dyDescent="0.2">
      <c r="E155" s="5"/>
      <c r="F155" s="28" t="str">
        <f>F136</f>
        <v>MOTOR SUZUKI</v>
      </c>
      <c r="G155" s="29" t="str">
        <f>G136</f>
        <v>MOTOR HONDA</v>
      </c>
      <c r="H155" s="30" t="str">
        <f>H136</f>
        <v>MOTOR YAMAHA</v>
      </c>
    </row>
    <row r="156" spans="5:11" ht="16.25" thickBot="1" x14ac:dyDescent="0.35">
      <c r="E156" s="17" t="s">
        <v>35</v>
      </c>
      <c r="F156" s="31">
        <f>(F137-F143)/F144</f>
        <v>79591836.73469387</v>
      </c>
      <c r="G156" s="31">
        <f>(G137-G143)/G144</f>
        <v>79344489.79591836</v>
      </c>
      <c r="H156" s="31">
        <f>(H137-H143)/H144</f>
        <v>77233224.489795923</v>
      </c>
    </row>
    <row r="159" spans="5:11" ht="18.5" thickBot="1" x14ac:dyDescent="0.4">
      <c r="E159" s="37" t="s">
        <v>56</v>
      </c>
    </row>
    <row r="160" spans="5:11" ht="48" x14ac:dyDescent="0.2">
      <c r="E160" s="21"/>
      <c r="F160" s="23" t="s">
        <v>59</v>
      </c>
      <c r="G160" s="23" t="s">
        <v>62</v>
      </c>
      <c r="H160" s="24" t="s">
        <v>63</v>
      </c>
      <c r="I160" s="24" t="s">
        <v>60</v>
      </c>
      <c r="J160" s="24" t="s">
        <v>61</v>
      </c>
      <c r="K160" s="25" t="s">
        <v>31</v>
      </c>
    </row>
    <row r="161" spans="5:22" x14ac:dyDescent="0.2">
      <c r="E161" s="26" t="s">
        <v>57</v>
      </c>
      <c r="F161" s="19">
        <f>F137</f>
        <v>650000000</v>
      </c>
      <c r="G161" s="33">
        <v>7</v>
      </c>
      <c r="H161" s="19">
        <f>F161/G161</f>
        <v>92857142.857142851</v>
      </c>
      <c r="I161" s="33">
        <v>6</v>
      </c>
      <c r="J161" s="19">
        <f>I161*H161</f>
        <v>557142857.14285707</v>
      </c>
      <c r="K161" s="35">
        <f>F161-J161</f>
        <v>92857142.857142925</v>
      </c>
    </row>
    <row r="162" spans="5:22" x14ac:dyDescent="0.2">
      <c r="E162" s="26" t="s">
        <v>58</v>
      </c>
      <c r="F162" s="19">
        <f>G137</f>
        <v>647980000</v>
      </c>
      <c r="G162" s="33">
        <v>7</v>
      </c>
      <c r="H162" s="19">
        <f t="shared" ref="H162:H163" si="29">F162/G162</f>
        <v>92568571.428571433</v>
      </c>
      <c r="I162" s="33">
        <v>6</v>
      </c>
      <c r="J162" s="19">
        <f>I162*H162</f>
        <v>555411428.57142854</v>
      </c>
      <c r="K162" s="35">
        <f t="shared" ref="K162:K163" si="30">F162-J162</f>
        <v>92568571.428571463</v>
      </c>
    </row>
    <row r="163" spans="5:22" ht="16.25" thickBot="1" x14ac:dyDescent="0.35">
      <c r="E163" s="27" t="s">
        <v>106</v>
      </c>
      <c r="F163" s="32">
        <f>H137</f>
        <v>630738000</v>
      </c>
      <c r="G163" s="34">
        <v>7</v>
      </c>
      <c r="H163" s="32">
        <f t="shared" si="29"/>
        <v>90105428.571428567</v>
      </c>
      <c r="I163" s="34">
        <v>6</v>
      </c>
      <c r="J163" s="32">
        <f>I163*H163</f>
        <v>540632571.42857146</v>
      </c>
      <c r="K163" s="36">
        <f t="shared" si="30"/>
        <v>90105428.571428537</v>
      </c>
    </row>
    <row r="166" spans="5:22" ht="18" x14ac:dyDescent="0.35">
      <c r="E166" s="9" t="s">
        <v>36</v>
      </c>
    </row>
    <row r="167" spans="5:22" x14ac:dyDescent="0.2">
      <c r="R167" s="61"/>
      <c r="S167" s="61"/>
      <c r="T167" s="61"/>
      <c r="U167" s="61"/>
      <c r="V167" s="61"/>
    </row>
    <row r="168" spans="5:22" x14ac:dyDescent="0.2">
      <c r="E168" s="7" t="s">
        <v>38</v>
      </c>
      <c r="R168" s="61"/>
      <c r="S168" s="61"/>
      <c r="T168" s="61"/>
      <c r="U168" s="61"/>
    </row>
    <row r="169" spans="5:22" x14ac:dyDescent="0.2">
      <c r="E169" s="1" t="s">
        <v>39</v>
      </c>
      <c r="R169" s="61"/>
      <c r="S169" s="61"/>
      <c r="T169" s="61"/>
      <c r="U169" s="61"/>
      <c r="V169" s="151"/>
    </row>
    <row r="170" spans="5:22" x14ac:dyDescent="0.2">
      <c r="E170" s="13"/>
      <c r="F170" s="14" t="s">
        <v>40</v>
      </c>
      <c r="G170" s="14" t="s">
        <v>41</v>
      </c>
      <c r="H170" s="14" t="s">
        <v>42</v>
      </c>
      <c r="I170" s="14" t="s">
        <v>43</v>
      </c>
      <c r="J170" s="14" t="s">
        <v>44</v>
      </c>
      <c r="K170" s="14" t="s">
        <v>45</v>
      </c>
      <c r="L170" s="14" t="s">
        <v>46</v>
      </c>
      <c r="M170" s="14" t="s">
        <v>47</v>
      </c>
      <c r="R170" s="61"/>
      <c r="S170" s="61"/>
      <c r="T170" s="61"/>
      <c r="U170" s="61"/>
      <c r="V170" s="60"/>
    </row>
    <row r="171" spans="5:22" x14ac:dyDescent="0.2">
      <c r="E171" s="11" t="s">
        <v>48</v>
      </c>
      <c r="F171" s="11"/>
      <c r="G171" s="46">
        <f>F145</f>
        <v>2286000000</v>
      </c>
      <c r="H171" s="46">
        <f>$F$145*(1+$F$146)</f>
        <v>2400300000</v>
      </c>
      <c r="I171" s="46">
        <f>H171*(1+$F$146)</f>
        <v>2520315000</v>
      </c>
      <c r="J171" s="46">
        <f t="shared" ref="J171:M171" si="31">I171*(1+$F$146)</f>
        <v>2646330750</v>
      </c>
      <c r="K171" s="46">
        <f t="shared" si="31"/>
        <v>2778647287.5</v>
      </c>
      <c r="L171" s="46">
        <f>K171*(1+$F$146)</f>
        <v>2917579651.875</v>
      </c>
      <c r="M171" s="46">
        <f t="shared" si="31"/>
        <v>3063458634.46875</v>
      </c>
      <c r="R171" s="61"/>
      <c r="S171" s="61"/>
      <c r="T171" s="61"/>
      <c r="U171" s="61"/>
      <c r="V171" s="60">
        <f>M171</f>
        <v>3063458634.46875</v>
      </c>
    </row>
    <row r="172" spans="5:22" x14ac:dyDescent="0.2">
      <c r="E172" s="11" t="s">
        <v>49</v>
      </c>
      <c r="F172" s="11"/>
      <c r="G172" s="68">
        <f>SUM(G173:G176)</f>
        <v>162408163.26530612</v>
      </c>
      <c r="H172" s="68">
        <f t="shared" ref="H172:L172" si="32">SUM(H173:H176)</f>
        <v>166608163.26530612</v>
      </c>
      <c r="I172" s="68">
        <f t="shared" si="32"/>
        <v>170948995.26530612</v>
      </c>
      <c r="J172" s="68">
        <f t="shared" si="32"/>
        <v>175439060.80130613</v>
      </c>
      <c r="K172" s="68">
        <f t="shared" si="32"/>
        <v>180087369.08009011</v>
      </c>
      <c r="L172" s="68">
        <f t="shared" si="32"/>
        <v>184903582.72754228</v>
      </c>
      <c r="M172" s="68">
        <f>SUM(M173:M176)</f>
        <v>189898067.00732893</v>
      </c>
      <c r="R172" s="61"/>
      <c r="S172" s="61"/>
      <c r="T172" s="61"/>
      <c r="U172" s="60">
        <f>L171</f>
        <v>2917579651.875</v>
      </c>
      <c r="V172" s="55"/>
    </row>
    <row r="173" spans="5:22" x14ac:dyDescent="0.2">
      <c r="E173" s="18" t="s">
        <v>54</v>
      </c>
      <c r="F173" s="8"/>
      <c r="G173" s="16">
        <f>$H$10+$H$11+$H$14</f>
        <v>206000000</v>
      </c>
      <c r="H173" s="15">
        <f>G173*(1+$F$141)</f>
        <v>208472000</v>
      </c>
      <c r="I173" s="15">
        <f t="shared" ref="I173:M173" si="33">H173*(1+$F$141)</f>
        <v>210973664</v>
      </c>
      <c r="J173" s="15">
        <f t="shared" si="33"/>
        <v>213505347.96799999</v>
      </c>
      <c r="K173" s="15">
        <f t="shared" si="33"/>
        <v>216067412.14361599</v>
      </c>
      <c r="L173" s="15">
        <f t="shared" si="33"/>
        <v>218660221.08933938</v>
      </c>
      <c r="M173" s="15">
        <f t="shared" si="33"/>
        <v>221284143.74241146</v>
      </c>
      <c r="R173" s="61"/>
      <c r="S173" s="61"/>
      <c r="T173" s="60">
        <f>K171</f>
        <v>2778647287.5</v>
      </c>
      <c r="U173" s="55"/>
      <c r="V173" s="62"/>
    </row>
    <row r="174" spans="5:22" x14ac:dyDescent="0.2">
      <c r="E174" s="18" t="s">
        <v>51</v>
      </c>
      <c r="F174" s="8"/>
      <c r="G174" s="2">
        <f>(H8+H13+H15+H12)/4</f>
        <v>18000000</v>
      </c>
      <c r="H174" s="15">
        <f>G174*(1+$F$139)</f>
        <v>18360000</v>
      </c>
      <c r="I174" s="15">
        <f t="shared" ref="I174:K174" si="34">H174*(1+$F$139)</f>
        <v>18727200</v>
      </c>
      <c r="J174" s="15">
        <f t="shared" si="34"/>
        <v>19101744</v>
      </c>
      <c r="K174" s="15">
        <f t="shared" si="34"/>
        <v>19483778.879999999</v>
      </c>
      <c r="L174" s="15">
        <f>K174*(1+$F$139)</f>
        <v>19873454.457599998</v>
      </c>
      <c r="M174" s="15">
        <f t="shared" ref="M174" si="35">L174*(1+$F$139)</f>
        <v>20270923.546751998</v>
      </c>
      <c r="R174" s="61"/>
      <c r="S174" s="60">
        <f>J171</f>
        <v>2646330750</v>
      </c>
      <c r="T174" s="55"/>
      <c r="U174" s="62"/>
      <c r="V174" s="62"/>
    </row>
    <row r="175" spans="5:22" x14ac:dyDescent="0.2">
      <c r="E175" s="18" t="s">
        <v>50</v>
      </c>
      <c r="F175" s="8"/>
      <c r="G175" s="15">
        <f>$H$9</f>
        <v>18000000</v>
      </c>
      <c r="H175" s="15">
        <f>G175*(1+$F$140)</f>
        <v>19368000</v>
      </c>
      <c r="I175" s="15">
        <f t="shared" ref="I175:M175" si="36">H175*(1+$F$140)</f>
        <v>20839968</v>
      </c>
      <c r="J175" s="15">
        <f t="shared" si="36"/>
        <v>22423805.568</v>
      </c>
      <c r="K175" s="15">
        <f t="shared" si="36"/>
        <v>24128014.791168001</v>
      </c>
      <c r="L175" s="15">
        <f t="shared" si="36"/>
        <v>25961743.915296771</v>
      </c>
      <c r="M175" s="15">
        <f t="shared" si="36"/>
        <v>27934836.452859327</v>
      </c>
      <c r="R175" s="60">
        <f>I171</f>
        <v>2520315000</v>
      </c>
      <c r="S175" s="55"/>
      <c r="T175" s="62"/>
      <c r="U175" s="62"/>
      <c r="V175" s="62"/>
    </row>
    <row r="176" spans="5:22" x14ac:dyDescent="0.2">
      <c r="E176" s="18" t="s">
        <v>95</v>
      </c>
      <c r="F176" s="8"/>
      <c r="G176" s="19">
        <f>-$F$156</f>
        <v>-79591836.73469387</v>
      </c>
      <c r="H176" s="19">
        <f t="shared" ref="H176:M176" si="37">-$F$156</f>
        <v>-79591836.73469387</v>
      </c>
      <c r="I176" s="19">
        <f t="shared" si="37"/>
        <v>-79591836.73469387</v>
      </c>
      <c r="J176" s="19">
        <f t="shared" si="37"/>
        <v>-79591836.73469387</v>
      </c>
      <c r="K176" s="19">
        <f t="shared" si="37"/>
        <v>-79591836.73469387</v>
      </c>
      <c r="L176" s="19">
        <f t="shared" si="37"/>
        <v>-79591836.73469387</v>
      </c>
      <c r="M176" s="19">
        <f t="shared" si="37"/>
        <v>-79591836.73469387</v>
      </c>
      <c r="P176" s="59">
        <f>G171</f>
        <v>2286000000</v>
      </c>
      <c r="Q176" s="60">
        <f>H171</f>
        <v>2400300000</v>
      </c>
      <c r="R176" s="55"/>
      <c r="S176" s="62"/>
      <c r="T176" s="62"/>
      <c r="U176" s="62"/>
      <c r="V176" s="57"/>
    </row>
    <row r="177" spans="5:24" x14ac:dyDescent="0.2">
      <c r="E177" s="10" t="s">
        <v>100</v>
      </c>
      <c r="F177" s="8"/>
      <c r="G177" s="152">
        <f>G171-SUM(G173:G176)</f>
        <v>2123591836.734694</v>
      </c>
      <c r="H177" s="152">
        <f t="shared" ref="H177:M177" si="38">H171-SUM(H173:H176)</f>
        <v>2233691836.734694</v>
      </c>
      <c r="I177" s="152">
        <f t="shared" si="38"/>
        <v>2349366004.734694</v>
      </c>
      <c r="J177" s="152">
        <f t="shared" si="38"/>
        <v>2470891689.1986938</v>
      </c>
      <c r="K177" s="152">
        <f t="shared" si="38"/>
        <v>2598559918.41991</v>
      </c>
      <c r="L177" s="152">
        <f t="shared" si="38"/>
        <v>2732676069.1474576</v>
      </c>
      <c r="M177" s="152">
        <f t="shared" si="38"/>
        <v>2873560567.461421</v>
      </c>
      <c r="P177" s="67">
        <f t="shared" ref="P177:U177" si="39">$M$179</f>
        <v>79591836.73469387</v>
      </c>
      <c r="Q177" s="67">
        <f t="shared" si="39"/>
        <v>79591836.73469387</v>
      </c>
      <c r="R177" s="67">
        <f t="shared" si="39"/>
        <v>79591836.73469387</v>
      </c>
      <c r="S177" s="67">
        <f t="shared" si="39"/>
        <v>79591836.73469387</v>
      </c>
      <c r="T177" s="67">
        <f t="shared" si="39"/>
        <v>79591836.73469387</v>
      </c>
      <c r="U177" s="67">
        <f t="shared" si="39"/>
        <v>79591836.73469387</v>
      </c>
      <c r="V177" s="67">
        <f>$M$179</f>
        <v>79591836.73469387</v>
      </c>
      <c r="W177" s="3"/>
    </row>
    <row r="178" spans="5:24" ht="21" x14ac:dyDescent="0.4">
      <c r="E178" s="18" t="s">
        <v>52</v>
      </c>
      <c r="F178" s="8"/>
      <c r="G178" s="19">
        <f>G177*$F$150</f>
        <v>743257142.85714281</v>
      </c>
      <c r="H178" s="19">
        <f>H177*$F$150</f>
        <v>781792142.85714281</v>
      </c>
      <c r="I178" s="19">
        <f t="shared" ref="I178:M178" si="40">I177*$F$150</f>
        <v>822278101.65714288</v>
      </c>
      <c r="J178" s="19">
        <f t="shared" si="40"/>
        <v>864812091.21954274</v>
      </c>
      <c r="K178" s="19">
        <f t="shared" si="40"/>
        <v>909495971.44696844</v>
      </c>
      <c r="L178" s="19">
        <f t="shared" si="40"/>
        <v>956436624.20161009</v>
      </c>
      <c r="M178" s="19">
        <f t="shared" si="40"/>
        <v>1005746198.6114973</v>
      </c>
      <c r="O178" s="50">
        <v>0</v>
      </c>
      <c r="P178" s="49">
        <v>1</v>
      </c>
      <c r="Q178" s="48">
        <v>2</v>
      </c>
      <c r="R178" s="49">
        <v>3</v>
      </c>
      <c r="S178" s="49">
        <v>4</v>
      </c>
      <c r="T178" s="49">
        <v>5</v>
      </c>
      <c r="U178" s="49">
        <v>6</v>
      </c>
      <c r="V178" s="49">
        <v>7</v>
      </c>
      <c r="W178" s="50"/>
    </row>
    <row r="179" spans="5:24" ht="16.25" thickBot="1" x14ac:dyDescent="0.35">
      <c r="E179" s="18" t="s">
        <v>96</v>
      </c>
      <c r="F179" s="8"/>
      <c r="G179" s="19">
        <f>$F$156</f>
        <v>79591836.73469387</v>
      </c>
      <c r="H179" s="19">
        <f t="shared" ref="H179:M179" si="41">$F$156</f>
        <v>79591836.73469387</v>
      </c>
      <c r="I179" s="19">
        <f t="shared" si="41"/>
        <v>79591836.73469387</v>
      </c>
      <c r="J179" s="19">
        <f t="shared" si="41"/>
        <v>79591836.73469387</v>
      </c>
      <c r="K179" s="19">
        <f t="shared" si="41"/>
        <v>79591836.73469387</v>
      </c>
      <c r="L179" s="19">
        <f t="shared" si="41"/>
        <v>79591836.73469387</v>
      </c>
      <c r="M179" s="19">
        <f t="shared" si="41"/>
        <v>79591836.73469387</v>
      </c>
      <c r="O179" s="55"/>
      <c r="P179" s="56"/>
      <c r="Q179" s="4"/>
      <c r="R179" s="56"/>
      <c r="S179" s="56"/>
      <c r="T179" s="56"/>
      <c r="U179" s="56"/>
      <c r="V179" s="56"/>
      <c r="W179" s="51"/>
    </row>
    <row r="180" spans="5:24" x14ac:dyDescent="0.2">
      <c r="E180" s="18" t="s">
        <v>98</v>
      </c>
      <c r="F180" s="38">
        <f>-F137</f>
        <v>-650000000</v>
      </c>
      <c r="G180" s="19"/>
      <c r="H180" s="19"/>
      <c r="I180" s="19"/>
      <c r="J180" s="19"/>
      <c r="K180" s="19"/>
      <c r="L180" s="19"/>
      <c r="M180" s="19"/>
      <c r="O180" s="55"/>
      <c r="P180" s="65"/>
      <c r="Q180" s="65"/>
      <c r="R180" s="65"/>
      <c r="S180" s="65"/>
      <c r="T180" s="65"/>
      <c r="U180" s="58"/>
      <c r="V180" s="58"/>
      <c r="W180" s="51"/>
    </row>
    <row r="181" spans="5:24" x14ac:dyDescent="0.2">
      <c r="E181" s="18" t="s">
        <v>99</v>
      </c>
      <c r="F181" s="8"/>
      <c r="G181" s="19"/>
      <c r="H181" s="19"/>
      <c r="I181" s="19"/>
      <c r="J181" s="19"/>
      <c r="K181" s="19"/>
      <c r="L181" s="19"/>
      <c r="M181" s="19">
        <f>K161</f>
        <v>92857142.857142925</v>
      </c>
      <c r="O181" s="55"/>
      <c r="P181" s="64">
        <f>$G$172</f>
        <v>162408163.26530612</v>
      </c>
      <c r="R181" s="57"/>
      <c r="S181" s="55"/>
      <c r="T181" s="55"/>
      <c r="U181" s="55"/>
      <c r="V181" s="55"/>
      <c r="W181" s="52"/>
    </row>
    <row r="182" spans="5:24" x14ac:dyDescent="0.2">
      <c r="E182" s="11" t="s">
        <v>97</v>
      </c>
      <c r="F182" s="141">
        <f>F180</f>
        <v>-650000000</v>
      </c>
      <c r="G182" s="20">
        <f>G177-G178+G179</f>
        <v>1459926530.6122448</v>
      </c>
      <c r="H182" s="20">
        <f t="shared" ref="H182:M182" si="42">H177-H178+H179</f>
        <v>1531491530.6122448</v>
      </c>
      <c r="I182" s="20">
        <f t="shared" si="42"/>
        <v>1606679739.8122449</v>
      </c>
      <c r="J182" s="20">
        <f t="shared" si="42"/>
        <v>1685671434.7138448</v>
      </c>
      <c r="K182" s="20">
        <f t="shared" si="42"/>
        <v>1768655783.7076352</v>
      </c>
      <c r="L182" s="20">
        <f t="shared" si="42"/>
        <v>1855831281.6805413</v>
      </c>
      <c r="M182" s="20">
        <f t="shared" si="42"/>
        <v>1947406205.5846174</v>
      </c>
      <c r="O182" s="55"/>
      <c r="P182" s="51"/>
      <c r="Q182" s="63">
        <f>$H$172</f>
        <v>166608163.26530612</v>
      </c>
      <c r="R182" s="55"/>
      <c r="S182" s="55"/>
      <c r="T182" s="55"/>
      <c r="U182" s="57"/>
      <c r="V182" s="57"/>
    </row>
    <row r="183" spans="5:24" x14ac:dyDescent="0.2">
      <c r="O183" s="55"/>
      <c r="P183" s="51"/>
      <c r="R183" s="64">
        <f>$I$172</f>
        <v>170948995.26530612</v>
      </c>
      <c r="S183" s="55"/>
      <c r="T183" s="55"/>
      <c r="U183" s="57"/>
      <c r="V183" s="57"/>
    </row>
    <row r="184" spans="5:24" x14ac:dyDescent="0.2">
      <c r="O184" s="55"/>
      <c r="S184" s="64">
        <f>$J$172</f>
        <v>175439060.80130613</v>
      </c>
      <c r="T184" s="55"/>
      <c r="U184" s="57"/>
      <c r="V184" s="57"/>
    </row>
    <row r="185" spans="5:24" x14ac:dyDescent="0.2">
      <c r="E185" s="7"/>
      <c r="O185" s="55"/>
      <c r="T185" s="64">
        <f>$K$172</f>
        <v>180087369.08009011</v>
      </c>
      <c r="U185" s="57"/>
      <c r="V185" s="57"/>
    </row>
    <row r="186" spans="5:24" x14ac:dyDescent="0.2">
      <c r="E186" s="1" t="s">
        <v>65</v>
      </c>
      <c r="F186" s="40">
        <f>NPV(F149,G182:M182)+F182</f>
        <v>7734605960.0367775</v>
      </c>
      <c r="G186" s="144"/>
      <c r="H186" s="144"/>
      <c r="I186" s="144"/>
      <c r="J186" s="144"/>
      <c r="K186" s="144"/>
      <c r="L186" s="144"/>
      <c r="M186" s="144"/>
      <c r="O186" s="55"/>
      <c r="U186" s="63">
        <f>$L$172</f>
        <v>184903582.72754228</v>
      </c>
      <c r="V186" s="57"/>
    </row>
    <row r="187" spans="5:24" x14ac:dyDescent="0.2">
      <c r="E187" s="1" t="s">
        <v>66</v>
      </c>
      <c r="F187" s="44">
        <f>IRR(F182:M182)</f>
        <v>2.294347633389183</v>
      </c>
      <c r="G187" s="146"/>
      <c r="H187" s="146"/>
      <c r="I187" s="146"/>
      <c r="J187" s="146"/>
      <c r="K187" s="146"/>
      <c r="L187" s="146"/>
      <c r="M187" s="146"/>
      <c r="O187" s="55"/>
      <c r="V187" s="63">
        <f>$M$172</f>
        <v>189898067.00732893</v>
      </c>
      <c r="X187" s="3"/>
    </row>
    <row r="188" spans="5:24" ht="21" x14ac:dyDescent="0.4">
      <c r="E188" s="1" t="s">
        <v>67</v>
      </c>
      <c r="F188" s="41">
        <f>PMT($F$149,$H$144,F186)</f>
        <v>-1536792855.703896</v>
      </c>
      <c r="G188" s="147"/>
      <c r="H188" s="147"/>
      <c r="I188" s="147"/>
      <c r="J188" s="147"/>
      <c r="K188" s="147"/>
      <c r="L188" s="147"/>
      <c r="M188" s="147"/>
      <c r="O188" s="55"/>
      <c r="V188" s="50"/>
      <c r="W188" s="50"/>
      <c r="X188" s="50"/>
    </row>
    <row r="189" spans="5:24" x14ac:dyDescent="0.2">
      <c r="E189" s="1" t="s">
        <v>71</v>
      </c>
      <c r="F189" s="45">
        <f>NPV(F149,G171:M171)/NPV(F149,G172:M172)</f>
        <v>15.010693104304648</v>
      </c>
      <c r="G189" s="149"/>
      <c r="H189" s="149"/>
      <c r="I189" s="149"/>
      <c r="J189" s="149"/>
      <c r="K189" s="149"/>
      <c r="L189" s="149"/>
      <c r="M189" s="149"/>
      <c r="O189" s="55"/>
      <c r="V189" s="51"/>
      <c r="W189" s="51"/>
      <c r="X189" s="51"/>
    </row>
    <row r="190" spans="5:24" x14ac:dyDescent="0.2">
      <c r="E190" s="148"/>
      <c r="F190" s="143"/>
      <c r="G190" s="149"/>
      <c r="H190" s="149"/>
      <c r="I190" s="149"/>
      <c r="J190" s="149"/>
      <c r="K190" s="149"/>
      <c r="L190" s="149"/>
      <c r="M190" s="149"/>
      <c r="O190" s="55"/>
      <c r="V190" s="51"/>
      <c r="W190" s="51"/>
      <c r="X190" s="51"/>
    </row>
    <row r="191" spans="5:24" ht="16.25" thickBot="1" x14ac:dyDescent="0.35">
      <c r="E191" s="148"/>
      <c r="F191" s="143"/>
      <c r="G191" s="150"/>
      <c r="H191" s="150"/>
      <c r="I191" s="150"/>
      <c r="J191" s="150"/>
      <c r="K191" s="150"/>
      <c r="L191" s="150"/>
      <c r="M191" s="150"/>
      <c r="O191" s="55"/>
      <c r="V191" s="52"/>
      <c r="W191" s="52"/>
      <c r="X191" s="53"/>
    </row>
    <row r="192" spans="5:24" x14ac:dyDescent="0.2">
      <c r="E192" s="111" t="s">
        <v>102</v>
      </c>
      <c r="F192" s="112"/>
      <c r="G192" s="143"/>
      <c r="H192" s="143"/>
      <c r="I192" s="143"/>
      <c r="J192" s="143"/>
      <c r="K192" s="143"/>
      <c r="L192" s="143"/>
      <c r="M192" s="143"/>
      <c r="O192" s="142">
        <f>F182</f>
        <v>-650000000</v>
      </c>
    </row>
    <row r="193" spans="5:23" ht="78" customHeight="1" x14ac:dyDescent="0.2">
      <c r="E193" s="175" t="s">
        <v>101</v>
      </c>
      <c r="F193" s="176"/>
      <c r="G193" s="143"/>
      <c r="H193" s="143"/>
      <c r="I193" s="143"/>
      <c r="J193" s="143"/>
      <c r="K193" s="143"/>
      <c r="L193" s="143"/>
      <c r="M193" s="143"/>
    </row>
    <row r="194" spans="5:23" x14ac:dyDescent="0.2">
      <c r="E194" s="175"/>
      <c r="F194" s="176"/>
      <c r="G194" s="143"/>
      <c r="H194" s="143"/>
      <c r="I194" s="143"/>
      <c r="J194" s="143"/>
      <c r="K194" s="143"/>
      <c r="L194" s="143"/>
      <c r="M194" s="143"/>
    </row>
    <row r="195" spans="5:23" ht="17" thickBot="1" x14ac:dyDescent="0.25">
      <c r="E195" s="177"/>
      <c r="F195" s="178"/>
      <c r="G195" s="146"/>
      <c r="H195" s="146"/>
      <c r="I195" s="146"/>
      <c r="J195" s="146"/>
      <c r="K195" s="146"/>
      <c r="L195" s="146"/>
      <c r="M195" s="146"/>
    </row>
    <row r="199" spans="5:23" x14ac:dyDescent="0.2">
      <c r="E199" s="7" t="s">
        <v>78</v>
      </c>
      <c r="R199" s="61"/>
      <c r="S199" s="61"/>
      <c r="T199" s="61"/>
      <c r="U199" s="61"/>
      <c r="W199" s="51"/>
    </row>
    <row r="200" spans="5:23" x14ac:dyDescent="0.2">
      <c r="E200" s="1" t="s">
        <v>39</v>
      </c>
      <c r="R200" s="61"/>
      <c r="S200" s="61"/>
      <c r="T200" s="61"/>
      <c r="U200" s="61"/>
      <c r="V200" s="59"/>
      <c r="W200" s="51"/>
    </row>
    <row r="201" spans="5:23" x14ac:dyDescent="0.2">
      <c r="E201" s="13"/>
      <c r="F201" s="14" t="s">
        <v>40</v>
      </c>
      <c r="G201" s="14" t="s">
        <v>41</v>
      </c>
      <c r="H201" s="14" t="s">
        <v>42</v>
      </c>
      <c r="I201" s="14" t="s">
        <v>43</v>
      </c>
      <c r="J201" s="14" t="s">
        <v>44</v>
      </c>
      <c r="K201" s="14" t="s">
        <v>45</v>
      </c>
      <c r="L201" s="14" t="s">
        <v>46</v>
      </c>
      <c r="M201" s="14" t="s">
        <v>47</v>
      </c>
      <c r="R201" s="61"/>
      <c r="S201" s="61"/>
      <c r="T201" s="61"/>
      <c r="U201" s="61"/>
      <c r="V201" s="59"/>
      <c r="W201" s="51"/>
    </row>
    <row r="202" spans="5:23" x14ac:dyDescent="0.2">
      <c r="E202" s="11" t="s">
        <v>48</v>
      </c>
      <c r="F202" s="12"/>
      <c r="G202" s="46">
        <f>$G$145</f>
        <v>2286000000</v>
      </c>
      <c r="H202" s="46">
        <f>$G$145*(1+$G$146)</f>
        <v>2400300000</v>
      </c>
      <c r="I202" s="46">
        <f>H202*(1+$G$146)</f>
        <v>2520315000</v>
      </c>
      <c r="J202" s="46">
        <f t="shared" ref="J202:M202" si="43">I202*(1+$G$146)</f>
        <v>2646330750</v>
      </c>
      <c r="K202" s="46">
        <f t="shared" si="43"/>
        <v>2778647287.5</v>
      </c>
      <c r="L202" s="46">
        <f t="shared" si="43"/>
        <v>2917579651.875</v>
      </c>
      <c r="M202" s="46">
        <f t="shared" si="43"/>
        <v>3063458634.46875</v>
      </c>
      <c r="R202" s="61"/>
      <c r="S202" s="61"/>
      <c r="T202" s="61"/>
      <c r="U202" s="61"/>
      <c r="V202" s="60">
        <f>M202</f>
        <v>3063458634.46875</v>
      </c>
      <c r="W202" s="51"/>
    </row>
    <row r="203" spans="5:23" x14ac:dyDescent="0.2">
      <c r="E203" s="11" t="s">
        <v>49</v>
      </c>
      <c r="F203" s="12"/>
      <c r="G203" s="20">
        <f>SUM(G204:G207)</f>
        <v>216655510.20408165</v>
      </c>
      <c r="H203" s="20">
        <f t="shared" ref="H203:M203" si="44">SUM(H204:H207)</f>
        <v>221575510.20408165</v>
      </c>
      <c r="I203" s="20">
        <f t="shared" si="44"/>
        <v>226645342.20408165</v>
      </c>
      <c r="J203" s="20">
        <f t="shared" si="44"/>
        <v>231873506.74008167</v>
      </c>
      <c r="K203" s="20">
        <f t="shared" si="44"/>
        <v>237269112.78386563</v>
      </c>
      <c r="L203" s="20">
        <f t="shared" si="44"/>
        <v>242841923.48839283</v>
      </c>
      <c r="M203" s="20">
        <f t="shared" si="44"/>
        <v>248602405.40322256</v>
      </c>
      <c r="R203" s="61"/>
      <c r="S203" s="61"/>
      <c r="T203" s="61"/>
      <c r="U203" s="59">
        <f>L202</f>
        <v>2917579651.875</v>
      </c>
      <c r="V203" s="55"/>
      <c r="W203" s="51"/>
    </row>
    <row r="204" spans="5:23" x14ac:dyDescent="0.2">
      <c r="E204" s="18" t="s">
        <v>54</v>
      </c>
      <c r="F204" s="8"/>
      <c r="G204" s="16">
        <f>$H$10+$H$11+$H$14</f>
        <v>206000000</v>
      </c>
      <c r="H204" s="15">
        <f>G204*(1+$F$141)</f>
        <v>208472000</v>
      </c>
      <c r="I204" s="15">
        <f t="shared" ref="I204:M204" si="45">H204*(1+$F$141)</f>
        <v>210973664</v>
      </c>
      <c r="J204" s="15">
        <f t="shared" si="45"/>
        <v>213505347.96799999</v>
      </c>
      <c r="K204" s="15">
        <f t="shared" si="45"/>
        <v>216067412.14361599</v>
      </c>
      <c r="L204" s="15">
        <f t="shared" si="45"/>
        <v>218660221.08933938</v>
      </c>
      <c r="M204" s="15">
        <f t="shared" si="45"/>
        <v>221284143.74241146</v>
      </c>
      <c r="R204" s="61"/>
      <c r="S204" s="61"/>
      <c r="T204" s="59">
        <f>K202</f>
        <v>2778647287.5</v>
      </c>
      <c r="U204" s="55"/>
      <c r="V204" s="62"/>
      <c r="W204" s="51"/>
    </row>
    <row r="205" spans="5:23" x14ac:dyDescent="0.2">
      <c r="E205" s="18" t="s">
        <v>51</v>
      </c>
      <c r="F205" s="8"/>
      <c r="G205" s="2">
        <f>$H$8+$H$13+$H$15+$H$12</f>
        <v>72000000</v>
      </c>
      <c r="H205" s="15">
        <f t="shared" ref="H205:M205" si="46">G205*(1+$G$139)</f>
        <v>73080000</v>
      </c>
      <c r="I205" s="15">
        <f t="shared" si="46"/>
        <v>74176200</v>
      </c>
      <c r="J205" s="15">
        <f t="shared" si="46"/>
        <v>75288843</v>
      </c>
      <c r="K205" s="15">
        <f t="shared" si="46"/>
        <v>76418175.644999996</v>
      </c>
      <c r="L205" s="15">
        <f t="shared" si="46"/>
        <v>77564448.279674992</v>
      </c>
      <c r="M205" s="15">
        <f t="shared" si="46"/>
        <v>78727915.003870115</v>
      </c>
      <c r="R205" s="61"/>
      <c r="S205" s="59">
        <f>J202</f>
        <v>2646330750</v>
      </c>
      <c r="T205" s="55"/>
      <c r="U205" s="62"/>
      <c r="V205" s="62"/>
      <c r="W205" s="51"/>
    </row>
    <row r="206" spans="5:23" x14ac:dyDescent="0.2">
      <c r="E206" s="18" t="s">
        <v>50</v>
      </c>
      <c r="F206" s="8"/>
      <c r="G206" s="15">
        <f>$H$9</f>
        <v>18000000</v>
      </c>
      <c r="H206" s="15">
        <f>G206*(1+$G$140)</f>
        <v>19368000</v>
      </c>
      <c r="I206" s="15">
        <f t="shared" ref="I206:M206" si="47">H206*(1+$G$140)</f>
        <v>20839968</v>
      </c>
      <c r="J206" s="15">
        <f t="shared" si="47"/>
        <v>22423805.568</v>
      </c>
      <c r="K206" s="15">
        <f t="shared" si="47"/>
        <v>24128014.791168001</v>
      </c>
      <c r="L206" s="15">
        <f t="shared" si="47"/>
        <v>25961743.915296771</v>
      </c>
      <c r="M206" s="15">
        <f t="shared" si="47"/>
        <v>27934836.452859327</v>
      </c>
      <c r="R206" s="59">
        <f>I202</f>
        <v>2520315000</v>
      </c>
      <c r="S206" s="55"/>
      <c r="T206" s="62"/>
      <c r="U206" s="62"/>
      <c r="V206" s="62"/>
      <c r="W206" s="51"/>
    </row>
    <row r="207" spans="5:23" x14ac:dyDescent="0.2">
      <c r="E207" s="18" t="s">
        <v>103</v>
      </c>
      <c r="F207" s="8"/>
      <c r="G207" s="19">
        <f>-$G$156</f>
        <v>-79344489.79591836</v>
      </c>
      <c r="H207" s="19">
        <f t="shared" ref="H207:M207" si="48">-$G$156</f>
        <v>-79344489.79591836</v>
      </c>
      <c r="I207" s="19">
        <f t="shared" si="48"/>
        <v>-79344489.79591836</v>
      </c>
      <c r="J207" s="19">
        <f t="shared" si="48"/>
        <v>-79344489.79591836</v>
      </c>
      <c r="K207" s="19">
        <f t="shared" si="48"/>
        <v>-79344489.79591836</v>
      </c>
      <c r="L207" s="19">
        <f t="shared" si="48"/>
        <v>-79344489.79591836</v>
      </c>
      <c r="M207" s="19">
        <f t="shared" si="48"/>
        <v>-79344489.79591836</v>
      </c>
      <c r="Q207" s="59">
        <f>H202</f>
        <v>2400300000</v>
      </c>
      <c r="R207" s="55"/>
      <c r="S207" s="62"/>
      <c r="T207" s="62"/>
      <c r="U207" s="62"/>
      <c r="V207" s="57"/>
      <c r="W207" s="157"/>
    </row>
    <row r="208" spans="5:23" x14ac:dyDescent="0.2">
      <c r="E208" s="10" t="s">
        <v>100</v>
      </c>
      <c r="F208" s="8"/>
      <c r="G208" s="19">
        <f>G202-SUM(G204:G207)</f>
        <v>2069344489.7959185</v>
      </c>
      <c r="H208" s="19">
        <f t="shared" ref="H208:M208" si="49">H202-SUM(H204:H207)</f>
        <v>2178724489.7959185</v>
      </c>
      <c r="I208" s="19">
        <f t="shared" si="49"/>
        <v>2293669657.7959185</v>
      </c>
      <c r="J208" s="19">
        <f t="shared" si="49"/>
        <v>2414457243.2599182</v>
      </c>
      <c r="K208" s="19">
        <f t="shared" si="49"/>
        <v>2541378174.7161345</v>
      </c>
      <c r="L208" s="19">
        <f t="shared" si="49"/>
        <v>2674737728.3866072</v>
      </c>
      <c r="M208" s="19">
        <f t="shared" si="49"/>
        <v>2814856229.0655274</v>
      </c>
      <c r="P208" s="59">
        <f>G202</f>
        <v>2286000000</v>
      </c>
      <c r="Q208" s="55"/>
      <c r="R208" s="57"/>
      <c r="S208" s="57"/>
      <c r="T208" s="57"/>
      <c r="U208" s="57"/>
      <c r="V208" s="67">
        <f>$M$212</f>
        <v>92568571.428571463</v>
      </c>
      <c r="W208" s="51"/>
    </row>
    <row r="209" spans="5:25" ht="21" x14ac:dyDescent="0.4">
      <c r="E209" s="18" t="s">
        <v>52</v>
      </c>
      <c r="F209" s="8"/>
      <c r="G209" s="19">
        <f>G208*$F$150</f>
        <v>724270571.42857146</v>
      </c>
      <c r="H209" s="19">
        <f>H208*$F$150</f>
        <v>762553571.42857146</v>
      </c>
      <c r="I209" s="19">
        <f t="shared" ref="I209:M209" si="50">I208*$F$150</f>
        <v>802784380.22857141</v>
      </c>
      <c r="J209" s="19">
        <f t="shared" si="50"/>
        <v>845060035.1409713</v>
      </c>
      <c r="K209" s="19">
        <f t="shared" si="50"/>
        <v>889482361.15064704</v>
      </c>
      <c r="L209" s="19">
        <f t="shared" si="50"/>
        <v>936158204.93531251</v>
      </c>
      <c r="M209" s="19">
        <f t="shared" si="50"/>
        <v>985199680.17293453</v>
      </c>
      <c r="O209" s="50">
        <v>0</v>
      </c>
      <c r="P209" s="48">
        <v>1</v>
      </c>
      <c r="Q209" s="48">
        <v>2</v>
      </c>
      <c r="R209" s="49">
        <v>3</v>
      </c>
      <c r="S209" s="49">
        <v>4</v>
      </c>
      <c r="T209" s="49">
        <v>5</v>
      </c>
      <c r="U209" s="49">
        <v>6</v>
      </c>
      <c r="V209" s="49">
        <v>7</v>
      </c>
      <c r="W209" s="50"/>
    </row>
    <row r="210" spans="5:25" ht="16.25" thickBot="1" x14ac:dyDescent="0.35">
      <c r="E210" s="18" t="s">
        <v>96</v>
      </c>
      <c r="F210" s="8"/>
      <c r="G210" s="19">
        <f>$G$156</f>
        <v>79344489.79591836</v>
      </c>
      <c r="H210" s="19">
        <f t="shared" ref="H210:M210" si="51">$G$156</f>
        <v>79344489.79591836</v>
      </c>
      <c r="I210" s="19">
        <f t="shared" si="51"/>
        <v>79344489.79591836</v>
      </c>
      <c r="J210" s="19">
        <f t="shared" si="51"/>
        <v>79344489.79591836</v>
      </c>
      <c r="K210" s="19">
        <f t="shared" si="51"/>
        <v>79344489.79591836</v>
      </c>
      <c r="L210" s="19">
        <f t="shared" si="51"/>
        <v>79344489.79591836</v>
      </c>
      <c r="M210" s="19">
        <f t="shared" si="51"/>
        <v>79344489.79591836</v>
      </c>
      <c r="P210" s="4"/>
      <c r="Q210" s="4"/>
      <c r="R210" s="56"/>
      <c r="S210" s="56"/>
      <c r="T210" s="56"/>
      <c r="U210" s="56"/>
      <c r="V210" s="56"/>
      <c r="W210" s="51"/>
    </row>
    <row r="211" spans="5:25" x14ac:dyDescent="0.2">
      <c r="E211" s="18" t="s">
        <v>98</v>
      </c>
      <c r="F211" s="38">
        <f>-G137</f>
        <v>-647980000</v>
      </c>
      <c r="G211" s="19"/>
      <c r="H211" s="19"/>
      <c r="I211" s="19"/>
      <c r="J211" s="19"/>
      <c r="K211" s="19"/>
      <c r="L211" s="19"/>
      <c r="M211" s="19"/>
      <c r="O211" s="55"/>
      <c r="P211" s="65"/>
      <c r="Q211" s="65"/>
      <c r="R211" s="65"/>
      <c r="S211" s="65"/>
      <c r="T211" s="65"/>
      <c r="U211" s="58"/>
      <c r="V211" s="58"/>
      <c r="W211" s="51"/>
    </row>
    <row r="212" spans="5:25" x14ac:dyDescent="0.2">
      <c r="E212" s="18" t="s">
        <v>99</v>
      </c>
      <c r="F212" s="8"/>
      <c r="G212" s="19"/>
      <c r="H212" s="19"/>
      <c r="I212" s="19"/>
      <c r="J212" s="19"/>
      <c r="K212" s="19"/>
      <c r="L212" s="19"/>
      <c r="M212" s="19">
        <f>$K$162</f>
        <v>92568571.428571463</v>
      </c>
      <c r="O212" s="55"/>
      <c r="P212" s="64">
        <f>G203</f>
        <v>216655510.20408165</v>
      </c>
      <c r="R212" s="57"/>
      <c r="S212" s="55"/>
      <c r="T212" s="55"/>
      <c r="U212" s="55"/>
      <c r="V212" s="57"/>
      <c r="W212" s="52"/>
    </row>
    <row r="213" spans="5:25" x14ac:dyDescent="0.2">
      <c r="E213" s="11" t="s">
        <v>97</v>
      </c>
      <c r="F213" s="141">
        <f>F211</f>
        <v>-647980000</v>
      </c>
      <c r="G213" s="20">
        <f>G208-G209+G210</f>
        <v>1424418408.1632655</v>
      </c>
      <c r="H213" s="20">
        <f t="shared" ref="H213:M213" si="52">H208-H209+H210</f>
        <v>1495515408.1632655</v>
      </c>
      <c r="I213" s="20">
        <f t="shared" si="52"/>
        <v>1570229767.3632655</v>
      </c>
      <c r="J213" s="20">
        <f t="shared" si="52"/>
        <v>1648741697.9148655</v>
      </c>
      <c r="K213" s="20">
        <f t="shared" si="52"/>
        <v>1731240303.3614058</v>
      </c>
      <c r="L213" s="20">
        <f t="shared" si="52"/>
        <v>1817924013.2472131</v>
      </c>
      <c r="M213" s="20">
        <f t="shared" si="52"/>
        <v>1909001038.6885114</v>
      </c>
      <c r="O213" s="55"/>
      <c r="P213" s="51"/>
      <c r="Q213" s="63">
        <f>H203</f>
        <v>221575510.20408165</v>
      </c>
      <c r="R213" s="57"/>
      <c r="S213" s="57"/>
      <c r="T213" s="57"/>
      <c r="U213" s="57"/>
      <c r="V213" s="57"/>
      <c r="W213" s="51"/>
      <c r="X213" s="51"/>
      <c r="Y213" s="51"/>
    </row>
    <row r="214" spans="5:25" x14ac:dyDescent="0.2">
      <c r="O214" s="55"/>
      <c r="P214" s="51"/>
      <c r="R214" s="63">
        <f>I203</f>
        <v>226645342.20408165</v>
      </c>
      <c r="S214" s="55"/>
      <c r="T214" s="55"/>
      <c r="U214" s="57"/>
      <c r="V214" s="57"/>
      <c r="W214" s="51"/>
      <c r="X214" s="51"/>
      <c r="Y214" s="51"/>
    </row>
    <row r="215" spans="5:25" x14ac:dyDescent="0.2">
      <c r="O215" s="55"/>
      <c r="S215" s="63">
        <f>J203</f>
        <v>231873506.74008167</v>
      </c>
      <c r="T215" s="55"/>
      <c r="U215" s="57"/>
      <c r="V215" s="57"/>
      <c r="W215" s="51"/>
      <c r="X215" s="51"/>
      <c r="Y215" s="51"/>
    </row>
    <row r="216" spans="5:25" x14ac:dyDescent="0.2">
      <c r="E216" s="1" t="s">
        <v>68</v>
      </c>
      <c r="F216" s="41">
        <f>NPV(F149,G213:M213)+F213</f>
        <v>7551531993.1489077</v>
      </c>
      <c r="G216" s="143"/>
      <c r="H216" s="143"/>
      <c r="I216" s="143"/>
      <c r="J216" s="143"/>
      <c r="K216" s="143"/>
      <c r="L216" s="143"/>
      <c r="M216" s="143"/>
      <c r="O216" s="55"/>
      <c r="T216" s="63">
        <f>K203</f>
        <v>237269112.78386563</v>
      </c>
      <c r="U216" s="57"/>
      <c r="V216" s="57"/>
      <c r="W216" s="51"/>
      <c r="X216" s="51"/>
      <c r="Y216" s="51"/>
    </row>
    <row r="217" spans="5:25" x14ac:dyDescent="0.2">
      <c r="E217" s="1" t="s">
        <v>69</v>
      </c>
      <c r="F217" s="44">
        <f>IRR(F213:M213)</f>
        <v>2.2473658583532461</v>
      </c>
      <c r="G217" s="144"/>
      <c r="H217" s="144"/>
      <c r="I217" s="144"/>
      <c r="J217" s="144"/>
      <c r="K217" s="144"/>
      <c r="L217" s="144"/>
      <c r="M217" s="144"/>
      <c r="O217" s="55"/>
      <c r="U217" s="63">
        <f>L203</f>
        <v>242841923.48839283</v>
      </c>
      <c r="V217" s="57"/>
      <c r="W217" s="51"/>
      <c r="X217" s="51"/>
      <c r="Y217" s="51"/>
    </row>
    <row r="218" spans="5:25" x14ac:dyDescent="0.2">
      <c r="E218" s="1" t="s">
        <v>70</v>
      </c>
      <c r="F218" s="41">
        <f>PMT($F$149,$G$144,F216)</f>
        <v>-1500417794.6041689</v>
      </c>
      <c r="G218" s="146"/>
      <c r="H218" s="146"/>
      <c r="I218" s="146"/>
      <c r="J218" s="146"/>
      <c r="K218" s="146"/>
      <c r="L218" s="146"/>
      <c r="M218" s="146"/>
      <c r="O218" s="55"/>
      <c r="V218" s="63">
        <f>M203</f>
        <v>248602405.40322256</v>
      </c>
      <c r="W218" s="51"/>
      <c r="X218" s="66"/>
      <c r="Y218" s="66"/>
    </row>
    <row r="219" spans="5:25" ht="21" x14ac:dyDescent="0.4">
      <c r="E219" s="1" t="s">
        <v>71</v>
      </c>
      <c r="F219" s="45">
        <f>NPV($F$149,G202:M202)/NPV($F$149,G203:M203)</f>
        <v>11.349159971424982</v>
      </c>
      <c r="G219" s="146"/>
      <c r="H219" s="146"/>
      <c r="I219" s="146"/>
      <c r="J219" s="146"/>
      <c r="K219" s="146"/>
      <c r="L219" s="146"/>
      <c r="M219" s="146"/>
      <c r="O219" s="55"/>
      <c r="W219" s="158"/>
      <c r="X219" s="50"/>
      <c r="Y219" s="50"/>
    </row>
    <row r="220" spans="5:25" x14ac:dyDescent="0.2">
      <c r="E220" s="148"/>
      <c r="F220" s="143"/>
      <c r="G220" s="149"/>
      <c r="H220" s="149"/>
      <c r="I220" s="149"/>
      <c r="J220" s="149"/>
      <c r="K220" s="149"/>
      <c r="L220" s="149"/>
      <c r="M220" s="149"/>
      <c r="O220" s="55"/>
      <c r="W220" s="51"/>
      <c r="X220" s="51"/>
      <c r="Y220" s="51"/>
    </row>
    <row r="221" spans="5:25" x14ac:dyDescent="0.2">
      <c r="E221" s="148"/>
      <c r="F221" s="143"/>
      <c r="G221" s="149"/>
      <c r="H221" s="149"/>
      <c r="I221" s="149"/>
      <c r="J221" s="149"/>
      <c r="K221" s="149"/>
      <c r="L221" s="149"/>
      <c r="M221" s="149"/>
      <c r="O221" s="47">
        <f>F213</f>
        <v>-647980000</v>
      </c>
      <c r="X221" s="51"/>
      <c r="Y221" s="51"/>
    </row>
    <row r="222" spans="5:25" x14ac:dyDescent="0.2">
      <c r="E222" s="148"/>
      <c r="F222" s="143"/>
      <c r="G222" s="150"/>
      <c r="H222" s="150"/>
      <c r="I222" s="150"/>
      <c r="J222" s="150"/>
      <c r="K222" s="150"/>
      <c r="L222" s="150"/>
      <c r="M222" s="150"/>
      <c r="Y222" s="53"/>
    </row>
    <row r="223" spans="5:25" x14ac:dyDescent="0.2">
      <c r="E223" s="7" t="s">
        <v>105</v>
      </c>
      <c r="R223" s="61"/>
      <c r="S223" s="61"/>
      <c r="T223" s="61"/>
      <c r="U223" s="61"/>
      <c r="V223" s="61"/>
      <c r="W223" s="160"/>
      <c r="X223" s="160"/>
      <c r="Y223" s="43"/>
    </row>
    <row r="224" spans="5:25" x14ac:dyDescent="0.2">
      <c r="E224" s="1" t="s">
        <v>39</v>
      </c>
      <c r="R224" s="61"/>
      <c r="S224" s="61"/>
      <c r="T224" s="61"/>
      <c r="U224" s="61"/>
      <c r="V224" s="59"/>
      <c r="W224" s="164"/>
      <c r="X224" s="143"/>
      <c r="Y224" s="143"/>
    </row>
    <row r="225" spans="5:26" x14ac:dyDescent="0.2">
      <c r="E225" s="13"/>
      <c r="F225" s="14" t="s">
        <v>40</v>
      </c>
      <c r="G225" s="14" t="s">
        <v>41</v>
      </c>
      <c r="H225" s="14" t="s">
        <v>42</v>
      </c>
      <c r="I225" s="14" t="s">
        <v>43</v>
      </c>
      <c r="J225" s="14" t="s">
        <v>44</v>
      </c>
      <c r="K225" s="14" t="s">
        <v>45</v>
      </c>
      <c r="L225" s="14" t="s">
        <v>46</v>
      </c>
      <c r="M225" s="14" t="s">
        <v>47</v>
      </c>
      <c r="R225" s="61"/>
      <c r="S225" s="61"/>
      <c r="T225" s="61"/>
      <c r="U225" s="61"/>
      <c r="V225" s="59"/>
      <c r="W225" s="164"/>
      <c r="X225" s="143"/>
      <c r="Y225" s="143"/>
    </row>
    <row r="226" spans="5:26" x14ac:dyDescent="0.2">
      <c r="E226" s="11" t="s">
        <v>48</v>
      </c>
      <c r="F226" s="11"/>
      <c r="G226" s="46">
        <f>H145</f>
        <v>2286000000</v>
      </c>
      <c r="H226" s="46">
        <f>G226*(1+$H$146)</f>
        <v>2400300000</v>
      </c>
      <c r="I226" s="46">
        <f t="shared" ref="I226:M226" si="53">H226*(1+$H$146)</f>
        <v>2520315000</v>
      </c>
      <c r="J226" s="46">
        <f t="shared" si="53"/>
        <v>2646330750</v>
      </c>
      <c r="K226" s="46">
        <f t="shared" si="53"/>
        <v>2778647287.5</v>
      </c>
      <c r="L226" s="46">
        <f t="shared" si="53"/>
        <v>2917579651.875</v>
      </c>
      <c r="M226" s="46">
        <f t="shared" si="53"/>
        <v>3063458634.46875</v>
      </c>
      <c r="R226" s="61"/>
      <c r="S226" s="61"/>
      <c r="T226" s="61"/>
      <c r="U226" s="61"/>
      <c r="V226" s="59"/>
      <c r="W226" s="164"/>
      <c r="X226" s="143"/>
      <c r="Y226" s="143"/>
    </row>
    <row r="227" spans="5:26" x14ac:dyDescent="0.2">
      <c r="E227" s="11" t="s">
        <v>49</v>
      </c>
      <c r="F227" s="11"/>
      <c r="G227" s="68">
        <f>SUM(G228:G231)</f>
        <v>164766775.51020408</v>
      </c>
      <c r="H227" s="68">
        <f t="shared" ref="H227:M227" si="54">SUM(H228:H231)</f>
        <v>169056775.51020408</v>
      </c>
      <c r="I227" s="68">
        <f t="shared" si="54"/>
        <v>173491657.51020408</v>
      </c>
      <c r="J227" s="68">
        <f t="shared" si="54"/>
        <v>178079960.29620406</v>
      </c>
      <c r="K227" s="68">
        <f t="shared" si="54"/>
        <v>182830834.47623807</v>
      </c>
      <c r="L227" s="68">
        <f t="shared" si="54"/>
        <v>187754088.34687147</v>
      </c>
      <c r="M227" s="68">
        <f t="shared" si="54"/>
        <v>192860237.23330688</v>
      </c>
      <c r="R227" s="61"/>
      <c r="S227" s="61"/>
      <c r="T227" s="61"/>
      <c r="U227" s="61"/>
      <c r="V227" s="60"/>
      <c r="W227" s="164"/>
      <c r="X227" s="143"/>
      <c r="Y227" s="143"/>
    </row>
    <row r="228" spans="5:26" x14ac:dyDescent="0.2">
      <c r="E228" s="18" t="s">
        <v>54</v>
      </c>
      <c r="F228" s="8"/>
      <c r="G228" s="16">
        <f>$H$10+$H$11+$H$14</f>
        <v>206000000</v>
      </c>
      <c r="H228" s="15">
        <f>G228*(1+$H$141)</f>
        <v>208472000</v>
      </c>
      <c r="I228" s="15">
        <f t="shared" ref="I228:M228" si="55">H228*(1+$H$141)</f>
        <v>210973664</v>
      </c>
      <c r="J228" s="15">
        <f t="shared" si="55"/>
        <v>213505347.96799999</v>
      </c>
      <c r="K228" s="15">
        <f t="shared" si="55"/>
        <v>216067412.14361599</v>
      </c>
      <c r="L228" s="15">
        <f t="shared" si="55"/>
        <v>218660221.08933938</v>
      </c>
      <c r="M228" s="15">
        <f t="shared" si="55"/>
        <v>221284143.74241146</v>
      </c>
      <c r="R228" s="61"/>
      <c r="S228" s="61"/>
      <c r="T228" s="61"/>
      <c r="U228" s="59"/>
      <c r="V228" s="60">
        <f>M226</f>
        <v>3063458634.46875</v>
      </c>
      <c r="W228" s="143"/>
      <c r="X228" s="143"/>
      <c r="Y228" s="143"/>
    </row>
    <row r="229" spans="5:26" x14ac:dyDescent="0.2">
      <c r="E229" s="18" t="s">
        <v>51</v>
      </c>
      <c r="F229" s="8"/>
      <c r="G229" s="2">
        <f>($H$8+$H$13+$H$15+$H$12)/4</f>
        <v>18000000</v>
      </c>
      <c r="H229" s="15">
        <f>G229*(1+$H$139)</f>
        <v>18450000</v>
      </c>
      <c r="I229" s="15">
        <f t="shared" ref="I229:M229" si="56">H229*(1+$H$139)</f>
        <v>18911250</v>
      </c>
      <c r="J229" s="15">
        <f t="shared" si="56"/>
        <v>19384031.25</v>
      </c>
      <c r="K229" s="15">
        <f t="shared" si="56"/>
        <v>19868632.03125</v>
      </c>
      <c r="L229" s="15">
        <f t="shared" si="56"/>
        <v>20365347.83203125</v>
      </c>
      <c r="M229" s="15">
        <f t="shared" si="56"/>
        <v>20874481.527832031</v>
      </c>
      <c r="R229" s="61"/>
      <c r="S229" s="61"/>
      <c r="T229" s="59"/>
      <c r="U229" s="59">
        <f>L226</f>
        <v>2917579651.875</v>
      </c>
      <c r="V229" s="62"/>
      <c r="W229" s="143"/>
      <c r="X229" s="143"/>
      <c r="Y229" s="143"/>
    </row>
    <row r="230" spans="5:26" x14ac:dyDescent="0.2">
      <c r="E230" s="18" t="s">
        <v>50</v>
      </c>
      <c r="F230" s="8"/>
      <c r="G230" s="15">
        <f>$H$9</f>
        <v>18000000</v>
      </c>
      <c r="H230" s="15">
        <f>G230*(1+$H$140)</f>
        <v>19368000</v>
      </c>
      <c r="I230" s="15">
        <f t="shared" ref="I230:M230" si="57">H230*(1+$H$140)</f>
        <v>20839968</v>
      </c>
      <c r="J230" s="15">
        <f t="shared" si="57"/>
        <v>22423805.568</v>
      </c>
      <c r="K230" s="15">
        <f t="shared" si="57"/>
        <v>24128014.791168001</v>
      </c>
      <c r="L230" s="15">
        <f t="shared" si="57"/>
        <v>25961743.915296771</v>
      </c>
      <c r="M230" s="15">
        <f t="shared" si="57"/>
        <v>27934836.452859327</v>
      </c>
      <c r="R230" s="61"/>
      <c r="S230" s="59"/>
      <c r="T230" s="59">
        <f>K226</f>
        <v>2778647287.5</v>
      </c>
      <c r="U230" s="62"/>
      <c r="V230" s="62"/>
      <c r="W230" s="143"/>
      <c r="X230" s="143"/>
      <c r="Y230" s="143"/>
    </row>
    <row r="231" spans="5:26" x14ac:dyDescent="0.2">
      <c r="E231" s="18" t="s">
        <v>53</v>
      </c>
      <c r="F231" s="8"/>
      <c r="G231" s="19">
        <f>-$H$156</f>
        <v>-77233224.489795923</v>
      </c>
      <c r="H231" s="19">
        <f t="shared" ref="H231:M231" si="58">-$H$156</f>
        <v>-77233224.489795923</v>
      </c>
      <c r="I231" s="19">
        <f t="shared" si="58"/>
        <v>-77233224.489795923</v>
      </c>
      <c r="J231" s="19">
        <f t="shared" si="58"/>
        <v>-77233224.489795923</v>
      </c>
      <c r="K231" s="19">
        <f t="shared" si="58"/>
        <v>-77233224.489795923</v>
      </c>
      <c r="L231" s="19">
        <f t="shared" si="58"/>
        <v>-77233224.489795923</v>
      </c>
      <c r="M231" s="19">
        <f t="shared" si="58"/>
        <v>-77233224.489795923</v>
      </c>
      <c r="R231" s="59"/>
      <c r="S231" s="59">
        <f>J226</f>
        <v>2646330750</v>
      </c>
      <c r="T231" s="62"/>
      <c r="U231" s="62"/>
      <c r="V231" s="62"/>
      <c r="W231" s="143"/>
      <c r="X231" s="143"/>
      <c r="Y231" s="143"/>
    </row>
    <row r="232" spans="5:26" x14ac:dyDescent="0.2">
      <c r="E232" s="10" t="s">
        <v>100</v>
      </c>
      <c r="F232" s="8"/>
      <c r="G232" s="19">
        <f>G226-SUM(G228:G231)</f>
        <v>2121233224.4897959</v>
      </c>
      <c r="H232" s="19">
        <f t="shared" ref="H232:M232" si="59">H226-SUM(H228:H231)</f>
        <v>2231243224.4897957</v>
      </c>
      <c r="I232" s="19">
        <f t="shared" si="59"/>
        <v>2346823342.4897957</v>
      </c>
      <c r="J232" s="19">
        <f t="shared" si="59"/>
        <v>2468250789.7037959</v>
      </c>
      <c r="K232" s="19">
        <f t="shared" si="59"/>
        <v>2595816453.0237617</v>
      </c>
      <c r="L232" s="19">
        <f t="shared" si="59"/>
        <v>2729825563.5281286</v>
      </c>
      <c r="M232" s="19">
        <f t="shared" si="59"/>
        <v>2870598397.2354431</v>
      </c>
      <c r="Q232" s="59"/>
      <c r="R232" s="59">
        <f>I226</f>
        <v>2520315000</v>
      </c>
      <c r="S232" s="62"/>
      <c r="T232" s="62"/>
      <c r="U232" s="62"/>
      <c r="V232" s="62"/>
      <c r="W232" s="143"/>
      <c r="X232" s="165"/>
      <c r="Y232" s="143"/>
    </row>
    <row r="233" spans="5:26" x14ac:dyDescent="0.2">
      <c r="E233" s="18" t="s">
        <v>52</v>
      </c>
      <c r="F233" s="8"/>
      <c r="G233" s="19">
        <f>G232*$F$150</f>
        <v>742431628.57142854</v>
      </c>
      <c r="H233" s="19">
        <f t="shared" ref="H233:M233" si="60">H232*$F$150</f>
        <v>780935128.57142842</v>
      </c>
      <c r="I233" s="19">
        <f t="shared" si="60"/>
        <v>821388169.87142849</v>
      </c>
      <c r="J233" s="19">
        <f t="shared" si="60"/>
        <v>863887776.39632857</v>
      </c>
      <c r="K233" s="19">
        <f t="shared" si="60"/>
        <v>908535758.55831659</v>
      </c>
      <c r="L233" s="19">
        <f t="shared" si="60"/>
        <v>955438947.23484492</v>
      </c>
      <c r="M233" s="19">
        <f t="shared" si="60"/>
        <v>1004709439.032405</v>
      </c>
      <c r="P233" s="59">
        <f>G226</f>
        <v>2286000000</v>
      </c>
      <c r="Q233" s="60">
        <f>H226</f>
        <v>2400300000</v>
      </c>
      <c r="R233" s="57"/>
      <c r="S233" s="57"/>
      <c r="T233" s="57"/>
      <c r="U233" s="57"/>
      <c r="V233" s="167">
        <f>M236</f>
        <v>90105428.571428537</v>
      </c>
      <c r="W233" s="143"/>
      <c r="X233" s="143"/>
      <c r="Y233" s="143"/>
    </row>
    <row r="234" spans="5:26" ht="21" x14ac:dyDescent="0.4">
      <c r="E234" s="18" t="s">
        <v>96</v>
      </c>
      <c r="F234" s="8"/>
      <c r="G234" s="19">
        <f>$H$156</f>
        <v>77233224.489795923</v>
      </c>
      <c r="H234" s="19">
        <f t="shared" ref="H234:M234" si="61">$H$156</f>
        <v>77233224.489795923</v>
      </c>
      <c r="I234" s="19">
        <f t="shared" si="61"/>
        <v>77233224.489795923</v>
      </c>
      <c r="J234" s="19">
        <f t="shared" si="61"/>
        <v>77233224.489795923</v>
      </c>
      <c r="K234" s="19">
        <f t="shared" si="61"/>
        <v>77233224.489795923</v>
      </c>
      <c r="L234" s="19">
        <f t="shared" si="61"/>
        <v>77233224.489795923</v>
      </c>
      <c r="M234" s="19">
        <f t="shared" si="61"/>
        <v>77233224.489795923</v>
      </c>
      <c r="O234" s="50">
        <v>0</v>
      </c>
      <c r="P234" s="48">
        <v>1</v>
      </c>
      <c r="Q234" s="48">
        <v>2</v>
      </c>
      <c r="R234" s="49">
        <v>3</v>
      </c>
      <c r="S234" s="49">
        <v>4</v>
      </c>
      <c r="T234" s="49">
        <v>5</v>
      </c>
      <c r="U234" s="49">
        <v>6</v>
      </c>
      <c r="V234" s="49">
        <v>7</v>
      </c>
      <c r="W234" s="162"/>
      <c r="X234" s="162"/>
      <c r="Y234" s="143"/>
    </row>
    <row r="235" spans="5:26" ht="16.25" thickBot="1" x14ac:dyDescent="0.35">
      <c r="E235" s="18" t="s">
        <v>98</v>
      </c>
      <c r="F235" s="38">
        <f>-H137</f>
        <v>-630738000</v>
      </c>
      <c r="G235" s="19"/>
      <c r="H235" s="19"/>
      <c r="I235" s="19"/>
      <c r="J235" s="19"/>
      <c r="K235" s="19"/>
      <c r="L235" s="19"/>
      <c r="M235" s="19"/>
      <c r="P235" s="4"/>
      <c r="Q235" s="4"/>
      <c r="R235" s="56"/>
      <c r="S235" s="56"/>
      <c r="T235" s="56"/>
      <c r="U235" s="56"/>
      <c r="V235" s="56"/>
      <c r="W235" s="143"/>
      <c r="X235" s="143"/>
      <c r="Y235" s="143"/>
    </row>
    <row r="236" spans="5:26" x14ac:dyDescent="0.2">
      <c r="E236" s="18" t="s">
        <v>99</v>
      </c>
      <c r="F236" s="8"/>
      <c r="G236" s="19"/>
      <c r="H236" s="19"/>
      <c r="I236" s="19"/>
      <c r="J236" s="19"/>
      <c r="K236" s="19"/>
      <c r="L236" s="19"/>
      <c r="M236" s="19">
        <f>K163</f>
        <v>90105428.571428537</v>
      </c>
      <c r="O236" s="55"/>
      <c r="P236" s="65"/>
      <c r="Q236" s="65"/>
      <c r="R236" s="65"/>
      <c r="S236" s="65"/>
      <c r="T236" s="65"/>
      <c r="U236" s="58"/>
      <c r="V236" s="58"/>
      <c r="W236" s="143"/>
      <c r="X236" s="143"/>
      <c r="Y236" s="143"/>
    </row>
    <row r="237" spans="5:26" x14ac:dyDescent="0.2">
      <c r="E237" s="11" t="s">
        <v>97</v>
      </c>
      <c r="F237" s="141">
        <f>F235</f>
        <v>-630738000</v>
      </c>
      <c r="G237" s="20">
        <f>G232-G233+G234</f>
        <v>1456034820.4081633</v>
      </c>
      <c r="H237" s="20">
        <f t="shared" ref="H237:L237" si="62">H232-H233+H234</f>
        <v>1527541320.4081633</v>
      </c>
      <c r="I237" s="20">
        <f t="shared" si="62"/>
        <v>1602668397.1081631</v>
      </c>
      <c r="J237" s="20">
        <f t="shared" si="62"/>
        <v>1681596237.7972634</v>
      </c>
      <c r="K237" s="20">
        <f t="shared" si="62"/>
        <v>1764513918.955241</v>
      </c>
      <c r="L237" s="20">
        <f t="shared" si="62"/>
        <v>1851619840.7830796</v>
      </c>
      <c r="M237" s="20">
        <f>M232-M233+M234</f>
        <v>1943122182.6928341</v>
      </c>
      <c r="O237" s="55"/>
      <c r="P237" s="64">
        <f>G227</f>
        <v>164766775.51020408</v>
      </c>
      <c r="Q237" s="57"/>
      <c r="R237" s="57"/>
      <c r="S237" s="57"/>
      <c r="T237" s="57"/>
      <c r="U237" s="57"/>
      <c r="V237" s="57"/>
      <c r="W237" s="143"/>
      <c r="X237" s="143"/>
      <c r="Y237" s="143"/>
    </row>
    <row r="238" spans="5:26" x14ac:dyDescent="0.2">
      <c r="O238" s="55"/>
      <c r="P238" s="51"/>
      <c r="Q238" s="63"/>
      <c r="R238" s="57"/>
      <c r="S238" s="57"/>
      <c r="T238" s="57"/>
      <c r="U238" s="57"/>
      <c r="V238" s="57"/>
      <c r="W238" s="143"/>
      <c r="X238" s="143"/>
      <c r="Y238" s="143"/>
    </row>
    <row r="239" spans="5:26" x14ac:dyDescent="0.2">
      <c r="O239" s="55"/>
      <c r="P239" s="51"/>
      <c r="Q239" s="64">
        <f>H227</f>
        <v>169056775.51020408</v>
      </c>
      <c r="R239" s="63"/>
      <c r="S239" s="55"/>
      <c r="T239" s="55"/>
      <c r="U239" s="57"/>
      <c r="V239" s="57"/>
      <c r="W239" s="143"/>
      <c r="X239" s="143"/>
      <c r="Y239" s="143"/>
    </row>
    <row r="240" spans="5:26" x14ac:dyDescent="0.2">
      <c r="E240" s="1" t="s">
        <v>65</v>
      </c>
      <c r="F240" s="39">
        <f>NPV(F149,G237:M237)+F237</f>
        <v>7733441726.2659473</v>
      </c>
      <c r="G240" s="143"/>
      <c r="H240" s="143"/>
      <c r="I240" s="143"/>
      <c r="J240" s="143"/>
      <c r="K240" s="143"/>
      <c r="L240" s="143"/>
      <c r="M240" s="143"/>
      <c r="O240" s="55"/>
      <c r="R240" s="64">
        <f>I227</f>
        <v>173491657.51020408</v>
      </c>
      <c r="S240" s="63"/>
      <c r="T240" s="55"/>
      <c r="U240" s="57"/>
      <c r="V240" s="57"/>
      <c r="W240" s="143"/>
      <c r="X240" s="143"/>
      <c r="Y240" s="143"/>
      <c r="Z240" s="51"/>
    </row>
    <row r="241" spans="5:26" x14ac:dyDescent="0.2">
      <c r="E241" s="1" t="s">
        <v>69</v>
      </c>
      <c r="F241" s="44">
        <f>IRR(F237:M237)</f>
        <v>2.3569308422384085</v>
      </c>
      <c r="G241" s="144"/>
      <c r="H241" s="144"/>
      <c r="I241" s="144"/>
      <c r="J241" s="144"/>
      <c r="K241" s="144"/>
      <c r="L241" s="144"/>
      <c r="M241" s="144"/>
      <c r="O241" s="55"/>
      <c r="S241" s="64">
        <f>J227</f>
        <v>178079960.29620406</v>
      </c>
      <c r="T241" s="63"/>
      <c r="U241" s="57"/>
      <c r="V241" s="57"/>
      <c r="W241" s="143"/>
      <c r="X241" s="143"/>
      <c r="Y241" s="143"/>
      <c r="Z241" s="51"/>
    </row>
    <row r="242" spans="5:26" x14ac:dyDescent="0.2">
      <c r="E242" s="1" t="s">
        <v>67</v>
      </c>
      <c r="F242" s="41">
        <f>PMT(F149,H144,F240)</f>
        <v>-1536561533.4942546</v>
      </c>
      <c r="G242" s="146"/>
      <c r="H242" s="146"/>
      <c r="I242" s="146"/>
      <c r="J242" s="146"/>
      <c r="K242" s="146"/>
      <c r="L242" s="146"/>
      <c r="M242" s="146"/>
      <c r="O242" s="55"/>
      <c r="T242" s="64">
        <f>K227</f>
        <v>182830834.47623807</v>
      </c>
      <c r="U242" s="63"/>
      <c r="V242" s="57"/>
      <c r="W242" s="143"/>
      <c r="X242" s="143"/>
      <c r="Y242" s="161"/>
      <c r="Z242" s="66"/>
    </row>
    <row r="243" spans="5:26" ht="21" x14ac:dyDescent="0.4">
      <c r="E243" s="1" t="s">
        <v>71</v>
      </c>
      <c r="F243" s="45">
        <f>NPV($F$149,G226:M226)/NPV($F$149,G227:M227)</f>
        <v>14.788664172318631</v>
      </c>
      <c r="G243" s="147"/>
      <c r="H243" s="147"/>
      <c r="I243" s="147"/>
      <c r="J243" s="147"/>
      <c r="K243" s="147"/>
      <c r="L243" s="147"/>
      <c r="M243" s="147"/>
      <c r="O243" s="55"/>
      <c r="U243" s="64">
        <f>L227</f>
        <v>187754088.34687147</v>
      </c>
      <c r="V243" s="63"/>
      <c r="W243" s="143"/>
      <c r="X243" s="143"/>
      <c r="Y243" s="162"/>
      <c r="Z243" s="50"/>
    </row>
    <row r="244" spans="5:26" x14ac:dyDescent="0.2">
      <c r="G244" s="149"/>
      <c r="H244" s="149"/>
      <c r="I244" s="149"/>
      <c r="J244" s="149"/>
      <c r="K244" s="149"/>
      <c r="L244" s="149"/>
      <c r="M244" s="149"/>
      <c r="O244" s="55"/>
      <c r="V244" s="64">
        <f>M227</f>
        <v>192860237.23330688</v>
      </c>
      <c r="W244" s="166"/>
      <c r="X244" s="143"/>
      <c r="Y244" s="143"/>
      <c r="Z244" s="51"/>
    </row>
    <row r="245" spans="5:26" x14ac:dyDescent="0.2">
      <c r="E245" s="148"/>
      <c r="F245" s="143"/>
      <c r="G245" s="149"/>
      <c r="H245" s="149"/>
      <c r="I245" s="149"/>
      <c r="J245" s="149"/>
      <c r="K245" s="149"/>
      <c r="L245" s="149"/>
      <c r="M245" s="149"/>
      <c r="O245" s="55"/>
      <c r="W245" s="166"/>
      <c r="X245" s="143"/>
      <c r="Y245" s="143"/>
      <c r="Z245" s="51"/>
    </row>
    <row r="246" spans="5:26" x14ac:dyDescent="0.2">
      <c r="E246" s="148"/>
      <c r="F246" s="143"/>
      <c r="G246" s="150"/>
      <c r="H246" s="150"/>
      <c r="I246" s="150"/>
      <c r="J246" s="150"/>
      <c r="K246" s="150"/>
      <c r="L246" s="150"/>
      <c r="M246" s="150"/>
      <c r="O246" s="55"/>
      <c r="W246" s="143"/>
      <c r="X246" s="166"/>
      <c r="Y246" s="163"/>
      <c r="Z246" s="53"/>
    </row>
    <row r="247" spans="5:26" x14ac:dyDescent="0.2">
      <c r="E247" s="145"/>
      <c r="F247" s="143"/>
      <c r="G247" s="143"/>
      <c r="H247" s="143"/>
      <c r="I247" s="143"/>
      <c r="J247" s="143"/>
      <c r="K247" s="143"/>
      <c r="L247" s="143"/>
      <c r="M247" s="143"/>
      <c r="O247" s="55"/>
      <c r="Y247" s="51"/>
      <c r="Z247" s="51"/>
    </row>
    <row r="248" spans="5:26" x14ac:dyDescent="0.2">
      <c r="E248" s="148"/>
      <c r="F248" s="143"/>
      <c r="G248" s="143"/>
      <c r="H248" s="143"/>
      <c r="I248" s="143"/>
      <c r="J248" s="143"/>
      <c r="K248" s="143"/>
      <c r="L248" s="143"/>
      <c r="M248" s="143"/>
      <c r="O248" s="47">
        <f>F237</f>
        <v>-630738000</v>
      </c>
      <c r="Y248" s="51"/>
      <c r="Z248" s="51"/>
    </row>
    <row r="249" spans="5:26" x14ac:dyDescent="0.2">
      <c r="E249" s="148"/>
      <c r="F249" s="143"/>
      <c r="G249" s="143"/>
      <c r="H249" s="143"/>
      <c r="I249" s="143"/>
      <c r="J249" s="143"/>
      <c r="K249" s="143"/>
      <c r="L249" s="143"/>
      <c r="M249" s="150"/>
    </row>
    <row r="250" spans="5:26" ht="16.25" thickBot="1" x14ac:dyDescent="0.35"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</row>
    <row r="254" spans="5:26" ht="18" x14ac:dyDescent="0.35">
      <c r="E254" s="37" t="s">
        <v>74</v>
      </c>
    </row>
    <row r="255" spans="5:26" x14ac:dyDescent="0.2">
      <c r="E255" s="102"/>
      <c r="F255" s="102" t="s">
        <v>75</v>
      </c>
      <c r="G255" s="102" t="s">
        <v>76</v>
      </c>
      <c r="H255" s="102" t="s">
        <v>104</v>
      </c>
    </row>
    <row r="256" spans="5:26" ht="19" x14ac:dyDescent="0.25">
      <c r="E256" s="12" t="s">
        <v>65</v>
      </c>
      <c r="F256" s="159">
        <f>F186</f>
        <v>7734605960.0367775</v>
      </c>
      <c r="G256" s="168">
        <f>F216</f>
        <v>7551531993.1489077</v>
      </c>
      <c r="H256" s="169">
        <f>F240</f>
        <v>7733441726.2659473</v>
      </c>
      <c r="J256" s="173" t="s">
        <v>88</v>
      </c>
      <c r="K256" s="173"/>
    </row>
    <row r="257" spans="5:25" x14ac:dyDescent="0.2">
      <c r="E257" s="12" t="s">
        <v>69</v>
      </c>
      <c r="F257" s="99">
        <f>F187</f>
        <v>2.294347633389183</v>
      </c>
      <c r="G257" s="100">
        <f>F217</f>
        <v>2.2473658583532461</v>
      </c>
      <c r="H257" s="98">
        <f>F241</f>
        <v>2.3569308422384085</v>
      </c>
      <c r="J257" s="120">
        <v>50</v>
      </c>
      <c r="K257" s="8" t="s">
        <v>85</v>
      </c>
    </row>
    <row r="258" spans="5:25" x14ac:dyDescent="0.2">
      <c r="E258" s="12" t="s">
        <v>67</v>
      </c>
      <c r="F258" s="170">
        <f>F188</f>
        <v>-1536792855.703896</v>
      </c>
      <c r="G258" s="168">
        <f>F218</f>
        <v>-1500417794.6041689</v>
      </c>
      <c r="H258" s="169">
        <f>F242</f>
        <v>-1536561533.4942546</v>
      </c>
      <c r="J258" s="75">
        <v>40</v>
      </c>
      <c r="K258" s="8" t="s">
        <v>86</v>
      </c>
    </row>
    <row r="259" spans="5:25" x14ac:dyDescent="0.2">
      <c r="E259" s="12" t="s">
        <v>71</v>
      </c>
      <c r="F259" s="103">
        <f>F189</f>
        <v>15.010693104304648</v>
      </c>
      <c r="G259" s="104">
        <f>F219</f>
        <v>11.349159971424982</v>
      </c>
      <c r="H259" s="101">
        <f>F243</f>
        <v>14.788664172318631</v>
      </c>
      <c r="J259" s="121">
        <v>10</v>
      </c>
      <c r="K259" s="8" t="s">
        <v>87</v>
      </c>
    </row>
    <row r="260" spans="5:25" x14ac:dyDescent="0.2">
      <c r="E260" s="119" t="s">
        <v>84</v>
      </c>
      <c r="F260" s="171">
        <f>((2*J258)+(2*J259))</f>
        <v>100</v>
      </c>
      <c r="G260" s="171">
        <f>((2*J257)+(2*J259))</f>
        <v>120</v>
      </c>
      <c r="H260" s="171">
        <f>((2*J257)+(2*J258))</f>
        <v>180</v>
      </c>
    </row>
    <row r="263" spans="5:25" ht="17" thickBot="1" x14ac:dyDescent="0.25"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</row>
    <row r="266" spans="5:25" ht="19" x14ac:dyDescent="0.25">
      <c r="E266" s="37" t="s">
        <v>73</v>
      </c>
    </row>
    <row r="268" spans="5:25" x14ac:dyDescent="0.2">
      <c r="E268" s="172" t="s">
        <v>107</v>
      </c>
      <c r="F268" s="172"/>
      <c r="G268" s="172"/>
      <c r="H268" s="172"/>
    </row>
    <row r="269" spans="5:25" x14ac:dyDescent="0.2">
      <c r="E269" s="172"/>
      <c r="F269" s="172"/>
      <c r="G269" s="172"/>
      <c r="H269" s="172"/>
    </row>
    <row r="270" spans="5:25" x14ac:dyDescent="0.2">
      <c r="E270" s="172" t="s">
        <v>108</v>
      </c>
      <c r="F270" s="172"/>
      <c r="G270" s="172"/>
      <c r="H270" s="172"/>
    </row>
    <row r="271" spans="5:25" x14ac:dyDescent="0.2">
      <c r="E271" s="172"/>
      <c r="F271" s="172"/>
      <c r="G271" s="172"/>
      <c r="H271" s="172"/>
    </row>
    <row r="272" spans="5:25" x14ac:dyDescent="0.2">
      <c r="E272" s="172" t="s">
        <v>109</v>
      </c>
      <c r="F272" s="172"/>
      <c r="G272" s="172"/>
      <c r="H272" s="172"/>
    </row>
    <row r="273" spans="5:8" x14ac:dyDescent="0.2">
      <c r="E273" s="172"/>
      <c r="F273" s="172"/>
      <c r="G273" s="172"/>
      <c r="H273" s="172"/>
    </row>
    <row r="274" spans="5:8" x14ac:dyDescent="0.2">
      <c r="E274" s="179" t="s">
        <v>110</v>
      </c>
      <c r="F274" s="179"/>
      <c r="G274" s="179"/>
      <c r="H274" s="179"/>
    </row>
    <row r="275" spans="5:8" x14ac:dyDescent="0.2">
      <c r="E275" s="179"/>
      <c r="F275" s="179"/>
      <c r="G275" s="179"/>
      <c r="H275" s="179"/>
    </row>
    <row r="276" spans="5:8" x14ac:dyDescent="0.2">
      <c r="E276" s="172" t="s">
        <v>111</v>
      </c>
      <c r="F276" s="172"/>
      <c r="G276" s="172"/>
      <c r="H276" s="172"/>
    </row>
    <row r="277" spans="5:8" x14ac:dyDescent="0.2">
      <c r="E277" s="172"/>
      <c r="F277" s="172"/>
      <c r="G277" s="172"/>
      <c r="H277" s="172"/>
    </row>
    <row r="278" spans="5:8" x14ac:dyDescent="0.2">
      <c r="E278" s="172" t="s">
        <v>112</v>
      </c>
      <c r="F278" s="172"/>
      <c r="G278" s="172"/>
      <c r="H278" s="172"/>
    </row>
    <row r="279" spans="5:8" x14ac:dyDescent="0.2">
      <c r="E279" s="172"/>
      <c r="F279" s="172"/>
      <c r="G279" s="172"/>
      <c r="H279" s="172"/>
    </row>
  </sheetData>
  <mergeCells count="12">
    <mergeCell ref="E278:H279"/>
    <mergeCell ref="E270:H271"/>
    <mergeCell ref="E272:H273"/>
    <mergeCell ref="E274:H275"/>
    <mergeCell ref="E276:H277"/>
    <mergeCell ref="E268:H269"/>
    <mergeCell ref="J256:K256"/>
    <mergeCell ref="E3:H3"/>
    <mergeCell ref="E24:H24"/>
    <mergeCell ref="E67:H67"/>
    <mergeCell ref="E193:F195"/>
    <mergeCell ref="E46:H46"/>
  </mergeCells>
  <phoneticPr fontId="1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Calculos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2023-06-22T01:17:55Z</dcterms:created>
  <dcterms:modified xsi:type="dcterms:W3CDTF">2023-07-23T23:59:02Z</dcterms:modified>
</cp:coreProperties>
</file>