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EDATOR TRITON\OneDrive\Escritorio\"/>
    </mc:Choice>
  </mc:AlternateContent>
  <xr:revisionPtr revIDLastSave="0" documentId="8_{8A3BF85C-9FB7-4CF6-BD3C-7FBF25550A49}" xr6:coauthVersionLast="47" xr6:coauthVersionMax="47" xr10:uidLastSave="{00000000-0000-0000-0000-000000000000}"/>
  <bookViews>
    <workbookView xWindow="-108" yWindow="-108" windowWidth="23256" windowHeight="12456" tabRatio="625" xr2:uid="{DF7EC3B3-73CD-45EE-B5BB-2CE5ED20BB56}"/>
  </bookViews>
  <sheets>
    <sheet name="CRITICIDAD" sheetId="1" r:id="rId1"/>
    <sheet name="XYZ" sheetId="5" r:id="rId2"/>
    <sheet name="KPIs inventari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5" l="1"/>
  <c r="O13" i="5"/>
  <c r="O10" i="5"/>
  <c r="N11" i="5"/>
  <c r="N12" i="5"/>
  <c r="N13" i="5"/>
  <c r="N14" i="5"/>
  <c r="N15" i="5"/>
  <c r="N16" i="5"/>
  <c r="N17" i="5"/>
  <c r="N18" i="5"/>
  <c r="N10" i="5"/>
  <c r="M11" i="5"/>
  <c r="M12" i="5"/>
  <c r="M13" i="5"/>
  <c r="M14" i="5"/>
  <c r="M15" i="5"/>
  <c r="M16" i="5"/>
  <c r="M17" i="5"/>
  <c r="M18" i="5"/>
  <c r="M10" i="5"/>
  <c r="E7" i="5"/>
  <c r="E8" i="5" s="1"/>
  <c r="E9" i="5" s="1"/>
  <c r="E10" i="5" l="1"/>
  <c r="L54" i="1"/>
  <c r="M54" i="1" s="1"/>
  <c r="L55" i="1"/>
  <c r="M55" i="1" s="1"/>
  <c r="I45" i="5" s="1"/>
  <c r="L56" i="1"/>
  <c r="M56" i="1" s="1"/>
  <c r="L57" i="1"/>
  <c r="M57" i="1" s="1"/>
  <c r="L58" i="1"/>
  <c r="M58" i="1" s="1"/>
  <c r="L59" i="1"/>
  <c r="M59" i="1" s="1"/>
  <c r="L60" i="1"/>
  <c r="L61" i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M60" i="1"/>
  <c r="M61" i="1"/>
  <c r="N48" i="9"/>
  <c r="N49" i="9"/>
  <c r="N50" i="9"/>
  <c r="N51" i="9"/>
  <c r="N52" i="9"/>
  <c r="N53" i="9"/>
  <c r="N54" i="9"/>
  <c r="N55" i="9"/>
  <c r="N56" i="9"/>
  <c r="N57" i="9"/>
  <c r="N58" i="9"/>
  <c r="N47" i="9"/>
  <c r="D48" i="9"/>
  <c r="D49" i="9"/>
  <c r="D50" i="9"/>
  <c r="D51" i="9"/>
  <c r="D52" i="9"/>
  <c r="D53" i="9"/>
  <c r="D54" i="9"/>
  <c r="D55" i="9"/>
  <c r="D56" i="9"/>
  <c r="D57" i="9"/>
  <c r="D58" i="9"/>
  <c r="D47" i="9"/>
  <c r="M34" i="9"/>
  <c r="M35" i="9"/>
  <c r="M36" i="9"/>
  <c r="M37" i="9"/>
  <c r="M38" i="9"/>
  <c r="M39" i="9"/>
  <c r="M40" i="9"/>
  <c r="M41" i="9"/>
  <c r="M42" i="9"/>
  <c r="M43" i="9"/>
  <c r="M44" i="9"/>
  <c r="M33" i="9"/>
  <c r="D34" i="9"/>
  <c r="D35" i="9"/>
  <c r="D36" i="9"/>
  <c r="D37" i="9"/>
  <c r="D38" i="9"/>
  <c r="D39" i="9"/>
  <c r="D40" i="9"/>
  <c r="D41" i="9"/>
  <c r="D42" i="9"/>
  <c r="D43" i="9"/>
  <c r="D44" i="9"/>
  <c r="D33" i="9"/>
  <c r="M20" i="9"/>
  <c r="M21" i="9"/>
  <c r="M22" i="9"/>
  <c r="M23" i="9"/>
  <c r="M24" i="9"/>
  <c r="M25" i="9"/>
  <c r="M26" i="9"/>
  <c r="M27" i="9"/>
  <c r="M28" i="9"/>
  <c r="M29" i="9"/>
  <c r="M30" i="9"/>
  <c r="M19" i="9"/>
  <c r="D20" i="9"/>
  <c r="D21" i="9"/>
  <c r="D22" i="9"/>
  <c r="D23" i="9"/>
  <c r="D24" i="9"/>
  <c r="D25" i="9"/>
  <c r="D26" i="9"/>
  <c r="D27" i="9"/>
  <c r="D28" i="9"/>
  <c r="D29" i="9"/>
  <c r="D30" i="9"/>
  <c r="D19" i="9"/>
  <c r="M6" i="9"/>
  <c r="M7" i="9"/>
  <c r="M8" i="9"/>
  <c r="M9" i="9"/>
  <c r="M10" i="9"/>
  <c r="M11" i="9"/>
  <c r="M12" i="9"/>
  <c r="M13" i="9"/>
  <c r="M14" i="9"/>
  <c r="M15" i="9"/>
  <c r="M16" i="9"/>
  <c r="M5" i="9"/>
  <c r="D6" i="9"/>
  <c r="D7" i="9"/>
  <c r="D8" i="9"/>
  <c r="D9" i="9"/>
  <c r="D10" i="9"/>
  <c r="D11" i="9"/>
  <c r="D12" i="9"/>
  <c r="D13" i="9"/>
  <c r="D14" i="9"/>
  <c r="D15" i="9"/>
  <c r="D16" i="9"/>
  <c r="D5" i="9"/>
  <c r="L52" i="1" l="1"/>
  <c r="M52" i="1" s="1"/>
  <c r="I21" i="5" s="1"/>
  <c r="L53" i="1"/>
  <c r="M53" i="1" s="1"/>
  <c r="I14" i="5" s="1"/>
  <c r="G2" i="5"/>
  <c r="L51" i="1"/>
  <c r="M51" i="1" s="1"/>
  <c r="I60" i="5" s="1"/>
  <c r="L50" i="1"/>
  <c r="M50" i="1" s="1"/>
  <c r="I64" i="5" s="1"/>
  <c r="L49" i="1"/>
  <c r="M49" i="1" s="1"/>
  <c r="I66" i="5" s="1"/>
  <c r="L48" i="1"/>
  <c r="M48" i="1" s="1"/>
  <c r="I61" i="5" s="1"/>
  <c r="L47" i="1"/>
  <c r="L46" i="1"/>
  <c r="M46" i="1" s="1"/>
  <c r="I36" i="5" s="1"/>
  <c r="L45" i="1"/>
  <c r="M45" i="1" s="1"/>
  <c r="I40" i="5" s="1"/>
  <c r="L44" i="1"/>
  <c r="M44" i="1" s="1"/>
  <c r="I55" i="5" s="1"/>
  <c r="L43" i="1"/>
  <c r="M43" i="1" s="1"/>
  <c r="I51" i="5" s="1"/>
  <c r="L42" i="1"/>
  <c r="M42" i="1" s="1"/>
  <c r="I22" i="5" s="1"/>
  <c r="L41" i="1"/>
  <c r="M41" i="1" s="1"/>
  <c r="I17" i="5" s="1"/>
  <c r="L40" i="1"/>
  <c r="L39" i="1"/>
  <c r="L38" i="1"/>
  <c r="M38" i="1" s="1"/>
  <c r="I47" i="5" s="1"/>
  <c r="L37" i="1"/>
  <c r="M37" i="1" s="1"/>
  <c r="I63" i="5" s="1"/>
  <c r="L36" i="1"/>
  <c r="M36" i="1" s="1"/>
  <c r="I19" i="5" s="1"/>
  <c r="L35" i="1"/>
  <c r="M35" i="1" s="1"/>
  <c r="I16" i="5" s="1"/>
  <c r="L34" i="1"/>
  <c r="L33" i="1"/>
  <c r="L32" i="1"/>
  <c r="M32" i="1" s="1"/>
  <c r="I38" i="5" s="1"/>
  <c r="L31" i="1"/>
  <c r="M31" i="1" s="1"/>
  <c r="I56" i="5" s="1"/>
  <c r="L30" i="1"/>
  <c r="M30" i="1" s="1"/>
  <c r="I62" i="5" s="1"/>
  <c r="L29" i="1"/>
  <c r="M29" i="1" s="1"/>
  <c r="I34" i="5" s="1"/>
  <c r="L28" i="1"/>
  <c r="M28" i="1" s="1"/>
  <c r="I27" i="5" s="1"/>
  <c r="L27" i="1"/>
  <c r="L26" i="1"/>
  <c r="M26" i="1" s="1"/>
  <c r="I35" i="5" s="1"/>
  <c r="L25" i="1"/>
  <c r="M25" i="1" s="1"/>
  <c r="I32" i="5" s="1"/>
  <c r="L24" i="1"/>
  <c r="M24" i="1" s="1"/>
  <c r="I39" i="5" s="1"/>
  <c r="L23" i="1"/>
  <c r="M23" i="1" s="1"/>
  <c r="I53" i="5" s="1"/>
  <c r="L22" i="1"/>
  <c r="M22" i="1" s="1"/>
  <c r="I33" i="5" s="1"/>
  <c r="L21" i="1"/>
  <c r="L20" i="1"/>
  <c r="M20" i="1" s="1"/>
  <c r="I48" i="5" s="1"/>
  <c r="L19" i="1"/>
  <c r="M19" i="1" s="1"/>
  <c r="I49" i="5" s="1"/>
  <c r="L11" i="1"/>
  <c r="M11" i="1" s="1"/>
  <c r="I65" i="5" s="1"/>
  <c r="L12" i="1"/>
  <c r="M12" i="1" s="1"/>
  <c r="I25" i="5" s="1"/>
  <c r="L13" i="1"/>
  <c r="M13" i="1" s="1"/>
  <c r="I24" i="5" s="1"/>
  <c r="L14" i="1"/>
  <c r="M14" i="1" s="1"/>
  <c r="I23" i="5" s="1"/>
  <c r="L15" i="1"/>
  <c r="L16" i="1"/>
  <c r="M16" i="1" s="1"/>
  <c r="I46" i="5" s="1"/>
  <c r="L17" i="1"/>
  <c r="M17" i="1" s="1"/>
  <c r="I50" i="5" s="1"/>
  <c r="L18" i="1"/>
  <c r="M18" i="1" s="1"/>
  <c r="I30" i="5" s="1"/>
  <c r="L9" i="1"/>
  <c r="M9" i="1" s="1"/>
  <c r="I54" i="5" s="1"/>
  <c r="L10" i="1"/>
  <c r="L8" i="1"/>
  <c r="M8" i="1" s="1"/>
  <c r="I43" i="5" s="1"/>
  <c r="I7" i="5" l="1"/>
  <c r="I58" i="5"/>
  <c r="I20" i="5"/>
  <c r="I13" i="5"/>
  <c r="I42" i="5"/>
  <c r="I15" i="5"/>
  <c r="I11" i="5"/>
  <c r="I12" i="5"/>
  <c r="I44" i="5"/>
  <c r="I10" i="5"/>
  <c r="I9" i="5"/>
  <c r="I29" i="5"/>
  <c r="I18" i="5"/>
  <c r="I8" i="5"/>
  <c r="F45" i="5"/>
  <c r="F7" i="5"/>
  <c r="G7" i="5" s="1"/>
  <c r="F58" i="5"/>
  <c r="F42" i="5"/>
  <c r="F15" i="5"/>
  <c r="F11" i="5"/>
  <c r="F44" i="5"/>
  <c r="F10" i="5"/>
  <c r="F12" i="5"/>
  <c r="F9" i="5"/>
  <c r="F18" i="5"/>
  <c r="F29" i="5"/>
  <c r="F20" i="5"/>
  <c r="F8" i="5"/>
  <c r="F13" i="5"/>
  <c r="I4" i="5"/>
  <c r="F27" i="5"/>
  <c r="F21" i="5"/>
  <c r="F46" i="5"/>
  <c r="F36" i="5"/>
  <c r="F57" i="5"/>
  <c r="F67" i="5"/>
  <c r="F28" i="5"/>
  <c r="F33" i="5"/>
  <c r="F66" i="5"/>
  <c r="F51" i="5"/>
  <c r="F63" i="5"/>
  <c r="F56" i="5"/>
  <c r="F32" i="5"/>
  <c r="F49" i="5"/>
  <c r="F24" i="5"/>
  <c r="I2" i="5"/>
  <c r="F60" i="5"/>
  <c r="F40" i="5"/>
  <c r="F52" i="5"/>
  <c r="F37" i="5"/>
  <c r="F31" i="5"/>
  <c r="F26" i="5"/>
  <c r="F41" i="5"/>
  <c r="F54" i="5"/>
  <c r="F64" i="5"/>
  <c r="F47" i="5"/>
  <c r="F38" i="5"/>
  <c r="F48" i="5"/>
  <c r="F23" i="5"/>
  <c r="F43" i="5"/>
  <c r="F61" i="5"/>
  <c r="F22" i="5"/>
  <c r="F19" i="5"/>
  <c r="F62" i="5"/>
  <c r="F39" i="5"/>
  <c r="F30" i="5"/>
  <c r="F25" i="5"/>
  <c r="I3" i="5"/>
  <c r="F55" i="5"/>
  <c r="F35" i="5"/>
  <c r="F14" i="5"/>
  <c r="F59" i="5"/>
  <c r="F17" i="5"/>
  <c r="F16" i="5"/>
  <c r="F34" i="5"/>
  <c r="F53" i="5"/>
  <c r="F50" i="5"/>
  <c r="F65" i="5"/>
  <c r="M47" i="1"/>
  <c r="I59" i="5" s="1"/>
  <c r="M40" i="1"/>
  <c r="I67" i="5" s="1"/>
  <c r="M34" i="1"/>
  <c r="I28" i="5" s="1"/>
  <c r="M10" i="1"/>
  <c r="I57" i="5" s="1"/>
  <c r="M39" i="1"/>
  <c r="I52" i="5" s="1"/>
  <c r="M33" i="1"/>
  <c r="I37" i="5" s="1"/>
  <c r="M27" i="1"/>
  <c r="I31" i="5" s="1"/>
  <c r="M21" i="1"/>
  <c r="I26" i="5" s="1"/>
  <c r="M15" i="1"/>
  <c r="I41" i="5" s="1"/>
  <c r="G8" i="5" l="1"/>
  <c r="G9" i="5" s="1"/>
  <c r="H9" i="5" s="1"/>
  <c r="J9" i="5" s="1"/>
  <c r="H7" i="5"/>
  <c r="J7" i="5" s="1"/>
  <c r="G10" i="5" l="1"/>
  <c r="H8" i="5"/>
  <c r="J8" i="5" s="1"/>
  <c r="H10" i="5" l="1"/>
  <c r="J10" i="5" s="1"/>
  <c r="E11" i="5" l="1"/>
  <c r="E12" i="5"/>
  <c r="E13" i="5"/>
  <c r="E14" i="5"/>
  <c r="E15" i="5"/>
  <c r="E16" i="5" s="1"/>
  <c r="G11" i="5"/>
  <c r="G12" i="5"/>
  <c r="H12" i="5" s="1"/>
  <c r="J12" i="5" s="1"/>
  <c r="G13" i="5"/>
  <c r="G14" i="5" s="1"/>
  <c r="H14" i="5" l="1"/>
  <c r="J14" i="5" s="1"/>
  <c r="G15" i="5"/>
  <c r="E17" i="5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G4" i="5"/>
  <c r="H13" i="5"/>
  <c r="J13" i="5" s="1"/>
  <c r="H11" i="5"/>
  <c r="J11" i="5" s="1"/>
  <c r="G16" i="5" l="1"/>
  <c r="H15" i="5"/>
  <c r="J15" i="5" s="1"/>
  <c r="G17" i="5" l="1"/>
  <c r="H16" i="5"/>
  <c r="J16" i="5" s="1"/>
  <c r="H17" i="5" l="1"/>
  <c r="J17" i="5" s="1"/>
  <c r="G18" i="5"/>
  <c r="H18" i="5" l="1"/>
  <c r="J18" i="5" s="1"/>
  <c r="G19" i="5"/>
  <c r="G20" i="5" l="1"/>
  <c r="H19" i="5"/>
  <c r="J19" i="5" s="1"/>
  <c r="G21" i="5" l="1"/>
  <c r="H20" i="5"/>
  <c r="J20" i="5" s="1"/>
  <c r="G22" i="5" l="1"/>
  <c r="H21" i="5"/>
  <c r="J21" i="5" s="1"/>
  <c r="H22" i="5" l="1"/>
  <c r="J22" i="5" s="1"/>
  <c r="G23" i="5"/>
  <c r="G24" i="5" l="1"/>
  <c r="H23" i="5"/>
  <c r="J23" i="5" s="1"/>
  <c r="G25" i="5" l="1"/>
  <c r="H24" i="5"/>
  <c r="J24" i="5" s="1"/>
  <c r="H25" i="5" l="1"/>
  <c r="J25" i="5" s="1"/>
  <c r="G26" i="5"/>
  <c r="G27" i="5" l="1"/>
  <c r="H26" i="5"/>
  <c r="J26" i="5" s="1"/>
  <c r="G28" i="5" l="1"/>
  <c r="H27" i="5"/>
  <c r="J27" i="5" s="1"/>
  <c r="H28" i="5" l="1"/>
  <c r="J28" i="5" s="1"/>
  <c r="G29" i="5"/>
  <c r="G30" i="5" l="1"/>
  <c r="H29" i="5"/>
  <c r="J29" i="5" s="1"/>
  <c r="H30" i="5" l="1"/>
  <c r="J30" i="5" s="1"/>
  <c r="G31" i="5"/>
  <c r="G32" i="5" l="1"/>
  <c r="H31" i="5"/>
  <c r="J31" i="5" s="1"/>
  <c r="G33" i="5" l="1"/>
  <c r="H32" i="5"/>
  <c r="J32" i="5" s="1"/>
  <c r="G34" i="5" l="1"/>
  <c r="H33" i="5"/>
  <c r="J33" i="5" s="1"/>
  <c r="H34" i="5" l="1"/>
  <c r="J34" i="5" s="1"/>
  <c r="G35" i="5"/>
  <c r="G36" i="5" l="1"/>
  <c r="H35" i="5"/>
  <c r="J35" i="5" s="1"/>
  <c r="H36" i="5" l="1"/>
  <c r="J36" i="5" s="1"/>
  <c r="G37" i="5"/>
  <c r="H37" i="5" l="1"/>
  <c r="J37" i="5" s="1"/>
  <c r="G38" i="5"/>
  <c r="G39" i="5" l="1"/>
  <c r="H38" i="5"/>
  <c r="J38" i="5" s="1"/>
  <c r="H39" i="5" l="1"/>
  <c r="J39" i="5" s="1"/>
  <c r="G40" i="5"/>
  <c r="H40" i="5" l="1"/>
  <c r="J40" i="5" s="1"/>
  <c r="G41" i="5"/>
  <c r="G42" i="5" l="1"/>
  <c r="H41" i="5"/>
  <c r="J41" i="5" s="1"/>
  <c r="H42" i="5" l="1"/>
  <c r="J42" i="5" s="1"/>
  <c r="G43" i="5"/>
  <c r="H43" i="5" l="1"/>
  <c r="J43" i="5" s="1"/>
  <c r="G44" i="5"/>
  <c r="G45" i="5" l="1"/>
  <c r="H44" i="5"/>
  <c r="J44" i="5" s="1"/>
  <c r="G46" i="5" l="1"/>
  <c r="H45" i="5"/>
  <c r="J45" i="5" s="1"/>
  <c r="G47" i="5" l="1"/>
  <c r="H46" i="5"/>
  <c r="J46" i="5" s="1"/>
  <c r="G48" i="5" l="1"/>
  <c r="H47" i="5"/>
  <c r="J47" i="5" s="1"/>
  <c r="G49" i="5" l="1"/>
  <c r="H48" i="5"/>
  <c r="J48" i="5" s="1"/>
  <c r="G50" i="5" l="1"/>
  <c r="H49" i="5"/>
  <c r="J49" i="5" s="1"/>
  <c r="G51" i="5" l="1"/>
  <c r="H50" i="5"/>
  <c r="J50" i="5" s="1"/>
  <c r="G52" i="5" l="1"/>
  <c r="H51" i="5"/>
  <c r="J51" i="5" s="1"/>
  <c r="H52" i="5" l="1"/>
  <c r="J52" i="5" s="1"/>
  <c r="G53" i="5"/>
  <c r="G54" i="5" l="1"/>
  <c r="H53" i="5"/>
  <c r="J53" i="5" s="1"/>
  <c r="G55" i="5" l="1"/>
  <c r="H54" i="5"/>
  <c r="J54" i="5" s="1"/>
  <c r="H55" i="5" l="1"/>
  <c r="J55" i="5" s="1"/>
  <c r="G56" i="5"/>
  <c r="H56" i="5" l="1"/>
  <c r="J56" i="5" s="1"/>
  <c r="G57" i="5"/>
  <c r="H57" i="5" l="1"/>
  <c r="J57" i="5" s="1"/>
  <c r="G58" i="5"/>
  <c r="G59" i="5" l="1"/>
  <c r="H58" i="5"/>
  <c r="J58" i="5" s="1"/>
  <c r="G60" i="5" l="1"/>
  <c r="H59" i="5"/>
  <c r="J59" i="5" s="1"/>
  <c r="H60" i="5" l="1"/>
  <c r="J60" i="5" s="1"/>
  <c r="G61" i="5"/>
  <c r="H61" i="5" l="1"/>
  <c r="J61" i="5" s="1"/>
  <c r="G62" i="5"/>
  <c r="H62" i="5" l="1"/>
  <c r="J62" i="5" s="1"/>
  <c r="G63" i="5"/>
  <c r="G64" i="5" l="1"/>
  <c r="H63" i="5"/>
  <c r="J63" i="5" s="1"/>
  <c r="G65" i="5" l="1"/>
  <c r="H64" i="5"/>
  <c r="J64" i="5" s="1"/>
  <c r="G66" i="5" l="1"/>
  <c r="H65" i="5"/>
  <c r="J65" i="5" s="1"/>
  <c r="G67" i="5" l="1"/>
  <c r="H66" i="5"/>
  <c r="J66" i="5" s="1"/>
  <c r="H67" i="5" l="1"/>
  <c r="J67" i="5" s="1"/>
  <c r="J2" i="5"/>
  <c r="J3" i="5"/>
  <c r="J4" i="5"/>
</calcChain>
</file>

<file path=xl/sharedStrings.xml><?xml version="1.0" encoding="utf-8"?>
<sst xmlns="http://schemas.openxmlformats.org/spreadsheetml/2006/main" count="466" uniqueCount="190">
  <si>
    <t>TIEMPO DE ENTREGA</t>
  </si>
  <si>
    <t>CRITICIDAD REPUESTO</t>
  </si>
  <si>
    <t>Importado (3)</t>
  </si>
  <si>
    <t>Nacional (1)</t>
  </si>
  <si>
    <t>Menor a 10 días (1)</t>
  </si>
  <si>
    <t>CONSECUENCIA</t>
  </si>
  <si>
    <t>AVIDESA MAC POLLO S.A.</t>
  </si>
  <si>
    <t>Paraliza la producción (5)</t>
  </si>
  <si>
    <t>Mayor a 30 días (5)</t>
  </si>
  <si>
    <t>Entre 10 y 30 días (3)</t>
  </si>
  <si>
    <t>Afecta parcialmente la producción (3)</t>
  </si>
  <si>
    <t xml:space="preserve">INDISPONIBILIDAD </t>
  </si>
  <si>
    <t>NATURALIDAD</t>
  </si>
  <si>
    <t>ALMACENAMIENTO</t>
  </si>
  <si>
    <t>Item (5)</t>
  </si>
  <si>
    <t>Item (3)</t>
  </si>
  <si>
    <t>Item (1)</t>
  </si>
  <si>
    <t>PONDERACIÓN CRITICIDAD</t>
  </si>
  <si>
    <t xml:space="preserve">PARAMETROS DE CRITICIDAD </t>
  </si>
  <si>
    <t>EQUIPO Y REPUESTO</t>
  </si>
  <si>
    <t>-</t>
  </si>
  <si>
    <t>DEMANDA</t>
  </si>
  <si>
    <t>Impredecible (3)</t>
  </si>
  <si>
    <t>Predecible (1)</t>
  </si>
  <si>
    <t>Mayor a un año (5)</t>
  </si>
  <si>
    <t>menor a un mes (1)</t>
  </si>
  <si>
    <t>Entre dos meses a un año (3)</t>
  </si>
  <si>
    <t xml:space="preserve">OTROS </t>
  </si>
  <si>
    <t xml:space="preserve">CRITICIDAD DE REPUESTOS PARA MANTENIMIENTO </t>
  </si>
  <si>
    <t>COSTO REPUESTO</t>
  </si>
  <si>
    <t>COSTO ACUMULADO</t>
  </si>
  <si>
    <t>PORCENTAJE DEL COSTO TOTAL</t>
  </si>
  <si>
    <t>PORCENTAJE ACUMULADO</t>
  </si>
  <si>
    <t>CLASIFICACIÓN XYZ</t>
  </si>
  <si>
    <t>CRITICIDAD</t>
  </si>
  <si>
    <t>TIPO DE REPUEST0</t>
  </si>
  <si>
    <t>PARAMETROS DE COSTO DE LOS REPUESTOS</t>
  </si>
  <si>
    <t>CLASIFICACIÓN DEL REPUESTO</t>
  </si>
  <si>
    <t>REPUESTOS DENTRO DEL RANGO</t>
  </si>
  <si>
    <t>CLASIFICACIÓN DE REPUESTOS SEGÚN METODOLOGÍA XYZ</t>
  </si>
  <si>
    <t>VALOR DEL PORCENTAJE DE COSTO TOTAL DE INVENTARIO</t>
  </si>
  <si>
    <t>COSTO TOTAL DE REPUESTOS</t>
  </si>
  <si>
    <t>NUMERO DE REPUESTOS</t>
  </si>
  <si>
    <t>SALUD &amp; SEGURIDAD</t>
  </si>
  <si>
    <t>Riesgo bajo</t>
  </si>
  <si>
    <t>Riesgo alto</t>
  </si>
  <si>
    <t>PORECENTAJE DE COSTO TOTAL DE INVENTARIO                                        [%]</t>
  </si>
  <si>
    <t>No afecta la producción (1)</t>
  </si>
  <si>
    <t>MES</t>
  </si>
  <si>
    <t>% DEL VALOR DE SUSTITUCIÓN</t>
  </si>
  <si>
    <t>VALOR ACTUAL DEL INVENTARIO</t>
  </si>
  <si>
    <t>VALOR DE SUSTITUCIÓN DE LOS ACTIVOS</t>
  </si>
  <si>
    <t>1. VALOR TOTAL DEL INVENTARIO COMO PORCENTAJE DEL VALOR DE SUSTITUCIÓN DE LOS ACTIVOS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</si>
  <si>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</si>
  <si>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</si>
  <si>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</si>
  <si>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</si>
  <si>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</si>
  <si>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</si>
  <si>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</si>
  <si>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</si>
  <si>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</si>
  <si>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</si>
  <si>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</si>
  <si>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</si>
  <si>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ROTACIÓN DE INVENTARIOS</t>
  </si>
  <si>
    <t>2. ROTACIÓN DE INVENTARIOS [rotaciones/año]</t>
  </si>
  <si>
    <t>VALOR DE LOS ARTICULOS COMPRADOS EN EL MES</t>
  </si>
  <si>
    <t>VALOR ACTUAL DE INVENTARIO</t>
  </si>
  <si>
    <t>3. INVENTARIO EN CONSIGNACIÓN</t>
  </si>
  <si>
    <t>VALOR INVENTARIO ADMINISTRADO POR PROVEEDORES</t>
  </si>
  <si>
    <t>VALOR TOTAL DE INVENTARIO</t>
  </si>
  <si>
    <t>% DE INVENTARIO EN CONSIGNACIÓN</t>
  </si>
  <si>
    <t>4. ROTURAS DE STOCK (NIVEL DE SERVICIO)</t>
  </si>
  <si>
    <t>NÚMERO TOTAL DE SOLICITUDES</t>
  </si>
  <si>
    <t>NÚMERO DE SOLICITUDES NO ATENDIDAS</t>
  </si>
  <si>
    <t>% ROTURAS DE STOCK</t>
  </si>
  <si>
    <t>5. NÚMERO DE ITEMS DE INVENTARIO</t>
  </si>
  <si>
    <t>TOTAL DE ITEMS REGISTRADOS EN EL ALMACEN</t>
  </si>
  <si>
    <t>TOTAL DE ITEMS UTILIZADOS EN EL ALMACEN</t>
  </si>
  <si>
    <t>% NÚMERO DE ITEMS DE INVENTARIO</t>
  </si>
  <si>
    <t>6. TRANSACCIONES DE ALMACEN</t>
  </si>
  <si>
    <t>CANTIDAD DE TRANSACCIONES DE ALMACEN</t>
  </si>
  <si>
    <t>TOTAL DE EMPLEADOS DEL ALMACEN</t>
  </si>
  <si>
    <t>% TRANSACCIONES DE ALMACEN</t>
  </si>
  <si>
    <t>7.COSTO TOTAL DE MATERIALES DE MANTENIMIENTO</t>
  </si>
  <si>
    <t>COSTO TOTAL INVENTARIO DE MTTO</t>
  </si>
  <si>
    <t>COSTO TOTAL DE MTTO</t>
  </si>
  <si>
    <t>% SOBRE EL COSTO DE MTTO</t>
  </si>
  <si>
    <t>% VALOR DE INVENTARIO INACTIVO</t>
  </si>
  <si>
    <t>VALOR INVENTARIO INACTIVO</t>
  </si>
  <si>
    <t>VALOR DE REPUESTOS CRITICOS</t>
  </si>
  <si>
    <t>8. VALOR DE INVENTARIO INACTIVO</t>
  </si>
  <si>
    <t>INDICADORES DE GESTIÓN DE INVENTARIOS MRO SEGÚN SMRP</t>
  </si>
  <si>
    <t>ARDISA - DISTRIBUCIONES</t>
  </si>
  <si>
    <t>CINTA TEFLON PROFESIONAL DE 3/4".</t>
  </si>
  <si>
    <t>MATERIAL</t>
  </si>
  <si>
    <t>PROVEEDOR</t>
  </si>
  <si>
    <t>TEXTO BREVE</t>
  </si>
  <si>
    <t>ADAPTADOR 1 MACHO PVC</t>
  </si>
  <si>
    <t>CODO 3/4 PVC</t>
  </si>
  <si>
    <t>ELECTRORIENTE - ELECTROVERA</t>
  </si>
  <si>
    <t>TERMINAL PVC 1/2.</t>
  </si>
  <si>
    <t>ESPUMLATEX</t>
  </si>
  <si>
    <t>POLIURETANO COMPONENTE A</t>
  </si>
  <si>
    <t>POLIURETANO COMPONENTE B</t>
  </si>
  <si>
    <t>SOLCAS</t>
  </si>
  <si>
    <t>TORNILLO VALVULA ADMISION POS 29.</t>
  </si>
  <si>
    <t>TOMA CORRIENTE DOBLE</t>
  </si>
  <si>
    <t>COTIZAR</t>
  </si>
  <si>
    <t>CABLE COBRE AISLADO THHN/THWN 10 AWG</t>
  </si>
  <si>
    <t>ENERGIA Y POTENCIA</t>
  </si>
  <si>
    <t>EMPAQUE 2228.305.00.</t>
  </si>
  <si>
    <t>ANILLOS 2228.306.02.</t>
  </si>
  <si>
    <t>EMPAQUE 2228.307.00.</t>
  </si>
  <si>
    <t>EMPAQUE 2228.308.00.</t>
  </si>
  <si>
    <t>CAJA RESORTE 2228.603.10.</t>
  </si>
  <si>
    <t>BUJES METALICOS 2228.615.00.</t>
  </si>
  <si>
    <t>CAPASILLO 2228.619.00.</t>
  </si>
  <si>
    <t>ANILLO REFERENCIA 2228.623.00</t>
  </si>
  <si>
    <t>BUJIAS MOTOR HONDA (PATA CORTA)</t>
  </si>
  <si>
    <t>BUJIAS MOTOR HONDA (PATA LARGA)</t>
  </si>
  <si>
    <t>BUJIAS MOTOR HONDA PATA MEDIA</t>
  </si>
  <si>
    <t>PLADESAN</t>
  </si>
  <si>
    <t>CANASTILLA CON TAPA PLADESAN</t>
  </si>
  <si>
    <t>CHUPA PISTON</t>
  </si>
  <si>
    <t>CAJA RECTANGULAR PLASTICA</t>
  </si>
  <si>
    <t>PROTECAL</t>
  </si>
  <si>
    <t>DEDO ROJO PARA DESPLUMADORA DUREZA 60-65</t>
  </si>
  <si>
    <t>GANCHO DESPRESE PESAJE PLADESAN NACIONAL</t>
  </si>
  <si>
    <t>GANCHO SELECCION PESAJE PLADESAN NAL.</t>
  </si>
  <si>
    <t>GRANDES MARCAS</t>
  </si>
  <si>
    <t>RODAMIENTO 6005 2RS</t>
  </si>
  <si>
    <t>RUEDA DIRECCIONAL CON RODAMIENTO DE BOLA</t>
  </si>
  <si>
    <t>RUEDA DE NYLON 2" 5/8 CON RODAMIENTO</t>
  </si>
  <si>
    <t>PIN LARGO CADENA</t>
  </si>
  <si>
    <t>CINTA AISLANTE NEGRA</t>
  </si>
  <si>
    <t>PLAFON PLASTICO CON ROSETA</t>
  </si>
  <si>
    <t>AMARRE ELECTRICO DE 20 CMS</t>
  </si>
  <si>
    <t>EMPAQUETADURA Y EMPAQUES</t>
  </si>
  <si>
    <t>CINTA ADHESIVA TERMICA 1.25” X 25 MTS</t>
  </si>
  <si>
    <t>RUEDA 5 SC</t>
  </si>
  <si>
    <t>EMPAQUE 2228.303.33</t>
  </si>
  <si>
    <t>DEDO DESPLUMADORA DUREZA 50-55 AMARILLO</t>
  </si>
  <si>
    <t>TUBO CONDUIT PVC 1/2".</t>
  </si>
  <si>
    <t>TORNOPARTES</t>
  </si>
  <si>
    <t>FUSIBLE EN TEFLON PARA DESPRESE</t>
  </si>
  <si>
    <t>CONECTOR DE RESORTE 3M ROJO-AMARILLO</t>
  </si>
  <si>
    <t>CONECTOR DE RESORTE 3M AZUL-NARANJA</t>
  </si>
  <si>
    <t>ARANDELA INOX PARA TORNILLO 1/4</t>
  </si>
  <si>
    <t>ARANDELA INOX PARA TORNILLO 3/8</t>
  </si>
  <si>
    <t>CURVA PVC CONDUIT 1/2".</t>
  </si>
  <si>
    <t>CHUPA EMBOLO 8MM POSICION 9</t>
  </si>
  <si>
    <t>CONTACTOR   LC 1  D  09  M7  220  V</t>
  </si>
  <si>
    <t>CAMISA DE LA VALVULA PIE 3/4POS21</t>
  </si>
  <si>
    <t>ANILLO INTERIOR BOMBA POS 16</t>
  </si>
  <si>
    <t>INTERRUPTOR SENCILLO 15 A 120V</t>
  </si>
  <si>
    <t>ANILLO DE LA TUERCA PARTE #5</t>
  </si>
  <si>
    <t>ALFRIO</t>
  </si>
  <si>
    <t>057342 BOBINA SOLENOIDE AMG 240V</t>
  </si>
  <si>
    <t>JORGE TAUSING</t>
  </si>
  <si>
    <t>9371124 CABEZA ROTULA GIKFR08PW</t>
  </si>
  <si>
    <t>6210666 CORREA CARRO AUT GALAXY</t>
  </si>
  <si>
    <t>6210670 CORREA DENTADA CARRO GALAXY</t>
  </si>
  <si>
    <t>6210686 SUBCONJUNTO TACO OSCILANTE</t>
  </si>
  <si>
    <t>ARRANQUE COMPLETO YOYO GX-160</t>
  </si>
  <si>
    <t>3480488 GUIA 12X150</t>
  </si>
  <si>
    <t>3480454 CASQUILLO 12,25X19,1X15</t>
  </si>
  <si>
    <t>CADENA CARDANICA 1400 TAB</t>
  </si>
  <si>
    <t>PIN INOXIDABLE 4MM X 40MM</t>
  </si>
  <si>
    <t>3480516 EJE LONGITUDINAL PINZAS LATER</t>
  </si>
  <si>
    <t>ALMACEN:</t>
  </si>
  <si>
    <t xml:space="preserve">COMPRAS </t>
  </si>
  <si>
    <t>TIPO DE REPUESTO</t>
  </si>
  <si>
    <t>1X</t>
  </si>
  <si>
    <t>2X</t>
  </si>
  <si>
    <t>1Y</t>
  </si>
  <si>
    <t>1Z</t>
  </si>
  <si>
    <t>2Y</t>
  </si>
  <si>
    <t>2Z</t>
  </si>
  <si>
    <t>3X</t>
  </si>
  <si>
    <t>3Y</t>
  </si>
  <si>
    <t>3Z</t>
  </si>
  <si>
    <t>CANTIDAD</t>
  </si>
  <si>
    <t>% DEL TOTAL</t>
  </si>
  <si>
    <t>TOATAL DE REPUESTOS</t>
  </si>
  <si>
    <t>% ACUMULADO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</si>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</sst>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0.000"/>
    <numFmt numFmtId="165" formatCode="_-&quot;$&quot;\ * #,##0_-;\-&quot;$&quot;\ * #,##0_-;_-&quot;$&quot;\ * &quot;-&quot;??_-;_-@_-"/>
    <numFmt numFmtId="166" formatCode="_-&quot;$&quot;\ * #,##0.0_-;\-&quot;$&quot;\ * #,##0.0_-;_-&quot;$&quot;\ * &quot;-&quot;??_-;_-@_-"/>
    <numFmt numFmtId="167" formatCode="0.0000"/>
    <numFmt numFmtId="168" formatCode="_-&quot;$&quot;\ * #,##0_-;\-&quot;$&quot;\ * #,##0_-;_-&quot;$&quot;\ * &quot;-&quot;?_-;_-@_-"/>
    <numFmt numFmtId="169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sz val="10"/>
      <color indexed="8"/>
      <name val="Arial Narrow"/>
      <family val="2"/>
      <charset val="1"/>
    </font>
    <font>
      <sz val="10"/>
      <name val="Arial Narrow"/>
      <family val="2"/>
      <charset val="1"/>
    </font>
    <font>
      <sz val="10"/>
      <color indexed="8"/>
      <name val="Arial Narrow"/>
      <family val="2"/>
    </font>
    <font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C8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" fontId="0" fillId="0" borderId="2" xfId="2" applyNumberFormat="1" applyFon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164" fontId="0" fillId="0" borderId="2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7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0" borderId="19" xfId="0" applyBorder="1"/>
    <xf numFmtId="0" fontId="10" fillId="0" borderId="32" xfId="0" applyFont="1" applyBorder="1"/>
    <xf numFmtId="0" fontId="11" fillId="0" borderId="32" xfId="0" applyFont="1" applyBorder="1"/>
    <xf numFmtId="0" fontId="12" fillId="0" borderId="0" xfId="0" applyFont="1"/>
    <xf numFmtId="0" fontId="11" fillId="3" borderId="32" xfId="0" applyFont="1" applyFill="1" applyBorder="1"/>
    <xf numFmtId="0" fontId="13" fillId="3" borderId="32" xfId="0" applyFont="1" applyFill="1" applyBorder="1"/>
    <xf numFmtId="0" fontId="13" fillId="0" borderId="32" xfId="0" applyFont="1" applyBorder="1"/>
    <xf numFmtId="169" fontId="0" fillId="0" borderId="0" xfId="0" applyNumberFormat="1"/>
    <xf numFmtId="0" fontId="12" fillId="0" borderId="32" xfId="0" applyFont="1" applyBorder="1"/>
    <xf numFmtId="0" fontId="2" fillId="0" borderId="16" xfId="0" applyFont="1" applyBorder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2" fillId="0" borderId="14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9" fontId="0" fillId="4" borderId="2" xfId="2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0" fillId="5" borderId="2" xfId="2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9" fontId="0" fillId="6" borderId="2" xfId="2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9" fontId="0" fillId="6" borderId="19" xfId="2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9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-&quot;$&quot;\ * #,##0_-;\-&quot;$&quot;\ * #,##0_-;_-&quot;$&quot;\ * &quot;-&quot;??_-;_-@_-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&quot;$&quot;\ #,##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 del valor de sustitución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inventario'!$D$5:$D$16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6D-465F-81DF-A83F1AD86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Rotación de inventarios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inventario'!$M$5:$M$16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2-46AD-9F0C-2C3921E30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 de inventario en consignación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inventario'!$D$19:$D$30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B-4E94-A66A-3D71B1FBB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 del roturas de stock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inventario'!$M$19:$M$30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0-4D6D-A1BA-1DD553465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%Número de items de inventario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inventario'!$D$33:$D$44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9-442C-AD0C-DBED446AC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Transacciones de almcaen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inventario'!$M$33:$M$44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2-47B6-83C4-2B66C4FB8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%Sobre el costo de mantenimiento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inventario'!$D$47:$D$58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B-4190-962E-C5492199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%Valor de inventario inactivo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'KPIs inventario'!$A$5:$A$16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'KPIs inventario'!$N$47:$N$58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C-4C66-8C32-CB34DD0FA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839512"/>
        <c:axId val="705839840"/>
      </c:lineChart>
      <c:catAx>
        <c:axId val="7058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840"/>
        <c:crosses val="autoZero"/>
        <c:auto val="1"/>
        <c:lblAlgn val="ctr"/>
        <c:lblOffset val="100"/>
        <c:noMultiLvlLbl val="0"/>
      </c:catAx>
      <c:valAx>
        <c:axId val="70583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83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14969</xdr:colOff>
      <xdr:row>0</xdr:row>
      <xdr:rowOff>76200</xdr:rowOff>
    </xdr:from>
    <xdr:to>
      <xdr:col>2</xdr:col>
      <xdr:colOff>2100943</xdr:colOff>
      <xdr:row>4</xdr:row>
      <xdr:rowOff>479312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35B9B9-61AA-2027-2B5D-2FCFFA59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76200"/>
          <a:ext cx="3087460" cy="19271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21773</xdr:colOff>
      <xdr:row>0</xdr:row>
      <xdr:rowOff>76200</xdr:rowOff>
    </xdr:from>
    <xdr:to>
      <xdr:col>2</xdr:col>
      <xdr:colOff>2873828</xdr:colOff>
      <xdr:row>3</xdr:row>
      <xdr:rowOff>452437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AB296D-4657-476D-BF10-C9734F866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7" y="76200"/>
          <a:ext cx="4974770" cy="1813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10583</xdr:colOff>
      <xdr:row>3</xdr:row>
      <xdr:rowOff>25399</xdr:rowOff>
    </xdr:from>
    <xdr:to>
      <xdr:col>8</xdr:col>
      <xdr:colOff>751416</xdr:colOff>
      <xdr:row>15</xdr:row>
      <xdr:rowOff>179916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F6BAF7-2017-61A9-1559-274E0986A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3</xdr:row>
      <xdr:rowOff>31750</xdr:rowOff>
    </xdr:from>
    <xdr:to>
      <xdr:col>17</xdr:col>
      <xdr:colOff>751416</xdr:colOff>
      <xdr:row>15</xdr:row>
      <xdr:rowOff>179917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28F76B6-A7E6-4ABD-9283-75328B5A5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21167</xdr:colOff>
      <xdr:row>17</xdr:row>
      <xdr:rowOff>52916</xdr:rowOff>
    </xdr:from>
    <xdr:to>
      <xdr:col>8</xdr:col>
      <xdr:colOff>719667</xdr:colOff>
      <xdr:row>29</xdr:row>
      <xdr:rowOff>148166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EC11359-7D0D-4ECD-8859-7C4171D9E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10583</xdr:colOff>
      <xdr:row>17</xdr:row>
      <xdr:rowOff>21166</xdr:rowOff>
    </xdr:from>
    <xdr:to>
      <xdr:col>17</xdr:col>
      <xdr:colOff>740833</xdr:colOff>
      <xdr:row>29</xdr:row>
      <xdr:rowOff>169333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CF35F3B-8E25-49BA-B421-2AC3D15F3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31750</xdr:colOff>
      <xdr:row>31</xdr:row>
      <xdr:rowOff>10583</xdr:rowOff>
    </xdr:from>
    <xdr:to>
      <xdr:col>8</xdr:col>
      <xdr:colOff>730250</xdr:colOff>
      <xdr:row>43</xdr:row>
      <xdr:rowOff>169332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293131-B70E-4DE3-8CA8-B8E548237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21167</xdr:colOff>
      <xdr:row>31</xdr:row>
      <xdr:rowOff>52917</xdr:rowOff>
    </xdr:from>
    <xdr:to>
      <xdr:col>17</xdr:col>
      <xdr:colOff>751416</xdr:colOff>
      <xdr:row>43</xdr:row>
      <xdr:rowOff>148167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EA47F4-7B87-413F-9F42-998588BC2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42334</xdr:colOff>
      <xdr:row>45</xdr:row>
      <xdr:rowOff>21168</xdr:rowOff>
    </xdr:from>
    <xdr:to>
      <xdr:col>8</xdr:col>
      <xdr:colOff>740834</xdr:colOff>
      <xdr:row>57</xdr:row>
      <xdr:rowOff>169333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617FDA-A679-4707-A363-DF4E29D89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10584</xdr:colOff>
      <xdr:row>45</xdr:row>
      <xdr:rowOff>31750</xdr:rowOff>
    </xdr:from>
    <xdr:to>
      <xdr:col>17</xdr:col>
      <xdr:colOff>730250</xdr:colOff>
      <xdr:row>57</xdr:row>
      <xdr:rowOff>179915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E5E0A0E-3795-4351-AC90-66C0BAA6D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14</xdr:col>
      <xdr:colOff>253999</xdr:colOff>
      <xdr:row>0</xdr:row>
      <xdr:rowOff>0</xdr:rowOff>
    </xdr:from>
    <xdr:to>
      <xdr:col>17</xdr:col>
      <xdr:colOff>594782</xdr:colOff>
      <xdr:row>1</xdr:row>
      <xdr:rowOff>539750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A1CA049-7EFD-EEC6-78E5-81495108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7166" y="0"/>
          <a:ext cx="2626783" cy="9101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E4ECFE-258E-443A-81C1-E0F4AACB7C1E}" name="Tabla3" displayName="Tabla3" ref="B7:M68" totalsRowShown="0" headerRowDxfId="45" dataDxfId="43" headerRowBorderDxfId="44" tableBorderDxfId="42" totalsRowBorderDxfId="41">
  <autoFilter ref="B7:M68" xr:uid="{A2E4ECFE-258E-443A-81C1-E0F4AACB7C1E}"/>
  <tableColumns count="12">
    <tableColumn id="1" xr3:uid="{6C86DA9B-938C-4736-B907-E1107020E01B}" name="MATERIAL" dataDxfId="40"/>
    <tableColumn id="2" xr3:uid="{33F8BDE1-CC47-4DAC-9C37-053AACC6249E}" name="PROVEEDOR" dataDxfId="39"/>
    <tableColumn id="3" xr3:uid="{7F7CA476-8F0D-44A0-8DBC-D1511F942B0F}" name="TEXTO BREVE" dataDxfId="38"/>
    <tableColumn id="4" xr3:uid="{DE7602B4-41FE-4656-9886-B521D4C5467F}" name="SALUD &amp; SEGURIDAD" dataDxfId="37"/>
    <tableColumn id="5" xr3:uid="{826AD3B0-D972-4A46-BBEC-DFE3BE4C7F1F}" name="INDISPONIBILIDAD " dataDxfId="36"/>
    <tableColumn id="6" xr3:uid="{89CE149F-6AC1-4219-93CC-0996CCBD0D7B}" name="TIEMPO DE ENTREGA" dataDxfId="35"/>
    <tableColumn id="7" xr3:uid="{89233A94-251F-453E-82F1-6A74197F7687}" name="ALMACENAMIENTO" dataDxfId="34"/>
    <tableColumn id="8" xr3:uid="{B2CE4EF9-0EFF-47EC-86A7-71AF5D315F22}" name="NATURALIDAD" dataDxfId="33"/>
    <tableColumn id="9" xr3:uid="{711FC5CE-35B2-4CB2-A1A0-5D142885EF18}" name="DEMANDA" dataDxfId="32"/>
    <tableColumn id="10" xr3:uid="{ECCF2D5E-BC4D-4095-9A9B-CE140A07C7DC}" name="OTROS " dataDxfId="31"/>
    <tableColumn id="11" xr3:uid="{D625D276-EFD4-444D-82CB-287B1B19AE74}" name="CONSECUENCIA" dataDxfId="30">
      <calculatedColumnFormula>F8*$H$2+G8*$I$2+H8*$J$2+I8*$K$2+J8*$L$2+K8*$M$2</calculatedColumnFormula>
    </tableColumn>
    <tableColumn id="12" xr3:uid="{2A9D20A9-C8D0-4A30-8D3C-7603A2F1895F}" name="CRITICIDAD REPUESTO" dataDxfId="29">
      <calculatedColumnFormula>IF(E8="Riesgo alto","3",IF(L8&gt;=55,"3",IF(AND(L8&gt;30,L8&lt;55),"2",IF(L8&lt;=30,"1"))))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EA7C44-CCB1-49F6-BFC8-1A7E41C999B3}" name="XYZ" displayName="XYZ" ref="B6:J67" totalsRowShown="0" headerRowDxfId="28" dataDxfId="26" headerRowBorderDxfId="27" tableBorderDxfId="25" totalsRowBorderDxfId="24">
  <autoFilter ref="B6:J67" xr:uid="{9EEA7C44-CCB1-49F6-BFC8-1A7E41C999B3}"/>
  <sortState xmlns:xlrd2="http://schemas.microsoft.com/office/spreadsheetml/2017/richdata2" ref="B7:J67">
    <sortCondition descending="1" ref="D6:D67"/>
  </sortState>
  <tableColumns count="9">
    <tableColumn id="1" xr3:uid="{10A8BD41-AFE1-40C2-9433-C2EB2F6D9EB8}" name="MATERIAL" dataDxfId="23"/>
    <tableColumn id="2" xr3:uid="{E27E64E7-B585-495A-9F38-4FA11EF08FAF}" name="TEXTO BREVE" dataDxfId="22"/>
    <tableColumn id="3" xr3:uid="{F6FE417F-EA0E-4BF2-B7FA-A9A48BDA4214}" name="COSTO REPUESTO" dataDxfId="21" dataCellStyle="Moneda"/>
    <tableColumn id="4" xr3:uid="{3588C568-1F9A-4A31-9154-86363DDEBF47}" name="COSTO ACUMULADO" dataDxfId="20" dataCellStyle="Moneda">
      <calculatedColumnFormula>E6+XYZ[[#This Row],[COSTO REPUESTO]]</calculatedColumnFormula>
    </tableColumn>
    <tableColumn id="5" xr3:uid="{10A8CDD4-6338-4EFB-8752-868CEC15282C}" name="PORCENTAJE DEL COSTO TOTAL" dataDxfId="19">
      <calculatedColumnFormula>(XYZ[[#This Row],[COSTO REPUESTO]]/$G$2)*100</calculatedColumnFormula>
    </tableColumn>
    <tableColumn id="6" xr3:uid="{BDEB615E-9B5C-4F7C-B2FE-C55A12774065}" name="PORCENTAJE ACUMULADO" dataDxfId="18" dataCellStyle="Porcentaje"/>
    <tableColumn id="7" xr3:uid="{08D9BFF3-3AD2-43C8-8B89-603CE1850F20}" name="CLASIFICACIÓN XYZ" dataDxfId="17">
      <calculatedColumnFormula>IF(XYZ[[#This Row],[PORCENTAJE ACUMULADO]]&lt;=$H$2,"X",IF(AND(XYZ[[#This Row],[PORCENTAJE ACUMULADO]]&gt;$H$2,XYZ[[#This Row],[PORCENTAJE ACUMULADO]]&lt;($H$2+$H$3)),"Y",IF(XYZ[[#This Row],[PORCENTAJE ACUMULADO]]&gt;=($H$2+$H$3),"Z")))</calculatedColumnFormula>
    </tableColumn>
    <tableColumn id="8" xr3:uid="{BD10DFC5-728E-4028-9BD8-E993E072CEFD}" name="CRITICIDAD" dataDxfId="16">
      <calculatedColumnFormula>_xlfn.XLOOKUP(XYZ[[#This Row],[TEXTO BREVE]],CRITICIDAD!$D$8:$D$68,CRITICIDAD!$M$8:$M$68)</calculatedColumnFormula>
    </tableColumn>
    <tableColumn id="9" xr3:uid="{AEC98A9C-9A61-4C5D-AEED-A3C205368328}" name="TIPO DE REPUEST0" dataDxfId="15">
      <calculatedColumnFormula>_xlfn.CONCAT(XYZ[[#This Row],[CRITICIDAD]],XYZ[[#This Row],[CLASIFICACIÓN XYZ]])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1DEE-7659-4DAC-A5C5-3810B8713015}">
  <sheetPr codeName="Hoja1"/>
  <dimension ref="B1:O68"/>
  <sheetViews>
    <sheetView tabSelected="1" zoomScale="70" zoomScaleNormal="70" workbookViewId="0">
      <pane ySplit="7" topLeftCell="A53" activePane="bottomLeft" state="frozen"/>
      <selection pane="bottomLeft" activeCell="P11" sqref="P11"/>
    </sheetView>
  </sheetViews>
  <sheetFormatPr baseColWidth="10" defaultRowHeight="14.4" x14ac:dyDescent="0.3"/>
  <cols>
    <col min="1" max="1" width="2.6640625" customWidth="1"/>
    <col min="2" max="2" width="14.5546875" customWidth="1"/>
    <col min="3" max="3" width="30.88671875" customWidth="1"/>
    <col min="4" max="4" width="43.44140625" customWidth="1"/>
    <col min="5" max="5" width="22.6640625" customWidth="1"/>
    <col min="6" max="6" width="20.5546875" customWidth="1"/>
    <col min="7" max="7" width="22.33203125" customWidth="1"/>
    <col min="8" max="8" width="20.5546875" customWidth="1"/>
    <col min="9" max="9" width="21.109375" customWidth="1"/>
    <col min="10" max="10" width="20.33203125" customWidth="1"/>
    <col min="11" max="11" width="14.6640625" customWidth="1"/>
    <col min="12" max="12" width="18.33203125" customWidth="1"/>
    <col min="13" max="13" width="23.44140625" customWidth="1"/>
    <col min="15" max="15" width="11.44140625" hidden="1" customWidth="1"/>
  </cols>
  <sheetData>
    <row r="1" spans="2:15" ht="15" customHeight="1" x14ac:dyDescent="0.3">
      <c r="B1" s="80" t="s">
        <v>6</v>
      </c>
      <c r="C1" s="73"/>
      <c r="D1" s="73" t="s">
        <v>28</v>
      </c>
      <c r="E1" s="73"/>
      <c r="F1" s="73"/>
      <c r="G1" s="78" t="s">
        <v>43</v>
      </c>
      <c r="H1" s="28" t="s">
        <v>11</v>
      </c>
      <c r="I1" s="28" t="s">
        <v>0</v>
      </c>
      <c r="J1" s="28" t="s">
        <v>13</v>
      </c>
      <c r="K1" s="28" t="s">
        <v>12</v>
      </c>
      <c r="L1" s="28" t="s">
        <v>21</v>
      </c>
      <c r="M1" s="29" t="s">
        <v>27</v>
      </c>
      <c r="O1" s="1">
        <v>5</v>
      </c>
    </row>
    <row r="2" spans="2:15" ht="15" customHeight="1" x14ac:dyDescent="0.3">
      <c r="B2" s="81"/>
      <c r="C2" s="74"/>
      <c r="D2" s="74"/>
      <c r="E2" s="74"/>
      <c r="F2" s="74"/>
      <c r="G2" s="79"/>
      <c r="H2" s="2">
        <v>5</v>
      </c>
      <c r="I2" s="2">
        <v>4</v>
      </c>
      <c r="J2" s="2">
        <v>3</v>
      </c>
      <c r="K2" s="2">
        <v>2</v>
      </c>
      <c r="L2" s="2">
        <v>2</v>
      </c>
      <c r="M2" s="30">
        <v>1</v>
      </c>
      <c r="O2" s="1">
        <v>3</v>
      </c>
    </row>
    <row r="3" spans="2:15" ht="36" customHeight="1" x14ac:dyDescent="0.3">
      <c r="B3" s="81"/>
      <c r="C3" s="74"/>
      <c r="D3" s="74"/>
      <c r="E3" s="74"/>
      <c r="F3" s="74"/>
      <c r="G3" s="11" t="s">
        <v>45</v>
      </c>
      <c r="H3" s="12" t="s">
        <v>7</v>
      </c>
      <c r="I3" s="14" t="s">
        <v>8</v>
      </c>
      <c r="J3" s="14" t="s">
        <v>24</v>
      </c>
      <c r="K3" s="14" t="s">
        <v>2</v>
      </c>
      <c r="L3" s="14" t="s">
        <v>22</v>
      </c>
      <c r="M3" s="21" t="s">
        <v>14</v>
      </c>
      <c r="O3" s="1">
        <v>1</v>
      </c>
    </row>
    <row r="4" spans="2:15" ht="53.25" customHeight="1" x14ac:dyDescent="0.3">
      <c r="B4" s="82"/>
      <c r="C4" s="83"/>
      <c r="D4" s="74"/>
      <c r="E4" s="74"/>
      <c r="F4" s="74"/>
      <c r="G4" s="11" t="s">
        <v>44</v>
      </c>
      <c r="H4" s="12" t="s">
        <v>10</v>
      </c>
      <c r="I4" s="14" t="s">
        <v>9</v>
      </c>
      <c r="J4" s="12" t="s">
        <v>26</v>
      </c>
      <c r="K4" s="14" t="s">
        <v>3</v>
      </c>
      <c r="L4" s="14" t="s">
        <v>23</v>
      </c>
      <c r="M4" s="21" t="s">
        <v>15</v>
      </c>
    </row>
    <row r="5" spans="2:15" ht="43.5" customHeight="1" x14ac:dyDescent="0.3">
      <c r="B5" s="82"/>
      <c r="C5" s="83"/>
      <c r="D5" s="74"/>
      <c r="E5" s="74"/>
      <c r="F5" s="74"/>
      <c r="G5" s="11" t="s">
        <v>20</v>
      </c>
      <c r="H5" s="3" t="s">
        <v>47</v>
      </c>
      <c r="I5" s="16" t="s">
        <v>4</v>
      </c>
      <c r="J5" s="16" t="s">
        <v>25</v>
      </c>
      <c r="K5" s="16" t="s">
        <v>20</v>
      </c>
      <c r="L5" s="16" t="s">
        <v>20</v>
      </c>
      <c r="M5" s="31" t="s">
        <v>16</v>
      </c>
    </row>
    <row r="6" spans="2:15" ht="27.75" customHeight="1" x14ac:dyDescent="0.3">
      <c r="B6" s="72" t="s">
        <v>19</v>
      </c>
      <c r="C6" s="70"/>
      <c r="D6" s="70"/>
      <c r="E6" s="75" t="s">
        <v>18</v>
      </c>
      <c r="F6" s="76"/>
      <c r="G6" s="76"/>
      <c r="H6" s="76"/>
      <c r="I6" s="76"/>
      <c r="J6" s="76"/>
      <c r="K6" s="77"/>
      <c r="L6" s="70" t="s">
        <v>17</v>
      </c>
      <c r="M6" s="71"/>
    </row>
    <row r="7" spans="2:15" ht="50.25" customHeight="1" x14ac:dyDescent="0.3">
      <c r="B7" s="32" t="s">
        <v>96</v>
      </c>
      <c r="C7" s="35" t="s">
        <v>97</v>
      </c>
      <c r="D7" s="33" t="s">
        <v>98</v>
      </c>
      <c r="E7" s="36" t="s">
        <v>43</v>
      </c>
      <c r="F7" s="36" t="s">
        <v>11</v>
      </c>
      <c r="G7" s="36" t="s">
        <v>0</v>
      </c>
      <c r="H7" s="36" t="s">
        <v>13</v>
      </c>
      <c r="I7" s="36" t="s">
        <v>12</v>
      </c>
      <c r="J7" s="36" t="s">
        <v>21</v>
      </c>
      <c r="K7" s="36" t="s">
        <v>27</v>
      </c>
      <c r="L7" s="36" t="s">
        <v>5</v>
      </c>
      <c r="M7" s="37" t="s">
        <v>1</v>
      </c>
    </row>
    <row r="8" spans="2:15" x14ac:dyDescent="0.3">
      <c r="B8">
        <v>25795</v>
      </c>
      <c r="C8" s="46" t="s">
        <v>94</v>
      </c>
      <c r="D8" s="47" t="s">
        <v>95</v>
      </c>
      <c r="E8" s="14" t="s">
        <v>44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f>F8*$H$2+G8*$I$2+H8*$J$2+I8*$K$2+J8*$L$2+K8*$M$2</f>
        <v>17</v>
      </c>
      <c r="M8" s="17" t="str">
        <f>IF(E8="Riesgo alto","3",IF(L8&gt;=55,"3",IF(AND(L8&gt;30,L8&lt;55),"2",IF(L8&lt;=30,"1"))))</f>
        <v>1</v>
      </c>
    </row>
    <row r="9" spans="2:15" x14ac:dyDescent="0.3">
      <c r="B9">
        <v>28123</v>
      </c>
      <c r="C9" s="46" t="s">
        <v>94</v>
      </c>
      <c r="D9" s="47" t="s">
        <v>99</v>
      </c>
      <c r="E9" s="14" t="s">
        <v>44</v>
      </c>
      <c r="F9" s="14">
        <v>1</v>
      </c>
      <c r="G9" s="14">
        <v>1</v>
      </c>
      <c r="H9" s="14">
        <v>1</v>
      </c>
      <c r="I9" s="14">
        <v>1</v>
      </c>
      <c r="J9" s="14">
        <v>1</v>
      </c>
      <c r="K9" s="14">
        <v>1</v>
      </c>
      <c r="L9" s="14">
        <f t="shared" ref="L9:L18" si="0">F9*$H$2+G9*$I$2+H9*$J$2+I9*$K$2+J9*$L$2+K9*$M$2</f>
        <v>17</v>
      </c>
      <c r="M9" s="17" t="str">
        <f t="shared" ref="M9:M53" si="1">IF(E9="Riesgo alto","3",IF(L9&gt;=55,"3",IF(AND(L9&gt;30,L9&lt;55),"2",IF(L9&lt;=30,"1"))))</f>
        <v>1</v>
      </c>
    </row>
    <row r="10" spans="2:15" x14ac:dyDescent="0.3">
      <c r="B10">
        <v>28143</v>
      </c>
      <c r="C10" s="46" t="s">
        <v>94</v>
      </c>
      <c r="D10" s="47" t="s">
        <v>100</v>
      </c>
      <c r="E10" s="14" t="s">
        <v>44</v>
      </c>
      <c r="F10" s="14">
        <v>1</v>
      </c>
      <c r="G10" s="14">
        <v>1</v>
      </c>
      <c r="H10" s="14">
        <v>1</v>
      </c>
      <c r="I10" s="14">
        <v>1</v>
      </c>
      <c r="J10" s="14">
        <v>1</v>
      </c>
      <c r="K10" s="14">
        <v>1</v>
      </c>
      <c r="L10" s="14">
        <f t="shared" si="0"/>
        <v>17</v>
      </c>
      <c r="M10" s="17" t="str">
        <f t="shared" si="1"/>
        <v>1</v>
      </c>
    </row>
    <row r="11" spans="2:15" x14ac:dyDescent="0.3">
      <c r="B11">
        <v>28307</v>
      </c>
      <c r="C11" s="46" t="s">
        <v>101</v>
      </c>
      <c r="D11" s="47" t="s">
        <v>102</v>
      </c>
      <c r="E11" s="14" t="s">
        <v>44</v>
      </c>
      <c r="F11" s="14">
        <v>1</v>
      </c>
      <c r="G11" s="14">
        <v>1</v>
      </c>
      <c r="H11" s="14">
        <v>1</v>
      </c>
      <c r="I11" s="14">
        <v>1</v>
      </c>
      <c r="J11" s="14">
        <v>1</v>
      </c>
      <c r="K11" s="14">
        <v>1</v>
      </c>
      <c r="L11" s="14">
        <f t="shared" si="0"/>
        <v>17</v>
      </c>
      <c r="M11" s="17" t="str">
        <f t="shared" si="1"/>
        <v>1</v>
      </c>
    </row>
    <row r="12" spans="2:15" x14ac:dyDescent="0.3">
      <c r="B12">
        <v>29152</v>
      </c>
      <c r="C12" s="46" t="s">
        <v>103</v>
      </c>
      <c r="D12" s="46" t="s">
        <v>104</v>
      </c>
      <c r="E12" s="14" t="s">
        <v>44</v>
      </c>
      <c r="F12" s="14">
        <v>3</v>
      </c>
      <c r="G12" s="14">
        <v>1</v>
      </c>
      <c r="H12" s="14">
        <v>3</v>
      </c>
      <c r="I12" s="14">
        <v>1</v>
      </c>
      <c r="J12" s="14">
        <v>1</v>
      </c>
      <c r="K12" s="14">
        <v>1</v>
      </c>
      <c r="L12" s="14">
        <f t="shared" si="0"/>
        <v>33</v>
      </c>
      <c r="M12" s="17" t="str">
        <f t="shared" si="1"/>
        <v>2</v>
      </c>
    </row>
    <row r="13" spans="2:15" x14ac:dyDescent="0.3">
      <c r="B13">
        <v>29153</v>
      </c>
      <c r="C13" s="46" t="s">
        <v>103</v>
      </c>
      <c r="D13" s="46" t="s">
        <v>105</v>
      </c>
      <c r="E13" s="14" t="s">
        <v>44</v>
      </c>
      <c r="F13" s="14">
        <v>3</v>
      </c>
      <c r="G13" s="14">
        <v>1</v>
      </c>
      <c r="H13" s="14">
        <v>3</v>
      </c>
      <c r="I13" s="14">
        <v>1</v>
      </c>
      <c r="J13" s="14">
        <v>1</v>
      </c>
      <c r="K13" s="14">
        <v>1</v>
      </c>
      <c r="L13" s="14">
        <f t="shared" si="0"/>
        <v>33</v>
      </c>
      <c r="M13" s="17" t="str">
        <f t="shared" si="1"/>
        <v>2</v>
      </c>
    </row>
    <row r="14" spans="2:15" x14ac:dyDescent="0.3">
      <c r="B14">
        <v>60050</v>
      </c>
      <c r="C14" s="48" t="s">
        <v>106</v>
      </c>
      <c r="D14" s="48" t="s">
        <v>107</v>
      </c>
      <c r="E14" s="14" t="s">
        <v>44</v>
      </c>
      <c r="F14" s="14">
        <v>3</v>
      </c>
      <c r="G14" s="14">
        <v>3</v>
      </c>
      <c r="H14" s="14">
        <v>3</v>
      </c>
      <c r="I14" s="14">
        <v>1</v>
      </c>
      <c r="J14" s="14">
        <v>1</v>
      </c>
      <c r="K14" s="14">
        <v>1</v>
      </c>
      <c r="L14" s="14">
        <f t="shared" si="0"/>
        <v>41</v>
      </c>
      <c r="M14" s="17" t="str">
        <f t="shared" si="1"/>
        <v>2</v>
      </c>
    </row>
    <row r="15" spans="2:15" x14ac:dyDescent="0.3">
      <c r="B15">
        <v>62654</v>
      </c>
      <c r="C15" s="46" t="s">
        <v>101</v>
      </c>
      <c r="D15" s="47" t="s">
        <v>108</v>
      </c>
      <c r="E15" s="14" t="s">
        <v>44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f t="shared" si="0"/>
        <v>17</v>
      </c>
      <c r="M15" s="17" t="str">
        <f t="shared" si="1"/>
        <v>1</v>
      </c>
    </row>
    <row r="16" spans="2:15" x14ac:dyDescent="0.3">
      <c r="B16">
        <v>62863</v>
      </c>
      <c r="C16" s="46" t="s">
        <v>109</v>
      </c>
      <c r="D16" s="47" t="s">
        <v>110</v>
      </c>
      <c r="E16" s="14" t="s">
        <v>44</v>
      </c>
      <c r="F16" s="14">
        <v>1</v>
      </c>
      <c r="G16" s="14">
        <v>3</v>
      </c>
      <c r="H16" s="14">
        <v>1</v>
      </c>
      <c r="I16" s="14">
        <v>1</v>
      </c>
      <c r="J16" s="14">
        <v>1</v>
      </c>
      <c r="K16" s="14">
        <v>1</v>
      </c>
      <c r="L16" s="14">
        <f t="shared" si="0"/>
        <v>25</v>
      </c>
      <c r="M16" s="17" t="str">
        <f t="shared" si="1"/>
        <v>1</v>
      </c>
    </row>
    <row r="17" spans="2:13" x14ac:dyDescent="0.3">
      <c r="B17">
        <v>63137</v>
      </c>
      <c r="C17" s="46" t="s">
        <v>111</v>
      </c>
      <c r="D17" s="47" t="s">
        <v>112</v>
      </c>
      <c r="E17" s="14" t="s">
        <v>44</v>
      </c>
      <c r="F17" s="14">
        <v>1</v>
      </c>
      <c r="G17" s="14">
        <v>1</v>
      </c>
      <c r="H17" s="14">
        <v>1</v>
      </c>
      <c r="I17" s="14">
        <v>3</v>
      </c>
      <c r="J17" s="14">
        <v>1</v>
      </c>
      <c r="K17" s="14">
        <v>1</v>
      </c>
      <c r="L17" s="14">
        <f t="shared" si="0"/>
        <v>21</v>
      </c>
      <c r="M17" s="17" t="str">
        <f t="shared" si="1"/>
        <v>1</v>
      </c>
    </row>
    <row r="18" spans="2:13" x14ac:dyDescent="0.3">
      <c r="B18">
        <v>63138</v>
      </c>
      <c r="C18" s="46" t="s">
        <v>111</v>
      </c>
      <c r="D18" s="47" t="s">
        <v>113</v>
      </c>
      <c r="E18" s="14" t="s">
        <v>44</v>
      </c>
      <c r="F18" s="14">
        <v>1</v>
      </c>
      <c r="G18" s="14">
        <v>1</v>
      </c>
      <c r="H18" s="14">
        <v>1</v>
      </c>
      <c r="I18" s="14">
        <v>1</v>
      </c>
      <c r="J18" s="14">
        <v>1</v>
      </c>
      <c r="K18" s="14">
        <v>1</v>
      </c>
      <c r="L18" s="14">
        <f t="shared" si="0"/>
        <v>17</v>
      </c>
      <c r="M18" s="17" t="str">
        <f t="shared" si="1"/>
        <v>1</v>
      </c>
    </row>
    <row r="19" spans="2:13" x14ac:dyDescent="0.3">
      <c r="B19">
        <v>63139</v>
      </c>
      <c r="C19" s="46" t="s">
        <v>111</v>
      </c>
      <c r="D19" s="47" t="s">
        <v>114</v>
      </c>
      <c r="E19" s="14" t="s">
        <v>44</v>
      </c>
      <c r="F19" s="14">
        <v>1</v>
      </c>
      <c r="G19" s="14">
        <v>3</v>
      </c>
      <c r="H19" s="14">
        <v>5</v>
      </c>
      <c r="I19" s="14">
        <v>3</v>
      </c>
      <c r="J19" s="14">
        <v>1</v>
      </c>
      <c r="K19" s="14">
        <v>1</v>
      </c>
      <c r="L19" s="14">
        <f>F19*$H$2+G19*$I$2+H19*$J$2+I19*$K$2+J19*$L$2+K19*$M$2</f>
        <v>41</v>
      </c>
      <c r="M19" s="17" t="str">
        <f t="shared" si="1"/>
        <v>2</v>
      </c>
    </row>
    <row r="20" spans="2:13" x14ac:dyDescent="0.3">
      <c r="B20">
        <v>63140</v>
      </c>
      <c r="C20" s="46" t="s">
        <v>111</v>
      </c>
      <c r="D20" s="47" t="s">
        <v>115</v>
      </c>
      <c r="E20" s="14" t="s">
        <v>44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14">
        <v>1</v>
      </c>
      <c r="L20" s="14">
        <f t="shared" ref="L20:L29" si="2">F20*$H$2+G20*$I$2+H20*$J$2+I20*$K$2+J20*$L$2+K20*$M$2</f>
        <v>17</v>
      </c>
      <c r="M20" s="17" t="str">
        <f t="shared" si="1"/>
        <v>1</v>
      </c>
    </row>
    <row r="21" spans="2:13" x14ac:dyDescent="0.3">
      <c r="B21">
        <v>63158</v>
      </c>
      <c r="C21" s="46" t="s">
        <v>111</v>
      </c>
      <c r="D21" s="47" t="s">
        <v>116</v>
      </c>
      <c r="E21" s="14" t="s">
        <v>44</v>
      </c>
      <c r="F21" s="14">
        <v>1</v>
      </c>
      <c r="G21" s="14">
        <v>1</v>
      </c>
      <c r="H21" s="14">
        <v>1</v>
      </c>
      <c r="I21" s="14">
        <v>1</v>
      </c>
      <c r="J21" s="14">
        <v>1</v>
      </c>
      <c r="K21" s="14">
        <v>1</v>
      </c>
      <c r="L21" s="14">
        <f t="shared" si="2"/>
        <v>17</v>
      </c>
      <c r="M21" s="17" t="str">
        <f t="shared" si="1"/>
        <v>1</v>
      </c>
    </row>
    <row r="22" spans="2:13" x14ac:dyDescent="0.3">
      <c r="B22">
        <v>63162</v>
      </c>
      <c r="C22" s="46" t="s">
        <v>111</v>
      </c>
      <c r="D22" s="47" t="s">
        <v>117</v>
      </c>
      <c r="E22" s="14" t="s">
        <v>44</v>
      </c>
      <c r="F22" s="14">
        <v>1</v>
      </c>
      <c r="G22" s="14">
        <v>1</v>
      </c>
      <c r="H22" s="14">
        <v>1</v>
      </c>
      <c r="I22" s="14">
        <v>1</v>
      </c>
      <c r="J22" s="14">
        <v>1</v>
      </c>
      <c r="K22" s="14">
        <v>1</v>
      </c>
      <c r="L22" s="14">
        <f t="shared" si="2"/>
        <v>17</v>
      </c>
      <c r="M22" s="17" t="str">
        <f t="shared" si="1"/>
        <v>1</v>
      </c>
    </row>
    <row r="23" spans="2:13" x14ac:dyDescent="0.3">
      <c r="B23">
        <v>63166</v>
      </c>
      <c r="C23" s="46" t="s">
        <v>111</v>
      </c>
      <c r="D23" s="47" t="s">
        <v>118</v>
      </c>
      <c r="E23" s="14" t="s">
        <v>44</v>
      </c>
      <c r="F23" s="14">
        <v>1</v>
      </c>
      <c r="G23" s="14">
        <v>1</v>
      </c>
      <c r="H23" s="14">
        <v>1</v>
      </c>
      <c r="I23" s="14">
        <v>1</v>
      </c>
      <c r="J23" s="14">
        <v>1</v>
      </c>
      <c r="K23" s="14">
        <v>1</v>
      </c>
      <c r="L23" s="14">
        <f t="shared" si="2"/>
        <v>17</v>
      </c>
      <c r="M23" s="17" t="str">
        <f t="shared" si="1"/>
        <v>1</v>
      </c>
    </row>
    <row r="24" spans="2:13" x14ac:dyDescent="0.3">
      <c r="B24">
        <v>63170</v>
      </c>
      <c r="C24" s="46" t="s">
        <v>111</v>
      </c>
      <c r="D24" s="47" t="s">
        <v>119</v>
      </c>
      <c r="E24" s="14" t="s">
        <v>44</v>
      </c>
      <c r="F24" s="14">
        <v>1</v>
      </c>
      <c r="G24" s="14">
        <v>3</v>
      </c>
      <c r="H24" s="14">
        <v>3</v>
      </c>
      <c r="I24" s="14">
        <v>1</v>
      </c>
      <c r="J24" s="14">
        <v>3</v>
      </c>
      <c r="K24" s="14">
        <v>1</v>
      </c>
      <c r="L24" s="14">
        <f t="shared" si="2"/>
        <v>35</v>
      </c>
      <c r="M24" s="17" t="str">
        <f t="shared" si="1"/>
        <v>2</v>
      </c>
    </row>
    <row r="25" spans="2:13" x14ac:dyDescent="0.3">
      <c r="B25">
        <v>63473</v>
      </c>
      <c r="C25" s="46" t="s">
        <v>111</v>
      </c>
      <c r="D25" s="47" t="s">
        <v>120</v>
      </c>
      <c r="E25" s="14" t="s">
        <v>44</v>
      </c>
      <c r="F25" s="14">
        <v>3</v>
      </c>
      <c r="G25" s="14">
        <v>3</v>
      </c>
      <c r="H25" s="14">
        <v>1</v>
      </c>
      <c r="I25" s="14">
        <v>1</v>
      </c>
      <c r="J25" s="14">
        <v>3</v>
      </c>
      <c r="K25" s="14">
        <v>1</v>
      </c>
      <c r="L25" s="14">
        <f t="shared" si="2"/>
        <v>39</v>
      </c>
      <c r="M25" s="17" t="str">
        <f t="shared" si="1"/>
        <v>2</v>
      </c>
    </row>
    <row r="26" spans="2:13" x14ac:dyDescent="0.3">
      <c r="B26">
        <v>63474</v>
      </c>
      <c r="C26" s="46" t="s">
        <v>111</v>
      </c>
      <c r="D26" s="47" t="s">
        <v>121</v>
      </c>
      <c r="E26" s="14" t="s">
        <v>44</v>
      </c>
      <c r="F26" s="14">
        <v>3</v>
      </c>
      <c r="G26" s="14">
        <v>3</v>
      </c>
      <c r="H26" s="14">
        <v>1</v>
      </c>
      <c r="I26" s="14">
        <v>1</v>
      </c>
      <c r="J26" s="14">
        <v>3</v>
      </c>
      <c r="K26" s="14">
        <v>1</v>
      </c>
      <c r="L26" s="14">
        <f t="shared" si="2"/>
        <v>39</v>
      </c>
      <c r="M26" s="17" t="str">
        <f t="shared" si="1"/>
        <v>2</v>
      </c>
    </row>
    <row r="27" spans="2:13" x14ac:dyDescent="0.3">
      <c r="B27">
        <v>63475</v>
      </c>
      <c r="C27" s="46" t="s">
        <v>111</v>
      </c>
      <c r="D27" s="47" t="s">
        <v>122</v>
      </c>
      <c r="E27" s="14" t="s">
        <v>44</v>
      </c>
      <c r="F27" s="14">
        <v>3</v>
      </c>
      <c r="G27" s="14">
        <v>3</v>
      </c>
      <c r="H27" s="14">
        <v>1</v>
      </c>
      <c r="I27" s="14">
        <v>1</v>
      </c>
      <c r="J27" s="14">
        <v>3</v>
      </c>
      <c r="K27" s="14">
        <v>1</v>
      </c>
      <c r="L27" s="14">
        <f t="shared" si="2"/>
        <v>39</v>
      </c>
      <c r="M27" s="17" t="str">
        <f t="shared" si="1"/>
        <v>2</v>
      </c>
    </row>
    <row r="28" spans="2:13" x14ac:dyDescent="0.3">
      <c r="B28">
        <v>63628</v>
      </c>
      <c r="C28" s="46" t="s">
        <v>123</v>
      </c>
      <c r="D28" s="47" t="s">
        <v>124</v>
      </c>
      <c r="E28" s="14" t="s">
        <v>44</v>
      </c>
      <c r="F28" s="14">
        <v>1</v>
      </c>
      <c r="G28" s="14">
        <v>3</v>
      </c>
      <c r="H28" s="14">
        <v>3</v>
      </c>
      <c r="I28" s="14">
        <v>3</v>
      </c>
      <c r="J28" s="14">
        <v>1</v>
      </c>
      <c r="K28" s="14">
        <v>1</v>
      </c>
      <c r="L28" s="14">
        <f t="shared" si="2"/>
        <v>35</v>
      </c>
      <c r="M28" s="17" t="str">
        <f t="shared" si="1"/>
        <v>2</v>
      </c>
    </row>
    <row r="29" spans="2:13" x14ac:dyDescent="0.3">
      <c r="B29">
        <v>63727</v>
      </c>
      <c r="C29" s="46" t="s">
        <v>106</v>
      </c>
      <c r="D29" s="47" t="s">
        <v>125</v>
      </c>
      <c r="E29" s="14" t="s">
        <v>44</v>
      </c>
      <c r="F29" s="14">
        <v>1</v>
      </c>
      <c r="G29" s="14">
        <v>1</v>
      </c>
      <c r="H29" s="14">
        <v>1</v>
      </c>
      <c r="I29" s="14">
        <v>1</v>
      </c>
      <c r="J29" s="14">
        <v>1</v>
      </c>
      <c r="K29" s="14">
        <v>1</v>
      </c>
      <c r="L29" s="14">
        <f t="shared" si="2"/>
        <v>17</v>
      </c>
      <c r="M29" s="17" t="str">
        <f t="shared" si="1"/>
        <v>1</v>
      </c>
    </row>
    <row r="30" spans="2:13" x14ac:dyDescent="0.3">
      <c r="B30">
        <v>63732</v>
      </c>
      <c r="C30" s="46" t="s">
        <v>109</v>
      </c>
      <c r="D30" s="47" t="s">
        <v>126</v>
      </c>
      <c r="E30" s="14" t="s">
        <v>44</v>
      </c>
      <c r="F30" s="14">
        <v>1</v>
      </c>
      <c r="G30" s="14">
        <v>1</v>
      </c>
      <c r="H30" s="14">
        <v>1</v>
      </c>
      <c r="I30" s="14">
        <v>1</v>
      </c>
      <c r="J30" s="14">
        <v>1</v>
      </c>
      <c r="K30" s="14">
        <v>1</v>
      </c>
      <c r="L30" s="14">
        <f>F30*$H$2+G30*$I$2+H30*$J$2+I30*$K$2+J30*$L$2+K30*$M$2</f>
        <v>17</v>
      </c>
      <c r="M30" s="17" t="str">
        <f t="shared" si="1"/>
        <v>1</v>
      </c>
    </row>
    <row r="31" spans="2:13" x14ac:dyDescent="0.3">
      <c r="B31">
        <v>64272</v>
      </c>
      <c r="C31" s="46" t="s">
        <v>127</v>
      </c>
      <c r="D31" s="49" t="s">
        <v>128</v>
      </c>
      <c r="E31" s="14" t="s">
        <v>44</v>
      </c>
      <c r="F31" s="14">
        <v>1</v>
      </c>
      <c r="G31" s="14">
        <v>1</v>
      </c>
      <c r="H31" s="14">
        <v>1</v>
      </c>
      <c r="I31" s="14">
        <v>1</v>
      </c>
      <c r="J31" s="14">
        <v>1</v>
      </c>
      <c r="K31" s="14">
        <v>1</v>
      </c>
      <c r="L31" s="14">
        <f t="shared" ref="L31:L40" si="3">F31*$H$2+G31*$I$2+H31*$J$2+I31*$K$2+J31*$L$2+K31*$M$2</f>
        <v>17</v>
      </c>
      <c r="M31" s="17" t="str">
        <f t="shared" si="1"/>
        <v>1</v>
      </c>
    </row>
    <row r="32" spans="2:13" x14ac:dyDescent="0.3">
      <c r="B32">
        <v>64439</v>
      </c>
      <c r="C32" s="46" t="s">
        <v>123</v>
      </c>
      <c r="D32" s="47" t="s">
        <v>129</v>
      </c>
      <c r="E32" s="14" t="s">
        <v>44</v>
      </c>
      <c r="F32" s="14">
        <v>1</v>
      </c>
      <c r="G32" s="14">
        <v>1</v>
      </c>
      <c r="H32" s="14">
        <v>1</v>
      </c>
      <c r="I32" s="14">
        <v>1</v>
      </c>
      <c r="J32" s="14">
        <v>1</v>
      </c>
      <c r="K32" s="14">
        <v>1</v>
      </c>
      <c r="L32" s="14">
        <f t="shared" si="3"/>
        <v>17</v>
      </c>
      <c r="M32" s="17" t="str">
        <f t="shared" si="1"/>
        <v>1</v>
      </c>
    </row>
    <row r="33" spans="2:13" x14ac:dyDescent="0.3">
      <c r="B33">
        <v>64440</v>
      </c>
      <c r="C33" s="46" t="s">
        <v>123</v>
      </c>
      <c r="D33" s="47" t="s">
        <v>130</v>
      </c>
      <c r="E33" s="14" t="s">
        <v>44</v>
      </c>
      <c r="F33" s="14">
        <v>1</v>
      </c>
      <c r="G33" s="14">
        <v>1</v>
      </c>
      <c r="H33" s="14">
        <v>1</v>
      </c>
      <c r="I33" s="14">
        <v>1</v>
      </c>
      <c r="J33" s="14">
        <v>1</v>
      </c>
      <c r="K33" s="14">
        <v>1</v>
      </c>
      <c r="L33" s="14">
        <f t="shared" si="3"/>
        <v>17</v>
      </c>
      <c r="M33" s="17" t="str">
        <f t="shared" si="1"/>
        <v>1</v>
      </c>
    </row>
    <row r="34" spans="2:13" x14ac:dyDescent="0.3">
      <c r="B34">
        <v>65453</v>
      </c>
      <c r="C34" s="46" t="s">
        <v>131</v>
      </c>
      <c r="D34" s="47" t="s">
        <v>132</v>
      </c>
      <c r="E34" s="14" t="s">
        <v>44</v>
      </c>
      <c r="F34" s="14">
        <v>1</v>
      </c>
      <c r="G34" s="14">
        <v>1</v>
      </c>
      <c r="H34" s="14">
        <v>1</v>
      </c>
      <c r="I34" s="14">
        <v>1</v>
      </c>
      <c r="J34" s="14">
        <v>1</v>
      </c>
      <c r="K34" s="14">
        <v>1</v>
      </c>
      <c r="L34" s="14">
        <f t="shared" si="3"/>
        <v>17</v>
      </c>
      <c r="M34" s="17" t="str">
        <f t="shared" si="1"/>
        <v>1</v>
      </c>
    </row>
    <row r="35" spans="2:13" x14ac:dyDescent="0.3">
      <c r="B35">
        <v>65571</v>
      </c>
      <c r="C35" s="46" t="s">
        <v>106</v>
      </c>
      <c r="D35" s="47" t="s">
        <v>133</v>
      </c>
      <c r="E35" s="14" t="s">
        <v>44</v>
      </c>
      <c r="F35" s="14">
        <v>1</v>
      </c>
      <c r="G35" s="14">
        <v>1</v>
      </c>
      <c r="H35" s="14">
        <v>1</v>
      </c>
      <c r="I35" s="14">
        <v>1</v>
      </c>
      <c r="J35" s="14">
        <v>1</v>
      </c>
      <c r="K35" s="14">
        <v>1</v>
      </c>
      <c r="L35" s="14">
        <f t="shared" si="3"/>
        <v>17</v>
      </c>
      <c r="M35" s="17" t="str">
        <f t="shared" si="1"/>
        <v>1</v>
      </c>
    </row>
    <row r="36" spans="2:13" x14ac:dyDescent="0.3">
      <c r="B36">
        <v>65576</v>
      </c>
      <c r="C36" s="46" t="s">
        <v>106</v>
      </c>
      <c r="D36" s="47" t="s">
        <v>134</v>
      </c>
      <c r="E36" s="14" t="s">
        <v>44</v>
      </c>
      <c r="F36" s="14">
        <v>1</v>
      </c>
      <c r="G36" s="14">
        <v>1</v>
      </c>
      <c r="H36" s="14">
        <v>1</v>
      </c>
      <c r="I36" s="14">
        <v>1</v>
      </c>
      <c r="J36" s="14">
        <v>1</v>
      </c>
      <c r="K36" s="14">
        <v>1</v>
      </c>
      <c r="L36" s="14">
        <f t="shared" si="3"/>
        <v>17</v>
      </c>
      <c r="M36" s="17" t="str">
        <f t="shared" si="1"/>
        <v>1</v>
      </c>
    </row>
    <row r="37" spans="2:13" x14ac:dyDescent="0.3">
      <c r="B37">
        <v>66828</v>
      </c>
      <c r="C37" s="46" t="s">
        <v>123</v>
      </c>
      <c r="D37" s="47" t="s">
        <v>135</v>
      </c>
      <c r="E37" s="14" t="s">
        <v>44</v>
      </c>
      <c r="F37" s="14">
        <v>5</v>
      </c>
      <c r="G37" s="14">
        <v>1</v>
      </c>
      <c r="H37" s="14">
        <v>1</v>
      </c>
      <c r="I37" s="14">
        <v>1</v>
      </c>
      <c r="J37" s="14">
        <v>1</v>
      </c>
      <c r="K37" s="14">
        <v>1</v>
      </c>
      <c r="L37" s="14">
        <f t="shared" si="3"/>
        <v>37</v>
      </c>
      <c r="M37" s="17" t="str">
        <f t="shared" si="1"/>
        <v>2</v>
      </c>
    </row>
    <row r="38" spans="2:13" x14ac:dyDescent="0.3">
      <c r="B38">
        <v>67353</v>
      </c>
      <c r="C38" s="46" t="s">
        <v>101</v>
      </c>
      <c r="D38" s="47" t="s">
        <v>136</v>
      </c>
      <c r="E38" s="14" t="s">
        <v>44</v>
      </c>
      <c r="F38" s="14">
        <v>1</v>
      </c>
      <c r="G38" s="14">
        <v>1</v>
      </c>
      <c r="H38" s="14">
        <v>1</v>
      </c>
      <c r="I38" s="14">
        <v>1</v>
      </c>
      <c r="J38" s="14">
        <v>1</v>
      </c>
      <c r="K38" s="14">
        <v>1</v>
      </c>
      <c r="L38" s="14">
        <f t="shared" si="3"/>
        <v>17</v>
      </c>
      <c r="M38" s="17" t="str">
        <f t="shared" si="1"/>
        <v>1</v>
      </c>
    </row>
    <row r="39" spans="2:13" x14ac:dyDescent="0.3">
      <c r="B39">
        <v>67380</v>
      </c>
      <c r="C39" s="46" t="s">
        <v>101</v>
      </c>
      <c r="D39" s="47" t="s">
        <v>137</v>
      </c>
      <c r="E39" s="14" t="s">
        <v>44</v>
      </c>
      <c r="F39" s="14">
        <v>1</v>
      </c>
      <c r="G39" s="14">
        <v>1</v>
      </c>
      <c r="H39" s="14">
        <v>1</v>
      </c>
      <c r="I39" s="14">
        <v>1</v>
      </c>
      <c r="J39" s="14">
        <v>1</v>
      </c>
      <c r="K39" s="14">
        <v>1</v>
      </c>
      <c r="L39" s="14">
        <f t="shared" si="3"/>
        <v>17</v>
      </c>
      <c r="M39" s="17" t="str">
        <f t="shared" si="1"/>
        <v>1</v>
      </c>
    </row>
    <row r="40" spans="2:13" x14ac:dyDescent="0.3">
      <c r="B40">
        <v>67596</v>
      </c>
      <c r="C40" s="46" t="s">
        <v>101</v>
      </c>
      <c r="D40" s="47" t="s">
        <v>138</v>
      </c>
      <c r="E40" s="14" t="s">
        <v>44</v>
      </c>
      <c r="F40" s="14">
        <v>1</v>
      </c>
      <c r="G40" s="14">
        <v>1</v>
      </c>
      <c r="H40" s="14">
        <v>1</v>
      </c>
      <c r="I40" s="14">
        <v>1</v>
      </c>
      <c r="J40" s="14">
        <v>1</v>
      </c>
      <c r="K40" s="14">
        <v>1</v>
      </c>
      <c r="L40" s="14">
        <f t="shared" si="3"/>
        <v>17</v>
      </c>
      <c r="M40" s="17" t="str">
        <f t="shared" si="1"/>
        <v>1</v>
      </c>
    </row>
    <row r="41" spans="2:13" x14ac:dyDescent="0.3">
      <c r="B41">
        <v>67717</v>
      </c>
      <c r="C41" s="46" t="s">
        <v>139</v>
      </c>
      <c r="D41" s="47" t="s">
        <v>140</v>
      </c>
      <c r="E41" s="14" t="s">
        <v>44</v>
      </c>
      <c r="F41" s="14">
        <v>1</v>
      </c>
      <c r="G41" s="14">
        <v>1</v>
      </c>
      <c r="H41" s="14">
        <v>1</v>
      </c>
      <c r="I41" s="14">
        <v>1</v>
      </c>
      <c r="J41" s="14">
        <v>1</v>
      </c>
      <c r="K41" s="14">
        <v>1</v>
      </c>
      <c r="L41" s="14">
        <f>F41*$H$2+G41*$I$2+H41*$J$2+I41*$K$2+J41*$L$2+K41*$M$2</f>
        <v>17</v>
      </c>
      <c r="M41" s="17" t="str">
        <f t="shared" si="1"/>
        <v>1</v>
      </c>
    </row>
    <row r="42" spans="2:13" x14ac:dyDescent="0.3">
      <c r="B42">
        <v>68335</v>
      </c>
      <c r="C42" s="46" t="s">
        <v>123</v>
      </c>
      <c r="D42" s="47" t="s">
        <v>141</v>
      </c>
      <c r="E42" s="14" t="s">
        <v>44</v>
      </c>
      <c r="F42" s="14">
        <v>1</v>
      </c>
      <c r="G42" s="14">
        <v>3</v>
      </c>
      <c r="H42" s="14">
        <v>3</v>
      </c>
      <c r="I42" s="14">
        <v>1</v>
      </c>
      <c r="J42" s="14">
        <v>1</v>
      </c>
      <c r="K42" s="14">
        <v>1</v>
      </c>
      <c r="L42" s="14">
        <f t="shared" ref="L42:L53" si="4">F42*$H$2+G42*$I$2+H42*$J$2+I42*$K$2+J42*$L$2+K42*$M$2</f>
        <v>31</v>
      </c>
      <c r="M42" s="17" t="str">
        <f t="shared" si="1"/>
        <v>2</v>
      </c>
    </row>
    <row r="43" spans="2:13" x14ac:dyDescent="0.3">
      <c r="B43">
        <v>68979</v>
      </c>
      <c r="C43" s="46" t="s">
        <v>111</v>
      </c>
      <c r="D43" s="47" t="s">
        <v>142</v>
      </c>
      <c r="E43" s="14" t="s">
        <v>44</v>
      </c>
      <c r="F43" s="14">
        <v>1</v>
      </c>
      <c r="G43" s="14">
        <v>1</v>
      </c>
      <c r="H43" s="14">
        <v>1</v>
      </c>
      <c r="I43" s="14">
        <v>1</v>
      </c>
      <c r="J43" s="14">
        <v>1</v>
      </c>
      <c r="K43" s="14">
        <v>1</v>
      </c>
      <c r="L43" s="14">
        <f t="shared" si="4"/>
        <v>17</v>
      </c>
      <c r="M43" s="17" t="str">
        <f t="shared" si="1"/>
        <v>1</v>
      </c>
    </row>
    <row r="44" spans="2:13" x14ac:dyDescent="0.3">
      <c r="B44">
        <v>69176</v>
      </c>
      <c r="C44" s="46" t="s">
        <v>127</v>
      </c>
      <c r="D44" s="50" t="s">
        <v>143</v>
      </c>
      <c r="E44" s="14" t="s">
        <v>44</v>
      </c>
      <c r="F44" s="14">
        <v>1</v>
      </c>
      <c r="G44" s="14">
        <v>1</v>
      </c>
      <c r="H44" s="14">
        <v>1</v>
      </c>
      <c r="I44" s="14">
        <v>1</v>
      </c>
      <c r="J44" s="14">
        <v>1</v>
      </c>
      <c r="K44" s="14">
        <v>1</v>
      </c>
      <c r="L44" s="14">
        <f t="shared" si="4"/>
        <v>17</v>
      </c>
      <c r="M44" s="17" t="str">
        <f t="shared" si="1"/>
        <v>1</v>
      </c>
    </row>
    <row r="45" spans="2:13" x14ac:dyDescent="0.3">
      <c r="B45">
        <v>69302</v>
      </c>
      <c r="C45" s="46" t="s">
        <v>109</v>
      </c>
      <c r="D45" s="46" t="s">
        <v>144</v>
      </c>
      <c r="E45" s="14" t="s">
        <v>44</v>
      </c>
      <c r="F45" s="14">
        <v>1</v>
      </c>
      <c r="G45" s="14">
        <v>1</v>
      </c>
      <c r="H45" s="14">
        <v>1</v>
      </c>
      <c r="I45" s="14">
        <v>1</v>
      </c>
      <c r="J45" s="14">
        <v>1</v>
      </c>
      <c r="K45" s="14">
        <v>1</v>
      </c>
      <c r="L45" s="14">
        <f t="shared" si="4"/>
        <v>17</v>
      </c>
      <c r="M45" s="17" t="str">
        <f t="shared" si="1"/>
        <v>1</v>
      </c>
    </row>
    <row r="46" spans="2:13" x14ac:dyDescent="0.3">
      <c r="B46">
        <v>70040</v>
      </c>
      <c r="C46" s="46" t="s">
        <v>145</v>
      </c>
      <c r="D46" s="47" t="s">
        <v>146</v>
      </c>
      <c r="E46" s="14" t="s">
        <v>44</v>
      </c>
      <c r="F46" s="14">
        <v>3</v>
      </c>
      <c r="G46" s="14">
        <v>1</v>
      </c>
      <c r="H46" s="14">
        <v>3</v>
      </c>
      <c r="I46" s="14">
        <v>1</v>
      </c>
      <c r="J46" s="14">
        <v>1</v>
      </c>
      <c r="K46" s="14">
        <v>1</v>
      </c>
      <c r="L46" s="14">
        <f t="shared" si="4"/>
        <v>33</v>
      </c>
      <c r="M46" s="17" t="str">
        <f t="shared" si="1"/>
        <v>2</v>
      </c>
    </row>
    <row r="47" spans="2:13" x14ac:dyDescent="0.3">
      <c r="B47">
        <v>70273</v>
      </c>
      <c r="C47" s="46" t="s">
        <v>109</v>
      </c>
      <c r="D47" s="47" t="s">
        <v>147</v>
      </c>
      <c r="E47" s="14" t="s">
        <v>44</v>
      </c>
      <c r="F47" s="14">
        <v>1</v>
      </c>
      <c r="G47" s="14">
        <v>1</v>
      </c>
      <c r="H47" s="14">
        <v>1</v>
      </c>
      <c r="I47" s="14">
        <v>1</v>
      </c>
      <c r="J47" s="14">
        <v>1</v>
      </c>
      <c r="K47" s="14">
        <v>1</v>
      </c>
      <c r="L47" s="14">
        <f t="shared" si="4"/>
        <v>17</v>
      </c>
      <c r="M47" s="17" t="str">
        <f t="shared" si="1"/>
        <v>1</v>
      </c>
    </row>
    <row r="48" spans="2:13" x14ac:dyDescent="0.3">
      <c r="B48">
        <v>70274</v>
      </c>
      <c r="C48" s="46" t="s">
        <v>109</v>
      </c>
      <c r="D48" s="47" t="s">
        <v>148</v>
      </c>
      <c r="E48" s="14" t="s">
        <v>44</v>
      </c>
      <c r="F48" s="14">
        <v>1</v>
      </c>
      <c r="G48" s="14">
        <v>1</v>
      </c>
      <c r="H48" s="14">
        <v>1</v>
      </c>
      <c r="I48" s="14">
        <v>1</v>
      </c>
      <c r="J48" s="14">
        <v>1</v>
      </c>
      <c r="K48" s="14">
        <v>1</v>
      </c>
      <c r="L48" s="14">
        <f t="shared" si="4"/>
        <v>17</v>
      </c>
      <c r="M48" s="17" t="str">
        <f t="shared" si="1"/>
        <v>1</v>
      </c>
    </row>
    <row r="49" spans="2:13" x14ac:dyDescent="0.3">
      <c r="B49">
        <v>70561</v>
      </c>
      <c r="C49" s="46" t="s">
        <v>109</v>
      </c>
      <c r="D49" s="47" t="s">
        <v>149</v>
      </c>
      <c r="E49" s="14" t="s">
        <v>44</v>
      </c>
      <c r="F49" s="14">
        <v>1</v>
      </c>
      <c r="G49" s="14">
        <v>1</v>
      </c>
      <c r="H49" s="14">
        <v>1</v>
      </c>
      <c r="I49" s="14">
        <v>1</v>
      </c>
      <c r="J49" s="14">
        <v>1</v>
      </c>
      <c r="K49" s="14">
        <v>1</v>
      </c>
      <c r="L49" s="14">
        <f t="shared" si="4"/>
        <v>17</v>
      </c>
      <c r="M49" s="17" t="str">
        <f t="shared" si="1"/>
        <v>1</v>
      </c>
    </row>
    <row r="50" spans="2:13" x14ac:dyDescent="0.3">
      <c r="B50">
        <v>70571</v>
      </c>
      <c r="C50" s="46" t="s">
        <v>109</v>
      </c>
      <c r="D50" s="47" t="s">
        <v>150</v>
      </c>
      <c r="E50" s="14" t="s">
        <v>44</v>
      </c>
      <c r="F50" s="14">
        <v>1</v>
      </c>
      <c r="G50" s="14">
        <v>1</v>
      </c>
      <c r="H50" s="14">
        <v>1</v>
      </c>
      <c r="I50" s="14">
        <v>1</v>
      </c>
      <c r="J50" s="14">
        <v>1</v>
      </c>
      <c r="K50" s="14">
        <v>1</v>
      </c>
      <c r="L50" s="14">
        <f t="shared" si="4"/>
        <v>17</v>
      </c>
      <c r="M50" s="17" t="str">
        <f t="shared" si="1"/>
        <v>1</v>
      </c>
    </row>
    <row r="51" spans="2:13" x14ac:dyDescent="0.3">
      <c r="B51">
        <v>70588</v>
      </c>
      <c r="C51" s="46" t="s">
        <v>109</v>
      </c>
      <c r="D51" s="47" t="s">
        <v>151</v>
      </c>
      <c r="E51" s="14" t="s">
        <v>44</v>
      </c>
      <c r="F51" s="14">
        <v>1</v>
      </c>
      <c r="G51" s="14">
        <v>1</v>
      </c>
      <c r="H51" s="14">
        <v>1</v>
      </c>
      <c r="I51" s="14">
        <v>1</v>
      </c>
      <c r="J51" s="14">
        <v>1</v>
      </c>
      <c r="K51" s="14">
        <v>1</v>
      </c>
      <c r="L51" s="14">
        <f t="shared" si="4"/>
        <v>17</v>
      </c>
      <c r="M51" s="17" t="str">
        <f t="shared" si="1"/>
        <v>1</v>
      </c>
    </row>
    <row r="52" spans="2:13" x14ac:dyDescent="0.3">
      <c r="B52">
        <v>70637</v>
      </c>
      <c r="C52" s="46" t="s">
        <v>106</v>
      </c>
      <c r="D52" s="47" t="s">
        <v>152</v>
      </c>
      <c r="E52" s="14" t="s">
        <v>44</v>
      </c>
      <c r="F52" s="14">
        <v>1</v>
      </c>
      <c r="G52" s="14">
        <v>1</v>
      </c>
      <c r="H52" s="14">
        <v>1</v>
      </c>
      <c r="I52" s="14">
        <v>1</v>
      </c>
      <c r="J52" s="14">
        <v>1</v>
      </c>
      <c r="K52" s="14">
        <v>1</v>
      </c>
      <c r="L52" s="14">
        <f t="shared" si="4"/>
        <v>17</v>
      </c>
      <c r="M52" s="17" t="str">
        <f t="shared" si="1"/>
        <v>1</v>
      </c>
    </row>
    <row r="53" spans="2:13" x14ac:dyDescent="0.3">
      <c r="B53">
        <v>71170</v>
      </c>
      <c r="C53" s="46" t="s">
        <v>101</v>
      </c>
      <c r="D53" s="47" t="s">
        <v>153</v>
      </c>
      <c r="E53" s="16" t="s">
        <v>44</v>
      </c>
      <c r="F53" s="16">
        <v>3</v>
      </c>
      <c r="G53" s="16">
        <v>1</v>
      </c>
      <c r="H53" s="16">
        <v>1</v>
      </c>
      <c r="I53" s="16">
        <v>3</v>
      </c>
      <c r="J53" s="16">
        <v>1</v>
      </c>
      <c r="K53" s="16">
        <v>1</v>
      </c>
      <c r="L53" s="16">
        <f t="shared" si="4"/>
        <v>31</v>
      </c>
      <c r="M53" s="34" t="str">
        <f t="shared" si="1"/>
        <v>2</v>
      </c>
    </row>
    <row r="54" spans="2:13" x14ac:dyDescent="0.3">
      <c r="B54">
        <v>71946</v>
      </c>
      <c r="C54" s="46" t="s">
        <v>106</v>
      </c>
      <c r="D54" s="47" t="s">
        <v>154</v>
      </c>
      <c r="E54" s="14" t="s">
        <v>44</v>
      </c>
      <c r="F54" s="14">
        <v>3</v>
      </c>
      <c r="G54" s="14">
        <v>1</v>
      </c>
      <c r="H54" s="14">
        <v>1</v>
      </c>
      <c r="I54" s="14">
        <v>3</v>
      </c>
      <c r="J54" s="14">
        <v>1</v>
      </c>
      <c r="K54" s="14">
        <v>1</v>
      </c>
      <c r="L54" s="14">
        <f t="shared" ref="L54:L68" si="5">F54*$H$2+G54*$I$2+H54*$J$2+I54*$K$2+J54*$L$2+K54*$M$2</f>
        <v>31</v>
      </c>
      <c r="M54" s="17" t="str">
        <f t="shared" ref="M54:M68" si="6">IF(E54="Riesgo alto","3",IF(L54&gt;=55,"3",IF(AND(L54&gt;30,L54&lt;55),"2",IF(L54&lt;=30,"1"))))</f>
        <v>2</v>
      </c>
    </row>
    <row r="55" spans="2:13" x14ac:dyDescent="0.3">
      <c r="B55">
        <v>73116</v>
      </c>
      <c r="C55" s="46" t="s">
        <v>106</v>
      </c>
      <c r="D55" s="47" t="s">
        <v>155</v>
      </c>
      <c r="E55" s="14" t="s">
        <v>44</v>
      </c>
      <c r="F55" s="14">
        <v>3</v>
      </c>
      <c r="G55" s="14">
        <v>1</v>
      </c>
      <c r="H55" s="14">
        <v>1</v>
      </c>
      <c r="I55" s="14">
        <v>3</v>
      </c>
      <c r="J55" s="14">
        <v>1</v>
      </c>
      <c r="K55" s="14">
        <v>1</v>
      </c>
      <c r="L55" s="14">
        <f t="shared" si="5"/>
        <v>31</v>
      </c>
      <c r="M55" s="17" t="str">
        <f t="shared" si="6"/>
        <v>2</v>
      </c>
    </row>
    <row r="56" spans="2:13" x14ac:dyDescent="0.3">
      <c r="B56">
        <v>74796</v>
      </c>
      <c r="C56" s="46" t="s">
        <v>109</v>
      </c>
      <c r="D56" s="47" t="s">
        <v>156</v>
      </c>
      <c r="E56" s="14" t="s">
        <v>44</v>
      </c>
      <c r="F56" s="14">
        <v>1</v>
      </c>
      <c r="G56" s="14">
        <v>1</v>
      </c>
      <c r="H56" s="14">
        <v>1</v>
      </c>
      <c r="I56" s="14">
        <v>1</v>
      </c>
      <c r="J56" s="14">
        <v>1</v>
      </c>
      <c r="K56" s="14">
        <v>1</v>
      </c>
      <c r="L56" s="14">
        <f t="shared" si="5"/>
        <v>17</v>
      </c>
      <c r="M56" s="17" t="str">
        <f t="shared" si="6"/>
        <v>1</v>
      </c>
    </row>
    <row r="57" spans="2:13" x14ac:dyDescent="0.3">
      <c r="B57">
        <v>75761</v>
      </c>
      <c r="C57" s="46" t="s">
        <v>106</v>
      </c>
      <c r="D57" s="47" t="s">
        <v>157</v>
      </c>
      <c r="E57" s="14" t="s">
        <v>44</v>
      </c>
      <c r="F57" s="14">
        <v>1</v>
      </c>
      <c r="G57" s="14">
        <v>1</v>
      </c>
      <c r="H57" s="14">
        <v>1</v>
      </c>
      <c r="I57" s="14">
        <v>1</v>
      </c>
      <c r="J57" s="14">
        <v>1</v>
      </c>
      <c r="K57" s="14">
        <v>1</v>
      </c>
      <c r="L57" s="14">
        <f t="shared" si="5"/>
        <v>17</v>
      </c>
      <c r="M57" s="17" t="str">
        <f t="shared" si="6"/>
        <v>1</v>
      </c>
    </row>
    <row r="58" spans="2:13" x14ac:dyDescent="0.3">
      <c r="B58">
        <v>76738</v>
      </c>
      <c r="C58" s="46" t="s">
        <v>158</v>
      </c>
      <c r="D58" s="47" t="s">
        <v>159</v>
      </c>
      <c r="E58" s="14" t="s">
        <v>44</v>
      </c>
      <c r="F58" s="14">
        <v>3</v>
      </c>
      <c r="G58" s="14">
        <v>1</v>
      </c>
      <c r="H58" s="14">
        <v>3</v>
      </c>
      <c r="I58" s="14">
        <v>3</v>
      </c>
      <c r="J58" s="14">
        <v>1</v>
      </c>
      <c r="K58" s="14">
        <v>1</v>
      </c>
      <c r="L58" s="14">
        <f t="shared" si="5"/>
        <v>37</v>
      </c>
      <c r="M58" s="17" t="str">
        <f t="shared" si="6"/>
        <v>2</v>
      </c>
    </row>
    <row r="59" spans="2:13" x14ac:dyDescent="0.3">
      <c r="B59">
        <v>77202</v>
      </c>
      <c r="C59" s="46" t="s">
        <v>160</v>
      </c>
      <c r="D59" s="46" t="s">
        <v>161</v>
      </c>
      <c r="E59" s="14" t="s">
        <v>44</v>
      </c>
      <c r="F59" s="14">
        <v>3</v>
      </c>
      <c r="G59" s="14">
        <v>3</v>
      </c>
      <c r="H59" s="14">
        <v>3</v>
      </c>
      <c r="I59" s="14">
        <v>1</v>
      </c>
      <c r="J59" s="14">
        <v>3</v>
      </c>
      <c r="K59" s="14">
        <v>1</v>
      </c>
      <c r="L59" s="14">
        <f t="shared" si="5"/>
        <v>45</v>
      </c>
      <c r="M59" s="17" t="str">
        <f t="shared" si="6"/>
        <v>2</v>
      </c>
    </row>
    <row r="60" spans="2:13" x14ac:dyDescent="0.3">
      <c r="B60">
        <v>77238</v>
      </c>
      <c r="C60" s="46" t="s">
        <v>160</v>
      </c>
      <c r="D60" s="46" t="s">
        <v>162</v>
      </c>
      <c r="E60" s="14" t="s">
        <v>45</v>
      </c>
      <c r="F60" s="14">
        <v>5</v>
      </c>
      <c r="G60" s="14">
        <v>3</v>
      </c>
      <c r="H60" s="14">
        <v>3</v>
      </c>
      <c r="I60" s="14">
        <v>3</v>
      </c>
      <c r="J60" s="14">
        <v>3</v>
      </c>
      <c r="K60" s="14">
        <v>1</v>
      </c>
      <c r="L60" s="14">
        <f t="shared" si="5"/>
        <v>59</v>
      </c>
      <c r="M60" s="17" t="str">
        <f t="shared" si="6"/>
        <v>3</v>
      </c>
    </row>
    <row r="61" spans="2:13" x14ac:dyDescent="0.3">
      <c r="B61">
        <v>77239</v>
      </c>
      <c r="C61" s="46" t="s">
        <v>160</v>
      </c>
      <c r="D61" s="46" t="s">
        <v>163</v>
      </c>
      <c r="E61" s="14" t="s">
        <v>45</v>
      </c>
      <c r="F61" s="14">
        <v>5</v>
      </c>
      <c r="G61" s="14">
        <v>3</v>
      </c>
      <c r="H61" s="14">
        <v>3</v>
      </c>
      <c r="I61" s="14">
        <v>3</v>
      </c>
      <c r="J61" s="14">
        <v>3</v>
      </c>
      <c r="K61" s="14">
        <v>1</v>
      </c>
      <c r="L61" s="14">
        <f t="shared" si="5"/>
        <v>59</v>
      </c>
      <c r="M61" s="17" t="str">
        <f t="shared" si="6"/>
        <v>3</v>
      </c>
    </row>
    <row r="62" spans="2:13" x14ac:dyDescent="0.3">
      <c r="B62">
        <v>77240</v>
      </c>
      <c r="C62" s="46" t="s">
        <v>160</v>
      </c>
      <c r="D62" s="46" t="s">
        <v>164</v>
      </c>
      <c r="E62" s="14" t="s">
        <v>44</v>
      </c>
      <c r="F62" s="14">
        <v>3</v>
      </c>
      <c r="G62" s="14">
        <v>1</v>
      </c>
      <c r="H62" s="14">
        <v>1</v>
      </c>
      <c r="I62" s="14">
        <v>3</v>
      </c>
      <c r="J62" s="14">
        <v>3</v>
      </c>
      <c r="K62" s="14">
        <v>1</v>
      </c>
      <c r="L62" s="14">
        <f t="shared" si="5"/>
        <v>35</v>
      </c>
      <c r="M62" s="17" t="str">
        <f t="shared" si="6"/>
        <v>2</v>
      </c>
    </row>
    <row r="63" spans="2:13" x14ac:dyDescent="0.3">
      <c r="B63">
        <v>77304</v>
      </c>
      <c r="C63" s="46" t="s">
        <v>111</v>
      </c>
      <c r="D63" s="46" t="s">
        <v>165</v>
      </c>
      <c r="E63" s="14" t="s">
        <v>44</v>
      </c>
      <c r="F63" s="14">
        <v>5</v>
      </c>
      <c r="G63" s="14">
        <v>3</v>
      </c>
      <c r="H63" s="14">
        <v>3</v>
      </c>
      <c r="I63" s="14">
        <v>3</v>
      </c>
      <c r="J63" s="14">
        <v>3</v>
      </c>
      <c r="K63" s="14">
        <v>1</v>
      </c>
      <c r="L63" s="14">
        <f t="shared" si="5"/>
        <v>59</v>
      </c>
      <c r="M63" s="17" t="str">
        <f t="shared" si="6"/>
        <v>3</v>
      </c>
    </row>
    <row r="64" spans="2:13" x14ac:dyDescent="0.3">
      <c r="B64">
        <v>78094</v>
      </c>
      <c r="C64" s="46" t="s">
        <v>160</v>
      </c>
      <c r="D64" s="46" t="s">
        <v>166</v>
      </c>
      <c r="E64" s="14" t="s">
        <v>44</v>
      </c>
      <c r="F64" s="14">
        <v>1</v>
      </c>
      <c r="G64" s="14">
        <v>1</v>
      </c>
      <c r="H64" s="14">
        <v>1</v>
      </c>
      <c r="I64" s="14">
        <v>1</v>
      </c>
      <c r="J64" s="14">
        <v>1</v>
      </c>
      <c r="K64" s="14">
        <v>1</v>
      </c>
      <c r="L64" s="14">
        <f t="shared" si="5"/>
        <v>17</v>
      </c>
      <c r="M64" s="17" t="str">
        <f t="shared" si="6"/>
        <v>1</v>
      </c>
    </row>
    <row r="65" spans="2:13" x14ac:dyDescent="0.3">
      <c r="B65">
        <v>78099</v>
      </c>
      <c r="C65" s="46" t="s">
        <v>160</v>
      </c>
      <c r="D65" s="46" t="s">
        <v>167</v>
      </c>
      <c r="E65" s="14" t="s">
        <v>44</v>
      </c>
      <c r="F65" s="14">
        <v>1</v>
      </c>
      <c r="G65" s="14">
        <v>1</v>
      </c>
      <c r="H65" s="14">
        <v>1</v>
      </c>
      <c r="I65" s="14">
        <v>1</v>
      </c>
      <c r="J65" s="14">
        <v>1</v>
      </c>
      <c r="K65" s="14">
        <v>1</v>
      </c>
      <c r="L65" s="14">
        <f t="shared" si="5"/>
        <v>17</v>
      </c>
      <c r="M65" s="17" t="str">
        <f t="shared" si="6"/>
        <v>1</v>
      </c>
    </row>
    <row r="66" spans="2:13" x14ac:dyDescent="0.3">
      <c r="B66">
        <v>85777</v>
      </c>
      <c r="C66" s="46" t="s">
        <v>123</v>
      </c>
      <c r="D66" s="51" t="s">
        <v>168</v>
      </c>
      <c r="E66" s="14" t="s">
        <v>44</v>
      </c>
      <c r="F66" s="14">
        <v>3</v>
      </c>
      <c r="G66" s="14">
        <v>3</v>
      </c>
      <c r="H66" s="14">
        <v>3</v>
      </c>
      <c r="I66" s="14">
        <v>1</v>
      </c>
      <c r="J66" s="14">
        <v>3</v>
      </c>
      <c r="K66" s="14">
        <v>1</v>
      </c>
      <c r="L66" s="14">
        <f t="shared" si="5"/>
        <v>45</v>
      </c>
      <c r="M66" s="17" t="str">
        <f t="shared" si="6"/>
        <v>2</v>
      </c>
    </row>
    <row r="67" spans="2:13" x14ac:dyDescent="0.3">
      <c r="B67">
        <v>86642</v>
      </c>
      <c r="C67" s="48" t="s">
        <v>106</v>
      </c>
      <c r="D67" s="48" t="s">
        <v>169</v>
      </c>
      <c r="E67" s="14" t="s">
        <v>44</v>
      </c>
      <c r="F67" s="14">
        <v>1</v>
      </c>
      <c r="G67" s="14">
        <v>1</v>
      </c>
      <c r="H67" s="14">
        <v>1</v>
      </c>
      <c r="I67" s="14">
        <v>1</v>
      </c>
      <c r="J67" s="14">
        <v>1</v>
      </c>
      <c r="K67" s="14">
        <v>1</v>
      </c>
      <c r="L67" s="14">
        <f t="shared" si="5"/>
        <v>17</v>
      </c>
      <c r="M67" s="17" t="str">
        <f t="shared" si="6"/>
        <v>1</v>
      </c>
    </row>
    <row r="68" spans="2:13" x14ac:dyDescent="0.3">
      <c r="B68">
        <v>111218</v>
      </c>
      <c r="C68" s="46" t="s">
        <v>160</v>
      </c>
      <c r="D68" s="46" t="s">
        <v>170</v>
      </c>
      <c r="E68" s="14" t="s">
        <v>44</v>
      </c>
      <c r="F68" s="14">
        <v>3</v>
      </c>
      <c r="G68" s="14">
        <v>3</v>
      </c>
      <c r="H68" s="14">
        <v>3</v>
      </c>
      <c r="I68" s="14">
        <v>1</v>
      </c>
      <c r="J68" s="14">
        <v>1</v>
      </c>
      <c r="K68" s="14">
        <v>1</v>
      </c>
      <c r="L68" s="14">
        <f t="shared" si="5"/>
        <v>41</v>
      </c>
      <c r="M68" s="17" t="str">
        <f t="shared" si="6"/>
        <v>2</v>
      </c>
    </row>
  </sheetData>
  <mergeCells count="7">
    <mergeCell ref="L6:M6"/>
    <mergeCell ref="B6:D6"/>
    <mergeCell ref="D1:F5"/>
    <mergeCell ref="E6:K6"/>
    <mergeCell ref="G1:G2"/>
    <mergeCell ref="B1:C3"/>
    <mergeCell ref="B4:C5"/>
  </mergeCells>
  <conditionalFormatting sqref="L19:L53">
    <cfRule type="containsText" dxfId="14" priority="1" operator="containsText" text="C">
      <formula>NOT(ISERROR(SEARCH("C",L19)))</formula>
    </cfRule>
    <cfRule type="containsText" dxfId="13" priority="2" operator="containsText" text="B">
      <formula>NOT(ISERROR(SEARCH("B",L19)))</formula>
    </cfRule>
    <cfRule type="containsText" dxfId="12" priority="3" operator="containsText" text="A">
      <formula>NOT(ISERROR(SEARCH("A",L19)))</formula>
    </cfRule>
  </conditionalFormatting>
  <conditionalFormatting sqref="M8:M68">
    <cfRule type="containsText" dxfId="11" priority="10" operator="containsText" text="1">
      <formula>NOT(ISERROR(SEARCH("1",M8)))</formula>
    </cfRule>
    <cfRule type="containsText" dxfId="10" priority="11" operator="containsText" text="2">
      <formula>NOT(ISERROR(SEARCH("2",M8)))</formula>
    </cfRule>
    <cfRule type="containsText" dxfId="9" priority="12" operator="containsText" text="3">
      <formula>NOT(ISERROR(SEARCH("3",M8)))</formula>
    </cfRule>
  </conditionalFormatting>
  <dataValidations count="3">
    <dataValidation type="list" allowBlank="1" showInputMessage="1" showErrorMessage="1" sqref="K8:K68 F8:H68" xr:uid="{411E4CA4-3E84-4800-AB21-26AD87A953BF}">
      <formula1>$O$1:$O$3</formula1>
    </dataValidation>
    <dataValidation type="list" allowBlank="1" showInputMessage="1" showErrorMessage="1" sqref="I8:J68" xr:uid="{D375FC5D-A390-4083-ABF8-E4CDC004F003}">
      <formula1>$O$2:$O$3</formula1>
    </dataValidation>
    <dataValidation type="list" allowBlank="1" showInputMessage="1" showErrorMessage="1" sqref="E8:E68" xr:uid="{06CBD0F9-67E7-4456-966A-5105FED4CBB2}">
      <formula1>$G$3:$G$4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1CF8-8047-4D89-A784-959422816F82}">
  <dimension ref="B1:P67"/>
  <sheetViews>
    <sheetView zoomScale="70" zoomScaleNormal="70" workbookViewId="0">
      <pane ySplit="6" topLeftCell="A7" activePane="bottomLeft" state="frozen"/>
      <selection pane="bottomLeft" activeCell="L24" sqref="L24"/>
    </sheetView>
  </sheetViews>
  <sheetFormatPr baseColWidth="10" defaultRowHeight="14.4" x14ac:dyDescent="0.3"/>
  <cols>
    <col min="1" max="1" width="2" customWidth="1"/>
    <col min="2" max="2" width="30.88671875" customWidth="1"/>
    <col min="3" max="3" width="42.33203125" customWidth="1"/>
    <col min="4" max="4" width="28.109375" customWidth="1"/>
    <col min="5" max="5" width="27.109375" customWidth="1"/>
    <col min="6" max="6" width="33.5546875" customWidth="1"/>
    <col min="7" max="7" width="30.88671875" customWidth="1"/>
    <col min="8" max="8" width="22.88671875" customWidth="1"/>
    <col min="9" max="9" width="16.6640625" customWidth="1"/>
    <col min="10" max="10" width="23.44140625" customWidth="1"/>
    <col min="12" max="12" width="17.44140625" customWidth="1"/>
    <col min="14" max="14" width="12.6640625" customWidth="1"/>
    <col min="15" max="15" width="13.33203125" customWidth="1"/>
  </cols>
  <sheetData>
    <row r="1" spans="2:16" ht="67.5" customHeight="1" x14ac:dyDescent="0.3">
      <c r="B1" s="100" t="s">
        <v>6</v>
      </c>
      <c r="C1" s="101"/>
      <c r="D1" s="73" t="s">
        <v>39</v>
      </c>
      <c r="E1" s="73"/>
      <c r="F1" s="73"/>
      <c r="G1" s="19" t="s">
        <v>41</v>
      </c>
      <c r="H1" s="19" t="s">
        <v>46</v>
      </c>
      <c r="I1" s="19" t="s">
        <v>40</v>
      </c>
      <c r="J1" s="20" t="s">
        <v>38</v>
      </c>
    </row>
    <row r="2" spans="2:16" ht="18.75" customHeight="1" x14ac:dyDescent="0.3">
      <c r="B2" s="102"/>
      <c r="C2" s="103"/>
      <c r="D2" s="74"/>
      <c r="E2" s="74"/>
      <c r="F2" s="74"/>
      <c r="G2" s="4">
        <f>SUM(XYZ[COSTO REPUESTO])</f>
        <v>2345243.9277573535</v>
      </c>
      <c r="H2" s="7">
        <v>60</v>
      </c>
      <c r="I2" s="8">
        <f>$G$2*H2/100</f>
        <v>1407146.3566544121</v>
      </c>
      <c r="J2" s="21">
        <f>COUNTIF(XYZ[PORCENTAJE ACUMULADO],"&lt;=60")</f>
        <v>6</v>
      </c>
    </row>
    <row r="3" spans="2:16" ht="27.75" customHeight="1" x14ac:dyDescent="0.3">
      <c r="B3" s="104"/>
      <c r="C3" s="105"/>
      <c r="D3" s="74"/>
      <c r="E3" s="74"/>
      <c r="F3" s="74"/>
      <c r="G3" s="14" t="s">
        <v>42</v>
      </c>
      <c r="H3" s="7">
        <v>30</v>
      </c>
      <c r="I3" s="8">
        <f>$G$2*H3/100</f>
        <v>703573.17832720606</v>
      </c>
      <c r="J3" s="22">
        <f>COUNTIF(XYZ[PORCENTAJE ACUMULADO],"&lt;=90")-COUNTIF(XYZ[PORCENTAJE ACUMULADO],"&lt;=60")</f>
        <v>10</v>
      </c>
    </row>
    <row r="4" spans="2:16" ht="39.75" customHeight="1" x14ac:dyDescent="0.3">
      <c r="B4" s="106"/>
      <c r="C4" s="107"/>
      <c r="D4" s="74"/>
      <c r="E4" s="74"/>
      <c r="F4" s="74"/>
      <c r="G4" s="14">
        <f>COUNT(XYZ[COSTO ACUMULADO])</f>
        <v>61</v>
      </c>
      <c r="H4" s="7">
        <v>10</v>
      </c>
      <c r="I4" s="8">
        <f>$G$2*H4/100</f>
        <v>234524.39277573532</v>
      </c>
      <c r="J4" s="22">
        <f>COUNTIF(XYZ[PORCENTAJE ACUMULADO],"&lt;=100")-COUNTIF(XYZ[PORCENTAJE ACUMULADO],"&lt;=90")</f>
        <v>45</v>
      </c>
    </row>
    <row r="5" spans="2:16" ht="15" customHeight="1" x14ac:dyDescent="0.3">
      <c r="B5" s="39" t="s">
        <v>171</v>
      </c>
      <c r="C5" s="40" t="s">
        <v>172</v>
      </c>
      <c r="D5" s="70" t="s">
        <v>36</v>
      </c>
      <c r="E5" s="70"/>
      <c r="F5" s="70"/>
      <c r="G5" s="70"/>
      <c r="H5" s="70" t="s">
        <v>37</v>
      </c>
      <c r="I5" s="70"/>
      <c r="J5" s="71"/>
    </row>
    <row r="6" spans="2:16" ht="51" customHeight="1" x14ac:dyDescent="0.3">
      <c r="B6" s="38" t="s">
        <v>96</v>
      </c>
      <c r="C6" s="15" t="s">
        <v>98</v>
      </c>
      <c r="D6" s="5" t="s">
        <v>29</v>
      </c>
      <c r="E6" s="15" t="s">
        <v>30</v>
      </c>
      <c r="F6" s="15" t="s">
        <v>31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2:16" ht="15" thickBot="1" x14ac:dyDescent="0.35">
      <c r="B7">
        <v>77239</v>
      </c>
      <c r="C7" s="46" t="s">
        <v>163</v>
      </c>
      <c r="D7" s="52">
        <v>454166.16666666669</v>
      </c>
      <c r="E7" s="9">
        <f>XYZ[[#This Row],[COSTO REPUESTO]]</f>
        <v>454166.16666666669</v>
      </c>
      <c r="F7" s="6">
        <f>(XYZ[[#This Row],[COSTO REPUESTO]]/$G$2)*100</f>
        <v>19.36541275264976</v>
      </c>
      <c r="G7" s="10">
        <f>XYZ[[#This Row],[PORCENTAJE DEL COSTO TOTAL]]</f>
        <v>19.36541275264976</v>
      </c>
      <c r="H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X</v>
      </c>
      <c r="I7" s="14" t="str">
        <f>_xlfn.XLOOKUP(XYZ[[#This Row],[TEXTO BREVE]],CRITICIDAD!$D$8:$D$68,CRITICIDAD!$M$8:$M$68)</f>
        <v>3</v>
      </c>
      <c r="J7" s="21" t="str">
        <f>_xlfn.CONCAT(XYZ[[#This Row],[CRITICIDAD]],XYZ[[#This Row],[CLASIFICACIÓN XYZ]])</f>
        <v>3X</v>
      </c>
    </row>
    <row r="8" spans="2:16" x14ac:dyDescent="0.3">
      <c r="B8">
        <v>77238</v>
      </c>
      <c r="C8" s="46" t="s">
        <v>162</v>
      </c>
      <c r="D8" s="52">
        <v>451729.66666666669</v>
      </c>
      <c r="E8" s="9">
        <f>E7+XYZ[[#This Row],[COSTO REPUESTO]]</f>
        <v>905895.83333333337</v>
      </c>
      <c r="F8" s="6">
        <f>(XYZ[[#This Row],[COSTO REPUESTO]]/$G$2)*100</f>
        <v>19.261521640464689</v>
      </c>
      <c r="G8" s="10">
        <f>G7+XYZ[[#This Row],[PORCENTAJE DEL COSTO TOTAL]]</f>
        <v>38.626934393114453</v>
      </c>
      <c r="H8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X</v>
      </c>
      <c r="I8" s="14" t="str">
        <f>_xlfn.XLOOKUP(XYZ[[#This Row],[TEXTO BREVE]],CRITICIDAD!$D$8:$D$68,CRITICIDAD!$M$8:$M$68)</f>
        <v>3</v>
      </c>
      <c r="J8" s="21" t="str">
        <f>_xlfn.CONCAT(XYZ[[#This Row],[CRITICIDAD]],XYZ[[#This Row],[CLASIFICACIÓN XYZ]])</f>
        <v>3X</v>
      </c>
      <c r="L8" s="89" t="s">
        <v>185</v>
      </c>
      <c r="M8" s="90"/>
      <c r="N8" s="57">
        <v>61</v>
      </c>
      <c r="O8" s="98" t="s">
        <v>186</v>
      </c>
      <c r="P8" s="84" t="s">
        <v>34</v>
      </c>
    </row>
    <row r="9" spans="2:16" x14ac:dyDescent="0.3">
      <c r="B9">
        <v>78094</v>
      </c>
      <c r="C9" s="46" t="s">
        <v>166</v>
      </c>
      <c r="D9" s="52">
        <v>142604.83333333334</v>
      </c>
      <c r="E9" s="9">
        <f>E8+XYZ[[#This Row],[COSTO REPUESTO]]</f>
        <v>1048500.6666666667</v>
      </c>
      <c r="F9" s="6">
        <f>(XYZ[[#This Row],[COSTO REPUESTO]]/$G$2)*100</f>
        <v>6.0805970605240898</v>
      </c>
      <c r="G9" s="10">
        <f>G8+XYZ[[#This Row],[PORCENTAJE DEL COSTO TOTAL]]</f>
        <v>44.707531453638545</v>
      </c>
      <c r="H9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X</v>
      </c>
      <c r="I9" s="14" t="str">
        <f>_xlfn.XLOOKUP(XYZ[[#This Row],[TEXTO BREVE]],CRITICIDAD!$D$8:$D$68,CRITICIDAD!$M$8:$M$68)</f>
        <v>1</v>
      </c>
      <c r="J9" s="21" t="str">
        <f>_xlfn.CONCAT(XYZ[[#This Row],[CRITICIDAD]],XYZ[[#This Row],[CLASIFICACIÓN XYZ]])</f>
        <v>1X</v>
      </c>
      <c r="L9" s="54" t="s">
        <v>173</v>
      </c>
      <c r="M9" s="15" t="s">
        <v>183</v>
      </c>
      <c r="N9" s="15" t="s">
        <v>184</v>
      </c>
      <c r="O9" s="99"/>
      <c r="P9" s="71"/>
    </row>
    <row r="10" spans="2:16" x14ac:dyDescent="0.3">
      <c r="B10">
        <v>77304</v>
      </c>
      <c r="C10" s="46" t="s">
        <v>165</v>
      </c>
      <c r="D10" s="52">
        <v>115802.25</v>
      </c>
      <c r="E10" s="9">
        <f>E9+XYZ[[#This Row],[COSTO REPUESTO]]</f>
        <v>1164302.9166666667</v>
      </c>
      <c r="F10" s="6">
        <f>(XYZ[[#This Row],[COSTO REPUESTO]]/$G$2)*100</f>
        <v>4.9377486337097665</v>
      </c>
      <c r="G10" s="10">
        <f>G9+XYZ[[#This Row],[PORCENTAJE DEL COSTO TOTAL]]</f>
        <v>49.645280087348311</v>
      </c>
      <c r="H10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X</v>
      </c>
      <c r="I10" s="14" t="str">
        <f>_xlfn.XLOOKUP(XYZ[[#This Row],[TEXTO BREVE]],CRITICIDAD!$D$8:$D$68,CRITICIDAD!$M$8:$M$68)</f>
        <v>3</v>
      </c>
      <c r="J10" s="21" t="str">
        <f>_xlfn.CONCAT(XYZ[[#This Row],[CRITICIDAD]],XYZ[[#This Row],[CLASIFICACIÓN XYZ]])</f>
        <v>3X</v>
      </c>
      <c r="L10" s="58" t="s">
        <v>174</v>
      </c>
      <c r="M10" s="59">
        <f>COUNTIF(XYZ[TIPO DE REPUEST0],L10)</f>
        <v>1</v>
      </c>
      <c r="N10" s="60">
        <f>M10/$N$8</f>
        <v>1.6393442622950821E-2</v>
      </c>
      <c r="O10" s="91">
        <f>SUM(N10:N12)</f>
        <v>0.62295081967213117</v>
      </c>
      <c r="P10" s="85" t="s">
        <v>187</v>
      </c>
    </row>
    <row r="11" spans="2:16" x14ac:dyDescent="0.3">
      <c r="B11">
        <v>111218</v>
      </c>
      <c r="C11" s="46" t="s">
        <v>170</v>
      </c>
      <c r="D11" s="52">
        <v>113931.125</v>
      </c>
      <c r="E11" s="9">
        <f>E10+XYZ[[#This Row],[COSTO REPUESTO]]</f>
        <v>1278234.0416666667</v>
      </c>
      <c r="F11" s="6">
        <f>(XYZ[[#This Row],[COSTO REPUESTO]]/$G$2)*100</f>
        <v>4.8579648219768323</v>
      </c>
      <c r="G11" s="10">
        <f>G10+XYZ[[#This Row],[PORCENTAJE DEL COSTO TOTAL]]</f>
        <v>54.503244909325147</v>
      </c>
      <c r="H11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X</v>
      </c>
      <c r="I11" s="14" t="str">
        <f>_xlfn.XLOOKUP(XYZ[[#This Row],[TEXTO BREVE]],CRITICIDAD!$D$8:$D$68,CRITICIDAD!$M$8:$M$68)</f>
        <v>2</v>
      </c>
      <c r="J11" s="21" t="str">
        <f>_xlfn.CONCAT(XYZ[[#This Row],[CRITICIDAD]],XYZ[[#This Row],[CLASIFICACIÓN XYZ]])</f>
        <v>2X</v>
      </c>
      <c r="L11" s="58" t="s">
        <v>176</v>
      </c>
      <c r="M11" s="59">
        <f>COUNTIF(XYZ[TIPO DE REPUEST0],L11)</f>
        <v>4</v>
      </c>
      <c r="N11" s="60">
        <f t="shared" ref="N11:N18" si="0">M11/$N$8</f>
        <v>6.5573770491803282E-2</v>
      </c>
      <c r="O11" s="92"/>
      <c r="P11" s="85"/>
    </row>
    <row r="12" spans="2:16" x14ac:dyDescent="0.3">
      <c r="B12">
        <v>76738</v>
      </c>
      <c r="C12" s="47" t="s">
        <v>159</v>
      </c>
      <c r="D12" s="52">
        <v>107342.89090909091</v>
      </c>
      <c r="E12" s="9">
        <f>E11+XYZ[[#This Row],[COSTO REPUESTO]]</f>
        <v>1385576.9325757576</v>
      </c>
      <c r="F12" s="6">
        <f>(XYZ[[#This Row],[COSTO REPUESTO]]/$G$2)*100</f>
        <v>4.5770458944003263</v>
      </c>
      <c r="G12" s="10">
        <f>G11+XYZ[[#This Row],[PORCENTAJE DEL COSTO TOTAL]]</f>
        <v>59.080290803725475</v>
      </c>
      <c r="H12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X</v>
      </c>
      <c r="I12" s="14" t="str">
        <f>_xlfn.XLOOKUP(XYZ[[#This Row],[TEXTO BREVE]],CRITICIDAD!$D$8:$D$68,CRITICIDAD!$M$8:$M$68)</f>
        <v>2</v>
      </c>
      <c r="J12" s="21" t="str">
        <f>_xlfn.CONCAT(XYZ[[#This Row],[CRITICIDAD]],XYZ[[#This Row],[CLASIFICACIÓN XYZ]])</f>
        <v>2X</v>
      </c>
      <c r="L12" s="58" t="s">
        <v>177</v>
      </c>
      <c r="M12" s="59">
        <f>COUNTIF(XYZ[TIPO DE REPUEST0],L12)</f>
        <v>33</v>
      </c>
      <c r="N12" s="60">
        <f t="shared" si="0"/>
        <v>0.54098360655737709</v>
      </c>
      <c r="O12" s="92"/>
      <c r="P12" s="85"/>
    </row>
    <row r="13" spans="2:16" x14ac:dyDescent="0.3">
      <c r="B13">
        <v>85777</v>
      </c>
      <c r="C13" s="56" t="s">
        <v>168</v>
      </c>
      <c r="D13" s="52">
        <v>106666.66666666667</v>
      </c>
      <c r="E13" s="9">
        <f>E12+XYZ[[#This Row],[COSTO REPUESTO]]</f>
        <v>1492243.5992424244</v>
      </c>
      <c r="F13" s="6">
        <f>(XYZ[[#This Row],[COSTO REPUESTO]]/$G$2)*100</f>
        <v>4.5482120390209042</v>
      </c>
      <c r="G13" s="10">
        <f>G12+XYZ[[#This Row],[PORCENTAJE DEL COSTO TOTAL]]</f>
        <v>63.628502842746379</v>
      </c>
      <c r="H13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3" s="14" t="str">
        <f>_xlfn.XLOOKUP(XYZ[[#This Row],[TEXTO BREVE]],CRITICIDAD!$D$8:$D$68,CRITICIDAD!$M$8:$M$68)</f>
        <v>2</v>
      </c>
      <c r="J13" s="21" t="str">
        <f>_xlfn.CONCAT(XYZ[[#This Row],[CRITICIDAD]],XYZ[[#This Row],[CLASIFICACIÓN XYZ]])</f>
        <v>2Y</v>
      </c>
      <c r="L13" s="61" t="s">
        <v>175</v>
      </c>
      <c r="M13" s="62">
        <f>COUNTIF(XYZ[TIPO DE REPUEST0],L13)</f>
        <v>2</v>
      </c>
      <c r="N13" s="63">
        <f t="shared" si="0"/>
        <v>3.2786885245901641E-2</v>
      </c>
      <c r="O13" s="93">
        <f>SUM(N13:N15)</f>
        <v>0.32786885245901642</v>
      </c>
      <c r="P13" s="86" t="s">
        <v>188</v>
      </c>
    </row>
    <row r="14" spans="2:16" x14ac:dyDescent="0.3">
      <c r="B14">
        <v>71170</v>
      </c>
      <c r="C14" s="47" t="s">
        <v>153</v>
      </c>
      <c r="D14" s="52">
        <v>104369.25757575757</v>
      </c>
      <c r="E14" s="9">
        <f>E13+XYZ[[#This Row],[COSTO REPUESTO]]</f>
        <v>1596612.8568181819</v>
      </c>
      <c r="F14" s="6">
        <f>(XYZ[[#This Row],[COSTO REPUESTO]]/$G$2)*100</f>
        <v>4.4502516919662591</v>
      </c>
      <c r="G14" s="10">
        <f>G13+XYZ[[#This Row],[PORCENTAJE DEL COSTO TOTAL]]</f>
        <v>68.078754534712644</v>
      </c>
      <c r="H14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4" s="14" t="str">
        <f>_xlfn.XLOOKUP(XYZ[[#This Row],[TEXTO BREVE]],CRITICIDAD!$D$8:$D$68,CRITICIDAD!$M$8:$M$68)</f>
        <v>2</v>
      </c>
      <c r="J14" s="21" t="str">
        <f>_xlfn.CONCAT(XYZ[[#This Row],[CRITICIDAD]],XYZ[[#This Row],[CLASIFICACIÓN XYZ]])</f>
        <v>2Y</v>
      </c>
      <c r="L14" s="61" t="s">
        <v>178</v>
      </c>
      <c r="M14" s="62">
        <f>COUNTIF(XYZ[TIPO DE REPUEST0],L14)</f>
        <v>6</v>
      </c>
      <c r="N14" s="63">
        <f t="shared" si="0"/>
        <v>9.8360655737704916E-2</v>
      </c>
      <c r="O14" s="94"/>
      <c r="P14" s="86"/>
    </row>
    <row r="15" spans="2:16" x14ac:dyDescent="0.3">
      <c r="B15">
        <v>77240</v>
      </c>
      <c r="C15" s="46" t="s">
        <v>164</v>
      </c>
      <c r="D15" s="52">
        <v>85128.105263157893</v>
      </c>
      <c r="E15" s="9">
        <f>E14+XYZ[[#This Row],[COSTO REPUESTO]]</f>
        <v>1681740.9620813399</v>
      </c>
      <c r="F15" s="6">
        <f>(XYZ[[#This Row],[COSTO REPUESTO]]/$G$2)*100</f>
        <v>3.629818811408752</v>
      </c>
      <c r="G15" s="10">
        <f>G14+XYZ[[#This Row],[PORCENTAJE DEL COSTO TOTAL]]</f>
        <v>71.708573346121398</v>
      </c>
      <c r="H15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5" s="14" t="str">
        <f>_xlfn.XLOOKUP(XYZ[[#This Row],[TEXTO BREVE]],CRITICIDAD!$D$8:$D$68,CRITICIDAD!$M$8:$M$68)</f>
        <v>2</v>
      </c>
      <c r="J15" s="21" t="str">
        <f>_xlfn.CONCAT(XYZ[[#This Row],[CRITICIDAD]],XYZ[[#This Row],[CLASIFICACIÓN XYZ]])</f>
        <v>2Y</v>
      </c>
      <c r="L15" s="61" t="s">
        <v>179</v>
      </c>
      <c r="M15" s="62">
        <f>COUNTIF(XYZ[TIPO DE REPUEST0],L15)</f>
        <v>12</v>
      </c>
      <c r="N15" s="63">
        <f t="shared" si="0"/>
        <v>0.19672131147540983</v>
      </c>
      <c r="O15" s="94"/>
      <c r="P15" s="86"/>
    </row>
    <row r="16" spans="2:16" x14ac:dyDescent="0.3">
      <c r="B16">
        <v>65571</v>
      </c>
      <c r="C16" s="47" t="s">
        <v>133</v>
      </c>
      <c r="D16" s="52">
        <v>79787.179487179485</v>
      </c>
      <c r="E16" s="9">
        <f>E15+XYZ[[#This Row],[COSTO REPUESTO]]</f>
        <v>1761528.1415685194</v>
      </c>
      <c r="F16" s="6">
        <f>(XYZ[[#This Row],[COSTO REPUESTO]]/$G$2)*100</f>
        <v>3.4020844715916696</v>
      </c>
      <c r="G16" s="10">
        <f>G15+XYZ[[#This Row],[PORCENTAJE DEL COSTO TOTAL]]</f>
        <v>75.110657817713061</v>
      </c>
      <c r="H16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6" s="14" t="str">
        <f>_xlfn.XLOOKUP(XYZ[[#This Row],[TEXTO BREVE]],CRITICIDAD!$D$8:$D$68,CRITICIDAD!$M$8:$M$68)</f>
        <v>1</v>
      </c>
      <c r="J16" s="21" t="str">
        <f>_xlfn.CONCAT(XYZ[[#This Row],[CRITICIDAD]],XYZ[[#This Row],[CLASIFICACIÓN XYZ]])</f>
        <v>1Y</v>
      </c>
      <c r="L16" s="64" t="s">
        <v>180</v>
      </c>
      <c r="M16" s="65">
        <f>COUNTIF(XYZ[TIPO DE REPUEST0],L16)</f>
        <v>3</v>
      </c>
      <c r="N16" s="66">
        <f t="shared" si="0"/>
        <v>4.9180327868852458E-2</v>
      </c>
      <c r="O16" s="95">
        <f>SUM(N16:N18)</f>
        <v>4.9180327868852458E-2</v>
      </c>
      <c r="P16" s="87" t="s">
        <v>189</v>
      </c>
    </row>
    <row r="17" spans="2:16" x14ac:dyDescent="0.3">
      <c r="B17">
        <v>67717</v>
      </c>
      <c r="C17" s="47" t="s">
        <v>140</v>
      </c>
      <c r="D17" s="52">
        <v>73441.70469798657</v>
      </c>
      <c r="E17" s="9">
        <f>E16+XYZ[[#This Row],[COSTO REPUESTO]]</f>
        <v>1834969.846266506</v>
      </c>
      <c r="F17" s="6">
        <f>(XYZ[[#This Row],[COSTO REPUESTO]]/$G$2)*100</f>
        <v>3.1315166763150057</v>
      </c>
      <c r="G17" s="10">
        <f>G16+XYZ[[#This Row],[PORCENTAJE DEL COSTO TOTAL]]</f>
        <v>78.242174494028063</v>
      </c>
      <c r="H1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7" s="14" t="str">
        <f>_xlfn.XLOOKUP(XYZ[[#This Row],[TEXTO BREVE]],CRITICIDAD!$D$8:$D$68,CRITICIDAD!$M$8:$M$68)</f>
        <v>1</v>
      </c>
      <c r="J17" s="21" t="str">
        <f>_xlfn.CONCAT(XYZ[[#This Row],[CRITICIDAD]],XYZ[[#This Row],[CLASIFICACIÓN XYZ]])</f>
        <v>1Y</v>
      </c>
      <c r="L17" s="64" t="s">
        <v>181</v>
      </c>
      <c r="M17" s="65">
        <f>COUNTIF(XYZ[TIPO DE REPUEST0],L17)</f>
        <v>0</v>
      </c>
      <c r="N17" s="66">
        <f t="shared" si="0"/>
        <v>0</v>
      </c>
      <c r="O17" s="96"/>
      <c r="P17" s="87"/>
    </row>
    <row r="18" spans="2:16" ht="15" thickBot="1" x14ac:dyDescent="0.35">
      <c r="B18">
        <v>77202</v>
      </c>
      <c r="C18" s="46" t="s">
        <v>161</v>
      </c>
      <c r="D18" s="52">
        <v>72220.142857142855</v>
      </c>
      <c r="E18" s="9">
        <f>E17+XYZ[[#This Row],[COSTO REPUESTO]]</f>
        <v>1907189.989123649</v>
      </c>
      <c r="F18" s="6">
        <f>(XYZ[[#This Row],[COSTO REPUESTO]]/$G$2)*100</f>
        <v>3.0794299050250005</v>
      </c>
      <c r="G18" s="10">
        <f>G17+XYZ[[#This Row],[PORCENTAJE DEL COSTO TOTAL]]</f>
        <v>81.321604399053058</v>
      </c>
      <c r="H18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8" s="14" t="str">
        <f>_xlfn.XLOOKUP(XYZ[[#This Row],[TEXTO BREVE]],CRITICIDAD!$D$8:$D$68,CRITICIDAD!$M$8:$M$68)</f>
        <v>2</v>
      </c>
      <c r="J18" s="21" t="str">
        <f>_xlfn.CONCAT(XYZ[[#This Row],[CRITICIDAD]],XYZ[[#This Row],[CLASIFICACIÓN XYZ]])</f>
        <v>2Y</v>
      </c>
      <c r="L18" s="67" t="s">
        <v>182</v>
      </c>
      <c r="M18" s="68">
        <f>COUNTIF(XYZ[TIPO DE REPUEST0],L18)</f>
        <v>0</v>
      </c>
      <c r="N18" s="69">
        <f t="shared" si="0"/>
        <v>0</v>
      </c>
      <c r="O18" s="97"/>
      <c r="P18" s="88"/>
    </row>
    <row r="19" spans="2:16" x14ac:dyDescent="0.3">
      <c r="B19">
        <v>65576</v>
      </c>
      <c r="C19" s="47" t="s">
        <v>134</v>
      </c>
      <c r="D19" s="52">
        <v>69588.172106824932</v>
      </c>
      <c r="E19" s="9">
        <f>E18+XYZ[[#This Row],[COSTO REPUESTO]]</f>
        <v>1976778.1612304738</v>
      </c>
      <c r="F19" s="6">
        <f>(XYZ[[#This Row],[COSTO REPUESTO]]/$G$2)*100</f>
        <v>2.9672040201536234</v>
      </c>
      <c r="G19" s="10">
        <f>G18+XYZ[[#This Row],[PORCENTAJE DEL COSTO TOTAL]]</f>
        <v>84.288808419206674</v>
      </c>
      <c r="H19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19" s="14" t="str">
        <f>_xlfn.XLOOKUP(XYZ[[#This Row],[TEXTO BREVE]],CRITICIDAD!$D$8:$D$68,CRITICIDAD!$M$8:$M$68)</f>
        <v>1</v>
      </c>
      <c r="J19" s="21" t="str">
        <f>_xlfn.CONCAT(XYZ[[#This Row],[CRITICIDAD]],XYZ[[#This Row],[CLASIFICACIÓN XYZ]])</f>
        <v>1Y</v>
      </c>
    </row>
    <row r="20" spans="2:16" x14ac:dyDescent="0.3">
      <c r="B20">
        <v>71946</v>
      </c>
      <c r="C20" s="47" t="s">
        <v>154</v>
      </c>
      <c r="D20" s="52">
        <v>62354.12162162162</v>
      </c>
      <c r="E20" s="9">
        <f>E19+XYZ[[#This Row],[COSTO REPUESTO]]</f>
        <v>2039132.2828520953</v>
      </c>
      <c r="F20" s="6">
        <f>(XYZ[[#This Row],[COSTO REPUESTO]]/$G$2)*100</f>
        <v>2.6587478122690604</v>
      </c>
      <c r="G20" s="10">
        <f>G19+XYZ[[#This Row],[PORCENTAJE DEL COSTO TOTAL]]</f>
        <v>86.94755623147573</v>
      </c>
      <c r="H20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20" s="14" t="str">
        <f>_xlfn.XLOOKUP(XYZ[[#This Row],[TEXTO BREVE]],CRITICIDAD!$D$8:$D$68,CRITICIDAD!$M$8:$M$68)</f>
        <v>2</v>
      </c>
      <c r="J20" s="21" t="str">
        <f>_xlfn.CONCAT(XYZ[[#This Row],[CRITICIDAD]],XYZ[[#This Row],[CLASIFICACIÓN XYZ]])</f>
        <v>2Y</v>
      </c>
    </row>
    <row r="21" spans="2:16" x14ac:dyDescent="0.3">
      <c r="B21">
        <v>70637</v>
      </c>
      <c r="C21" s="47" t="s">
        <v>152</v>
      </c>
      <c r="D21" s="52">
        <v>31390.769716088329</v>
      </c>
      <c r="E21" s="9">
        <f>E20+XYZ[[#This Row],[COSTO REPUESTO]]</f>
        <v>2070523.0525681837</v>
      </c>
      <c r="F21" s="6">
        <f>(XYZ[[#This Row],[COSTO REPUESTO]]/$G$2)*100</f>
        <v>1.3384863444079289</v>
      </c>
      <c r="G21" s="10">
        <f>G20+XYZ[[#This Row],[PORCENTAJE DEL COSTO TOTAL]]</f>
        <v>88.286042575883656</v>
      </c>
      <c r="H21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21" s="14" t="str">
        <f>_xlfn.XLOOKUP(XYZ[[#This Row],[TEXTO BREVE]],CRITICIDAD!$D$8:$D$68,CRITICIDAD!$M$8:$M$68)</f>
        <v>1</v>
      </c>
      <c r="J21" s="21" t="str">
        <f>_xlfn.CONCAT(XYZ[[#This Row],[CRITICIDAD]],XYZ[[#This Row],[CLASIFICACIÓN XYZ]])</f>
        <v>1Y</v>
      </c>
    </row>
    <row r="22" spans="2:16" x14ac:dyDescent="0.3">
      <c r="B22">
        <v>68335</v>
      </c>
      <c r="C22" s="47" t="s">
        <v>141</v>
      </c>
      <c r="D22" s="52">
        <v>29200</v>
      </c>
      <c r="E22" s="9">
        <f>E21+XYZ[[#This Row],[COSTO REPUESTO]]</f>
        <v>2099723.0525681837</v>
      </c>
      <c r="F22" s="6">
        <f>(XYZ[[#This Row],[COSTO REPUESTO]]/$G$2)*100</f>
        <v>1.2450730456819725</v>
      </c>
      <c r="G22" s="10">
        <f>G21+XYZ[[#This Row],[PORCENTAJE DEL COSTO TOTAL]]</f>
        <v>89.531115621565633</v>
      </c>
      <c r="H22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Y</v>
      </c>
      <c r="I22" s="14" t="str">
        <f>_xlfn.XLOOKUP(XYZ[[#This Row],[TEXTO BREVE]],CRITICIDAD!$D$8:$D$68,CRITICIDAD!$M$8:$M$68)</f>
        <v>2</v>
      </c>
      <c r="J22" s="21" t="str">
        <f>_xlfn.CONCAT(XYZ[[#This Row],[CRITICIDAD]],XYZ[[#This Row],[CLASIFICACIÓN XYZ]])</f>
        <v>2Y</v>
      </c>
    </row>
    <row r="23" spans="2:16" x14ac:dyDescent="0.3">
      <c r="B23">
        <v>60050</v>
      </c>
      <c r="C23" s="53" t="s">
        <v>107</v>
      </c>
      <c r="D23" s="52">
        <v>23758.75</v>
      </c>
      <c r="E23" s="9">
        <f>E22+XYZ[[#This Row],[COSTO REPUESTO]]</f>
        <v>2123481.8025681837</v>
      </c>
      <c r="F23" s="6">
        <f>(XYZ[[#This Row],[COSTO REPUESTO]]/$G$2)*100</f>
        <v>1.0130609323320741</v>
      </c>
      <c r="G23" s="10">
        <f>G22+XYZ[[#This Row],[PORCENTAJE DEL COSTO TOTAL]]</f>
        <v>90.544176553897699</v>
      </c>
      <c r="H23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3" s="14" t="str">
        <f>_xlfn.XLOOKUP(XYZ[[#This Row],[TEXTO BREVE]],CRITICIDAD!$D$8:$D$68,CRITICIDAD!$M$8:$M$68)</f>
        <v>2</v>
      </c>
      <c r="J23" s="21" t="str">
        <f>_xlfn.CONCAT(XYZ[[#This Row],[CRITICIDAD]],XYZ[[#This Row],[CLASIFICACIÓN XYZ]])</f>
        <v>2Z</v>
      </c>
    </row>
    <row r="24" spans="2:16" x14ac:dyDescent="0.3">
      <c r="B24">
        <v>29153</v>
      </c>
      <c r="C24" s="46" t="s">
        <v>105</v>
      </c>
      <c r="D24" s="52">
        <v>19057.601036269429</v>
      </c>
      <c r="E24" s="9">
        <f>E23+XYZ[[#This Row],[COSTO REPUESTO]]</f>
        <v>2142539.403604453</v>
      </c>
      <c r="F24" s="6">
        <f>(XYZ[[#This Row],[COSTO REPUESTO]]/$G$2)*100</f>
        <v>0.81260634813766752</v>
      </c>
      <c r="G24" s="10">
        <f>G23+XYZ[[#This Row],[PORCENTAJE DEL COSTO TOTAL]]</f>
        <v>91.356782902035363</v>
      </c>
      <c r="H24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4" s="14" t="str">
        <f>_xlfn.XLOOKUP(XYZ[[#This Row],[TEXTO BREVE]],CRITICIDAD!$D$8:$D$68,CRITICIDAD!$M$8:$M$68)</f>
        <v>2</v>
      </c>
      <c r="J24" s="21" t="str">
        <f>_xlfn.CONCAT(XYZ[[#This Row],[CRITICIDAD]],XYZ[[#This Row],[CLASIFICACIÓN XYZ]])</f>
        <v>2Z</v>
      </c>
    </row>
    <row r="25" spans="2:16" x14ac:dyDescent="0.3">
      <c r="B25">
        <v>29152</v>
      </c>
      <c r="C25" s="46" t="s">
        <v>104</v>
      </c>
      <c r="D25" s="52">
        <v>18467.73834196891</v>
      </c>
      <c r="E25" s="9">
        <f>E24+XYZ[[#This Row],[COSTO REPUESTO]]</f>
        <v>2161007.1419464219</v>
      </c>
      <c r="F25" s="6">
        <f>(XYZ[[#This Row],[COSTO REPUESTO]]/$G$2)*100</f>
        <v>0.78745490494154025</v>
      </c>
      <c r="G25" s="10">
        <f>G24+XYZ[[#This Row],[PORCENTAJE DEL COSTO TOTAL]]</f>
        <v>92.144237806976903</v>
      </c>
      <c r="H25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5" s="14" t="str">
        <f>_xlfn.XLOOKUP(XYZ[[#This Row],[TEXTO BREVE]],CRITICIDAD!$D$8:$D$68,CRITICIDAD!$M$8:$M$68)</f>
        <v>2</v>
      </c>
      <c r="J25" s="21" t="str">
        <f>_xlfn.CONCAT(XYZ[[#This Row],[CRITICIDAD]],XYZ[[#This Row],[CLASIFICACIÓN XYZ]])</f>
        <v>2Z</v>
      </c>
    </row>
    <row r="26" spans="2:16" x14ac:dyDescent="0.3">
      <c r="B26">
        <v>63158</v>
      </c>
      <c r="C26" s="47" t="s">
        <v>116</v>
      </c>
      <c r="D26" s="52">
        <v>18277.833333333332</v>
      </c>
      <c r="E26" s="9">
        <f>E25+XYZ[[#This Row],[COSTO REPUESTO]]</f>
        <v>2179284.9752797554</v>
      </c>
      <c r="F26" s="6">
        <f>(XYZ[[#This Row],[COSTO REPUESTO]]/$G$2)*100</f>
        <v>0.77935745263016476</v>
      </c>
      <c r="G26" s="10">
        <f>G25+XYZ[[#This Row],[PORCENTAJE DEL COSTO TOTAL]]</f>
        <v>92.923595259607069</v>
      </c>
      <c r="H26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6" s="14" t="str">
        <f>_xlfn.XLOOKUP(XYZ[[#This Row],[TEXTO BREVE]],CRITICIDAD!$D$8:$D$68,CRITICIDAD!$M$8:$M$68)</f>
        <v>1</v>
      </c>
      <c r="J26" s="21" t="str">
        <f>_xlfn.CONCAT(XYZ[[#This Row],[CRITICIDAD]],XYZ[[#This Row],[CLASIFICACIÓN XYZ]])</f>
        <v>1Z</v>
      </c>
    </row>
    <row r="27" spans="2:16" x14ac:dyDescent="0.3">
      <c r="B27">
        <v>63628</v>
      </c>
      <c r="C27" s="47" t="s">
        <v>124</v>
      </c>
      <c r="D27" s="52">
        <v>12976.64827586207</v>
      </c>
      <c r="E27" s="9">
        <f>E26+XYZ[[#This Row],[COSTO REPUESTO]]</f>
        <v>2192261.6235556174</v>
      </c>
      <c r="F27" s="6">
        <f>(XYZ[[#This Row],[COSTO REPUESTO]]/$G$2)*100</f>
        <v>0.55331763669764744</v>
      </c>
      <c r="G27" s="10">
        <f>G26+XYZ[[#This Row],[PORCENTAJE DEL COSTO TOTAL]]</f>
        <v>93.476912896304711</v>
      </c>
      <c r="H2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7" s="14" t="str">
        <f>_xlfn.XLOOKUP(XYZ[[#This Row],[TEXTO BREVE]],CRITICIDAD!$D$8:$D$68,CRITICIDAD!$M$8:$M$68)</f>
        <v>2</v>
      </c>
      <c r="J27" s="21" t="str">
        <f>_xlfn.CONCAT(XYZ[[#This Row],[CRITICIDAD]],XYZ[[#This Row],[CLASIFICACIÓN XYZ]])</f>
        <v>2Z</v>
      </c>
    </row>
    <row r="28" spans="2:16" x14ac:dyDescent="0.3">
      <c r="B28">
        <v>65453</v>
      </c>
      <c r="C28" s="47" t="s">
        <v>132</v>
      </c>
      <c r="D28" s="52">
        <v>12496.657933042212</v>
      </c>
      <c r="E28" s="9">
        <f>E27+XYZ[[#This Row],[COSTO REPUESTO]]</f>
        <v>2204758.2814886598</v>
      </c>
      <c r="F28" s="6">
        <f>(XYZ[[#This Row],[COSTO REPUESTO]]/$G$2)*100</f>
        <v>0.5328510942992688</v>
      </c>
      <c r="G28" s="10">
        <f>G27+XYZ[[#This Row],[PORCENTAJE DEL COSTO TOTAL]]</f>
        <v>94.009763990603986</v>
      </c>
      <c r="H28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8" s="14" t="str">
        <f>_xlfn.XLOOKUP(XYZ[[#This Row],[TEXTO BREVE]],CRITICIDAD!$D$8:$D$68,CRITICIDAD!$M$8:$M$68)</f>
        <v>1</v>
      </c>
      <c r="J28" s="21" t="str">
        <f>_xlfn.CONCAT(XYZ[[#This Row],[CRITICIDAD]],XYZ[[#This Row],[CLASIFICACIÓN XYZ]])</f>
        <v>1Z</v>
      </c>
    </row>
    <row r="29" spans="2:16" x14ac:dyDescent="0.3">
      <c r="B29">
        <v>78099</v>
      </c>
      <c r="C29" s="46" t="s">
        <v>167</v>
      </c>
      <c r="D29" s="52">
        <v>12174.928571428571</v>
      </c>
      <c r="E29" s="9">
        <f>E28+XYZ[[#This Row],[COSTO REPUESTO]]</f>
        <v>2216933.2100600884</v>
      </c>
      <c r="F29" s="6">
        <f>(XYZ[[#This Row],[COSTO REPUESTO]]/$G$2)*100</f>
        <v>0.51913271908866565</v>
      </c>
      <c r="G29" s="10">
        <f>G28+XYZ[[#This Row],[PORCENTAJE DEL COSTO TOTAL]]</f>
        <v>94.528896709692646</v>
      </c>
      <c r="H29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29" s="14" t="str">
        <f>_xlfn.XLOOKUP(XYZ[[#This Row],[TEXTO BREVE]],CRITICIDAD!$D$8:$D$68,CRITICIDAD!$M$8:$M$68)</f>
        <v>1</v>
      </c>
      <c r="J29" s="21" t="str">
        <f>_xlfn.CONCAT(XYZ[[#This Row],[CRITICIDAD]],XYZ[[#This Row],[CLASIFICACIÓN XYZ]])</f>
        <v>1Z</v>
      </c>
    </row>
    <row r="30" spans="2:16" x14ac:dyDescent="0.3">
      <c r="B30">
        <v>63138</v>
      </c>
      <c r="C30" s="47" t="s">
        <v>113</v>
      </c>
      <c r="D30" s="52">
        <v>10215.75</v>
      </c>
      <c r="E30" s="9">
        <f>E29+XYZ[[#This Row],[COSTO REPUESTO]]</f>
        <v>2227148.9600600884</v>
      </c>
      <c r="F30" s="6">
        <f>(XYZ[[#This Row],[COSTO REPUESTO]]/$G$2)*100</f>
        <v>0.4355943481652606</v>
      </c>
      <c r="G30" s="10">
        <f>G29+XYZ[[#This Row],[PORCENTAJE DEL COSTO TOTAL]]</f>
        <v>94.964491057857913</v>
      </c>
      <c r="H30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0" s="14" t="str">
        <f>_xlfn.XLOOKUP(XYZ[[#This Row],[TEXTO BREVE]],CRITICIDAD!$D$8:$D$68,CRITICIDAD!$M$8:$M$68)</f>
        <v>1</v>
      </c>
      <c r="J30" s="21" t="str">
        <f>_xlfn.CONCAT(XYZ[[#This Row],[CRITICIDAD]],XYZ[[#This Row],[CLASIFICACIÓN XYZ]])</f>
        <v>1Z</v>
      </c>
    </row>
    <row r="31" spans="2:16" x14ac:dyDescent="0.3">
      <c r="B31">
        <v>63475</v>
      </c>
      <c r="C31" s="47" t="s">
        <v>122</v>
      </c>
      <c r="D31" s="52">
        <v>9500</v>
      </c>
      <c r="E31" s="9">
        <f>E30+XYZ[[#This Row],[COSTO REPUESTO]]</f>
        <v>2236648.9600600884</v>
      </c>
      <c r="F31" s="6">
        <f>(XYZ[[#This Row],[COSTO REPUESTO]]/$G$2)*100</f>
        <v>0.40507513472529927</v>
      </c>
      <c r="G31" s="10">
        <f>G30+XYZ[[#This Row],[PORCENTAJE DEL COSTO TOTAL]]</f>
        <v>95.369566192583207</v>
      </c>
      <c r="H31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1" s="14" t="str">
        <f>_xlfn.XLOOKUP(XYZ[[#This Row],[TEXTO BREVE]],CRITICIDAD!$D$8:$D$68,CRITICIDAD!$M$8:$M$68)</f>
        <v>2</v>
      </c>
      <c r="J31" s="21" t="str">
        <f>_xlfn.CONCAT(XYZ[[#This Row],[CRITICIDAD]],XYZ[[#This Row],[CLASIFICACIÓN XYZ]])</f>
        <v>2Z</v>
      </c>
    </row>
    <row r="32" spans="2:16" x14ac:dyDescent="0.3">
      <c r="B32">
        <v>63473</v>
      </c>
      <c r="C32" s="47" t="s">
        <v>120</v>
      </c>
      <c r="D32" s="52">
        <v>9359.3529411764703</v>
      </c>
      <c r="E32" s="9">
        <f>E31+XYZ[[#This Row],[COSTO REPUESTO]]</f>
        <v>2246008.3130012648</v>
      </c>
      <c r="F32" s="6">
        <f>(XYZ[[#This Row],[COSTO REPUESTO]]/$G$2)*100</f>
        <v>0.39907801616722999</v>
      </c>
      <c r="G32" s="10">
        <f>G31+XYZ[[#This Row],[PORCENTAJE DEL COSTO TOTAL]]</f>
        <v>95.76864420875043</v>
      </c>
      <c r="H32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2" s="14" t="str">
        <f>_xlfn.XLOOKUP(XYZ[[#This Row],[TEXTO BREVE]],CRITICIDAD!$D$8:$D$68,CRITICIDAD!$M$8:$M$68)</f>
        <v>2</v>
      </c>
      <c r="J32" s="21" t="str">
        <f>_xlfn.CONCAT(XYZ[[#This Row],[CRITICIDAD]],XYZ[[#This Row],[CLASIFICACIÓN XYZ]])</f>
        <v>2Z</v>
      </c>
    </row>
    <row r="33" spans="2:10" x14ac:dyDescent="0.3">
      <c r="B33">
        <v>63162</v>
      </c>
      <c r="C33" s="47" t="s">
        <v>117</v>
      </c>
      <c r="D33" s="52">
        <v>9332.8333333333339</v>
      </c>
      <c r="E33" s="9">
        <f>E32+XYZ[[#This Row],[COSTO REPUESTO]]</f>
        <v>2255341.1463345983</v>
      </c>
      <c r="F33" s="6">
        <f>(XYZ[[#This Row],[COSTO REPUESTO]]/$G$2)*100</f>
        <v>0.39794723367039619</v>
      </c>
      <c r="G33" s="10">
        <f>G32+XYZ[[#This Row],[PORCENTAJE DEL COSTO TOTAL]]</f>
        <v>96.166591442420824</v>
      </c>
      <c r="H33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3" s="14" t="str">
        <f>_xlfn.XLOOKUP(XYZ[[#This Row],[TEXTO BREVE]],CRITICIDAD!$D$8:$D$68,CRITICIDAD!$M$8:$M$68)</f>
        <v>1</v>
      </c>
      <c r="J33" s="21" t="str">
        <f>_xlfn.CONCAT(XYZ[[#This Row],[CRITICIDAD]],XYZ[[#This Row],[CLASIFICACIÓN XYZ]])</f>
        <v>1Z</v>
      </c>
    </row>
    <row r="34" spans="2:10" x14ac:dyDescent="0.3">
      <c r="B34">
        <v>63727</v>
      </c>
      <c r="C34" s="47" t="s">
        <v>125</v>
      </c>
      <c r="D34" s="52">
        <v>9246.3596491228072</v>
      </c>
      <c r="E34" s="9">
        <f>E33+XYZ[[#This Row],[COSTO REPUESTO]]</f>
        <v>2264587.505983721</v>
      </c>
      <c r="F34" s="6">
        <f>(XYZ[[#This Row],[COSTO REPUESTO]]/$G$2)*100</f>
        <v>0.39426004006178861</v>
      </c>
      <c r="G34" s="10">
        <f>G33+XYZ[[#This Row],[PORCENTAJE DEL COSTO TOTAL]]</f>
        <v>96.560851482482619</v>
      </c>
      <c r="H34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4" s="14" t="str">
        <f>_xlfn.XLOOKUP(XYZ[[#This Row],[TEXTO BREVE]],CRITICIDAD!$D$8:$D$68,CRITICIDAD!$M$8:$M$68)</f>
        <v>1</v>
      </c>
      <c r="J34" s="21" t="str">
        <f>_xlfn.CONCAT(XYZ[[#This Row],[CRITICIDAD]],XYZ[[#This Row],[CLASIFICACIÓN XYZ]])</f>
        <v>1Z</v>
      </c>
    </row>
    <row r="35" spans="2:10" x14ac:dyDescent="0.3">
      <c r="B35">
        <v>63474</v>
      </c>
      <c r="C35" s="47" t="s">
        <v>121</v>
      </c>
      <c r="D35" s="52">
        <v>7689.130434782609</v>
      </c>
      <c r="E35" s="9">
        <f>E34+XYZ[[#This Row],[COSTO REPUESTO]]</f>
        <v>2272276.6364185037</v>
      </c>
      <c r="F35" s="6">
        <f>(XYZ[[#This Row],[COSTO REPUESTO]]/$G$2)*100</f>
        <v>0.32786058387262779</v>
      </c>
      <c r="G35" s="10">
        <f>G34+XYZ[[#This Row],[PORCENTAJE DEL COSTO TOTAL]]</f>
        <v>96.888712066355239</v>
      </c>
      <c r="H35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5" s="14" t="str">
        <f>_xlfn.XLOOKUP(XYZ[[#This Row],[TEXTO BREVE]],CRITICIDAD!$D$8:$D$68,CRITICIDAD!$M$8:$M$68)</f>
        <v>2</v>
      </c>
      <c r="J35" s="21" t="str">
        <f>_xlfn.CONCAT(XYZ[[#This Row],[CRITICIDAD]],XYZ[[#This Row],[CLASIFICACIÓN XYZ]])</f>
        <v>2Z</v>
      </c>
    </row>
    <row r="36" spans="2:10" x14ac:dyDescent="0.3">
      <c r="B36">
        <v>70040</v>
      </c>
      <c r="C36" s="47" t="s">
        <v>146</v>
      </c>
      <c r="D36" s="52">
        <v>6064.8392592592591</v>
      </c>
      <c r="E36" s="9">
        <f>E35+XYZ[[#This Row],[COSTO REPUESTO]]</f>
        <v>2278341.4756777631</v>
      </c>
      <c r="F36" s="6">
        <f>(XYZ[[#This Row],[COSTO REPUESTO]]/$G$2)*100</f>
        <v>0.25860164000333985</v>
      </c>
      <c r="G36" s="10">
        <f>G35+XYZ[[#This Row],[PORCENTAJE DEL COSTO TOTAL]]</f>
        <v>97.147313706358574</v>
      </c>
      <c r="H36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6" s="14" t="str">
        <f>_xlfn.XLOOKUP(XYZ[[#This Row],[TEXTO BREVE]],CRITICIDAD!$D$8:$D$68,CRITICIDAD!$M$8:$M$68)</f>
        <v>2</v>
      </c>
      <c r="J36" s="21" t="str">
        <f>_xlfn.CONCAT(XYZ[[#This Row],[CRITICIDAD]],XYZ[[#This Row],[CLASIFICACIÓN XYZ]])</f>
        <v>2Z</v>
      </c>
    </row>
    <row r="37" spans="2:10" x14ac:dyDescent="0.3">
      <c r="B37">
        <v>64440</v>
      </c>
      <c r="C37" s="47" t="s">
        <v>130</v>
      </c>
      <c r="D37" s="52">
        <v>5946.3058227848105</v>
      </c>
      <c r="E37" s="9">
        <f>E36+XYZ[[#This Row],[COSTO REPUESTO]]</f>
        <v>2284287.7815005481</v>
      </c>
      <c r="F37" s="6">
        <f>(XYZ[[#This Row],[COSTO REPUESTO]]/$G$2)*100</f>
        <v>0.25354743497709353</v>
      </c>
      <c r="G37" s="10">
        <f>G36+XYZ[[#This Row],[PORCENTAJE DEL COSTO TOTAL]]</f>
        <v>97.400861141335668</v>
      </c>
      <c r="H3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7" s="14" t="str">
        <f>_xlfn.XLOOKUP(XYZ[[#This Row],[TEXTO BREVE]],CRITICIDAD!$D$8:$D$68,CRITICIDAD!$M$8:$M$68)</f>
        <v>1</v>
      </c>
      <c r="J37" s="21" t="str">
        <f>_xlfn.CONCAT(XYZ[[#This Row],[CRITICIDAD]],XYZ[[#This Row],[CLASIFICACIÓN XYZ]])</f>
        <v>1Z</v>
      </c>
    </row>
    <row r="38" spans="2:10" x14ac:dyDescent="0.3">
      <c r="B38">
        <v>64439</v>
      </c>
      <c r="C38" s="47" t="s">
        <v>129</v>
      </c>
      <c r="D38" s="52">
        <v>5882.4285714285716</v>
      </c>
      <c r="E38" s="9">
        <f>E37+XYZ[[#This Row],[COSTO REPUESTO]]</f>
        <v>2290170.2100719768</v>
      </c>
      <c r="F38" s="6">
        <f>(XYZ[[#This Row],[COSTO REPUESTO]]/$G$2)*100</f>
        <v>0.25082374169298721</v>
      </c>
      <c r="G38" s="10">
        <f>G37+XYZ[[#This Row],[PORCENTAJE DEL COSTO TOTAL]]</f>
        <v>97.651684883028651</v>
      </c>
      <c r="H38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8" s="14" t="str">
        <f>_xlfn.XLOOKUP(XYZ[[#This Row],[TEXTO BREVE]],CRITICIDAD!$D$8:$D$68,CRITICIDAD!$M$8:$M$68)</f>
        <v>1</v>
      </c>
      <c r="J38" s="21" t="str">
        <f>_xlfn.CONCAT(XYZ[[#This Row],[CRITICIDAD]],XYZ[[#This Row],[CLASIFICACIÓN XYZ]])</f>
        <v>1Z</v>
      </c>
    </row>
    <row r="39" spans="2:10" x14ac:dyDescent="0.3">
      <c r="B39">
        <v>63170</v>
      </c>
      <c r="C39" s="47" t="s">
        <v>119</v>
      </c>
      <c r="D39" s="52">
        <v>5081.083333333333</v>
      </c>
      <c r="E39" s="9">
        <f>E38+XYZ[[#This Row],[COSTO REPUESTO]]</f>
        <v>2295251.2934053103</v>
      </c>
      <c r="F39" s="6">
        <f>(XYZ[[#This Row],[COSTO REPUESTO]]/$G$2)*100</f>
        <v>0.21665479113689182</v>
      </c>
      <c r="G39" s="10">
        <f>G38+XYZ[[#This Row],[PORCENTAJE DEL COSTO TOTAL]]</f>
        <v>97.86833967416554</v>
      </c>
      <c r="H39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39" s="14" t="str">
        <f>_xlfn.XLOOKUP(XYZ[[#This Row],[TEXTO BREVE]],CRITICIDAD!$D$8:$D$68,CRITICIDAD!$M$8:$M$68)</f>
        <v>2</v>
      </c>
      <c r="J39" s="21" t="str">
        <f>_xlfn.CONCAT(XYZ[[#This Row],[CRITICIDAD]],XYZ[[#This Row],[CLASIFICACIÓN XYZ]])</f>
        <v>2Z</v>
      </c>
    </row>
    <row r="40" spans="2:10" x14ac:dyDescent="0.3">
      <c r="B40">
        <v>69302</v>
      </c>
      <c r="C40" s="46" t="s">
        <v>144</v>
      </c>
      <c r="D40" s="52">
        <v>4772.9030898876408</v>
      </c>
      <c r="E40" s="9">
        <f>E39+XYZ[[#This Row],[COSTO REPUESTO]]</f>
        <v>2300024.1964951977</v>
      </c>
      <c r="F40" s="6">
        <f>(XYZ[[#This Row],[COSTO REPUESTO]]/$G$2)*100</f>
        <v>0.20351414338600349</v>
      </c>
      <c r="G40" s="10">
        <f>G39+XYZ[[#This Row],[PORCENTAJE DEL COSTO TOTAL]]</f>
        <v>98.071853817551542</v>
      </c>
      <c r="H40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0" s="14" t="str">
        <f>_xlfn.XLOOKUP(XYZ[[#This Row],[TEXTO BREVE]],CRITICIDAD!$D$8:$D$68,CRITICIDAD!$M$8:$M$68)</f>
        <v>1</v>
      </c>
      <c r="J40" s="21" t="str">
        <f>_xlfn.CONCAT(XYZ[[#This Row],[CRITICIDAD]],XYZ[[#This Row],[CLASIFICACIÓN XYZ]])</f>
        <v>1Z</v>
      </c>
    </row>
    <row r="41" spans="2:10" x14ac:dyDescent="0.3">
      <c r="B41">
        <v>62654</v>
      </c>
      <c r="C41" s="47" t="s">
        <v>108</v>
      </c>
      <c r="D41" s="52">
        <v>4365.8945147679324</v>
      </c>
      <c r="E41" s="9">
        <f>E40+XYZ[[#This Row],[COSTO REPUESTO]]</f>
        <v>2304390.0910099656</v>
      </c>
      <c r="F41" s="6">
        <f>(XYZ[[#This Row],[COSTO REPUESTO]]/$G$2)*100</f>
        <v>0.1861595061859016</v>
      </c>
      <c r="G41" s="10">
        <f>G40+XYZ[[#This Row],[PORCENTAJE DEL COSTO TOTAL]]</f>
        <v>98.258013323737444</v>
      </c>
      <c r="H41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1" s="14" t="str">
        <f>_xlfn.XLOOKUP(XYZ[[#This Row],[TEXTO BREVE]],CRITICIDAD!$D$8:$D$68,CRITICIDAD!$M$8:$M$68)</f>
        <v>1</v>
      </c>
      <c r="J41" s="21" t="str">
        <f>_xlfn.CONCAT(XYZ[[#This Row],[CRITICIDAD]],XYZ[[#This Row],[CLASIFICACIÓN XYZ]])</f>
        <v>1Z</v>
      </c>
    </row>
    <row r="42" spans="2:10" x14ac:dyDescent="0.3">
      <c r="B42">
        <v>74796</v>
      </c>
      <c r="C42" s="47" t="s">
        <v>156</v>
      </c>
      <c r="D42" s="52">
        <v>4126.6111111111113</v>
      </c>
      <c r="E42" s="9">
        <f>E41+XYZ[[#This Row],[COSTO REPUESTO]]</f>
        <v>2308516.7021210766</v>
      </c>
      <c r="F42" s="6">
        <f>(XYZ[[#This Row],[COSTO REPUESTO]]/$G$2)*100</f>
        <v>0.17595658439918424</v>
      </c>
      <c r="G42" s="10">
        <f>G41+XYZ[[#This Row],[PORCENTAJE DEL COSTO TOTAL]]</f>
        <v>98.433969908136632</v>
      </c>
      <c r="H42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2" s="14" t="str">
        <f>_xlfn.XLOOKUP(XYZ[[#This Row],[TEXTO BREVE]],CRITICIDAD!$D$8:$D$68,CRITICIDAD!$M$8:$M$68)</f>
        <v>1</v>
      </c>
      <c r="J42" s="21" t="str">
        <f>_xlfn.CONCAT(XYZ[[#This Row],[CRITICIDAD]],XYZ[[#This Row],[CLASIFICACIÓN XYZ]])</f>
        <v>1Z</v>
      </c>
    </row>
    <row r="43" spans="2:10" x14ac:dyDescent="0.3">
      <c r="B43">
        <v>25795</v>
      </c>
      <c r="C43" s="47" t="s">
        <v>95</v>
      </c>
      <c r="D43" s="52">
        <v>4121.9095477386936</v>
      </c>
      <c r="E43" s="9">
        <f>E42+XYZ[[#This Row],[COSTO REPUESTO]]</f>
        <v>2312638.6116688154</v>
      </c>
      <c r="F43" s="6">
        <f>(XYZ[[#This Row],[COSTO REPUESTO]]/$G$2)*100</f>
        <v>0.17575611214481565</v>
      </c>
      <c r="G43" s="10">
        <f>G42+XYZ[[#This Row],[PORCENTAJE DEL COSTO TOTAL]]</f>
        <v>98.609726020281443</v>
      </c>
      <c r="H43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3" s="14" t="str">
        <f>_xlfn.XLOOKUP(XYZ[[#This Row],[TEXTO BREVE]],CRITICIDAD!$D$8:$D$68,CRITICIDAD!$M$8:$M$68)</f>
        <v>1</v>
      </c>
      <c r="J43" s="21" t="str">
        <f>_xlfn.CONCAT(XYZ[[#This Row],[CRITICIDAD]],XYZ[[#This Row],[CLASIFICACIÓN XYZ]])</f>
        <v>1Z</v>
      </c>
    </row>
    <row r="44" spans="2:10" x14ac:dyDescent="0.3">
      <c r="B44">
        <v>75761</v>
      </c>
      <c r="C44" s="47" t="s">
        <v>157</v>
      </c>
      <c r="D44" s="52">
        <v>3979.9478260869564</v>
      </c>
      <c r="E44" s="9">
        <f>E43+XYZ[[#This Row],[COSTO REPUESTO]]</f>
        <v>2316618.5594949024</v>
      </c>
      <c r="F44" s="6">
        <f>(XYZ[[#This Row],[COSTO REPUESTO]]/$G$2)*100</f>
        <v>0.16970293703703535</v>
      </c>
      <c r="G44" s="10">
        <f>G43+XYZ[[#This Row],[PORCENTAJE DEL COSTO TOTAL]]</f>
        <v>98.779428957318473</v>
      </c>
      <c r="H44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4" s="14" t="str">
        <f>_xlfn.XLOOKUP(XYZ[[#This Row],[TEXTO BREVE]],CRITICIDAD!$D$8:$D$68,CRITICIDAD!$M$8:$M$68)</f>
        <v>1</v>
      </c>
      <c r="J44" s="21" t="str">
        <f>_xlfn.CONCAT(XYZ[[#This Row],[CRITICIDAD]],XYZ[[#This Row],[CLASIFICACIÓN XYZ]])</f>
        <v>1Z</v>
      </c>
    </row>
    <row r="45" spans="2:10" x14ac:dyDescent="0.3">
      <c r="B45">
        <v>73116</v>
      </c>
      <c r="C45" s="47" t="s">
        <v>155</v>
      </c>
      <c r="D45" s="52">
        <v>3623.8231707317073</v>
      </c>
      <c r="E45" s="9">
        <f>E44+XYZ[[#This Row],[COSTO REPUESTO]]</f>
        <v>2320242.3826656342</v>
      </c>
      <c r="F45" s="6">
        <f>(XYZ[[#This Row],[COSTO REPUESTO]]/$G$2)*100</f>
        <v>0.15451796411629554</v>
      </c>
      <c r="G45" s="10">
        <f>G44+XYZ[[#This Row],[PORCENTAJE DEL COSTO TOTAL]]</f>
        <v>98.933946921434767</v>
      </c>
      <c r="H45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5" s="14" t="str">
        <f>_xlfn.XLOOKUP(XYZ[[#This Row],[TEXTO BREVE]],CRITICIDAD!$D$8:$D$68,CRITICIDAD!$M$8:$M$68)</f>
        <v>2</v>
      </c>
      <c r="J45" s="21" t="str">
        <f>_xlfn.CONCAT(XYZ[[#This Row],[CRITICIDAD]],XYZ[[#This Row],[CLASIFICACIÓN XYZ]])</f>
        <v>2Z</v>
      </c>
    </row>
    <row r="46" spans="2:10" x14ac:dyDescent="0.3">
      <c r="B46">
        <v>62863</v>
      </c>
      <c r="C46" s="47" t="s">
        <v>110</v>
      </c>
      <c r="D46" s="52">
        <v>2780.4594272076374</v>
      </c>
      <c r="E46" s="9">
        <f>E45+XYZ[[#This Row],[COSTO REPUESTO]]</f>
        <v>2323022.8420928419</v>
      </c>
      <c r="F46" s="6">
        <f>(XYZ[[#This Row],[COSTO REPUESTO]]/$G$2)*100</f>
        <v>0.1185573660078276</v>
      </c>
      <c r="G46" s="10">
        <f>G45+XYZ[[#This Row],[PORCENTAJE DEL COSTO TOTAL]]</f>
        <v>99.052504287442588</v>
      </c>
      <c r="H46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6" s="14" t="str">
        <f>_xlfn.XLOOKUP(XYZ[[#This Row],[TEXTO BREVE]],CRITICIDAD!$D$8:$D$68,CRITICIDAD!$M$8:$M$68)</f>
        <v>1</v>
      </c>
      <c r="J46" s="21" t="str">
        <f>_xlfn.CONCAT(XYZ[[#This Row],[CRITICIDAD]],XYZ[[#This Row],[CLASIFICACIÓN XYZ]])</f>
        <v>1Z</v>
      </c>
    </row>
    <row r="47" spans="2:10" x14ac:dyDescent="0.3">
      <c r="B47">
        <v>67353</v>
      </c>
      <c r="C47" s="47" t="s">
        <v>136</v>
      </c>
      <c r="D47" s="52">
        <v>2419.5872093023254</v>
      </c>
      <c r="E47" s="9">
        <f>E46+XYZ[[#This Row],[COSTO REPUESTO]]</f>
        <v>2325442.4293021443</v>
      </c>
      <c r="F47" s="6">
        <f>(XYZ[[#This Row],[COSTO REPUESTO]]/$G$2)*100</f>
        <v>0.10316995945134214</v>
      </c>
      <c r="G47" s="10">
        <f>G46+XYZ[[#This Row],[PORCENTAJE DEL COSTO TOTAL]]</f>
        <v>99.155674246893923</v>
      </c>
      <c r="H4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7" s="14" t="str">
        <f>_xlfn.XLOOKUP(XYZ[[#This Row],[TEXTO BREVE]],CRITICIDAD!$D$8:$D$68,CRITICIDAD!$M$8:$M$68)</f>
        <v>1</v>
      </c>
      <c r="J47" s="21" t="str">
        <f>_xlfn.CONCAT(XYZ[[#This Row],[CRITICIDAD]],XYZ[[#This Row],[CLASIFICACIÓN XYZ]])</f>
        <v>1Z</v>
      </c>
    </row>
    <row r="48" spans="2:10" x14ac:dyDescent="0.3">
      <c r="B48">
        <v>63140</v>
      </c>
      <c r="C48" s="47" t="s">
        <v>115</v>
      </c>
      <c r="D48" s="52">
        <v>2389.7613168724279</v>
      </c>
      <c r="E48" s="9">
        <f>E47+XYZ[[#This Row],[COSTO REPUESTO]]</f>
        <v>2327832.1906190165</v>
      </c>
      <c r="F48" s="6">
        <f>(XYZ[[#This Row],[COSTO REPUESTO]]/$G$2)*100</f>
        <v>0.10189819867299024</v>
      </c>
      <c r="G48" s="10">
        <f>G47+XYZ[[#This Row],[PORCENTAJE DEL COSTO TOTAL]]</f>
        <v>99.257572445566908</v>
      </c>
      <c r="H48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8" s="14" t="str">
        <f>_xlfn.XLOOKUP(XYZ[[#This Row],[TEXTO BREVE]],CRITICIDAD!$D$8:$D$68,CRITICIDAD!$M$8:$M$68)</f>
        <v>1</v>
      </c>
      <c r="J48" s="21" t="str">
        <f>_xlfn.CONCAT(XYZ[[#This Row],[CRITICIDAD]],XYZ[[#This Row],[CLASIFICACIÓN XYZ]])</f>
        <v>1Z</v>
      </c>
    </row>
    <row r="49" spans="2:10" x14ac:dyDescent="0.3">
      <c r="B49">
        <v>63139</v>
      </c>
      <c r="C49" s="47" t="s">
        <v>114</v>
      </c>
      <c r="D49" s="52">
        <v>2349.0296296296297</v>
      </c>
      <c r="E49" s="9">
        <f>E48+XYZ[[#This Row],[COSTO REPUESTO]]</f>
        <v>2330181.2202486461</v>
      </c>
      <c r="F49" s="6">
        <f>(XYZ[[#This Row],[COSTO REPUESTO]]/$G$2)*100</f>
        <v>0.10016142038904653</v>
      </c>
      <c r="G49" s="10">
        <f>G48+XYZ[[#This Row],[PORCENTAJE DEL COSTO TOTAL]]</f>
        <v>99.35773386595595</v>
      </c>
      <c r="H49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49" s="14" t="str">
        <f>_xlfn.XLOOKUP(XYZ[[#This Row],[TEXTO BREVE]],CRITICIDAD!$D$8:$D$68,CRITICIDAD!$M$8:$M$68)</f>
        <v>2</v>
      </c>
      <c r="J49" s="21" t="str">
        <f>_xlfn.CONCAT(XYZ[[#This Row],[CRITICIDAD]],XYZ[[#This Row],[CLASIFICACIÓN XYZ]])</f>
        <v>2Z</v>
      </c>
    </row>
    <row r="50" spans="2:10" x14ac:dyDescent="0.3">
      <c r="B50">
        <v>63137</v>
      </c>
      <c r="C50" s="47" t="s">
        <v>112</v>
      </c>
      <c r="D50" s="52">
        <v>2142.6853448275861</v>
      </c>
      <c r="E50" s="9">
        <f>E49+XYZ[[#This Row],[COSTO REPUESTO]]</f>
        <v>2332323.9055934735</v>
      </c>
      <c r="F50" s="6">
        <f>(XYZ[[#This Row],[COSTO REPUESTO]]/$G$2)*100</f>
        <v>9.1363005761048291E-2</v>
      </c>
      <c r="G50" s="10">
        <f>G49+XYZ[[#This Row],[PORCENTAJE DEL COSTO TOTAL]]</f>
        <v>99.449096871717003</v>
      </c>
      <c r="H50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0" s="14" t="str">
        <f>_xlfn.XLOOKUP(XYZ[[#This Row],[TEXTO BREVE]],CRITICIDAD!$D$8:$D$68,CRITICIDAD!$M$8:$M$68)</f>
        <v>1</v>
      </c>
      <c r="J50" s="21" t="str">
        <f>_xlfn.CONCAT(XYZ[[#This Row],[CRITICIDAD]],XYZ[[#This Row],[CLASIFICACIÓN XYZ]])</f>
        <v>1Z</v>
      </c>
    </row>
    <row r="51" spans="2:10" x14ac:dyDescent="0.3">
      <c r="B51">
        <v>68979</v>
      </c>
      <c r="C51" s="47" t="s">
        <v>142</v>
      </c>
      <c r="D51" s="52">
        <v>2082.5401459854015</v>
      </c>
      <c r="E51" s="9">
        <f>E50+XYZ[[#This Row],[COSTO REPUESTO]]</f>
        <v>2334406.4457394588</v>
      </c>
      <c r="F51" s="6">
        <f>(XYZ[[#This Row],[COSTO REPUESTO]]/$G$2)*100</f>
        <v>8.8798445284829566E-2</v>
      </c>
      <c r="G51" s="10">
        <f>G50+XYZ[[#This Row],[PORCENTAJE DEL COSTO TOTAL]]</f>
        <v>99.537895317001826</v>
      </c>
      <c r="H51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1" s="14" t="str">
        <f>_xlfn.XLOOKUP(XYZ[[#This Row],[TEXTO BREVE]],CRITICIDAD!$D$8:$D$68,CRITICIDAD!$M$8:$M$68)</f>
        <v>1</v>
      </c>
      <c r="J51" s="21" t="str">
        <f>_xlfn.CONCAT(XYZ[[#This Row],[CRITICIDAD]],XYZ[[#This Row],[CLASIFICACIÓN XYZ]])</f>
        <v>1Z</v>
      </c>
    </row>
    <row r="52" spans="2:10" ht="15" thickBot="1" x14ac:dyDescent="0.35">
      <c r="B52">
        <v>67380</v>
      </c>
      <c r="C52" s="47" t="s">
        <v>137</v>
      </c>
      <c r="D52" s="52">
        <v>1870.1278317152103</v>
      </c>
      <c r="E52" s="9">
        <f>E51+XYZ[[#This Row],[COSTO REPUESTO]]</f>
        <v>2336276.5735711739</v>
      </c>
      <c r="F52" s="26">
        <f>(XYZ[[#This Row],[COSTO REPUESTO]]/$G$2)*100</f>
        <v>7.9741292987954793E-2</v>
      </c>
      <c r="G52" s="10">
        <f>G51+XYZ[[#This Row],[PORCENTAJE DEL COSTO TOTAL]]</f>
        <v>99.617636609989788</v>
      </c>
      <c r="H52" s="25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2" s="25" t="str">
        <f>_xlfn.XLOOKUP(XYZ[[#This Row],[TEXTO BREVE]],CRITICIDAD!$D$8:$D$68,CRITICIDAD!$M$8:$M$68)</f>
        <v>1</v>
      </c>
      <c r="J52" s="27" t="str">
        <f>_xlfn.CONCAT(XYZ[[#This Row],[CRITICIDAD]],XYZ[[#This Row],[CLASIFICACIÓN XYZ]])</f>
        <v>1Z</v>
      </c>
    </row>
    <row r="53" spans="2:10" x14ac:dyDescent="0.3">
      <c r="B53">
        <v>63166</v>
      </c>
      <c r="C53" s="47" t="s">
        <v>118</v>
      </c>
      <c r="D53" s="52">
        <v>1860.625</v>
      </c>
      <c r="E53" s="9">
        <f>E52+XYZ[[#This Row],[COSTO REPUESTO]]</f>
        <v>2338137.1985711739</v>
      </c>
      <c r="F53" s="6">
        <f>(XYZ[[#This Row],[COSTO REPUESTO]]/$G$2)*100</f>
        <v>7.9336097110343146E-2</v>
      </c>
      <c r="G53" s="10">
        <f>G52+XYZ[[#This Row],[PORCENTAJE DEL COSTO TOTAL]]</f>
        <v>99.69697270710013</v>
      </c>
      <c r="H53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3" s="14" t="str">
        <f>_xlfn.XLOOKUP(XYZ[[#This Row],[TEXTO BREVE]],CRITICIDAD!$D$8:$D$68,CRITICIDAD!$M$8:$M$68)</f>
        <v>1</v>
      </c>
      <c r="J53" s="17" t="str">
        <f>_xlfn.CONCAT(XYZ[[#This Row],[CRITICIDAD]],XYZ[[#This Row],[CLASIFICACIÓN XYZ]])</f>
        <v>1Z</v>
      </c>
    </row>
    <row r="54" spans="2:10" x14ac:dyDescent="0.3">
      <c r="B54">
        <v>28123</v>
      </c>
      <c r="C54" s="47" t="s">
        <v>99</v>
      </c>
      <c r="D54" s="52">
        <v>1117.9818181818182</v>
      </c>
      <c r="E54" s="9">
        <f>E53+XYZ[[#This Row],[COSTO REPUESTO]]</f>
        <v>2339255.1803893559</v>
      </c>
      <c r="F54" s="6">
        <f>(XYZ[[#This Row],[COSTO REPUESTO]]/$G$2)*100</f>
        <v>4.7670172170572109E-2</v>
      </c>
      <c r="G54" s="10">
        <f>G53+XYZ[[#This Row],[PORCENTAJE DEL COSTO TOTAL]]</f>
        <v>99.7446428792707</v>
      </c>
      <c r="H54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4" s="14" t="str">
        <f>_xlfn.XLOOKUP(XYZ[[#This Row],[TEXTO BREVE]],CRITICIDAD!$D$8:$D$68,CRITICIDAD!$M$8:$M$68)</f>
        <v>1</v>
      </c>
      <c r="J54" s="17" t="str">
        <f>_xlfn.CONCAT(XYZ[[#This Row],[CRITICIDAD]],XYZ[[#This Row],[CLASIFICACIÓN XYZ]])</f>
        <v>1Z</v>
      </c>
    </row>
    <row r="55" spans="2:10" x14ac:dyDescent="0.3">
      <c r="B55">
        <v>69176</v>
      </c>
      <c r="C55" s="50" t="s">
        <v>143</v>
      </c>
      <c r="D55" s="52">
        <v>1115.7185515320334</v>
      </c>
      <c r="E55" s="9">
        <f>E54+XYZ[[#This Row],[COSTO REPUESTO]]</f>
        <v>2340370.8989408878</v>
      </c>
      <c r="F55" s="6">
        <f>(XYZ[[#This Row],[COSTO REPUESTO]]/$G$2)*100</f>
        <v>4.7573667639721491E-2</v>
      </c>
      <c r="G55" s="10">
        <f>G54+XYZ[[#This Row],[PORCENTAJE DEL COSTO TOTAL]]</f>
        <v>99.792216546910424</v>
      </c>
      <c r="H55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5" s="14" t="str">
        <f>_xlfn.XLOOKUP(XYZ[[#This Row],[TEXTO BREVE]],CRITICIDAD!$D$8:$D$68,CRITICIDAD!$M$8:$M$68)</f>
        <v>1</v>
      </c>
      <c r="J55" s="17" t="str">
        <f>_xlfn.CONCAT(XYZ[[#This Row],[CRITICIDAD]],XYZ[[#This Row],[CLASIFICACIÓN XYZ]])</f>
        <v>1Z</v>
      </c>
    </row>
    <row r="56" spans="2:10" x14ac:dyDescent="0.3">
      <c r="B56">
        <v>64272</v>
      </c>
      <c r="C56" s="49" t="s">
        <v>128</v>
      </c>
      <c r="D56" s="52">
        <v>1115.4144457687723</v>
      </c>
      <c r="E56" s="9">
        <f>E55+XYZ[[#This Row],[COSTO REPUESTO]]</f>
        <v>2341486.3133866563</v>
      </c>
      <c r="F56" s="6">
        <f>(XYZ[[#This Row],[COSTO REPUESTO]]/$G$2)*100</f>
        <v>4.7560700725718996E-2</v>
      </c>
      <c r="G56" s="10">
        <f>G55+XYZ[[#This Row],[PORCENTAJE DEL COSTO TOTAL]]</f>
        <v>99.83977724763615</v>
      </c>
      <c r="H56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6" s="14" t="str">
        <f>_xlfn.XLOOKUP(XYZ[[#This Row],[TEXTO BREVE]],CRITICIDAD!$D$8:$D$68,CRITICIDAD!$M$8:$M$68)</f>
        <v>1</v>
      </c>
      <c r="J56" s="17" t="str">
        <f>_xlfn.CONCAT(XYZ[[#This Row],[CRITICIDAD]],XYZ[[#This Row],[CLASIFICACIÓN XYZ]])</f>
        <v>1Z</v>
      </c>
    </row>
    <row r="57" spans="2:10" x14ac:dyDescent="0.3">
      <c r="B57">
        <v>28143</v>
      </c>
      <c r="C57" s="47" t="s">
        <v>100</v>
      </c>
      <c r="D57" s="52">
        <v>673.43062200956933</v>
      </c>
      <c r="E57" s="9">
        <f>E56+XYZ[[#This Row],[COSTO REPUESTO]]</f>
        <v>2342159.7440086659</v>
      </c>
      <c r="F57" s="6">
        <f>(XYZ[[#This Row],[COSTO REPUESTO]]/$G$2)*100</f>
        <v>2.8714736835649304E-2</v>
      </c>
      <c r="G57" s="10">
        <f>G56+XYZ[[#This Row],[PORCENTAJE DEL COSTO TOTAL]]</f>
        <v>99.868491984471802</v>
      </c>
      <c r="H5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7" s="14" t="str">
        <f>_xlfn.XLOOKUP(XYZ[[#This Row],[TEXTO BREVE]],CRITICIDAD!$D$8:$D$68,CRITICIDAD!$M$8:$M$68)</f>
        <v>1</v>
      </c>
      <c r="J57" s="17" t="str">
        <f>_xlfn.CONCAT(XYZ[[#This Row],[CRITICIDAD]],XYZ[[#This Row],[CLASIFICACIÓN XYZ]])</f>
        <v>1Z</v>
      </c>
    </row>
    <row r="58" spans="2:10" x14ac:dyDescent="0.3">
      <c r="B58">
        <v>86642</v>
      </c>
      <c r="C58" s="53" t="s">
        <v>169</v>
      </c>
      <c r="D58" s="52">
        <v>609.8359375</v>
      </c>
      <c r="E58" s="9">
        <f>E57+XYZ[[#This Row],[COSTO REPUESTO]]</f>
        <v>2342769.5799461659</v>
      </c>
      <c r="F58" s="6">
        <f>(XYZ[[#This Row],[COSTO REPUESTO]]/$G$2)*100</f>
        <v>2.6003092057172807E-2</v>
      </c>
      <c r="G58" s="10">
        <f>G57+XYZ[[#This Row],[PORCENTAJE DEL COSTO TOTAL]]</f>
        <v>99.894495076528969</v>
      </c>
      <c r="H58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8" s="14" t="str">
        <f>_xlfn.XLOOKUP(XYZ[[#This Row],[TEXTO BREVE]],CRITICIDAD!$D$8:$D$68,CRITICIDAD!$M$8:$M$68)</f>
        <v>1</v>
      </c>
      <c r="J58" s="17" t="str">
        <f>_xlfn.CONCAT(XYZ[[#This Row],[CRITICIDAD]],XYZ[[#This Row],[CLASIFICACIÓN XYZ]])</f>
        <v>1Z</v>
      </c>
    </row>
    <row r="59" spans="2:10" x14ac:dyDescent="0.3">
      <c r="B59">
        <v>70273</v>
      </c>
      <c r="C59" s="47" t="s">
        <v>147</v>
      </c>
      <c r="D59" s="52">
        <v>534.48820754716985</v>
      </c>
      <c r="E59" s="9">
        <f>E58+XYZ[[#This Row],[COSTO REPUESTO]]</f>
        <v>2343304.0681537129</v>
      </c>
      <c r="F59" s="6">
        <f>(XYZ[[#This Row],[COSTO REPUESTO]]/$G$2)*100</f>
        <v>2.2790303440131953E-2</v>
      </c>
      <c r="G59" s="10">
        <f>G58+XYZ[[#This Row],[PORCENTAJE DEL COSTO TOTAL]]</f>
        <v>99.917285379969101</v>
      </c>
      <c r="H59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59" s="14" t="str">
        <f>_xlfn.XLOOKUP(XYZ[[#This Row],[TEXTO BREVE]],CRITICIDAD!$D$8:$D$68,CRITICIDAD!$M$8:$M$68)</f>
        <v>1</v>
      </c>
      <c r="J59" s="17" t="str">
        <f>_xlfn.CONCAT(XYZ[[#This Row],[CRITICIDAD]],XYZ[[#This Row],[CLASIFICACIÓN XYZ]])</f>
        <v>1Z</v>
      </c>
    </row>
    <row r="60" spans="2:10" x14ac:dyDescent="0.3">
      <c r="B60">
        <v>70588</v>
      </c>
      <c r="C60" s="47" t="s">
        <v>151</v>
      </c>
      <c r="D60" s="52">
        <v>420.63091482649844</v>
      </c>
      <c r="E60" s="9">
        <f>E59+XYZ[[#This Row],[COSTO REPUESTO]]</f>
        <v>2343724.6990685393</v>
      </c>
      <c r="F60" s="6">
        <f>(XYZ[[#This Row],[COSTO REPUESTO]]/$G$2)*100</f>
        <v>1.7935486788733659E-2</v>
      </c>
      <c r="G60" s="10">
        <f>G59+XYZ[[#This Row],[PORCENTAJE DEL COSTO TOTAL]]</f>
        <v>99.935220866757831</v>
      </c>
      <c r="H60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0" s="14" t="str">
        <f>_xlfn.XLOOKUP(XYZ[[#This Row],[TEXTO BREVE]],CRITICIDAD!$D$8:$D$68,CRITICIDAD!$M$8:$M$68)</f>
        <v>1</v>
      </c>
      <c r="J60" s="17" t="str">
        <f>_xlfn.CONCAT(XYZ[[#This Row],[CRITICIDAD]],XYZ[[#This Row],[CLASIFICACIÓN XYZ]])</f>
        <v>1Z</v>
      </c>
    </row>
    <row r="61" spans="2:10" x14ac:dyDescent="0.3">
      <c r="B61">
        <v>70274</v>
      </c>
      <c r="C61" s="47" t="s">
        <v>148</v>
      </c>
      <c r="D61" s="52">
        <v>411.14646464646466</v>
      </c>
      <c r="E61" s="9">
        <f>E60+XYZ[[#This Row],[COSTO REPUESTO]]</f>
        <v>2344135.8455331856</v>
      </c>
      <c r="F61" s="6">
        <f>(XYZ[[#This Row],[COSTO REPUESTO]]/$G$2)*100</f>
        <v>1.7531074690368124E-2</v>
      </c>
      <c r="G61" s="10">
        <f>G60+XYZ[[#This Row],[PORCENTAJE DEL COSTO TOTAL]]</f>
        <v>99.952751941448199</v>
      </c>
      <c r="H61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1" s="14" t="str">
        <f>_xlfn.XLOOKUP(XYZ[[#This Row],[TEXTO BREVE]],CRITICIDAD!$D$8:$D$68,CRITICIDAD!$M$8:$M$68)</f>
        <v>1</v>
      </c>
      <c r="J61" s="17" t="str">
        <f>_xlfn.CONCAT(XYZ[[#This Row],[CRITICIDAD]],XYZ[[#This Row],[CLASIFICACIÓN XYZ]])</f>
        <v>1Z</v>
      </c>
    </row>
    <row r="62" spans="2:10" x14ac:dyDescent="0.3">
      <c r="B62">
        <v>63732</v>
      </c>
      <c r="C62" s="47" t="s">
        <v>126</v>
      </c>
      <c r="D62" s="52">
        <v>388.67193675889325</v>
      </c>
      <c r="E62" s="9">
        <f>E61+XYZ[[#This Row],[COSTO REPUESTO]]</f>
        <v>2344524.5174699444</v>
      </c>
      <c r="F62" s="6">
        <f>(XYZ[[#This Row],[COSTO REPUESTO]]/$G$2)*100</f>
        <v>1.6572772331215967E-2</v>
      </c>
      <c r="G62" s="10">
        <f>G61+XYZ[[#This Row],[PORCENTAJE DEL COSTO TOTAL]]</f>
        <v>99.969324713779415</v>
      </c>
      <c r="H62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2" s="14" t="str">
        <f>_xlfn.XLOOKUP(XYZ[[#This Row],[TEXTO BREVE]],CRITICIDAD!$D$8:$D$68,CRITICIDAD!$M$8:$M$68)</f>
        <v>1</v>
      </c>
      <c r="J62" s="17" t="str">
        <f>_xlfn.CONCAT(XYZ[[#This Row],[CRITICIDAD]],XYZ[[#This Row],[CLASIFICACIÓN XYZ]])</f>
        <v>1Z</v>
      </c>
    </row>
    <row r="63" spans="2:10" x14ac:dyDescent="0.3">
      <c r="B63">
        <v>66828</v>
      </c>
      <c r="C63" s="47" t="s">
        <v>135</v>
      </c>
      <c r="D63" s="52">
        <v>255.99959999999999</v>
      </c>
      <c r="E63" s="9">
        <f>E62+XYZ[[#This Row],[COSTO REPUESTO]]</f>
        <v>2344780.5170699446</v>
      </c>
      <c r="F63" s="6">
        <f>(XYZ[[#This Row],[COSTO REPUESTO]]/$G$2)*100</f>
        <v>1.0915691837855023E-2</v>
      </c>
      <c r="G63" s="10">
        <f>G62+XYZ[[#This Row],[PORCENTAJE DEL COSTO TOTAL]]</f>
        <v>99.980240405617266</v>
      </c>
      <c r="H63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3" s="14" t="str">
        <f>_xlfn.XLOOKUP(XYZ[[#This Row],[TEXTO BREVE]],CRITICIDAD!$D$8:$D$68,CRITICIDAD!$M$8:$M$68)</f>
        <v>2</v>
      </c>
      <c r="J63" s="17" t="str">
        <f>_xlfn.CONCAT(XYZ[[#This Row],[CRITICIDAD]],XYZ[[#This Row],[CLASIFICACIÓN XYZ]])</f>
        <v>2Z</v>
      </c>
    </row>
    <row r="64" spans="2:10" x14ac:dyDescent="0.3">
      <c r="B64">
        <v>70571</v>
      </c>
      <c r="C64" s="47" t="s">
        <v>150</v>
      </c>
      <c r="D64" s="52">
        <v>173.12152777777777</v>
      </c>
      <c r="E64" s="9">
        <f>E63+XYZ[[#This Row],[COSTO REPUESTO]]</f>
        <v>2344953.6385977226</v>
      </c>
      <c r="F64" s="6">
        <f>(XYZ[[#This Row],[COSTO REPUESTO]]/$G$2)*100</f>
        <v>7.3818132829929443E-3</v>
      </c>
      <c r="G64" s="10">
        <f>G63+XYZ[[#This Row],[PORCENTAJE DEL COSTO TOTAL]]</f>
        <v>99.987622218900256</v>
      </c>
      <c r="H64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4" s="14" t="str">
        <f>_xlfn.XLOOKUP(XYZ[[#This Row],[TEXTO BREVE]],CRITICIDAD!$D$8:$D$68,CRITICIDAD!$M$8:$M$68)</f>
        <v>1</v>
      </c>
      <c r="J64" s="17" t="str">
        <f>_xlfn.CONCAT(XYZ[[#This Row],[CRITICIDAD]],XYZ[[#This Row],[CLASIFICACIÓN XYZ]])</f>
        <v>1Z</v>
      </c>
    </row>
    <row r="65" spans="2:10" x14ac:dyDescent="0.3">
      <c r="B65">
        <v>28307</v>
      </c>
      <c r="C65" s="47" t="s">
        <v>102</v>
      </c>
      <c r="D65" s="52">
        <v>150.98671726755219</v>
      </c>
      <c r="E65" s="9">
        <f>E64+XYZ[[#This Row],[COSTO REPUESTO]]</f>
        <v>2345104.6253149901</v>
      </c>
      <c r="F65" s="6">
        <f>(XYZ[[#This Row],[COSTO REPUESTO]]/$G$2)*100</f>
        <v>6.4379962988299344E-3</v>
      </c>
      <c r="G65" s="10">
        <f>G64+XYZ[[#This Row],[PORCENTAJE DEL COSTO TOTAL]]</f>
        <v>99.994060215199084</v>
      </c>
      <c r="H65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5" s="14" t="str">
        <f>_xlfn.XLOOKUP(XYZ[[#This Row],[TEXTO BREVE]],CRITICIDAD!$D$8:$D$68,CRITICIDAD!$M$8:$M$68)</f>
        <v>1</v>
      </c>
      <c r="J65" s="17" t="str">
        <f>_xlfn.CONCAT(XYZ[[#This Row],[CRITICIDAD]],XYZ[[#This Row],[CLASIFICACIÓN XYZ]])</f>
        <v>1Z</v>
      </c>
    </row>
    <row r="66" spans="2:10" x14ac:dyDescent="0.3">
      <c r="B66">
        <v>70561</v>
      </c>
      <c r="C66" s="55" t="s">
        <v>149</v>
      </c>
      <c r="D66" s="52">
        <v>88.735930735930737</v>
      </c>
      <c r="E66" s="9">
        <f>E65+XYZ[[#This Row],[COSTO REPUESTO]]</f>
        <v>2345193.3612457258</v>
      </c>
      <c r="F66" s="6">
        <f>(XYZ[[#This Row],[COSTO REPUESTO]]/$G$2)*100</f>
        <v>3.7836546418770489E-3</v>
      </c>
      <c r="G66" s="10">
        <f>G65+XYZ[[#This Row],[PORCENTAJE DEL COSTO TOTAL]]</f>
        <v>99.997843869840963</v>
      </c>
      <c r="H66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6" s="14" t="str">
        <f>_xlfn.XLOOKUP(XYZ[[#This Row],[TEXTO BREVE]],CRITICIDAD!$D$8:$D$68,CRITICIDAD!$M$8:$M$68)</f>
        <v>1</v>
      </c>
      <c r="J66" s="17" t="str">
        <f>_xlfn.CONCAT(XYZ[[#This Row],[CRITICIDAD]],XYZ[[#This Row],[CLASIFICACIÓN XYZ]])</f>
        <v>1Z</v>
      </c>
    </row>
    <row r="67" spans="2:10" x14ac:dyDescent="0.3">
      <c r="B67">
        <v>67596</v>
      </c>
      <c r="C67" s="47" t="s">
        <v>138</v>
      </c>
      <c r="D67" s="52">
        <v>50.566511627906976</v>
      </c>
      <c r="E67" s="9">
        <f>E66+XYZ[[#This Row],[COSTO REPUESTO]]</f>
        <v>2345243.9277573535</v>
      </c>
      <c r="F67" s="6">
        <f>(XYZ[[#This Row],[COSTO REPUESTO]]/$G$2)*100</f>
        <v>2.156130158975035E-3</v>
      </c>
      <c r="G67" s="10">
        <f>G66+XYZ[[#This Row],[PORCENTAJE DEL COSTO TOTAL]]</f>
        <v>99.999999999999943</v>
      </c>
      <c r="H67" s="14" t="str">
        <f>IF(XYZ[[#This Row],[PORCENTAJE ACUMULADO]]&lt;=$H$2,"X",IF(AND(XYZ[[#This Row],[PORCENTAJE ACUMULADO]]&gt;$H$2,XYZ[[#This Row],[PORCENTAJE ACUMULADO]]&lt;($H$2+$H$3)),"Y",IF(XYZ[[#This Row],[PORCENTAJE ACUMULADO]]&gt;=($H$2+$H$3),"Z")))</f>
        <v>Z</v>
      </c>
      <c r="I67" s="14" t="str">
        <f>_xlfn.XLOOKUP(XYZ[[#This Row],[TEXTO BREVE]],CRITICIDAD!$D$8:$D$68,CRITICIDAD!$M$8:$M$68)</f>
        <v>1</v>
      </c>
      <c r="J67" s="17" t="str">
        <f>_xlfn.CONCAT(XYZ[[#This Row],[CRITICIDAD]],XYZ[[#This Row],[CLASIFICACIÓN XYZ]])</f>
        <v>1Z</v>
      </c>
    </row>
  </sheetData>
  <mergeCells count="14">
    <mergeCell ref="H5:J5"/>
    <mergeCell ref="B1:C1"/>
    <mergeCell ref="B2:C4"/>
    <mergeCell ref="D1:F4"/>
    <mergeCell ref="D5:G5"/>
    <mergeCell ref="P8:P9"/>
    <mergeCell ref="P10:P12"/>
    <mergeCell ref="P13:P15"/>
    <mergeCell ref="P16:P18"/>
    <mergeCell ref="L8:M8"/>
    <mergeCell ref="O10:O12"/>
    <mergeCell ref="O13:O15"/>
    <mergeCell ref="O16:O18"/>
    <mergeCell ref="O8:O9"/>
  </mergeCells>
  <conditionalFormatting sqref="J7:J67">
    <cfRule type="containsText" dxfId="8" priority="1" operator="containsText" text="1Z">
      <formula>NOT(ISERROR(SEARCH("1Z",J7)))</formula>
    </cfRule>
    <cfRule type="containsText" dxfId="7" priority="2" operator="containsText" text="1Y">
      <formula>NOT(ISERROR(SEARCH("1Y",J7)))</formula>
    </cfRule>
    <cfRule type="containsText" dxfId="6" priority="3" operator="containsText" text="1X">
      <formula>NOT(ISERROR(SEARCH("1X",J7)))</formula>
    </cfRule>
    <cfRule type="containsText" dxfId="5" priority="4" operator="containsText" text="2Z">
      <formula>NOT(ISERROR(SEARCH("2Z",J7)))</formula>
    </cfRule>
    <cfRule type="cellIs" dxfId="4" priority="5" operator="equal">
      <formula>"2Y"</formula>
    </cfRule>
    <cfRule type="containsText" dxfId="3" priority="6" operator="containsText" text="2X">
      <formula>NOT(ISERROR(SEARCH("2X",J7)))</formula>
    </cfRule>
    <cfRule type="containsText" dxfId="2" priority="7" operator="containsText" text="3Z">
      <formula>NOT(ISERROR(SEARCH("3Z",J7)))</formula>
    </cfRule>
    <cfRule type="containsText" dxfId="1" priority="8" operator="containsText" text="3Y">
      <formula>NOT(ISERROR(SEARCH("3Y",J7)))</formula>
    </cfRule>
    <cfRule type="containsText" dxfId="0" priority="9" operator="containsText" text="3X">
      <formula>NOT(ISERROR(SEARCH("3X",J7)))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58AF-01C6-485D-BF15-FC50E301584B}">
  <dimension ref="A1:R58"/>
  <sheetViews>
    <sheetView zoomScale="90" zoomScaleNormal="90" workbookViewId="0">
      <selection activeCell="T7" sqref="T7"/>
    </sheetView>
  </sheetViews>
  <sheetFormatPr baseColWidth="10" defaultRowHeight="14.4" x14ac:dyDescent="0.3"/>
  <cols>
    <col min="1" max="1" width="12.33203125" customWidth="1"/>
    <col min="2" max="2" width="14.88671875" customWidth="1"/>
    <col min="3" max="3" width="13" customWidth="1"/>
    <col min="4" max="4" width="16.33203125" customWidth="1"/>
    <col min="10" max="10" width="13.33203125" customWidth="1"/>
    <col min="11" max="11" width="15.5546875" customWidth="1"/>
    <col min="12" max="12" width="12.44140625" customWidth="1"/>
    <col min="13" max="13" width="16" customWidth="1"/>
    <col min="14" max="14" width="12.109375" customWidth="1"/>
  </cols>
  <sheetData>
    <row r="1" spans="1:18" ht="29.25" customHeight="1" x14ac:dyDescent="0.3">
      <c r="A1" s="129" t="s">
        <v>6</v>
      </c>
      <c r="B1" s="130"/>
      <c r="C1" s="130"/>
      <c r="D1" s="131"/>
      <c r="E1" s="135" t="s">
        <v>93</v>
      </c>
      <c r="F1" s="135"/>
      <c r="G1" s="135"/>
      <c r="H1" s="135"/>
      <c r="I1" s="135"/>
      <c r="J1" s="135"/>
      <c r="K1" s="135"/>
      <c r="L1" s="135"/>
      <c r="M1" s="135"/>
      <c r="N1" s="135"/>
      <c r="O1" s="127"/>
      <c r="P1" s="127"/>
      <c r="Q1" s="127"/>
      <c r="R1" s="128"/>
    </row>
    <row r="2" spans="1:18" ht="50.25" customHeight="1" x14ac:dyDescent="0.3">
      <c r="A2" s="132"/>
      <c r="B2" s="133"/>
      <c r="C2" s="133"/>
      <c r="D2" s="134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08"/>
      <c r="P2" s="108"/>
      <c r="Q2" s="108"/>
      <c r="R2" s="110"/>
    </row>
    <row r="3" spans="1:18" x14ac:dyDescent="0.3">
      <c r="A3" s="114" t="s">
        <v>52</v>
      </c>
      <c r="B3" s="112"/>
      <c r="C3" s="112"/>
      <c r="D3" s="112"/>
      <c r="E3" s="112"/>
      <c r="F3" s="112"/>
      <c r="G3" s="112"/>
      <c r="H3" s="112"/>
      <c r="I3" s="112"/>
      <c r="J3" s="112" t="s">
        <v>66</v>
      </c>
      <c r="K3" s="112"/>
      <c r="L3" s="112"/>
      <c r="M3" s="112"/>
      <c r="N3" s="112"/>
      <c r="O3" s="112"/>
      <c r="P3" s="112"/>
      <c r="Q3" s="112"/>
      <c r="R3" s="113"/>
    </row>
    <row r="4" spans="1:18" ht="57.6" x14ac:dyDescent="0.3">
      <c r="A4" s="43" t="s">
        <v>48</v>
      </c>
      <c r="B4" s="42" t="s">
        <v>50</v>
      </c>
      <c r="C4" s="42" t="s">
        <v>51</v>
      </c>
      <c r="D4" s="42" t="s">
        <v>49</v>
      </c>
      <c r="E4" s="115"/>
      <c r="F4" s="116"/>
      <c r="G4" s="116"/>
      <c r="H4" s="116"/>
      <c r="I4" s="117"/>
      <c r="J4" s="41" t="s">
        <v>48</v>
      </c>
      <c r="K4" s="42" t="s">
        <v>67</v>
      </c>
      <c r="L4" s="42" t="s">
        <v>68</v>
      </c>
      <c r="M4" s="42" t="s">
        <v>65</v>
      </c>
      <c r="N4" s="115"/>
      <c r="O4" s="116"/>
      <c r="P4" s="116"/>
      <c r="Q4" s="116"/>
      <c r="R4" s="124"/>
    </row>
    <row r="5" spans="1:18" x14ac:dyDescent="0.3">
      <c r="A5" s="18" t="s">
        <v>53</v>
      </c>
      <c r="B5" s="13"/>
      <c r="C5" s="13"/>
      <c r="D5" s="13" t="e">
        <f>(B5/C5)*100</f>
        <v>#DIV/0!</v>
      </c>
      <c r="E5" s="118"/>
      <c r="F5" s="119"/>
      <c r="G5" s="119"/>
      <c r="H5" s="119"/>
      <c r="I5" s="120"/>
      <c r="J5" s="14" t="s">
        <v>53</v>
      </c>
      <c r="K5" s="13"/>
      <c r="L5" s="13"/>
      <c r="M5" s="13" t="e">
        <f>K5/L5</f>
        <v>#DIV/0!</v>
      </c>
      <c r="N5" s="118"/>
      <c r="O5" s="119"/>
      <c r="P5" s="119"/>
      <c r="Q5" s="119"/>
      <c r="R5" s="125"/>
    </row>
    <row r="6" spans="1:18" x14ac:dyDescent="0.3">
      <c r="A6" s="18" t="s">
        <v>54</v>
      </c>
      <c r="B6" s="13"/>
      <c r="C6" s="13"/>
      <c r="D6" s="13" t="e">
        <f t="shared" ref="D6:D16" si="0">(B6/C6)*100</f>
        <v>#DIV/0!</v>
      </c>
      <c r="E6" s="118"/>
      <c r="F6" s="119"/>
      <c r="G6" s="119"/>
      <c r="H6" s="119"/>
      <c r="I6" s="120"/>
      <c r="J6" s="14" t="s">
        <v>54</v>
      </c>
      <c r="K6" s="13"/>
      <c r="L6" s="13"/>
      <c r="M6" s="13" t="e">
        <f t="shared" ref="M6:M16" si="1">K6/L6</f>
        <v>#DIV/0!</v>
      </c>
      <c r="N6" s="118"/>
      <c r="O6" s="119"/>
      <c r="P6" s="119"/>
      <c r="Q6" s="119"/>
      <c r="R6" s="125"/>
    </row>
    <row r="7" spans="1:18" x14ac:dyDescent="0.3">
      <c r="A7" s="18" t="s">
        <v>55</v>
      </c>
      <c r="B7" s="13"/>
      <c r="C7" s="13"/>
      <c r="D7" s="13" t="e">
        <f t="shared" si="0"/>
        <v>#DIV/0!</v>
      </c>
      <c r="E7" s="118"/>
      <c r="F7" s="119"/>
      <c r="G7" s="119"/>
      <c r="H7" s="119"/>
      <c r="I7" s="120"/>
      <c r="J7" s="14" t="s">
        <v>55</v>
      </c>
      <c r="K7" s="13"/>
      <c r="L7" s="13"/>
      <c r="M7" s="13" t="e">
        <f t="shared" si="1"/>
        <v>#DIV/0!</v>
      </c>
      <c r="N7" s="118"/>
      <c r="O7" s="119"/>
      <c r="P7" s="119"/>
      <c r="Q7" s="119"/>
      <c r="R7" s="125"/>
    </row>
    <row r="8" spans="1:18" x14ac:dyDescent="0.3">
      <c r="A8" s="18" t="s">
        <v>56</v>
      </c>
      <c r="B8" s="13"/>
      <c r="C8" s="13"/>
      <c r="D8" s="13" t="e">
        <f t="shared" si="0"/>
        <v>#DIV/0!</v>
      </c>
      <c r="E8" s="118"/>
      <c r="F8" s="119"/>
      <c r="G8" s="119"/>
      <c r="H8" s="119"/>
      <c r="I8" s="120"/>
      <c r="J8" s="14" t="s">
        <v>56</v>
      </c>
      <c r="K8" s="13"/>
      <c r="L8" s="13"/>
      <c r="M8" s="13" t="e">
        <f t="shared" si="1"/>
        <v>#DIV/0!</v>
      </c>
      <c r="N8" s="118"/>
      <c r="O8" s="119"/>
      <c r="P8" s="119"/>
      <c r="Q8" s="119"/>
      <c r="R8" s="125"/>
    </row>
    <row r="9" spans="1:18" x14ac:dyDescent="0.3">
      <c r="A9" s="18" t="s">
        <v>57</v>
      </c>
      <c r="B9" s="13"/>
      <c r="C9" s="13"/>
      <c r="D9" s="13" t="e">
        <f t="shared" si="0"/>
        <v>#DIV/0!</v>
      </c>
      <c r="E9" s="118"/>
      <c r="F9" s="119"/>
      <c r="G9" s="119"/>
      <c r="H9" s="119"/>
      <c r="I9" s="120"/>
      <c r="J9" s="14" t="s">
        <v>57</v>
      </c>
      <c r="K9" s="13"/>
      <c r="L9" s="13"/>
      <c r="M9" s="13" t="e">
        <f t="shared" si="1"/>
        <v>#DIV/0!</v>
      </c>
      <c r="N9" s="118"/>
      <c r="O9" s="119"/>
      <c r="P9" s="119"/>
      <c r="Q9" s="119"/>
      <c r="R9" s="125"/>
    </row>
    <row r="10" spans="1:18" x14ac:dyDescent="0.3">
      <c r="A10" s="18" t="s">
        <v>58</v>
      </c>
      <c r="B10" s="13"/>
      <c r="C10" s="13"/>
      <c r="D10" s="13" t="e">
        <f t="shared" si="0"/>
        <v>#DIV/0!</v>
      </c>
      <c r="E10" s="118"/>
      <c r="F10" s="119"/>
      <c r="G10" s="119"/>
      <c r="H10" s="119"/>
      <c r="I10" s="120"/>
      <c r="J10" s="14" t="s">
        <v>58</v>
      </c>
      <c r="K10" s="13"/>
      <c r="L10" s="13"/>
      <c r="M10" s="13" t="e">
        <f t="shared" si="1"/>
        <v>#DIV/0!</v>
      </c>
      <c r="N10" s="118"/>
      <c r="O10" s="119"/>
      <c r="P10" s="119"/>
      <c r="Q10" s="119"/>
      <c r="R10" s="125"/>
    </row>
    <row r="11" spans="1:18" x14ac:dyDescent="0.3">
      <c r="A11" s="18" t="s">
        <v>59</v>
      </c>
      <c r="B11" s="13"/>
      <c r="C11" s="13"/>
      <c r="D11" s="13" t="e">
        <f t="shared" si="0"/>
        <v>#DIV/0!</v>
      </c>
      <c r="E11" s="118"/>
      <c r="F11" s="119"/>
      <c r="G11" s="119"/>
      <c r="H11" s="119"/>
      <c r="I11" s="120"/>
      <c r="J11" s="14" t="s">
        <v>59</v>
      </c>
      <c r="K11" s="13"/>
      <c r="L11" s="13"/>
      <c r="M11" s="13" t="e">
        <f t="shared" si="1"/>
        <v>#DIV/0!</v>
      </c>
      <c r="N11" s="118"/>
      <c r="O11" s="119"/>
      <c r="P11" s="119"/>
      <c r="Q11" s="119"/>
      <c r="R11" s="125"/>
    </row>
    <row r="12" spans="1:18" x14ac:dyDescent="0.3">
      <c r="A12" s="18" t="s">
        <v>60</v>
      </c>
      <c r="B12" s="13"/>
      <c r="C12" s="13"/>
      <c r="D12" s="13" t="e">
        <f t="shared" si="0"/>
        <v>#DIV/0!</v>
      </c>
      <c r="E12" s="118"/>
      <c r="F12" s="119"/>
      <c r="G12" s="119"/>
      <c r="H12" s="119"/>
      <c r="I12" s="120"/>
      <c r="J12" s="14" t="s">
        <v>60</v>
      </c>
      <c r="K12" s="13"/>
      <c r="L12" s="13"/>
      <c r="M12" s="13" t="e">
        <f t="shared" si="1"/>
        <v>#DIV/0!</v>
      </c>
      <c r="N12" s="118"/>
      <c r="O12" s="119"/>
      <c r="P12" s="119"/>
      <c r="Q12" s="119"/>
      <c r="R12" s="125"/>
    </row>
    <row r="13" spans="1:18" x14ac:dyDescent="0.3">
      <c r="A13" s="18" t="s">
        <v>61</v>
      </c>
      <c r="B13" s="13"/>
      <c r="C13" s="13"/>
      <c r="D13" s="13" t="e">
        <f t="shared" si="0"/>
        <v>#DIV/0!</v>
      </c>
      <c r="E13" s="118"/>
      <c r="F13" s="119"/>
      <c r="G13" s="119"/>
      <c r="H13" s="119"/>
      <c r="I13" s="120"/>
      <c r="J13" s="14" t="s">
        <v>61</v>
      </c>
      <c r="K13" s="13"/>
      <c r="L13" s="13"/>
      <c r="M13" s="13" t="e">
        <f t="shared" si="1"/>
        <v>#DIV/0!</v>
      </c>
      <c r="N13" s="118"/>
      <c r="O13" s="119"/>
      <c r="P13" s="119"/>
      <c r="Q13" s="119"/>
      <c r="R13" s="125"/>
    </row>
    <row r="14" spans="1:18" x14ac:dyDescent="0.3">
      <c r="A14" s="18" t="s">
        <v>62</v>
      </c>
      <c r="B14" s="13"/>
      <c r="C14" s="13"/>
      <c r="D14" s="13" t="e">
        <f t="shared" si="0"/>
        <v>#DIV/0!</v>
      </c>
      <c r="E14" s="118"/>
      <c r="F14" s="119"/>
      <c r="G14" s="119"/>
      <c r="H14" s="119"/>
      <c r="I14" s="120"/>
      <c r="J14" s="14" t="s">
        <v>62</v>
      </c>
      <c r="K14" s="13"/>
      <c r="L14" s="13"/>
      <c r="M14" s="13" t="e">
        <f t="shared" si="1"/>
        <v>#DIV/0!</v>
      </c>
      <c r="N14" s="118"/>
      <c r="O14" s="119"/>
      <c r="P14" s="119"/>
      <c r="Q14" s="119"/>
      <c r="R14" s="125"/>
    </row>
    <row r="15" spans="1:18" x14ac:dyDescent="0.3">
      <c r="A15" s="18" t="s">
        <v>63</v>
      </c>
      <c r="B15" s="13"/>
      <c r="C15" s="13"/>
      <c r="D15" s="13" t="e">
        <f t="shared" si="0"/>
        <v>#DIV/0!</v>
      </c>
      <c r="E15" s="118"/>
      <c r="F15" s="119"/>
      <c r="G15" s="119"/>
      <c r="H15" s="119"/>
      <c r="I15" s="120"/>
      <c r="J15" s="14" t="s">
        <v>63</v>
      </c>
      <c r="K15" s="13"/>
      <c r="L15" s="13"/>
      <c r="M15" s="13" t="e">
        <f t="shared" si="1"/>
        <v>#DIV/0!</v>
      </c>
      <c r="N15" s="118"/>
      <c r="O15" s="119"/>
      <c r="P15" s="119"/>
      <c r="Q15" s="119"/>
      <c r="R15" s="125"/>
    </row>
    <row r="16" spans="1:18" x14ac:dyDescent="0.3">
      <c r="A16" s="18" t="s">
        <v>64</v>
      </c>
      <c r="B16" s="13"/>
      <c r="C16" s="13"/>
      <c r="D16" s="13" t="e">
        <f t="shared" si="0"/>
        <v>#DIV/0!</v>
      </c>
      <c r="E16" s="121"/>
      <c r="F16" s="122"/>
      <c r="G16" s="122"/>
      <c r="H16" s="122"/>
      <c r="I16" s="123"/>
      <c r="J16" s="14" t="s">
        <v>64</v>
      </c>
      <c r="K16" s="13"/>
      <c r="L16" s="13"/>
      <c r="M16" s="13" t="e">
        <f t="shared" si="1"/>
        <v>#DIV/0!</v>
      </c>
      <c r="N16" s="121"/>
      <c r="O16" s="122"/>
      <c r="P16" s="122"/>
      <c r="Q16" s="122"/>
      <c r="R16" s="126"/>
    </row>
    <row r="17" spans="1:18" x14ac:dyDescent="0.3">
      <c r="A17" s="114" t="s">
        <v>69</v>
      </c>
      <c r="B17" s="112"/>
      <c r="C17" s="112"/>
      <c r="D17" s="112"/>
      <c r="E17" s="112"/>
      <c r="F17" s="112"/>
      <c r="G17" s="112"/>
      <c r="H17" s="112"/>
      <c r="I17" s="112"/>
      <c r="J17" s="112" t="s">
        <v>73</v>
      </c>
      <c r="K17" s="112"/>
      <c r="L17" s="112"/>
      <c r="M17" s="112"/>
      <c r="N17" s="112"/>
      <c r="O17" s="112"/>
      <c r="P17" s="112"/>
      <c r="Q17" s="112"/>
      <c r="R17" s="113"/>
    </row>
    <row r="18" spans="1:18" ht="72" x14ac:dyDescent="0.3">
      <c r="A18" s="44" t="s">
        <v>48</v>
      </c>
      <c r="B18" s="42" t="s">
        <v>70</v>
      </c>
      <c r="C18" s="42" t="s">
        <v>71</v>
      </c>
      <c r="D18" s="42" t="s">
        <v>72</v>
      </c>
      <c r="E18" s="115"/>
      <c r="F18" s="116"/>
      <c r="G18" s="116"/>
      <c r="H18" s="116"/>
      <c r="I18" s="117"/>
      <c r="J18" s="42" t="s">
        <v>48</v>
      </c>
      <c r="K18" s="42" t="s">
        <v>75</v>
      </c>
      <c r="L18" s="42" t="s">
        <v>74</v>
      </c>
      <c r="M18" s="42" t="s">
        <v>76</v>
      </c>
      <c r="N18" s="115"/>
      <c r="O18" s="116"/>
      <c r="P18" s="116"/>
      <c r="Q18" s="116"/>
      <c r="R18" s="124"/>
    </row>
    <row r="19" spans="1:18" x14ac:dyDescent="0.3">
      <c r="A19" s="18" t="s">
        <v>53</v>
      </c>
      <c r="B19" s="13"/>
      <c r="C19" s="13"/>
      <c r="D19" s="13" t="e">
        <f>(B19/C19)*100</f>
        <v>#DIV/0!</v>
      </c>
      <c r="E19" s="118"/>
      <c r="F19" s="119"/>
      <c r="G19" s="119"/>
      <c r="H19" s="119"/>
      <c r="I19" s="120"/>
      <c r="J19" s="14" t="s">
        <v>53</v>
      </c>
      <c r="K19" s="13"/>
      <c r="L19" s="13"/>
      <c r="M19" s="13" t="e">
        <f>(K19/L19)*100</f>
        <v>#DIV/0!</v>
      </c>
      <c r="N19" s="118"/>
      <c r="O19" s="119"/>
      <c r="P19" s="119"/>
      <c r="Q19" s="119"/>
      <c r="R19" s="125"/>
    </row>
    <row r="20" spans="1:18" x14ac:dyDescent="0.3">
      <c r="A20" s="18" t="s">
        <v>54</v>
      </c>
      <c r="B20" s="13"/>
      <c r="C20" s="13"/>
      <c r="D20" s="13" t="e">
        <f t="shared" ref="D20:D30" si="2">(B20/C20)*100</f>
        <v>#DIV/0!</v>
      </c>
      <c r="E20" s="118"/>
      <c r="F20" s="119"/>
      <c r="G20" s="119"/>
      <c r="H20" s="119"/>
      <c r="I20" s="120"/>
      <c r="J20" s="14" t="s">
        <v>54</v>
      </c>
      <c r="K20" s="13"/>
      <c r="L20" s="13"/>
      <c r="M20" s="13" t="e">
        <f t="shared" ref="M20:M30" si="3">(K20/L20)*100</f>
        <v>#DIV/0!</v>
      </c>
      <c r="N20" s="118"/>
      <c r="O20" s="119"/>
      <c r="P20" s="119"/>
      <c r="Q20" s="119"/>
      <c r="R20" s="125"/>
    </row>
    <row r="21" spans="1:18" x14ac:dyDescent="0.3">
      <c r="A21" s="18" t="s">
        <v>55</v>
      </c>
      <c r="B21" s="13"/>
      <c r="C21" s="13"/>
      <c r="D21" s="13" t="e">
        <f t="shared" si="2"/>
        <v>#DIV/0!</v>
      </c>
      <c r="E21" s="118"/>
      <c r="F21" s="119"/>
      <c r="G21" s="119"/>
      <c r="H21" s="119"/>
      <c r="I21" s="120"/>
      <c r="J21" s="14" t="s">
        <v>55</v>
      </c>
      <c r="K21" s="13"/>
      <c r="L21" s="13"/>
      <c r="M21" s="13" t="e">
        <f t="shared" si="3"/>
        <v>#DIV/0!</v>
      </c>
      <c r="N21" s="118"/>
      <c r="O21" s="119"/>
      <c r="P21" s="119"/>
      <c r="Q21" s="119"/>
      <c r="R21" s="125"/>
    </row>
    <row r="22" spans="1:18" x14ac:dyDescent="0.3">
      <c r="A22" s="18" t="s">
        <v>56</v>
      </c>
      <c r="B22" s="13"/>
      <c r="C22" s="13"/>
      <c r="D22" s="13" t="e">
        <f t="shared" si="2"/>
        <v>#DIV/0!</v>
      </c>
      <c r="E22" s="118"/>
      <c r="F22" s="119"/>
      <c r="G22" s="119"/>
      <c r="H22" s="119"/>
      <c r="I22" s="120"/>
      <c r="J22" s="14" t="s">
        <v>56</v>
      </c>
      <c r="K22" s="13"/>
      <c r="L22" s="13"/>
      <c r="M22" s="13" t="e">
        <f t="shared" si="3"/>
        <v>#DIV/0!</v>
      </c>
      <c r="N22" s="118"/>
      <c r="O22" s="119"/>
      <c r="P22" s="119"/>
      <c r="Q22" s="119"/>
      <c r="R22" s="125"/>
    </row>
    <row r="23" spans="1:18" x14ac:dyDescent="0.3">
      <c r="A23" s="18" t="s">
        <v>57</v>
      </c>
      <c r="B23" s="13"/>
      <c r="C23" s="13"/>
      <c r="D23" s="13" t="e">
        <f t="shared" si="2"/>
        <v>#DIV/0!</v>
      </c>
      <c r="E23" s="118"/>
      <c r="F23" s="119"/>
      <c r="G23" s="119"/>
      <c r="H23" s="119"/>
      <c r="I23" s="120"/>
      <c r="J23" s="14" t="s">
        <v>57</v>
      </c>
      <c r="K23" s="13"/>
      <c r="L23" s="13"/>
      <c r="M23" s="13" t="e">
        <f t="shared" si="3"/>
        <v>#DIV/0!</v>
      </c>
      <c r="N23" s="118"/>
      <c r="O23" s="119"/>
      <c r="P23" s="119"/>
      <c r="Q23" s="119"/>
      <c r="R23" s="125"/>
    </row>
    <row r="24" spans="1:18" x14ac:dyDescent="0.3">
      <c r="A24" s="18" t="s">
        <v>58</v>
      </c>
      <c r="B24" s="13"/>
      <c r="C24" s="13"/>
      <c r="D24" s="13" t="e">
        <f t="shared" si="2"/>
        <v>#DIV/0!</v>
      </c>
      <c r="E24" s="118"/>
      <c r="F24" s="119"/>
      <c r="G24" s="119"/>
      <c r="H24" s="119"/>
      <c r="I24" s="120"/>
      <c r="J24" s="14" t="s">
        <v>58</v>
      </c>
      <c r="K24" s="13"/>
      <c r="L24" s="13"/>
      <c r="M24" s="13" t="e">
        <f t="shared" si="3"/>
        <v>#DIV/0!</v>
      </c>
      <c r="N24" s="118"/>
      <c r="O24" s="119"/>
      <c r="P24" s="119"/>
      <c r="Q24" s="119"/>
      <c r="R24" s="125"/>
    </row>
    <row r="25" spans="1:18" x14ac:dyDescent="0.3">
      <c r="A25" s="18" t="s">
        <v>59</v>
      </c>
      <c r="B25" s="13"/>
      <c r="C25" s="13"/>
      <c r="D25" s="13" t="e">
        <f t="shared" si="2"/>
        <v>#DIV/0!</v>
      </c>
      <c r="E25" s="118"/>
      <c r="F25" s="119"/>
      <c r="G25" s="119"/>
      <c r="H25" s="119"/>
      <c r="I25" s="120"/>
      <c r="J25" s="14" t="s">
        <v>59</v>
      </c>
      <c r="K25" s="13"/>
      <c r="L25" s="13"/>
      <c r="M25" s="13" t="e">
        <f t="shared" si="3"/>
        <v>#DIV/0!</v>
      </c>
      <c r="N25" s="118"/>
      <c r="O25" s="119"/>
      <c r="P25" s="119"/>
      <c r="Q25" s="119"/>
      <c r="R25" s="125"/>
    </row>
    <row r="26" spans="1:18" x14ac:dyDescent="0.3">
      <c r="A26" s="18" t="s">
        <v>60</v>
      </c>
      <c r="B26" s="13"/>
      <c r="C26" s="13"/>
      <c r="D26" s="13" t="e">
        <f t="shared" si="2"/>
        <v>#DIV/0!</v>
      </c>
      <c r="E26" s="118"/>
      <c r="F26" s="119"/>
      <c r="G26" s="119"/>
      <c r="H26" s="119"/>
      <c r="I26" s="120"/>
      <c r="J26" s="14" t="s">
        <v>60</v>
      </c>
      <c r="K26" s="13"/>
      <c r="L26" s="13"/>
      <c r="M26" s="13" t="e">
        <f t="shared" si="3"/>
        <v>#DIV/0!</v>
      </c>
      <c r="N26" s="118"/>
      <c r="O26" s="119"/>
      <c r="P26" s="119"/>
      <c r="Q26" s="119"/>
      <c r="R26" s="125"/>
    </row>
    <row r="27" spans="1:18" x14ac:dyDescent="0.3">
      <c r="A27" s="18" t="s">
        <v>61</v>
      </c>
      <c r="B27" s="13"/>
      <c r="C27" s="13"/>
      <c r="D27" s="13" t="e">
        <f t="shared" si="2"/>
        <v>#DIV/0!</v>
      </c>
      <c r="E27" s="118"/>
      <c r="F27" s="119"/>
      <c r="G27" s="119"/>
      <c r="H27" s="119"/>
      <c r="I27" s="120"/>
      <c r="J27" s="14" t="s">
        <v>61</v>
      </c>
      <c r="K27" s="13"/>
      <c r="L27" s="13"/>
      <c r="M27" s="13" t="e">
        <f t="shared" si="3"/>
        <v>#DIV/0!</v>
      </c>
      <c r="N27" s="118"/>
      <c r="O27" s="119"/>
      <c r="P27" s="119"/>
      <c r="Q27" s="119"/>
      <c r="R27" s="125"/>
    </row>
    <row r="28" spans="1:18" x14ac:dyDescent="0.3">
      <c r="A28" s="18" t="s">
        <v>62</v>
      </c>
      <c r="B28" s="13"/>
      <c r="C28" s="13"/>
      <c r="D28" s="13" t="e">
        <f t="shared" si="2"/>
        <v>#DIV/0!</v>
      </c>
      <c r="E28" s="118"/>
      <c r="F28" s="119"/>
      <c r="G28" s="119"/>
      <c r="H28" s="119"/>
      <c r="I28" s="120"/>
      <c r="J28" s="14" t="s">
        <v>62</v>
      </c>
      <c r="K28" s="13"/>
      <c r="L28" s="13"/>
      <c r="M28" s="13" t="e">
        <f t="shared" si="3"/>
        <v>#DIV/0!</v>
      </c>
      <c r="N28" s="118"/>
      <c r="O28" s="119"/>
      <c r="P28" s="119"/>
      <c r="Q28" s="119"/>
      <c r="R28" s="125"/>
    </row>
    <row r="29" spans="1:18" x14ac:dyDescent="0.3">
      <c r="A29" s="18" t="s">
        <v>63</v>
      </c>
      <c r="B29" s="13"/>
      <c r="C29" s="13"/>
      <c r="D29" s="13" t="e">
        <f t="shared" si="2"/>
        <v>#DIV/0!</v>
      </c>
      <c r="E29" s="118"/>
      <c r="F29" s="119"/>
      <c r="G29" s="119"/>
      <c r="H29" s="119"/>
      <c r="I29" s="120"/>
      <c r="J29" s="14" t="s">
        <v>63</v>
      </c>
      <c r="K29" s="13"/>
      <c r="L29" s="13"/>
      <c r="M29" s="13" t="e">
        <f t="shared" si="3"/>
        <v>#DIV/0!</v>
      </c>
      <c r="N29" s="118"/>
      <c r="O29" s="119"/>
      <c r="P29" s="119"/>
      <c r="Q29" s="119"/>
      <c r="R29" s="125"/>
    </row>
    <row r="30" spans="1:18" x14ac:dyDescent="0.3">
      <c r="A30" s="18" t="s">
        <v>64</v>
      </c>
      <c r="B30" s="13"/>
      <c r="C30" s="13"/>
      <c r="D30" s="13" t="e">
        <f t="shared" si="2"/>
        <v>#DIV/0!</v>
      </c>
      <c r="E30" s="121"/>
      <c r="F30" s="122"/>
      <c r="G30" s="122"/>
      <c r="H30" s="122"/>
      <c r="I30" s="123"/>
      <c r="J30" s="14" t="s">
        <v>64</v>
      </c>
      <c r="K30" s="13"/>
      <c r="L30" s="13"/>
      <c r="M30" s="13" t="e">
        <f t="shared" si="3"/>
        <v>#DIV/0!</v>
      </c>
      <c r="N30" s="121"/>
      <c r="O30" s="122"/>
      <c r="P30" s="122"/>
      <c r="Q30" s="122"/>
      <c r="R30" s="126"/>
    </row>
    <row r="31" spans="1:18" x14ac:dyDescent="0.3">
      <c r="A31" s="114" t="s">
        <v>77</v>
      </c>
      <c r="B31" s="112"/>
      <c r="C31" s="112"/>
      <c r="D31" s="112"/>
      <c r="E31" s="112"/>
      <c r="F31" s="112"/>
      <c r="G31" s="112"/>
      <c r="H31" s="112"/>
      <c r="I31" s="112"/>
      <c r="J31" s="112" t="s">
        <v>81</v>
      </c>
      <c r="K31" s="112"/>
      <c r="L31" s="112"/>
      <c r="M31" s="112"/>
      <c r="N31" s="112"/>
      <c r="O31" s="112"/>
      <c r="P31" s="112"/>
      <c r="Q31" s="112"/>
      <c r="R31" s="113"/>
    </row>
    <row r="32" spans="1:18" ht="72" x14ac:dyDescent="0.3">
      <c r="A32" s="44" t="s">
        <v>48</v>
      </c>
      <c r="B32" s="42" t="s">
        <v>78</v>
      </c>
      <c r="C32" s="42" t="s">
        <v>79</v>
      </c>
      <c r="D32" s="42" t="s">
        <v>80</v>
      </c>
      <c r="E32" s="115"/>
      <c r="F32" s="116"/>
      <c r="G32" s="116"/>
      <c r="H32" s="116"/>
      <c r="I32" s="117"/>
      <c r="J32" s="42" t="s">
        <v>48</v>
      </c>
      <c r="K32" s="42" t="s">
        <v>82</v>
      </c>
      <c r="L32" s="42" t="s">
        <v>83</v>
      </c>
      <c r="M32" s="42" t="s">
        <v>84</v>
      </c>
      <c r="N32" s="115"/>
      <c r="O32" s="116"/>
      <c r="P32" s="116"/>
      <c r="Q32" s="116"/>
      <c r="R32" s="124"/>
    </row>
    <row r="33" spans="1:18" x14ac:dyDescent="0.3">
      <c r="A33" s="18" t="s">
        <v>53</v>
      </c>
      <c r="B33" s="13"/>
      <c r="C33" s="13"/>
      <c r="D33" s="13" t="e">
        <f>(B33/C33)*100</f>
        <v>#DIV/0!</v>
      </c>
      <c r="E33" s="118"/>
      <c r="F33" s="119"/>
      <c r="G33" s="119"/>
      <c r="H33" s="119"/>
      <c r="I33" s="120"/>
      <c r="J33" s="14" t="s">
        <v>53</v>
      </c>
      <c r="K33" s="13"/>
      <c r="L33" s="13"/>
      <c r="M33" s="13" t="e">
        <f>(K33/L33)*100</f>
        <v>#DIV/0!</v>
      </c>
      <c r="N33" s="118"/>
      <c r="O33" s="119"/>
      <c r="P33" s="119"/>
      <c r="Q33" s="119"/>
      <c r="R33" s="125"/>
    </row>
    <row r="34" spans="1:18" x14ac:dyDescent="0.3">
      <c r="A34" s="18" t="s">
        <v>54</v>
      </c>
      <c r="B34" s="13"/>
      <c r="C34" s="13"/>
      <c r="D34" s="13" t="e">
        <f t="shared" ref="D34:D44" si="4">(B34/C34)*100</f>
        <v>#DIV/0!</v>
      </c>
      <c r="E34" s="118"/>
      <c r="F34" s="119"/>
      <c r="G34" s="119"/>
      <c r="H34" s="119"/>
      <c r="I34" s="120"/>
      <c r="J34" s="14" t="s">
        <v>54</v>
      </c>
      <c r="K34" s="13"/>
      <c r="L34" s="13"/>
      <c r="M34" s="13" t="e">
        <f t="shared" ref="M34:M44" si="5">(K34/L34)*100</f>
        <v>#DIV/0!</v>
      </c>
      <c r="N34" s="118"/>
      <c r="O34" s="119"/>
      <c r="P34" s="119"/>
      <c r="Q34" s="119"/>
      <c r="R34" s="125"/>
    </row>
    <row r="35" spans="1:18" x14ac:dyDescent="0.3">
      <c r="A35" s="18" t="s">
        <v>55</v>
      </c>
      <c r="B35" s="13"/>
      <c r="C35" s="13"/>
      <c r="D35" s="13" t="e">
        <f t="shared" si="4"/>
        <v>#DIV/0!</v>
      </c>
      <c r="E35" s="118"/>
      <c r="F35" s="119"/>
      <c r="G35" s="119"/>
      <c r="H35" s="119"/>
      <c r="I35" s="120"/>
      <c r="J35" s="14" t="s">
        <v>55</v>
      </c>
      <c r="K35" s="13"/>
      <c r="L35" s="13"/>
      <c r="M35" s="13" t="e">
        <f t="shared" si="5"/>
        <v>#DIV/0!</v>
      </c>
      <c r="N35" s="118"/>
      <c r="O35" s="119"/>
      <c r="P35" s="119"/>
      <c r="Q35" s="119"/>
      <c r="R35" s="125"/>
    </row>
    <row r="36" spans="1:18" x14ac:dyDescent="0.3">
      <c r="A36" s="18" t="s">
        <v>56</v>
      </c>
      <c r="B36" s="13"/>
      <c r="C36" s="13"/>
      <c r="D36" s="13" t="e">
        <f t="shared" si="4"/>
        <v>#DIV/0!</v>
      </c>
      <c r="E36" s="118"/>
      <c r="F36" s="119"/>
      <c r="G36" s="119"/>
      <c r="H36" s="119"/>
      <c r="I36" s="120"/>
      <c r="J36" s="14" t="s">
        <v>56</v>
      </c>
      <c r="K36" s="13"/>
      <c r="L36" s="13"/>
      <c r="M36" s="13" t="e">
        <f t="shared" si="5"/>
        <v>#DIV/0!</v>
      </c>
      <c r="N36" s="118"/>
      <c r="O36" s="119"/>
      <c r="P36" s="119"/>
      <c r="Q36" s="119"/>
      <c r="R36" s="125"/>
    </row>
    <row r="37" spans="1:18" x14ac:dyDescent="0.3">
      <c r="A37" s="18" t="s">
        <v>57</v>
      </c>
      <c r="B37" s="13"/>
      <c r="C37" s="13"/>
      <c r="D37" s="13" t="e">
        <f t="shared" si="4"/>
        <v>#DIV/0!</v>
      </c>
      <c r="E37" s="118"/>
      <c r="F37" s="119"/>
      <c r="G37" s="119"/>
      <c r="H37" s="119"/>
      <c r="I37" s="120"/>
      <c r="J37" s="14" t="s">
        <v>57</v>
      </c>
      <c r="K37" s="13"/>
      <c r="L37" s="13"/>
      <c r="M37" s="13" t="e">
        <f t="shared" si="5"/>
        <v>#DIV/0!</v>
      </c>
      <c r="N37" s="118"/>
      <c r="O37" s="119"/>
      <c r="P37" s="119"/>
      <c r="Q37" s="119"/>
      <c r="R37" s="125"/>
    </row>
    <row r="38" spans="1:18" x14ac:dyDescent="0.3">
      <c r="A38" s="18" t="s">
        <v>58</v>
      </c>
      <c r="B38" s="13"/>
      <c r="C38" s="13"/>
      <c r="D38" s="13" t="e">
        <f t="shared" si="4"/>
        <v>#DIV/0!</v>
      </c>
      <c r="E38" s="118"/>
      <c r="F38" s="119"/>
      <c r="G38" s="119"/>
      <c r="H38" s="119"/>
      <c r="I38" s="120"/>
      <c r="J38" s="14" t="s">
        <v>58</v>
      </c>
      <c r="K38" s="13"/>
      <c r="L38" s="13"/>
      <c r="M38" s="13" t="e">
        <f t="shared" si="5"/>
        <v>#DIV/0!</v>
      </c>
      <c r="N38" s="118"/>
      <c r="O38" s="119"/>
      <c r="P38" s="119"/>
      <c r="Q38" s="119"/>
      <c r="R38" s="125"/>
    </row>
    <row r="39" spans="1:18" x14ac:dyDescent="0.3">
      <c r="A39" s="18" t="s">
        <v>59</v>
      </c>
      <c r="B39" s="13"/>
      <c r="C39" s="13"/>
      <c r="D39" s="13" t="e">
        <f t="shared" si="4"/>
        <v>#DIV/0!</v>
      </c>
      <c r="E39" s="118"/>
      <c r="F39" s="119"/>
      <c r="G39" s="119"/>
      <c r="H39" s="119"/>
      <c r="I39" s="120"/>
      <c r="J39" s="14" t="s">
        <v>59</v>
      </c>
      <c r="K39" s="13"/>
      <c r="L39" s="13"/>
      <c r="M39" s="13" t="e">
        <f t="shared" si="5"/>
        <v>#DIV/0!</v>
      </c>
      <c r="N39" s="118"/>
      <c r="O39" s="119"/>
      <c r="P39" s="119"/>
      <c r="Q39" s="119"/>
      <c r="R39" s="125"/>
    </row>
    <row r="40" spans="1:18" x14ac:dyDescent="0.3">
      <c r="A40" s="18" t="s">
        <v>60</v>
      </c>
      <c r="B40" s="13"/>
      <c r="C40" s="13"/>
      <c r="D40" s="13" t="e">
        <f t="shared" si="4"/>
        <v>#DIV/0!</v>
      </c>
      <c r="E40" s="118"/>
      <c r="F40" s="119"/>
      <c r="G40" s="119"/>
      <c r="H40" s="119"/>
      <c r="I40" s="120"/>
      <c r="J40" s="14" t="s">
        <v>60</v>
      </c>
      <c r="K40" s="13"/>
      <c r="L40" s="13"/>
      <c r="M40" s="13" t="e">
        <f t="shared" si="5"/>
        <v>#DIV/0!</v>
      </c>
      <c r="N40" s="118"/>
      <c r="O40" s="119"/>
      <c r="P40" s="119"/>
      <c r="Q40" s="119"/>
      <c r="R40" s="125"/>
    </row>
    <row r="41" spans="1:18" x14ac:dyDescent="0.3">
      <c r="A41" s="18" t="s">
        <v>61</v>
      </c>
      <c r="B41" s="13"/>
      <c r="C41" s="13"/>
      <c r="D41" s="13" t="e">
        <f t="shared" si="4"/>
        <v>#DIV/0!</v>
      </c>
      <c r="E41" s="118"/>
      <c r="F41" s="119"/>
      <c r="G41" s="119"/>
      <c r="H41" s="119"/>
      <c r="I41" s="120"/>
      <c r="J41" s="14" t="s">
        <v>61</v>
      </c>
      <c r="K41" s="13"/>
      <c r="L41" s="13"/>
      <c r="M41" s="13" t="e">
        <f t="shared" si="5"/>
        <v>#DIV/0!</v>
      </c>
      <c r="N41" s="118"/>
      <c r="O41" s="119"/>
      <c r="P41" s="119"/>
      <c r="Q41" s="119"/>
      <c r="R41" s="125"/>
    </row>
    <row r="42" spans="1:18" x14ac:dyDescent="0.3">
      <c r="A42" s="18" t="s">
        <v>62</v>
      </c>
      <c r="B42" s="13"/>
      <c r="C42" s="13"/>
      <c r="D42" s="13" t="e">
        <f t="shared" si="4"/>
        <v>#DIV/0!</v>
      </c>
      <c r="E42" s="118"/>
      <c r="F42" s="119"/>
      <c r="G42" s="119"/>
      <c r="H42" s="119"/>
      <c r="I42" s="120"/>
      <c r="J42" s="14" t="s">
        <v>62</v>
      </c>
      <c r="K42" s="13"/>
      <c r="L42" s="13"/>
      <c r="M42" s="13" t="e">
        <f t="shared" si="5"/>
        <v>#DIV/0!</v>
      </c>
      <c r="N42" s="118"/>
      <c r="O42" s="119"/>
      <c r="P42" s="119"/>
      <c r="Q42" s="119"/>
      <c r="R42" s="125"/>
    </row>
    <row r="43" spans="1:18" x14ac:dyDescent="0.3">
      <c r="A43" s="18" t="s">
        <v>63</v>
      </c>
      <c r="B43" s="13"/>
      <c r="C43" s="13"/>
      <c r="D43" s="13" t="e">
        <f t="shared" si="4"/>
        <v>#DIV/0!</v>
      </c>
      <c r="E43" s="118"/>
      <c r="F43" s="119"/>
      <c r="G43" s="119"/>
      <c r="H43" s="119"/>
      <c r="I43" s="120"/>
      <c r="J43" s="14" t="s">
        <v>63</v>
      </c>
      <c r="K43" s="13"/>
      <c r="L43" s="13"/>
      <c r="M43" s="13" t="e">
        <f t="shared" si="5"/>
        <v>#DIV/0!</v>
      </c>
      <c r="N43" s="118"/>
      <c r="O43" s="119"/>
      <c r="P43" s="119"/>
      <c r="Q43" s="119"/>
      <c r="R43" s="125"/>
    </row>
    <row r="44" spans="1:18" x14ac:dyDescent="0.3">
      <c r="A44" s="18" t="s">
        <v>64</v>
      </c>
      <c r="B44" s="13"/>
      <c r="C44" s="13"/>
      <c r="D44" s="13" t="e">
        <f t="shared" si="4"/>
        <v>#DIV/0!</v>
      </c>
      <c r="E44" s="121"/>
      <c r="F44" s="122"/>
      <c r="G44" s="122"/>
      <c r="H44" s="122"/>
      <c r="I44" s="123"/>
      <c r="J44" s="14" t="s">
        <v>64</v>
      </c>
      <c r="K44" s="13"/>
      <c r="L44" s="13"/>
      <c r="M44" s="13" t="e">
        <f t="shared" si="5"/>
        <v>#DIV/0!</v>
      </c>
      <c r="N44" s="121"/>
      <c r="O44" s="122"/>
      <c r="P44" s="122"/>
      <c r="Q44" s="122"/>
      <c r="R44" s="126"/>
    </row>
    <row r="45" spans="1:18" x14ac:dyDescent="0.3">
      <c r="A45" s="114" t="s">
        <v>85</v>
      </c>
      <c r="B45" s="112"/>
      <c r="C45" s="112"/>
      <c r="D45" s="112"/>
      <c r="E45" s="112"/>
      <c r="F45" s="112"/>
      <c r="G45" s="112"/>
      <c r="H45" s="112"/>
      <c r="I45" s="112"/>
      <c r="J45" s="112" t="s">
        <v>92</v>
      </c>
      <c r="K45" s="112"/>
      <c r="L45" s="112"/>
      <c r="M45" s="112"/>
      <c r="N45" s="112"/>
      <c r="O45" s="112"/>
      <c r="P45" s="112"/>
      <c r="Q45" s="112"/>
      <c r="R45" s="113"/>
    </row>
    <row r="46" spans="1:18" ht="63.75" customHeight="1" x14ac:dyDescent="0.3">
      <c r="A46" s="44" t="s">
        <v>48</v>
      </c>
      <c r="B46" s="42" t="s">
        <v>86</v>
      </c>
      <c r="C46" s="42" t="s">
        <v>87</v>
      </c>
      <c r="D46" s="42" t="s">
        <v>88</v>
      </c>
      <c r="E46" s="108"/>
      <c r="F46" s="108"/>
      <c r="G46" s="108"/>
      <c r="H46" s="108"/>
      <c r="I46" s="108"/>
      <c r="J46" s="42" t="s">
        <v>48</v>
      </c>
      <c r="K46" s="42" t="s">
        <v>90</v>
      </c>
      <c r="L46" s="42" t="s">
        <v>91</v>
      </c>
      <c r="M46" s="42" t="s">
        <v>71</v>
      </c>
      <c r="N46" s="42" t="s">
        <v>89</v>
      </c>
      <c r="O46" s="108"/>
      <c r="P46" s="108"/>
      <c r="Q46" s="108"/>
      <c r="R46" s="110"/>
    </row>
    <row r="47" spans="1:18" x14ac:dyDescent="0.3">
      <c r="A47" s="18" t="s">
        <v>53</v>
      </c>
      <c r="B47" s="13"/>
      <c r="C47" s="13"/>
      <c r="D47" s="13" t="e">
        <f>(B47/C47)*100</f>
        <v>#DIV/0!</v>
      </c>
      <c r="E47" s="108"/>
      <c r="F47" s="108"/>
      <c r="G47" s="108"/>
      <c r="H47" s="108"/>
      <c r="I47" s="108"/>
      <c r="J47" s="14" t="s">
        <v>53</v>
      </c>
      <c r="K47" s="13"/>
      <c r="L47" s="13"/>
      <c r="M47" s="13"/>
      <c r="N47" s="13" t="e">
        <f>((K47-L47)/(M47-L47))*100</f>
        <v>#DIV/0!</v>
      </c>
      <c r="O47" s="108"/>
      <c r="P47" s="108"/>
      <c r="Q47" s="108"/>
      <c r="R47" s="110"/>
    </row>
    <row r="48" spans="1:18" x14ac:dyDescent="0.3">
      <c r="A48" s="18" t="s">
        <v>54</v>
      </c>
      <c r="B48" s="13"/>
      <c r="C48" s="13"/>
      <c r="D48" s="13" t="e">
        <f t="shared" ref="D48:D58" si="6">(B48/C48)*100</f>
        <v>#DIV/0!</v>
      </c>
      <c r="E48" s="108"/>
      <c r="F48" s="108"/>
      <c r="G48" s="108"/>
      <c r="H48" s="108"/>
      <c r="I48" s="108"/>
      <c r="J48" s="14" t="s">
        <v>54</v>
      </c>
      <c r="K48" s="13"/>
      <c r="L48" s="13"/>
      <c r="M48" s="13"/>
      <c r="N48" s="13" t="e">
        <f t="shared" ref="N48:N58" si="7">((K48-L48)/(M48-L48))*100</f>
        <v>#DIV/0!</v>
      </c>
      <c r="O48" s="108"/>
      <c r="P48" s="108"/>
      <c r="Q48" s="108"/>
      <c r="R48" s="110"/>
    </row>
    <row r="49" spans="1:18" x14ac:dyDescent="0.3">
      <c r="A49" s="18" t="s">
        <v>55</v>
      </c>
      <c r="B49" s="13"/>
      <c r="C49" s="13"/>
      <c r="D49" s="13" t="e">
        <f t="shared" si="6"/>
        <v>#DIV/0!</v>
      </c>
      <c r="E49" s="108"/>
      <c r="F49" s="108"/>
      <c r="G49" s="108"/>
      <c r="H49" s="108"/>
      <c r="I49" s="108"/>
      <c r="J49" s="14" t="s">
        <v>55</v>
      </c>
      <c r="K49" s="13"/>
      <c r="L49" s="13"/>
      <c r="M49" s="13"/>
      <c r="N49" s="13" t="e">
        <f t="shared" si="7"/>
        <v>#DIV/0!</v>
      </c>
      <c r="O49" s="108"/>
      <c r="P49" s="108"/>
      <c r="Q49" s="108"/>
      <c r="R49" s="110"/>
    </row>
    <row r="50" spans="1:18" x14ac:dyDescent="0.3">
      <c r="A50" s="18" t="s">
        <v>56</v>
      </c>
      <c r="B50" s="13"/>
      <c r="C50" s="13"/>
      <c r="D50" s="13" t="e">
        <f t="shared" si="6"/>
        <v>#DIV/0!</v>
      </c>
      <c r="E50" s="108"/>
      <c r="F50" s="108"/>
      <c r="G50" s="108"/>
      <c r="H50" s="108"/>
      <c r="I50" s="108"/>
      <c r="J50" s="14" t="s">
        <v>56</v>
      </c>
      <c r="K50" s="13"/>
      <c r="L50" s="13"/>
      <c r="M50" s="13"/>
      <c r="N50" s="13" t="e">
        <f t="shared" si="7"/>
        <v>#DIV/0!</v>
      </c>
      <c r="O50" s="108"/>
      <c r="P50" s="108"/>
      <c r="Q50" s="108"/>
      <c r="R50" s="110"/>
    </row>
    <row r="51" spans="1:18" x14ac:dyDescent="0.3">
      <c r="A51" s="18" t="s">
        <v>57</v>
      </c>
      <c r="B51" s="13"/>
      <c r="C51" s="13"/>
      <c r="D51" s="13" t="e">
        <f t="shared" si="6"/>
        <v>#DIV/0!</v>
      </c>
      <c r="E51" s="108"/>
      <c r="F51" s="108"/>
      <c r="G51" s="108"/>
      <c r="H51" s="108"/>
      <c r="I51" s="108"/>
      <c r="J51" s="14" t="s">
        <v>57</v>
      </c>
      <c r="K51" s="13"/>
      <c r="L51" s="13"/>
      <c r="M51" s="13"/>
      <c r="N51" s="13" t="e">
        <f t="shared" si="7"/>
        <v>#DIV/0!</v>
      </c>
      <c r="O51" s="108"/>
      <c r="P51" s="108"/>
      <c r="Q51" s="108"/>
      <c r="R51" s="110"/>
    </row>
    <row r="52" spans="1:18" x14ac:dyDescent="0.3">
      <c r="A52" s="18" t="s">
        <v>58</v>
      </c>
      <c r="B52" s="13"/>
      <c r="C52" s="13"/>
      <c r="D52" s="13" t="e">
        <f t="shared" si="6"/>
        <v>#DIV/0!</v>
      </c>
      <c r="E52" s="108"/>
      <c r="F52" s="108"/>
      <c r="G52" s="108"/>
      <c r="H52" s="108"/>
      <c r="I52" s="108"/>
      <c r="J52" s="14" t="s">
        <v>58</v>
      </c>
      <c r="K52" s="13"/>
      <c r="L52" s="13"/>
      <c r="M52" s="13"/>
      <c r="N52" s="13" t="e">
        <f t="shared" si="7"/>
        <v>#DIV/0!</v>
      </c>
      <c r="O52" s="108"/>
      <c r="P52" s="108"/>
      <c r="Q52" s="108"/>
      <c r="R52" s="110"/>
    </row>
    <row r="53" spans="1:18" x14ac:dyDescent="0.3">
      <c r="A53" s="18" t="s">
        <v>59</v>
      </c>
      <c r="B53" s="13"/>
      <c r="C53" s="13"/>
      <c r="D53" s="13" t="e">
        <f t="shared" si="6"/>
        <v>#DIV/0!</v>
      </c>
      <c r="E53" s="108"/>
      <c r="F53" s="108"/>
      <c r="G53" s="108"/>
      <c r="H53" s="108"/>
      <c r="I53" s="108"/>
      <c r="J53" s="14" t="s">
        <v>59</v>
      </c>
      <c r="K53" s="13"/>
      <c r="L53" s="13"/>
      <c r="M53" s="13"/>
      <c r="N53" s="13" t="e">
        <f t="shared" si="7"/>
        <v>#DIV/0!</v>
      </c>
      <c r="O53" s="108"/>
      <c r="P53" s="108"/>
      <c r="Q53" s="108"/>
      <c r="R53" s="110"/>
    </row>
    <row r="54" spans="1:18" x14ac:dyDescent="0.3">
      <c r="A54" s="18" t="s">
        <v>60</v>
      </c>
      <c r="B54" s="13"/>
      <c r="C54" s="13"/>
      <c r="D54" s="13" t="e">
        <f t="shared" si="6"/>
        <v>#DIV/0!</v>
      </c>
      <c r="E54" s="108"/>
      <c r="F54" s="108"/>
      <c r="G54" s="108"/>
      <c r="H54" s="108"/>
      <c r="I54" s="108"/>
      <c r="J54" s="14" t="s">
        <v>60</v>
      </c>
      <c r="K54" s="13"/>
      <c r="L54" s="13"/>
      <c r="M54" s="13"/>
      <c r="N54" s="13" t="e">
        <f t="shared" si="7"/>
        <v>#DIV/0!</v>
      </c>
      <c r="O54" s="108"/>
      <c r="P54" s="108"/>
      <c r="Q54" s="108"/>
      <c r="R54" s="110"/>
    </row>
    <row r="55" spans="1:18" x14ac:dyDescent="0.3">
      <c r="A55" s="18" t="s">
        <v>61</v>
      </c>
      <c r="B55" s="13"/>
      <c r="C55" s="13"/>
      <c r="D55" s="13" t="e">
        <f t="shared" si="6"/>
        <v>#DIV/0!</v>
      </c>
      <c r="E55" s="108"/>
      <c r="F55" s="108"/>
      <c r="G55" s="108"/>
      <c r="H55" s="108"/>
      <c r="I55" s="108"/>
      <c r="J55" s="14" t="s">
        <v>61</v>
      </c>
      <c r="K55" s="13"/>
      <c r="L55" s="13"/>
      <c r="M55" s="13"/>
      <c r="N55" s="13" t="e">
        <f t="shared" si="7"/>
        <v>#DIV/0!</v>
      </c>
      <c r="O55" s="108"/>
      <c r="P55" s="108"/>
      <c r="Q55" s="108"/>
      <c r="R55" s="110"/>
    </row>
    <row r="56" spans="1:18" x14ac:dyDescent="0.3">
      <c r="A56" s="18" t="s">
        <v>62</v>
      </c>
      <c r="B56" s="13"/>
      <c r="C56" s="13"/>
      <c r="D56" s="13" t="e">
        <f t="shared" si="6"/>
        <v>#DIV/0!</v>
      </c>
      <c r="E56" s="108"/>
      <c r="F56" s="108"/>
      <c r="G56" s="108"/>
      <c r="H56" s="108"/>
      <c r="I56" s="108"/>
      <c r="J56" s="14" t="s">
        <v>62</v>
      </c>
      <c r="K56" s="13"/>
      <c r="L56" s="13"/>
      <c r="M56" s="13"/>
      <c r="N56" s="13" t="e">
        <f t="shared" si="7"/>
        <v>#DIV/0!</v>
      </c>
      <c r="O56" s="108"/>
      <c r="P56" s="108"/>
      <c r="Q56" s="108"/>
      <c r="R56" s="110"/>
    </row>
    <row r="57" spans="1:18" x14ac:dyDescent="0.3">
      <c r="A57" s="18" t="s">
        <v>63</v>
      </c>
      <c r="B57" s="13"/>
      <c r="C57" s="13"/>
      <c r="D57" s="13" t="e">
        <f t="shared" si="6"/>
        <v>#DIV/0!</v>
      </c>
      <c r="E57" s="108"/>
      <c r="F57" s="108"/>
      <c r="G57" s="108"/>
      <c r="H57" s="108"/>
      <c r="I57" s="108"/>
      <c r="J57" s="14" t="s">
        <v>63</v>
      </c>
      <c r="K57" s="13"/>
      <c r="L57" s="13"/>
      <c r="M57" s="13"/>
      <c r="N57" s="13" t="e">
        <f t="shared" si="7"/>
        <v>#DIV/0!</v>
      </c>
      <c r="O57" s="108"/>
      <c r="P57" s="108"/>
      <c r="Q57" s="108"/>
      <c r="R57" s="110"/>
    </row>
    <row r="58" spans="1:18" ht="15" thickBot="1" x14ac:dyDescent="0.35">
      <c r="A58" s="24" t="s">
        <v>64</v>
      </c>
      <c r="B58" s="45"/>
      <c r="C58" s="45"/>
      <c r="D58" s="45" t="e">
        <f t="shared" si="6"/>
        <v>#DIV/0!</v>
      </c>
      <c r="E58" s="109"/>
      <c r="F58" s="109"/>
      <c r="G58" s="109"/>
      <c r="H58" s="109"/>
      <c r="I58" s="109"/>
      <c r="J58" s="25" t="s">
        <v>64</v>
      </c>
      <c r="K58" s="45"/>
      <c r="L58" s="45"/>
      <c r="M58" s="45"/>
      <c r="N58" s="45" t="e">
        <f t="shared" si="7"/>
        <v>#DIV/0!</v>
      </c>
      <c r="O58" s="109"/>
      <c r="P58" s="109"/>
      <c r="Q58" s="109"/>
      <c r="R58" s="111"/>
    </row>
  </sheetData>
  <mergeCells count="19">
    <mergeCell ref="O1:R2"/>
    <mergeCell ref="A1:D2"/>
    <mergeCell ref="E1:N2"/>
    <mergeCell ref="A45:I45"/>
    <mergeCell ref="J45:R45"/>
    <mergeCell ref="E46:I58"/>
    <mergeCell ref="O46:R58"/>
    <mergeCell ref="J3:R3"/>
    <mergeCell ref="A3:I3"/>
    <mergeCell ref="J17:R17"/>
    <mergeCell ref="E4:I16"/>
    <mergeCell ref="N4:R16"/>
    <mergeCell ref="E18:I30"/>
    <mergeCell ref="N18:R30"/>
    <mergeCell ref="E32:I44"/>
    <mergeCell ref="N32:R44"/>
    <mergeCell ref="A17:I17"/>
    <mergeCell ref="A31:I31"/>
    <mergeCell ref="J31:R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CRITICIDAD</vt:lpstr>
      <vt:lpstr>XYZ</vt:lpstr>
      <vt:lpstr>KPIs inventario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Julian Fernando Garcia Jauregui</cp:lastModifiedBy>
  <cp:lastPrinted>2022-06-30T21:29:28Z</cp:lastPrinted>
  <dcterms:created xsi:type="dcterms:W3CDTF">2022-06-29T13:14:00Z</dcterms:created>
  <dcterms:modified xsi:type="dcterms:W3CDTF">2025-08-13T23:33:30Z</dcterms:modified>
</cp:coreProperties>
</file>