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Desktop\plan\WORD DEL LIBRO\para subir\LIBRO FINAL PROYECTO\APÉNDICES\"/>
    </mc:Choice>
  </mc:AlternateContent>
  <xr:revisionPtr revIDLastSave="0" documentId="13_ncr:1_{DED5C450-4636-4131-9675-613074A946B6}" xr6:coauthVersionLast="47" xr6:coauthVersionMax="47" xr10:uidLastSave="{00000000-0000-0000-0000-000000000000}"/>
  <bookViews>
    <workbookView xWindow="-108" yWindow="-108" windowWidth="23256" windowHeight="12456" firstSheet="2" activeTab="6" xr2:uid="{A3055D2C-C7E2-4484-8DE3-CF6368BAE441}"/>
  </bookViews>
  <sheets>
    <sheet name="ESTRUCTURA SALARIAL" sheetId="1" r:id="rId1"/>
    <sheet name="INVERSIONES" sheetId="2" r:id="rId2"/>
    <sheet name="COSTOS Y GASTOS" sheetId="3" r:id="rId3"/>
    <sheet name="COSTOS RESUMEN" sheetId="6" r:id="rId4"/>
    <sheet name="INGRESOS" sheetId="5" r:id="rId5"/>
    <sheet name="CREDITO" sheetId="4" r:id="rId6"/>
    <sheet name="PROYECCIONES" sheetId="7" r:id="rId7"/>
    <sheet name="EVALUACION" sheetId="9" r:id="rId8"/>
  </sheets>
  <externalReferences>
    <externalReference r:id="rId9"/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1" l="1"/>
  <c r="F54" i="1" s="1"/>
  <c r="G54" i="1" s="1"/>
  <c r="G55" i="1"/>
  <c r="F55" i="1"/>
  <c r="E55" i="1"/>
  <c r="D55" i="1"/>
  <c r="C55" i="1"/>
  <c r="B48" i="1"/>
  <c r="C115" i="3"/>
  <c r="D115" i="3" s="1"/>
  <c r="C119" i="3"/>
  <c r="D7" i="2"/>
  <c r="C5" i="2"/>
  <c r="G56" i="1" l="1"/>
  <c r="H54" i="1"/>
  <c r="H56" i="1" s="1"/>
  <c r="H55" i="1"/>
  <c r="J61" i="3"/>
  <c r="G89" i="9"/>
  <c r="D97" i="9"/>
  <c r="C21" i="5"/>
  <c r="G83" i="9" l="1"/>
  <c r="D47" i="9"/>
  <c r="H26" i="9"/>
  <c r="I26" i="9"/>
  <c r="J26" i="9"/>
  <c r="K26" i="9"/>
  <c r="G27" i="9"/>
  <c r="G26" i="9"/>
  <c r="H14" i="9"/>
  <c r="I14" i="9"/>
  <c r="J14" i="9"/>
  <c r="K14" i="9"/>
  <c r="G14" i="9"/>
  <c r="H17" i="9"/>
  <c r="I17" i="9"/>
  <c r="J17" i="9"/>
  <c r="K17" i="9"/>
  <c r="G17" i="9"/>
  <c r="H13" i="9"/>
  <c r="I13" i="9"/>
  <c r="J13" i="9"/>
  <c r="K13" i="9"/>
  <c r="G13" i="9"/>
  <c r="H12" i="9"/>
  <c r="I12" i="9"/>
  <c r="J12" i="9"/>
  <c r="K12" i="9"/>
  <c r="G12" i="9"/>
  <c r="H7" i="9"/>
  <c r="H9" i="9" s="1"/>
  <c r="I7" i="9"/>
  <c r="I9" i="9" s="1"/>
  <c r="J7" i="9"/>
  <c r="J9" i="9" s="1"/>
  <c r="K7" i="9"/>
  <c r="K9" i="9" s="1"/>
  <c r="G7" i="9"/>
  <c r="G9" i="9" s="1"/>
  <c r="E49" i="9"/>
  <c r="K36" i="9"/>
  <c r="J36" i="9"/>
  <c r="I36" i="9"/>
  <c r="H36" i="9"/>
  <c r="G36" i="9"/>
  <c r="K6" i="9"/>
  <c r="J6" i="9"/>
  <c r="I6" i="9"/>
  <c r="H6" i="9"/>
  <c r="G6" i="9"/>
  <c r="F57" i="9" l="1"/>
  <c r="G57" i="9" s="1"/>
  <c r="F58" i="9" l="1"/>
  <c r="F59" i="9" s="1"/>
  <c r="G58" i="9" l="1"/>
  <c r="G59" i="9"/>
  <c r="F60" i="9"/>
  <c r="G60" i="9" l="1"/>
  <c r="F61" i="9"/>
  <c r="F62" i="9" l="1"/>
  <c r="G61" i="9"/>
  <c r="G62" i="9" l="1"/>
  <c r="H16" i="5" l="1"/>
  <c r="D7" i="5" s="1"/>
  <c r="B15" i="5" s="1"/>
  <c r="H17" i="5"/>
  <c r="D8" i="5" s="1"/>
  <c r="B16" i="5" s="1"/>
  <c r="C16" i="5" s="1"/>
  <c r="E7" i="7" s="1"/>
  <c r="E8" i="7" s="1"/>
  <c r="E48" i="7" s="1"/>
  <c r="E50" i="7" s="1"/>
  <c r="H18" i="5"/>
  <c r="D9" i="5" s="1"/>
  <c r="B17" i="5" s="1"/>
  <c r="C17" i="5" s="1"/>
  <c r="F7" i="7" s="1"/>
  <c r="F8" i="7" s="1"/>
  <c r="F48" i="7" s="1"/>
  <c r="F50" i="7" s="1"/>
  <c r="H19" i="5"/>
  <c r="H20" i="5"/>
  <c r="H21" i="5"/>
  <c r="D10" i="5"/>
  <c r="B18" i="5" s="1"/>
  <c r="C18" i="5" s="1"/>
  <c r="G7" i="7" s="1"/>
  <c r="G8" i="7" s="1"/>
  <c r="B93" i="7"/>
  <c r="C67" i="7"/>
  <c r="C58" i="7"/>
  <c r="G55" i="7"/>
  <c r="C55" i="7"/>
  <c r="E54" i="7"/>
  <c r="G53" i="7"/>
  <c r="C53" i="7"/>
  <c r="G22" i="7"/>
  <c r="G20" i="7"/>
  <c r="E20" i="7"/>
  <c r="D20" i="7"/>
  <c r="G11" i="7"/>
  <c r="D15" i="7"/>
  <c r="E15" i="7" s="1"/>
  <c r="F15" i="7" s="1"/>
  <c r="G15" i="7" s="1"/>
  <c r="G58" i="7" s="1"/>
  <c r="G79" i="3"/>
  <c r="G13" i="7"/>
  <c r="G54" i="7" s="1"/>
  <c r="E13" i="7"/>
  <c r="D13" i="7"/>
  <c r="D54" i="7" s="1"/>
  <c r="C13" i="7"/>
  <c r="C54" i="7" s="1"/>
  <c r="E7" i="4"/>
  <c r="F13" i="7"/>
  <c r="F54" i="7" s="1"/>
  <c r="B131" i="7"/>
  <c r="B135" i="7" s="1"/>
  <c r="B121" i="7"/>
  <c r="B118" i="7"/>
  <c r="C85" i="7"/>
  <c r="D85" i="7"/>
  <c r="E85" i="7"/>
  <c r="F85" i="7"/>
  <c r="G85" i="7"/>
  <c r="B82" i="7"/>
  <c r="C77" i="7"/>
  <c r="D77" i="7"/>
  <c r="E77" i="7"/>
  <c r="F77" i="7"/>
  <c r="G77" i="7"/>
  <c r="C22" i="7"/>
  <c r="C20" i="7"/>
  <c r="C15" i="7"/>
  <c r="V26" i="7"/>
  <c r="U26" i="7"/>
  <c r="T26" i="7"/>
  <c r="V30" i="7" s="1"/>
  <c r="R26" i="7"/>
  <c r="W25" i="7"/>
  <c r="W24" i="7"/>
  <c r="W23" i="7"/>
  <c r="W22" i="7"/>
  <c r="W21" i="7"/>
  <c r="W20" i="7"/>
  <c r="W19" i="7"/>
  <c r="W18" i="7"/>
  <c r="W17" i="7"/>
  <c r="W16" i="7"/>
  <c r="W15" i="7"/>
  <c r="C11" i="7"/>
  <c r="C7" i="7"/>
  <c r="C8" i="7" s="1"/>
  <c r="C48" i="7" s="1"/>
  <c r="C50" i="7" s="1"/>
  <c r="B25" i="6"/>
  <c r="C75" i="3"/>
  <c r="D75" i="3" s="1"/>
  <c r="J7" i="4"/>
  <c r="D6" i="5"/>
  <c r="B14" i="5" s="1"/>
  <c r="C14" i="5" s="1"/>
  <c r="G52" i="3"/>
  <c r="H52" i="3" s="1"/>
  <c r="F61" i="3"/>
  <c r="F62" i="3" s="1"/>
  <c r="F52" i="3"/>
  <c r="C78" i="3"/>
  <c r="C76" i="3"/>
  <c r="C77" i="3"/>
  <c r="B15" i="4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F3" i="4"/>
  <c r="F4" i="4" s="1"/>
  <c r="C127" i="3"/>
  <c r="D128" i="3"/>
  <c r="B128" i="3"/>
  <c r="C79" i="3"/>
  <c r="C117" i="3"/>
  <c r="C116" i="3"/>
  <c r="C34" i="3"/>
  <c r="D101" i="3"/>
  <c r="B101" i="3"/>
  <c r="C100" i="3"/>
  <c r="C101" i="3" s="1"/>
  <c r="G53" i="3"/>
  <c r="H53" i="3" s="1"/>
  <c r="G54" i="3"/>
  <c r="H54" i="3" s="1"/>
  <c r="F53" i="3"/>
  <c r="F54" i="3"/>
  <c r="D14" i="2"/>
  <c r="D16" i="2" s="1"/>
  <c r="C35" i="3"/>
  <c r="C36" i="3"/>
  <c r="C37" i="3"/>
  <c r="D17" i="3"/>
  <c r="C17" i="3"/>
  <c r="B11" i="3"/>
  <c r="C69" i="2"/>
  <c r="F69" i="2" s="1"/>
  <c r="B10" i="6" s="1"/>
  <c r="C68" i="2"/>
  <c r="F68" i="2" s="1"/>
  <c r="B26" i="6" s="1"/>
  <c r="D63" i="2"/>
  <c r="D69" i="2" s="1"/>
  <c r="D62" i="2"/>
  <c r="D68" i="2" s="1"/>
  <c r="D53" i="2"/>
  <c r="D52" i="2"/>
  <c r="D51" i="2"/>
  <c r="D50" i="2"/>
  <c r="D49" i="2"/>
  <c r="D48" i="2"/>
  <c r="D15" i="2"/>
  <c r="D31" i="2"/>
  <c r="D30" i="2"/>
  <c r="D29" i="2"/>
  <c r="D28" i="2"/>
  <c r="D27" i="2"/>
  <c r="D26" i="2"/>
  <c r="D25" i="2"/>
  <c r="C27" i="3" s="1"/>
  <c r="D24" i="2"/>
  <c r="D23" i="2"/>
  <c r="D22" i="2"/>
  <c r="D21" i="2"/>
  <c r="D32" i="2" s="1"/>
  <c r="D13" i="2"/>
  <c r="D12" i="2"/>
  <c r="D6" i="2"/>
  <c r="C28" i="7" l="1"/>
  <c r="C15" i="5"/>
  <c r="D7" i="7" s="1"/>
  <c r="D8" i="7" s="1"/>
  <c r="G48" i="7"/>
  <c r="G50" i="7" s="1"/>
  <c r="G28" i="7"/>
  <c r="G91" i="7" s="1"/>
  <c r="E58" i="7"/>
  <c r="C26" i="3"/>
  <c r="E26" i="3" s="1"/>
  <c r="F26" i="3" s="1"/>
  <c r="V29" i="7"/>
  <c r="S36" i="7" s="1"/>
  <c r="C131" i="7"/>
  <c r="W26" i="7"/>
  <c r="E28" i="7"/>
  <c r="E91" i="7" s="1"/>
  <c r="F28" i="7"/>
  <c r="F91" i="7" s="1"/>
  <c r="F58" i="7"/>
  <c r="D58" i="7"/>
  <c r="G61" i="3"/>
  <c r="H61" i="3" s="1"/>
  <c r="F55" i="3"/>
  <c r="E127" i="3"/>
  <c r="E128" i="3" s="1"/>
  <c r="E100" i="3"/>
  <c r="E101" i="3" s="1"/>
  <c r="H55" i="3"/>
  <c r="C90" i="3" s="1"/>
  <c r="D90" i="3" s="1"/>
  <c r="C128" i="3"/>
  <c r="G55" i="3"/>
  <c r="D69" i="3"/>
  <c r="C38" i="2"/>
  <c r="C24" i="3" s="1"/>
  <c r="H26" i="3"/>
  <c r="E27" i="3"/>
  <c r="F27" i="3" s="1"/>
  <c r="H27" i="3" s="1"/>
  <c r="D54" i="2"/>
  <c r="C37" i="2"/>
  <c r="E17" i="3"/>
  <c r="F17" i="3" s="1"/>
  <c r="G17" i="3" s="1"/>
  <c r="C39" i="2"/>
  <c r="B117" i="7" s="1"/>
  <c r="C117" i="7" s="1"/>
  <c r="D117" i="7" s="1"/>
  <c r="E117" i="7" s="1"/>
  <c r="F117" i="7" s="1"/>
  <c r="G117" i="7" s="1"/>
  <c r="D56" i="2" l="1"/>
  <c r="B120" i="7"/>
  <c r="D160" i="3"/>
  <c r="C160" i="3" s="1"/>
  <c r="C91" i="7"/>
  <c r="D48" i="7"/>
  <c r="D50" i="7" s="1"/>
  <c r="D28" i="7"/>
  <c r="D91" i="7" s="1"/>
  <c r="C12" i="7"/>
  <c r="B23" i="6"/>
  <c r="C25" i="3"/>
  <c r="E25" i="3" s="1"/>
  <c r="F25" i="3" s="1"/>
  <c r="H25" i="3" s="1"/>
  <c r="G25" i="3" s="1"/>
  <c r="B115" i="7"/>
  <c r="C115" i="7" s="1"/>
  <c r="D115" i="7" s="1"/>
  <c r="E115" i="7" s="1"/>
  <c r="D118" i="3"/>
  <c r="B75" i="7"/>
  <c r="F34" i="9" s="1"/>
  <c r="C170" i="3"/>
  <c r="E24" i="3"/>
  <c r="F24" i="3" s="1"/>
  <c r="H24" i="3" s="1"/>
  <c r="B116" i="7"/>
  <c r="C116" i="7" s="1"/>
  <c r="D116" i="7" s="1"/>
  <c r="E116" i="7" s="1"/>
  <c r="F116" i="7" s="1"/>
  <c r="G116" i="7" s="1"/>
  <c r="B12" i="6"/>
  <c r="S34" i="7"/>
  <c r="S29" i="7"/>
  <c r="K26" i="7" s="1"/>
  <c r="S32" i="7"/>
  <c r="N26" i="7" s="1"/>
  <c r="S33" i="7"/>
  <c r="S35" i="7"/>
  <c r="S37" i="7"/>
  <c r="S31" i="7"/>
  <c r="M26" i="7" s="1"/>
  <c r="S30" i="7"/>
  <c r="L26" i="7" s="1"/>
  <c r="D131" i="7"/>
  <c r="D11" i="7"/>
  <c r="D22" i="7"/>
  <c r="H62" i="3"/>
  <c r="G62" i="3"/>
  <c r="B24" i="6" s="1"/>
  <c r="F100" i="3"/>
  <c r="G100" i="3" s="1"/>
  <c r="F127" i="3"/>
  <c r="F128" i="3" s="1"/>
  <c r="C69" i="3"/>
  <c r="D110" i="3"/>
  <c r="C110" i="3" s="1"/>
  <c r="H17" i="3"/>
  <c r="C88" i="3"/>
  <c r="G27" i="3"/>
  <c r="B45" i="3"/>
  <c r="G26" i="3"/>
  <c r="B44" i="3"/>
  <c r="C40" i="2"/>
  <c r="B42" i="3" l="1"/>
  <c r="H28" i="3"/>
  <c r="B27" i="6"/>
  <c r="B35" i="6" s="1"/>
  <c r="C35" i="6" s="1"/>
  <c r="D98" i="9" s="1"/>
  <c r="D12" i="7"/>
  <c r="B43" i="3"/>
  <c r="D43" i="3" s="1"/>
  <c r="D112" i="3" s="1"/>
  <c r="C112" i="3" s="1"/>
  <c r="B119" i="7"/>
  <c r="D70" i="3"/>
  <c r="B13" i="6" s="1"/>
  <c r="C118" i="3"/>
  <c r="C65" i="7"/>
  <c r="B122" i="7"/>
  <c r="C169" i="3"/>
  <c r="B74" i="7"/>
  <c r="F33" i="9" s="1"/>
  <c r="D55" i="7"/>
  <c r="F115" i="7"/>
  <c r="E131" i="7"/>
  <c r="E22" i="7"/>
  <c r="D67" i="7"/>
  <c r="E11" i="7"/>
  <c r="E55" i="7" s="1"/>
  <c r="D89" i="3"/>
  <c r="C89" i="3" s="1"/>
  <c r="F101" i="3"/>
  <c r="G127" i="3"/>
  <c r="G128" i="3" s="1"/>
  <c r="D42" i="3"/>
  <c r="C42" i="3"/>
  <c r="D71" i="3" s="1"/>
  <c r="C71" i="3" s="1"/>
  <c r="C45" i="3"/>
  <c r="D74" i="3" s="1"/>
  <c r="C74" i="3" s="1"/>
  <c r="D45" i="3"/>
  <c r="D114" i="3" s="1"/>
  <c r="C114" i="3" s="1"/>
  <c r="H100" i="3"/>
  <c r="H101" i="3" s="1"/>
  <c r="D134" i="3" s="1"/>
  <c r="G101" i="3"/>
  <c r="F28" i="3"/>
  <c r="D44" i="3"/>
  <c r="D113" i="3" s="1"/>
  <c r="C44" i="3"/>
  <c r="D73" i="3" s="1"/>
  <c r="D88" i="3"/>
  <c r="B9" i="6" s="1"/>
  <c r="G24" i="3"/>
  <c r="G28" i="3" s="1"/>
  <c r="G24" i="9" l="1"/>
  <c r="C121" i="7"/>
  <c r="E12" i="7"/>
  <c r="D53" i="7"/>
  <c r="C43" i="3"/>
  <c r="D72" i="3" s="1"/>
  <c r="C72" i="3" s="1"/>
  <c r="C70" i="3"/>
  <c r="D65" i="7"/>
  <c r="C73" i="3"/>
  <c r="C113" i="3"/>
  <c r="C120" i="7"/>
  <c r="F131" i="7"/>
  <c r="G115" i="7"/>
  <c r="F22" i="7"/>
  <c r="E67" i="7"/>
  <c r="F20" i="7"/>
  <c r="F11" i="7"/>
  <c r="H127" i="3"/>
  <c r="H128" i="3" s="1"/>
  <c r="D135" i="3" s="1"/>
  <c r="C135" i="3" s="1"/>
  <c r="C134" i="3"/>
  <c r="D111" i="3"/>
  <c r="C111" i="3" s="1"/>
  <c r="D109" i="3"/>
  <c r="B11" i="6" l="1"/>
  <c r="G12" i="6" s="1"/>
  <c r="C80" i="3"/>
  <c r="C91" i="3" s="1"/>
  <c r="E65" i="7"/>
  <c r="H24" i="9"/>
  <c r="D121" i="7"/>
  <c r="F55" i="7"/>
  <c r="F12" i="7"/>
  <c r="E53" i="7"/>
  <c r="D80" i="3"/>
  <c r="C66" i="7"/>
  <c r="C14" i="7"/>
  <c r="C57" i="7"/>
  <c r="D120" i="7"/>
  <c r="C122" i="7"/>
  <c r="C161" i="3"/>
  <c r="D161" i="3" s="1"/>
  <c r="G131" i="7"/>
  <c r="G67" i="7"/>
  <c r="F67" i="7"/>
  <c r="D91" i="3"/>
  <c r="D92" i="3" s="1"/>
  <c r="C92" i="3"/>
  <c r="C158" i="3" s="1"/>
  <c r="D158" i="3" s="1"/>
  <c r="C109" i="3"/>
  <c r="C120" i="3" s="1"/>
  <c r="D120" i="3"/>
  <c r="D57" i="7" l="1"/>
  <c r="H16" i="9" s="1"/>
  <c r="G16" i="9"/>
  <c r="D66" i="7"/>
  <c r="H25" i="9" s="1"/>
  <c r="G25" i="9"/>
  <c r="D122" i="7"/>
  <c r="E121" i="7"/>
  <c r="F65" i="7"/>
  <c r="I24" i="9"/>
  <c r="D14" i="7"/>
  <c r="E14" i="7" s="1"/>
  <c r="F14" i="7" s="1"/>
  <c r="G14" i="7" s="1"/>
  <c r="C56" i="7"/>
  <c r="G12" i="7"/>
  <c r="F53" i="7"/>
  <c r="C118" i="7"/>
  <c r="C119" i="7" s="1"/>
  <c r="E120" i="7"/>
  <c r="D136" i="3"/>
  <c r="C136" i="3" s="1"/>
  <c r="C137" i="3" s="1"/>
  <c r="C159" i="3" s="1"/>
  <c r="D159" i="3" s="1"/>
  <c r="C21" i="7"/>
  <c r="C64" i="7" s="1"/>
  <c r="C16" i="7"/>
  <c r="C18" i="7" s="1"/>
  <c r="B172" i="7" s="1"/>
  <c r="E57" i="7" l="1"/>
  <c r="I16" i="9" s="1"/>
  <c r="E66" i="7"/>
  <c r="I25" i="9" s="1"/>
  <c r="C59" i="7"/>
  <c r="C61" i="7" s="1"/>
  <c r="G15" i="9"/>
  <c r="G18" i="9" s="1"/>
  <c r="G20" i="9" s="1"/>
  <c r="G65" i="7"/>
  <c r="K24" i="9" s="1"/>
  <c r="J24" i="9"/>
  <c r="F121" i="7"/>
  <c r="G121" i="7" s="1"/>
  <c r="C69" i="7"/>
  <c r="G23" i="9"/>
  <c r="G28" i="9" s="1"/>
  <c r="D118" i="7"/>
  <c r="D119" i="7" s="1"/>
  <c r="F57" i="7"/>
  <c r="G56" i="7"/>
  <c r="G16" i="7"/>
  <c r="G18" i="7" s="1"/>
  <c r="F172" i="7" s="1"/>
  <c r="D137" i="3"/>
  <c r="B15" i="6" s="1"/>
  <c r="B16" i="6" s="1"/>
  <c r="B34" i="6" s="1"/>
  <c r="D56" i="7"/>
  <c r="D16" i="7"/>
  <c r="D18" i="7" s="1"/>
  <c r="C172" i="7" s="1"/>
  <c r="E56" i="7"/>
  <c r="E16" i="7"/>
  <c r="E18" i="7" s="1"/>
  <c r="D172" i="7" s="1"/>
  <c r="F56" i="7"/>
  <c r="F16" i="7"/>
  <c r="F18" i="7" s="1"/>
  <c r="E172" i="7" s="1"/>
  <c r="D21" i="7"/>
  <c r="C23" i="7"/>
  <c r="C26" i="7" s="1"/>
  <c r="C71" i="7"/>
  <c r="C79" i="7" s="1"/>
  <c r="F120" i="7"/>
  <c r="E122" i="7"/>
  <c r="E118" i="7" l="1"/>
  <c r="F118" i="7" s="1"/>
  <c r="G118" i="7" s="1"/>
  <c r="F66" i="7"/>
  <c r="J25" i="9" s="1"/>
  <c r="G57" i="7"/>
  <c r="K16" i="9" s="1"/>
  <c r="J16" i="9"/>
  <c r="F59" i="7"/>
  <c r="F61" i="7" s="1"/>
  <c r="J15" i="9"/>
  <c r="J18" i="9" s="1"/>
  <c r="J20" i="9" s="1"/>
  <c r="E59" i="7"/>
  <c r="E61" i="7" s="1"/>
  <c r="I15" i="9"/>
  <c r="I18" i="9" s="1"/>
  <c r="I20" i="9" s="1"/>
  <c r="G30" i="9"/>
  <c r="G38" i="9" s="1"/>
  <c r="E58" i="9" s="1"/>
  <c r="G59" i="7"/>
  <c r="G61" i="7" s="1"/>
  <c r="K15" i="9"/>
  <c r="K18" i="9" s="1"/>
  <c r="K20" i="9" s="1"/>
  <c r="D59" i="7"/>
  <c r="D61" i="7" s="1"/>
  <c r="H15" i="9"/>
  <c r="H18" i="9" s="1"/>
  <c r="H20" i="9" s="1"/>
  <c r="C34" i="6"/>
  <c r="C36" i="6" s="1"/>
  <c r="D96" i="9"/>
  <c r="D99" i="9" s="1"/>
  <c r="B36" i="6"/>
  <c r="E21" i="7"/>
  <c r="D64" i="7"/>
  <c r="H23" i="9" s="1"/>
  <c r="D23" i="7"/>
  <c r="D26" i="7" s="1"/>
  <c r="G66" i="7"/>
  <c r="G120" i="7"/>
  <c r="G122" i="7" s="1"/>
  <c r="F122" i="7"/>
  <c r="C16" i="1"/>
  <c r="F10" i="1"/>
  <c r="E10" i="1"/>
  <c r="B9" i="1"/>
  <c r="D9" i="1" s="1"/>
  <c r="B8" i="1"/>
  <c r="D8" i="1" s="1"/>
  <c r="B7" i="1"/>
  <c r="D7" i="1" s="1"/>
  <c r="E119" i="7" l="1"/>
  <c r="F119" i="7"/>
  <c r="G119" i="7"/>
  <c r="K25" i="9"/>
  <c r="E70" i="9"/>
  <c r="E83" i="9" s="1"/>
  <c r="H58" i="9"/>
  <c r="F21" i="7"/>
  <c r="G21" i="7" s="1"/>
  <c r="E23" i="7"/>
  <c r="E26" i="7" s="1"/>
  <c r="E64" i="7"/>
  <c r="I23" i="9" s="1"/>
  <c r="G9" i="1"/>
  <c r="H9" i="1" s="1"/>
  <c r="D10" i="1"/>
  <c r="G7" i="1"/>
  <c r="H7" i="1" s="1"/>
  <c r="G8" i="1"/>
  <c r="H8" i="1" s="1"/>
  <c r="G64" i="7" l="1"/>
  <c r="K23" i="9" s="1"/>
  <c r="G23" i="7"/>
  <c r="G26" i="7" s="1"/>
  <c r="F64" i="7"/>
  <c r="J23" i="9" s="1"/>
  <c r="F23" i="7"/>
  <c r="F26" i="7" s="1"/>
  <c r="I8" i="1"/>
  <c r="H10" i="1"/>
  <c r="I7" i="1"/>
  <c r="I9" i="1"/>
  <c r="G10" i="1"/>
  <c r="I10" i="1" l="1"/>
  <c r="K7" i="1"/>
  <c r="B16" i="1"/>
  <c r="D16" i="1" s="1"/>
  <c r="J7" i="1"/>
  <c r="K8" i="1"/>
  <c r="J8" i="1"/>
  <c r="L8" i="1" s="1"/>
  <c r="M8" i="1" s="1"/>
  <c r="B17" i="1"/>
  <c r="D17" i="1" s="1"/>
  <c r="B32" i="1"/>
  <c r="D32" i="1" s="1"/>
  <c r="B31" i="1"/>
  <c r="D31" i="1" s="1"/>
  <c r="B30" i="1"/>
  <c r="D30" i="1" s="1"/>
  <c r="B29" i="1"/>
  <c r="D29" i="1" s="1"/>
  <c r="D33" i="1" s="1"/>
  <c r="K9" i="1"/>
  <c r="J9" i="1"/>
  <c r="J10" i="1" l="1"/>
  <c r="L7" i="1"/>
  <c r="K10" i="1"/>
  <c r="L9" i="1"/>
  <c r="M9" i="1" s="1"/>
  <c r="B15" i="1"/>
  <c r="D15" i="1" s="1"/>
  <c r="B14" i="1"/>
  <c r="D14" i="1" s="1"/>
  <c r="D18" i="1" s="1"/>
  <c r="B22" i="1"/>
  <c r="D22" i="1" s="1"/>
  <c r="D25" i="1" s="1"/>
  <c r="L10" i="1" l="1"/>
  <c r="M7" i="1"/>
  <c r="M10" i="1" s="1"/>
  <c r="D162" i="3" l="1"/>
  <c r="C171" i="3" s="1"/>
  <c r="C101" i="7" s="1"/>
  <c r="C162" i="3"/>
  <c r="B112" i="7" l="1"/>
  <c r="B76" i="7"/>
  <c r="B77" i="7" l="1"/>
  <c r="B79" i="7" s="1"/>
  <c r="F35" i="9"/>
  <c r="F36" i="9" s="1"/>
  <c r="F38" i="9" s="1"/>
  <c r="E57" i="9" s="1"/>
  <c r="C172" i="3"/>
  <c r="B175" i="3" s="1"/>
  <c r="B113" i="7"/>
  <c r="B123" i="7" s="1"/>
  <c r="H57" i="9" l="1"/>
  <c r="E69" i="9"/>
  <c r="B177" i="3"/>
  <c r="C176" i="3"/>
  <c r="F82" i="9" l="1"/>
  <c r="F83" i="9" s="1"/>
  <c r="D82" i="9"/>
  <c r="J8" i="4"/>
  <c r="C177" i="3"/>
  <c r="B83" i="7" l="1"/>
  <c r="B85" i="7" s="1"/>
  <c r="B95" i="7" s="1"/>
  <c r="J4" i="4"/>
  <c r="E5" i="4"/>
  <c r="B98" i="7" l="1"/>
  <c r="B100" i="7" s="1"/>
  <c r="B103" i="7" s="1"/>
  <c r="F13" i="4"/>
  <c r="D14" i="4" s="1"/>
  <c r="E8" i="4"/>
  <c r="C14" i="4" s="1"/>
  <c r="C144" i="3" l="1"/>
  <c r="C15" i="4"/>
  <c r="C16" i="4" s="1"/>
  <c r="C17" i="4" s="1"/>
  <c r="E14" i="4"/>
  <c r="F14" i="4" l="1"/>
  <c r="C18" i="4"/>
  <c r="D15" i="4"/>
  <c r="C145" i="3" l="1"/>
  <c r="E15" i="4"/>
  <c r="C19" i="4"/>
  <c r="C20" i="4" l="1"/>
  <c r="F15" i="4"/>
  <c r="D16" i="4" l="1"/>
  <c r="C21" i="4"/>
  <c r="C22" i="4" l="1"/>
  <c r="C146" i="3"/>
  <c r="E16" i="4"/>
  <c r="F16" i="4" l="1"/>
  <c r="C23" i="4"/>
  <c r="C24" i="4" l="1"/>
  <c r="D17" i="4"/>
  <c r="C147" i="3" l="1"/>
  <c r="E17" i="4"/>
  <c r="C25" i="4"/>
  <c r="I13" i="4" s="1"/>
  <c r="F17" i="4" l="1"/>
  <c r="D18" i="4" l="1"/>
  <c r="C148" i="3" l="1"/>
  <c r="E18" i="4"/>
  <c r="F18" i="4" l="1"/>
  <c r="I14" i="4" l="1"/>
  <c r="D19" i="4"/>
  <c r="C149" i="3" s="1"/>
  <c r="E19" i="4" l="1"/>
  <c r="F19" i="4" s="1"/>
  <c r="D20" i="4" l="1"/>
  <c r="E20" i="4" s="1"/>
  <c r="F20" i="4" s="1"/>
  <c r="D21" i="4" l="1"/>
  <c r="E21" i="4" s="1"/>
  <c r="F21" i="4" s="1"/>
  <c r="D22" i="4" l="1"/>
  <c r="E22" i="4" s="1"/>
  <c r="F22" i="4" s="1"/>
  <c r="D23" i="4" l="1"/>
  <c r="E23" i="4" s="1"/>
  <c r="F23" i="4" s="1"/>
  <c r="D24" i="4" l="1"/>
  <c r="E24" i="4" s="1"/>
  <c r="F24" i="4" s="1"/>
  <c r="D25" i="4" l="1"/>
  <c r="J13" i="4" s="1"/>
  <c r="E25" i="4" l="1"/>
  <c r="K13" i="4" s="1"/>
  <c r="C90" i="7" l="1"/>
  <c r="C27" i="7"/>
  <c r="C31" i="7" s="1"/>
  <c r="C34" i="7" s="1"/>
  <c r="D68" i="7" s="1"/>
  <c r="H27" i="9" s="1"/>
  <c r="H28" i="9" s="1"/>
  <c r="H30" i="9" s="1"/>
  <c r="H38" i="9" s="1"/>
  <c r="E59" i="9" s="1"/>
  <c r="F25" i="4"/>
  <c r="E71" i="9" l="1"/>
  <c r="H59" i="9"/>
  <c r="C89" i="7"/>
  <c r="B125" i="7"/>
  <c r="B127" i="7" s="1"/>
  <c r="L13" i="4"/>
  <c r="B128" i="7" s="1"/>
  <c r="E84" i="9" l="1"/>
  <c r="F84" i="9" s="1"/>
  <c r="C93" i="7"/>
  <c r="C95" i="7" s="1"/>
  <c r="C98" i="7" s="1"/>
  <c r="C100" i="7" s="1"/>
  <c r="C103" i="7" s="1"/>
  <c r="B129" i="7"/>
  <c r="B136" i="7" s="1"/>
  <c r="B139" i="7" s="1"/>
  <c r="C126" i="7"/>
  <c r="D69" i="7"/>
  <c r="D71" i="7" s="1"/>
  <c r="D79" i="7" s="1"/>
  <c r="C37" i="7"/>
  <c r="B178" i="7" s="1"/>
  <c r="D101" i="7" l="1"/>
  <c r="C112" i="7"/>
  <c r="C113" i="7" s="1"/>
  <c r="C39" i="7"/>
  <c r="C134" i="7" s="1"/>
  <c r="C123" i="7" l="1"/>
  <c r="C40" i="7"/>
  <c r="C133" i="7" l="1"/>
  <c r="D132" i="7" s="1"/>
  <c r="K45" i="7"/>
  <c r="B166" i="7"/>
  <c r="C43" i="7"/>
  <c r="C135" i="7" l="1"/>
  <c r="D31" i="7" l="1"/>
  <c r="D93" i="7" l="1"/>
  <c r="C127" i="7"/>
  <c r="D34" i="7"/>
  <c r="D37" i="7" s="1"/>
  <c r="C178" i="7" s="1"/>
  <c r="C129" i="7" l="1"/>
  <c r="B148" i="7"/>
  <c r="B154" i="7"/>
  <c r="D95" i="7"/>
  <c r="D98" i="7" s="1"/>
  <c r="D100" i="7" s="1"/>
  <c r="D103" i="7" s="1"/>
  <c r="D39" i="7"/>
  <c r="D134" i="7" s="1"/>
  <c r="D126" i="7"/>
  <c r="E68" i="7"/>
  <c r="E69" i="7" l="1"/>
  <c r="E71" i="7" s="1"/>
  <c r="E79" i="7" s="1"/>
  <c r="I27" i="9"/>
  <c r="I28" i="9" s="1"/>
  <c r="I30" i="9" s="1"/>
  <c r="I38" i="9" s="1"/>
  <c r="E60" i="9" s="1"/>
  <c r="C136" i="7"/>
  <c r="C139" i="7" s="1"/>
  <c r="B160" i="7"/>
  <c r="D112" i="7"/>
  <c r="D113" i="7" s="1"/>
  <c r="E101" i="7"/>
  <c r="D40" i="7"/>
  <c r="E72" i="9" l="1"/>
  <c r="H60" i="9"/>
  <c r="D133" i="7"/>
  <c r="E132" i="7" s="1"/>
  <c r="K46" i="7"/>
  <c r="D123" i="7"/>
  <c r="D43" i="7"/>
  <c r="D135" i="7" l="1"/>
  <c r="E85" i="9"/>
  <c r="F85" i="9" s="1"/>
  <c r="C166" i="7"/>
  <c r="E31" i="7" l="1"/>
  <c r="E93" i="7" l="1"/>
  <c r="E95" i="7" s="1"/>
  <c r="E98" i="7" s="1"/>
  <c r="E100" i="7" s="1"/>
  <c r="E103" i="7" s="1"/>
  <c r="D127" i="7"/>
  <c r="E34" i="7"/>
  <c r="E37" i="7" s="1"/>
  <c r="D178" i="7" s="1"/>
  <c r="D129" i="7" l="1"/>
  <c r="C148" i="7"/>
  <c r="C154" i="7"/>
  <c r="E39" i="7"/>
  <c r="E134" i="7" s="1"/>
  <c r="F68" i="7"/>
  <c r="E126" i="7"/>
  <c r="F101" i="7"/>
  <c r="E112" i="7"/>
  <c r="E113" i="7" s="1"/>
  <c r="F69" i="7" l="1"/>
  <c r="F71" i="7" s="1"/>
  <c r="F79" i="7" s="1"/>
  <c r="J27" i="9"/>
  <c r="J28" i="9" s="1"/>
  <c r="J30" i="9" s="1"/>
  <c r="J38" i="9" s="1"/>
  <c r="E61" i="9" s="1"/>
  <c r="E123" i="7"/>
  <c r="D136" i="7"/>
  <c r="D139" i="7" s="1"/>
  <c r="C160" i="7"/>
  <c r="E40" i="7"/>
  <c r="E43" i="7" l="1"/>
  <c r="K47" i="7"/>
  <c r="E73" i="9"/>
  <c r="H61" i="9"/>
  <c r="D166" i="7"/>
  <c r="E133" i="7"/>
  <c r="F132" i="7" s="1"/>
  <c r="E86" i="9" l="1"/>
  <c r="E135" i="7"/>
  <c r="F86" i="9" l="1"/>
  <c r="H82" i="9"/>
  <c r="H83" i="9" s="1"/>
  <c r="H89" i="9" s="1"/>
  <c r="F31" i="7" l="1"/>
  <c r="F34" i="7" s="1"/>
  <c r="G68" i="7" s="1"/>
  <c r="G69" i="7" l="1"/>
  <c r="G71" i="7" s="1"/>
  <c r="G79" i="7" s="1"/>
  <c r="K27" i="9"/>
  <c r="K28" i="9" s="1"/>
  <c r="K30" i="9" s="1"/>
  <c r="K38" i="9" s="1"/>
  <c r="E62" i="9" s="1"/>
  <c r="F93" i="7"/>
  <c r="F95" i="7" s="1"/>
  <c r="F98" i="7" s="1"/>
  <c r="F100" i="7" s="1"/>
  <c r="F103" i="7" s="1"/>
  <c r="E127" i="7"/>
  <c r="F37" i="7"/>
  <c r="F126" i="7"/>
  <c r="E178" i="7" l="1"/>
  <c r="E74" i="9"/>
  <c r="H62" i="9"/>
  <c r="H63" i="9" s="1"/>
  <c r="E129" i="7"/>
  <c r="D154" i="7"/>
  <c r="D148" i="7"/>
  <c r="F39" i="7"/>
  <c r="F134" i="7" s="1"/>
  <c r="F112" i="7"/>
  <c r="F113" i="7" s="1"/>
  <c r="G101" i="7"/>
  <c r="E87" i="9" l="1"/>
  <c r="F87" i="9" s="1"/>
  <c r="E75" i="9"/>
  <c r="F40" i="7"/>
  <c r="F133" i="7" s="1"/>
  <c r="F123" i="7"/>
  <c r="E136" i="7"/>
  <c r="E139" i="7" s="1"/>
  <c r="D160" i="7"/>
  <c r="K48" i="7" l="1"/>
  <c r="E166" i="7"/>
  <c r="F43" i="7"/>
  <c r="G132" i="7"/>
  <c r="F135" i="7"/>
  <c r="G31" i="7" l="1"/>
  <c r="J14" i="4"/>
  <c r="K14" i="4" l="1"/>
  <c r="F127" i="7"/>
  <c r="G34" i="7"/>
  <c r="G126" i="7" s="1"/>
  <c r="G127" i="7" s="1"/>
  <c r="G129" i="7" s="1"/>
  <c r="F129" i="7" l="1"/>
  <c r="E154" i="7"/>
  <c r="E148" i="7"/>
  <c r="G93" i="7"/>
  <c r="G95" i="7" s="1"/>
  <c r="G98" i="7" s="1"/>
  <c r="G100" i="7" s="1"/>
  <c r="G37" i="7"/>
  <c r="G39" i="7" l="1"/>
  <c r="G134" i="7" s="1"/>
  <c r="F178" i="7"/>
  <c r="F136" i="7"/>
  <c r="F139" i="7" s="1"/>
  <c r="E160" i="7"/>
  <c r="G103" i="7"/>
  <c r="G112" i="7" s="1"/>
  <c r="G113" i="7" s="1"/>
  <c r="G40" i="7" l="1"/>
  <c r="G43" i="7" s="1"/>
  <c r="G123" i="7"/>
  <c r="F154" i="7"/>
  <c r="F148" i="7"/>
  <c r="S26" i="7"/>
  <c r="K49" i="7" l="1"/>
  <c r="H40" i="7"/>
  <c r="G133" i="7"/>
  <c r="G135" i="7" s="1"/>
  <c r="G136" i="7" s="1"/>
  <c r="G139" i="7" s="1"/>
  <c r="F160" i="7"/>
  <c r="F166" i="7"/>
</calcChain>
</file>

<file path=xl/sharedStrings.xml><?xml version="1.0" encoding="utf-8"?>
<sst xmlns="http://schemas.openxmlformats.org/spreadsheetml/2006/main" count="706" uniqueCount="405">
  <si>
    <t>ESTRUCTURA SALARIAL VIDA VERDE GANADERIA</t>
  </si>
  <si>
    <t>Variables básicas</t>
  </si>
  <si>
    <t>SMLMV 2024</t>
  </si>
  <si>
    <t>Aux Trans 2024</t>
  </si>
  <si>
    <t>Salario integral</t>
  </si>
  <si>
    <t>$ 1,462,000</t>
  </si>
  <si>
    <t>Cargo</t>
  </si>
  <si>
    <t>Salario</t>
  </si>
  <si>
    <t>Días laborados</t>
  </si>
  <si>
    <t>Sueldo</t>
  </si>
  <si>
    <t>Vacaciones</t>
  </si>
  <si>
    <t>H. extras y recargos</t>
  </si>
  <si>
    <t>Auxilio de transporte</t>
  </si>
  <si>
    <t>TOTAL DEVENGADO</t>
  </si>
  <si>
    <t>IBC</t>
  </si>
  <si>
    <t>SALUD</t>
  </si>
  <si>
    <t>PENSIÓN</t>
  </si>
  <si>
    <t>TOTAL DEDUCIDO</t>
  </si>
  <si>
    <t>NETO A PAGAR</t>
  </si>
  <si>
    <t xml:space="preserve">Gerente general </t>
  </si>
  <si>
    <t>Operario 1</t>
  </si>
  <si>
    <t>Operario 2</t>
  </si>
  <si>
    <t>TOTAL</t>
  </si>
  <si>
    <t>PROVISIÓN SEGURIDAD SOCIAL</t>
  </si>
  <si>
    <t>CONCEPTO</t>
  </si>
  <si>
    <t>BASE</t>
  </si>
  <si>
    <t>%</t>
  </si>
  <si>
    <t>PROVISIÓN MENSUAL</t>
  </si>
  <si>
    <t>ARL administrativo</t>
  </si>
  <si>
    <t>ARL operarios</t>
  </si>
  <si>
    <t>PROVISIÓN APORTES PARAFISCALES</t>
  </si>
  <si>
    <t>CAJA DE COMPENSACIÓN</t>
  </si>
  <si>
    <t>ICBF</t>
  </si>
  <si>
    <t>SENA</t>
  </si>
  <si>
    <t>PROVISIÓN PRESTACIONES SOCIALES</t>
  </si>
  <si>
    <t>CESANTÍAS</t>
  </si>
  <si>
    <t>INTERESES CESANTÍAS</t>
  </si>
  <si>
    <t>PRIMA DE SERVICIOS</t>
  </si>
  <si>
    <t>VACACIONES</t>
  </si>
  <si>
    <t>INVERSION FIJA</t>
  </si>
  <si>
    <t>Concepto</t>
  </si>
  <si>
    <t>Cantidad (ha)</t>
  </si>
  <si>
    <t>Costo unitario</t>
  </si>
  <si>
    <t>Costo total</t>
  </si>
  <si>
    <t>Total Terreno y Adecuación</t>
  </si>
  <si>
    <t>Cantidad</t>
  </si>
  <si>
    <t>Mejora del corral</t>
  </si>
  <si>
    <t>Cercas tradicionales</t>
  </si>
  <si>
    <t>Total Construcciones</t>
  </si>
  <si>
    <t xml:space="preserve">Costo unitario </t>
  </si>
  <si>
    <t xml:space="preserve">Costo total </t>
  </si>
  <si>
    <t>Motobomba a gasolina</t>
  </si>
  <si>
    <t>Kit cerca eléctrica</t>
  </si>
  <si>
    <t>Bebederos móviles</t>
  </si>
  <si>
    <t>Celular</t>
  </si>
  <si>
    <t>Motocicleta</t>
  </si>
  <si>
    <t>Kit herramientas agrícolas</t>
  </si>
  <si>
    <t>Pulverizadores</t>
  </si>
  <si>
    <t>Saladeros móviles</t>
  </si>
  <si>
    <t>Báscula ganadera</t>
  </si>
  <si>
    <t>Total Maquinaria y Equipos</t>
  </si>
  <si>
    <t>Categoría</t>
  </si>
  <si>
    <t>INVERSION DIFERIDA</t>
  </si>
  <si>
    <t xml:space="preserve">Inversión Diferida </t>
  </si>
  <si>
    <t>Valor Unitario</t>
  </si>
  <si>
    <t>Valor Total</t>
  </si>
  <si>
    <t>Estudio de suelos</t>
  </si>
  <si>
    <t>Capacitación y consultorías</t>
  </si>
  <si>
    <t>Monitoreo y asistencia técnica</t>
  </si>
  <si>
    <t>Diseño e implementación del sistema</t>
  </si>
  <si>
    <t>Promoción inicial</t>
  </si>
  <si>
    <t>Siembra y Manejo de Pasto Mombaza</t>
  </si>
  <si>
    <t>VALOR AMORTIZACION ANUAL POR CINCO AÑOS</t>
  </si>
  <si>
    <t>PRORRATEO COSTOS Y GASTOS</t>
  </si>
  <si>
    <t>PORCENTAJES DE PRORRATEO</t>
  </si>
  <si>
    <t>OPERATIVO</t>
  </si>
  <si>
    <t>ADMINISTRATIVO</t>
  </si>
  <si>
    <t>Gasolina para maquinaria</t>
  </si>
  <si>
    <t>Plan de datos para celular</t>
  </si>
  <si>
    <t>SERVICIOS</t>
  </si>
  <si>
    <t>VALOR</t>
  </si>
  <si>
    <t>FACTOR</t>
  </si>
  <si>
    <t>Cesantías</t>
  </si>
  <si>
    <t>Interés cesantías</t>
  </si>
  <si>
    <t>Prima</t>
  </si>
  <si>
    <t>Parafiscales</t>
  </si>
  <si>
    <t>Salud y pensión</t>
  </si>
  <si>
    <t xml:space="preserve">Dotación </t>
  </si>
  <si>
    <t>Riesgos profesionales</t>
  </si>
  <si>
    <t>TOTAL FACTOR PRESTACIONAL</t>
  </si>
  <si>
    <t>ÍTEM</t>
  </si>
  <si>
    <t>CANTIDAD</t>
  </si>
  <si>
    <t>SALARIO BÁSICO</t>
  </si>
  <si>
    <t>SUBSIDIO DE TRANSPORTE</t>
  </si>
  <si>
    <t>FACTOR PRESTACIONAL</t>
  </si>
  <si>
    <t>ASIGNACIÓN MENSUAL</t>
  </si>
  <si>
    <t>TOTAL ANUAL</t>
  </si>
  <si>
    <t>Básico</t>
  </si>
  <si>
    <t>UNITARIO</t>
  </si>
  <si>
    <t>Operario Finca</t>
  </si>
  <si>
    <t>MANO DE OBRA DIRECTA</t>
  </si>
  <si>
    <t>DEPRECIACIONES</t>
  </si>
  <si>
    <t>TIEMPO A DEPRECIAR</t>
  </si>
  <si>
    <t>VALOR DE SALVAMENTO</t>
  </si>
  <si>
    <t>VALOR A DEPRECIAR</t>
  </si>
  <si>
    <t>DEPRECIACIÓN MENSUAL</t>
  </si>
  <si>
    <t>DEPRECIACIÓN ANUAL</t>
  </si>
  <si>
    <t>CONSTRUCCIONES</t>
  </si>
  <si>
    <t>ADECUACIONES DE TERRENO</t>
  </si>
  <si>
    <t>Terreno y Adecuación</t>
  </si>
  <si>
    <t xml:space="preserve"> Construcciones</t>
  </si>
  <si>
    <t xml:space="preserve"> Maquinaria y Equipos</t>
  </si>
  <si>
    <t>Preparación del terreno, Poda y manejo del bosque</t>
  </si>
  <si>
    <t>MAQUINARIA Y EQUIPOS 5 AÑOS</t>
  </si>
  <si>
    <t>MAQUINARIA Y EQUIPOS 10 AÑOS</t>
  </si>
  <si>
    <t>DEPRECIACIÒN</t>
  </si>
  <si>
    <t>DISTRIBUCIÓN DEPRECIACIÓN</t>
  </si>
  <si>
    <t>AÑO</t>
  </si>
  <si>
    <t>VALOR AÑO</t>
  </si>
  <si>
    <t>MATERIA PRIMA</t>
  </si>
  <si>
    <t>MATERIALES</t>
  </si>
  <si>
    <t>UNIDAD</t>
  </si>
  <si>
    <t>CANTIDAD MENSUAL REQUERIDA</t>
  </si>
  <si>
    <t>CONSUMO POR  unidad</t>
  </si>
  <si>
    <t>VALOR UNIDAD DE INSUMO</t>
  </si>
  <si>
    <t>COSTO POR UNIDAD</t>
  </si>
  <si>
    <t>COSTO ANUAL</t>
  </si>
  <si>
    <t>COSTO MENSUAL</t>
  </si>
  <si>
    <t>Sales Blanca (bulto)</t>
  </si>
  <si>
    <t>Sal Mineral (bulto)</t>
  </si>
  <si>
    <t>Melaza (bulto)</t>
  </si>
  <si>
    <t>40 KG</t>
  </si>
  <si>
    <t>50 KG</t>
  </si>
  <si>
    <t>30 KG</t>
  </si>
  <si>
    <t>KG</t>
  </si>
  <si>
    <t>VALOR MENSUAL</t>
  </si>
  <si>
    <t>VALOR ANUAL</t>
  </si>
  <si>
    <t>MANTENIMIENTO</t>
  </si>
  <si>
    <t>SEGUROS</t>
  </si>
  <si>
    <t>DEPRECIACION CONSTRUCCIONES</t>
  </si>
  <si>
    <t>DEPRECIACION ADECUACIONES DE TERRENO</t>
  </si>
  <si>
    <t>DEPRECIACION MAQUINARIA Y EQUIPOS 10 AÑOS</t>
  </si>
  <si>
    <t>DEPRECIACION MAQUINARIA Y EQUIPOS 5 AÑOS</t>
  </si>
  <si>
    <t>TOTAL COSTOS DEL PRODUCTO</t>
  </si>
  <si>
    <t>Mano de Obra Directa MOD</t>
  </si>
  <si>
    <t>Materia Prima</t>
  </si>
  <si>
    <t>MANO DE OBRA DIRECTA MOD</t>
  </si>
  <si>
    <t>COSTOS INDIRECTOS</t>
  </si>
  <si>
    <t>GASTO PERSONAL ADMINISTRATIVO</t>
  </si>
  <si>
    <t>GERENTE (50%)</t>
  </si>
  <si>
    <t>GASTO DE ADMINISTRACION</t>
  </si>
  <si>
    <t>Volantes informativos</t>
  </si>
  <si>
    <t>Publicidad en redes</t>
  </si>
  <si>
    <t>2 AL AÑO</t>
  </si>
  <si>
    <t>AMORTIZACION DE DIFERIDOS</t>
  </si>
  <si>
    <t>SERVICIO VETERINARIO  4 Visitas x $250,000</t>
  </si>
  <si>
    <t xml:space="preserve">SERVICIO CONTABLE </t>
  </si>
  <si>
    <t>GASTO PERSONAL DE VENTAS</t>
  </si>
  <si>
    <t>GERENTE (20%)</t>
  </si>
  <si>
    <t>GASTO TOTAL DE ADMINISTRACION Y VENTAS</t>
  </si>
  <si>
    <t>GASTOS FINANCIEROS</t>
  </si>
  <si>
    <t>SIMULACIÓN CON TASAS DE FINAGRO</t>
  </si>
  <si>
    <r>
      <t>Tasa Nominal Anual Estimada</t>
    </r>
    <r>
      <rPr>
        <sz val="11"/>
        <color theme="1"/>
        <rFont val="Calibri"/>
        <family val="2"/>
        <scheme val="minor"/>
      </rPr>
      <t xml:space="preserve">: </t>
    </r>
  </si>
  <si>
    <t>IBR</t>
  </si>
  <si>
    <t>Mensual</t>
  </si>
  <si>
    <t>Inversión Total</t>
  </si>
  <si>
    <t>TOTAL PRÉSTAMO</t>
  </si>
  <si>
    <t>TIEMPO</t>
  </si>
  <si>
    <t>Meses</t>
  </si>
  <si>
    <t>TASA MENSUAL</t>
  </si>
  <si>
    <t>Capital Inversionistas</t>
  </si>
  <si>
    <t>CUOTAS</t>
  </si>
  <si>
    <t>Total Financiacion</t>
  </si>
  <si>
    <t>CUOTA</t>
  </si>
  <si>
    <t>INTERESES</t>
  </si>
  <si>
    <t>ABONO A CAPITAL</t>
  </si>
  <si>
    <t>SALDO</t>
  </si>
  <si>
    <t>PAGOS</t>
  </si>
  <si>
    <t>VALOR MES</t>
  </si>
  <si>
    <t>Monto de Intereses mes 1</t>
  </si>
  <si>
    <t>Monto de intereses mes 2</t>
  </si>
  <si>
    <t>Se debe explicar para cuantos meses necesita recursos</t>
  </si>
  <si>
    <t>Dígitar el número de meses para los cuales se necesita capital</t>
  </si>
  <si>
    <t>Monto de Intereses mes 4</t>
  </si>
  <si>
    <t>Monto de Intereses mes 5</t>
  </si>
  <si>
    <t>Monto de Intereses mes 6</t>
  </si>
  <si>
    <t>Monto de intereses mes 3</t>
  </si>
  <si>
    <t>CAPITAL DE TRABAJO</t>
  </si>
  <si>
    <t>VALOR A NECESITAR</t>
  </si>
  <si>
    <t>COMPRA DE GANADO</t>
  </si>
  <si>
    <t>COSTOS INDIRETOS DE PRODUCCION</t>
  </si>
  <si>
    <t>ANTIPARASITARIOS</t>
  </si>
  <si>
    <t>VITAMINAS</t>
  </si>
  <si>
    <t>TRANSPORTE DEL GANADO</t>
  </si>
  <si>
    <t>NOVILLOS</t>
  </si>
  <si>
    <t>CANTIDAD CICLO</t>
  </si>
  <si>
    <t>PESO PROMEDIO</t>
  </si>
  <si>
    <t>UNIDAD DE GANADO</t>
  </si>
  <si>
    <t>ACTIVO BIOLOGICO</t>
  </si>
  <si>
    <t>2 X ciclos</t>
  </si>
  <si>
    <t>COSTO DE PRODUCCION</t>
  </si>
  <si>
    <t xml:space="preserve">GASTOS DE ADMINISTRACION </t>
  </si>
  <si>
    <t>GRAVAMEN DEL 4 x 1,000</t>
  </si>
  <si>
    <t>DEPRECIACIONES Y AMORTIZACIONES</t>
  </si>
  <si>
    <t>INGRESOS</t>
  </si>
  <si>
    <t>NUMERO DE ANIMALES POR CICLO</t>
  </si>
  <si>
    <t>CABEZAS</t>
  </si>
  <si>
    <t>Nota. Los porcentajes de inflación IPC proyectaba se obtuvieron de Tabla Macroeconómicos Proyectados, por Bancolombia, 2024, (https://www.bancolombia.com/empresas/capital-inteligente/investigaciones-economicas/publicaciones/macroeconomicos-proyectados)</t>
  </si>
  <si>
    <t>NUMERO DE CICLOS POR AÑO</t>
  </si>
  <si>
    <t>CADA CICLO DE 6 MESES</t>
  </si>
  <si>
    <t>PESO PROMEDIO AL FINAL DEL CICLO</t>
  </si>
  <si>
    <t>PRECIO DE VENTA GANADO GORDO</t>
  </si>
  <si>
    <t>POR KG</t>
  </si>
  <si>
    <t>PROYECCION PRECIO DE VENTA 2025</t>
  </si>
  <si>
    <t>Proyección de Precios Ganado Gordo en Pie con Modelo de Regresion Lineal</t>
  </si>
  <si>
    <t>PROYECCION PRECIO DE VENTA 2026</t>
  </si>
  <si>
    <t xml:space="preserve">Numero </t>
  </si>
  <si>
    <t>Precio</t>
  </si>
  <si>
    <t>PROYECCION PRECIO DE VENTA 2027</t>
  </si>
  <si>
    <t>PROYECCION PRECIO DE VENTA 2028</t>
  </si>
  <si>
    <t>INGRESO POR CICLO</t>
  </si>
  <si>
    <t>INGRESO ANUAL</t>
  </si>
  <si>
    <t>INVERSION TOTAL</t>
  </si>
  <si>
    <t>INVERSION CAPITAL DE TRABAJO</t>
  </si>
  <si>
    <t>APORTES</t>
  </si>
  <si>
    <t>Crédito a solicitar</t>
  </si>
  <si>
    <t>Deuda</t>
  </si>
  <si>
    <t>INVERSIONISTAS</t>
  </si>
  <si>
    <t>Costos Fijos</t>
  </si>
  <si>
    <t>COSTOS FIJOS</t>
  </si>
  <si>
    <t xml:space="preserve">    Servicios</t>
  </si>
  <si>
    <t xml:space="preserve">    Depreciación</t>
  </si>
  <si>
    <t xml:space="preserve">    Mantenimiento</t>
  </si>
  <si>
    <t xml:space="preserve">    Seguros</t>
  </si>
  <si>
    <t xml:space="preserve">    Otros</t>
  </si>
  <si>
    <t>Gastos de administración y ventas</t>
  </si>
  <si>
    <t xml:space="preserve">Costos Variabes </t>
  </si>
  <si>
    <t>COSTOS VARIABLES</t>
  </si>
  <si>
    <t>Costos Indirectos Variables</t>
  </si>
  <si>
    <t>Servicios</t>
  </si>
  <si>
    <t xml:space="preserve">Costos Totales Unitarios </t>
  </si>
  <si>
    <t xml:space="preserve">COSTOS TOTALES UNITARIOS </t>
  </si>
  <si>
    <t>Total Anual de Costos Fijos</t>
  </si>
  <si>
    <t>Total Anual de Costos Variables</t>
  </si>
  <si>
    <t>COSTO VARIABLE</t>
  </si>
  <si>
    <t>Activo Biologico</t>
  </si>
  <si>
    <t>RESUMEN COSTOS</t>
  </si>
  <si>
    <t>Número de ganado para el cual fueron calculados los costos</t>
  </si>
  <si>
    <t>Año</t>
  </si>
  <si>
    <t>Estado de Resultados Proyectado</t>
  </si>
  <si>
    <t>Ingresos Operacionales por ventas</t>
  </si>
  <si>
    <t>TOTAL INGRESOS</t>
  </si>
  <si>
    <t>Costos Indirectos de P. S Fijos</t>
  </si>
  <si>
    <t>Costos Indirectos de P. S Variables</t>
  </si>
  <si>
    <t>UTILIDAD BRUTA</t>
  </si>
  <si>
    <t>Gastos de Administración</t>
  </si>
  <si>
    <t>Gastos de Personal de Ventas</t>
  </si>
  <si>
    <t>GASTOS DE ADMINISTRACIÓN Y VENTAS</t>
  </si>
  <si>
    <t>UTILIDAD OPERACIONAL</t>
  </si>
  <si>
    <t>Gastos Financieros</t>
  </si>
  <si>
    <t>Gravamen del 4 x 1.000</t>
  </si>
  <si>
    <t xml:space="preserve">Otros Ingresos </t>
  </si>
  <si>
    <t>UTILIDAD ANTES DE IMPUESTO</t>
  </si>
  <si>
    <t>Provisión para Impuestos</t>
  </si>
  <si>
    <t>UTILIDAD NETA</t>
  </si>
  <si>
    <t xml:space="preserve">RESERVAS </t>
  </si>
  <si>
    <t>UTILIDAD DEL EJERCICIO</t>
  </si>
  <si>
    <t>Flujo de Caja Proyectado</t>
  </si>
  <si>
    <t xml:space="preserve"> </t>
  </si>
  <si>
    <t>Ingresos operacionales</t>
  </si>
  <si>
    <t>Recuperación de Cartera</t>
  </si>
  <si>
    <t>Total de Ingresos Operacionales</t>
  </si>
  <si>
    <t>Pagos de Costos</t>
  </si>
  <si>
    <t>Pago de Materia Prima</t>
  </si>
  <si>
    <t>Pago de Mano de Obra Directa</t>
  </si>
  <si>
    <t>Pago Costos Indirectos Fijos</t>
  </si>
  <si>
    <t>Depreciaciones</t>
  </si>
  <si>
    <t>Pago Costos Indirectos Variables</t>
  </si>
  <si>
    <t>Total Pagos de Costos Operacionales</t>
  </si>
  <si>
    <t>FLUJO DE CAJA OPERACIONAL BRUTO</t>
  </si>
  <si>
    <t>Pagos de Gastos</t>
  </si>
  <si>
    <t>Pago de Gastos de Administración</t>
  </si>
  <si>
    <t>Amortizaciones</t>
  </si>
  <si>
    <t>Pago de Gastos de Ventas</t>
  </si>
  <si>
    <t>Pago de Impuestos</t>
  </si>
  <si>
    <t>Total Pago de Gastos Operacionales</t>
  </si>
  <si>
    <t>FLUJO DE CAJA OPERACIONAL NETO</t>
  </si>
  <si>
    <t>Inversiones</t>
  </si>
  <si>
    <t>Inversión Fija</t>
  </si>
  <si>
    <t>Inversión Diferida</t>
  </si>
  <si>
    <t>Inversión en Capital de Trabajo</t>
  </si>
  <si>
    <t>Total de Inversiones</t>
  </si>
  <si>
    <t>FLUJO DE CAJA LIBRE</t>
  </si>
  <si>
    <t>Financiación</t>
  </si>
  <si>
    <t>Aportes de  los socios</t>
  </si>
  <si>
    <t>Crédito Financiero</t>
  </si>
  <si>
    <t>Otras Fuentes (Valor en libros de Activos)</t>
  </si>
  <si>
    <t>Total Ingresos de Financiación</t>
  </si>
  <si>
    <t>Egresos de Financiación</t>
  </si>
  <si>
    <t>Abonos a capital</t>
  </si>
  <si>
    <t>Pago de Intereses</t>
  </si>
  <si>
    <t>Pago de Utilidades</t>
  </si>
  <si>
    <t>Total Egresos de Financiación</t>
  </si>
  <si>
    <t>FLUJO DE CAJA DE FINANCIACIÓN</t>
  </si>
  <si>
    <t>FLUJO NETO DE CAJA</t>
  </si>
  <si>
    <t>Flujo de caja del período</t>
  </si>
  <si>
    <t xml:space="preserve">Saldo anterior de Caja y Bancos </t>
  </si>
  <si>
    <t>SALDO FINAL DE CAJA Y BANCOS</t>
  </si>
  <si>
    <t>Balance General Proyectado</t>
  </si>
  <si>
    <t>Caja y Bancos</t>
  </si>
  <si>
    <t>Total Activo Corriente</t>
  </si>
  <si>
    <t>Depreciación Acumulada</t>
  </si>
  <si>
    <t>Total Activo Fijo Neto</t>
  </si>
  <si>
    <t>Inversión diferida</t>
  </si>
  <si>
    <t>Activo Diferido Neto</t>
  </si>
  <si>
    <t>ACTIVO TOTAL</t>
  </si>
  <si>
    <t>Obligaciones Financieras</t>
  </si>
  <si>
    <t>Impuestos por pagar</t>
  </si>
  <si>
    <t>Total Pasivo Corriente</t>
  </si>
  <si>
    <t>Obligaciones de Largo Plazo</t>
  </si>
  <si>
    <t>PASIVO TOTAL</t>
  </si>
  <si>
    <t>Utilidades Ejercicios Anteriores</t>
  </si>
  <si>
    <t>Utilidades del Presente Ejercicio</t>
  </si>
  <si>
    <t>PATRIMONIO TOTAL</t>
  </si>
  <si>
    <t>TOTAL PASIVO + PATRIMONIO</t>
  </si>
  <si>
    <t>VERIFICACIÓN DE SALDOS</t>
  </si>
  <si>
    <t>La verificación de saldos debe ser igual a cero</t>
  </si>
  <si>
    <t>RAZONES FINANCIERAS</t>
  </si>
  <si>
    <t>RAZÓN CORRIENTE</t>
  </si>
  <si>
    <t>NIVEL DE ENDEUDAMIENTO</t>
  </si>
  <si>
    <t>ROTACIÓN DE ACTIVOS</t>
  </si>
  <si>
    <t>MARGEN BRUTO DE GANANCIA</t>
  </si>
  <si>
    <t>MARGEN NETO DE UTILIDAD</t>
  </si>
  <si>
    <t>PROYECCION SALARIAL</t>
  </si>
  <si>
    <t>REGRESION LINEAL AUMENTO SALARIAL</t>
  </si>
  <si>
    <t>n</t>
  </si>
  <si>
    <t>x</t>
  </si>
  <si>
    <t>y</t>
  </si>
  <si>
    <t>x.y</t>
  </si>
  <si>
    <t>x^2</t>
  </si>
  <si>
    <t>y^2</t>
  </si>
  <si>
    <t xml:space="preserve">Año </t>
  </si>
  <si>
    <t>INCREMENTO</t>
  </si>
  <si>
    <t xml:space="preserve">TOTAL </t>
  </si>
  <si>
    <t>RESULTADO</t>
  </si>
  <si>
    <t>B</t>
  </si>
  <si>
    <t>A</t>
  </si>
  <si>
    <t>COSTOS TOTAL</t>
  </si>
  <si>
    <t>Gastos de Personal ADM</t>
  </si>
  <si>
    <t>Aportes Sociales</t>
  </si>
  <si>
    <t>Compra de ganado</t>
  </si>
  <si>
    <t>PROYECCION PRECIO DE COMPRA GANADO POR KG</t>
  </si>
  <si>
    <t>Socios</t>
  </si>
  <si>
    <t>Cuadro</t>
  </si>
  <si>
    <t>Flujo de Caja Libre</t>
  </si>
  <si>
    <t xml:space="preserve">Cuadro </t>
  </si>
  <si>
    <t>Cálculo de la Tasa de Descuento o Tasa de Oportunidad</t>
  </si>
  <si>
    <t>DTF</t>
  </si>
  <si>
    <t>Riesgo</t>
  </si>
  <si>
    <t>TO</t>
  </si>
  <si>
    <t>Tasa de Descuento o Tasa de Oportunidad</t>
  </si>
  <si>
    <t>Efectivo Anual</t>
  </si>
  <si>
    <t>Cálculo del Valor Presente Neto VPN</t>
  </si>
  <si>
    <t>FLUJO ESPERADO</t>
  </si>
  <si>
    <t>TASA DE DESCUENTO</t>
  </si>
  <si>
    <t>FACTOR DE DESCUENTO</t>
  </si>
  <si>
    <t>VALOR ACTUAL</t>
  </si>
  <si>
    <t>VALOR PRESENTE NETO</t>
  </si>
  <si>
    <t>Año 0</t>
  </si>
  <si>
    <t>Año 1</t>
  </si>
  <si>
    <t>Año 2</t>
  </si>
  <si>
    <t>año 3</t>
  </si>
  <si>
    <t>Año 4</t>
  </si>
  <si>
    <t>Año 5</t>
  </si>
  <si>
    <t>Cálculo de la Tasa Interna de Retorno TIR</t>
  </si>
  <si>
    <t>TIR</t>
  </si>
  <si>
    <t>Cálculo de Periodo de Recuperación de la Inversión PRI</t>
  </si>
  <si>
    <t>Periodo</t>
  </si>
  <si>
    <t>Inversión</t>
  </si>
  <si>
    <t>Flujo Caja Anual</t>
  </si>
  <si>
    <t>Inversión - F.Caja</t>
  </si>
  <si>
    <t>Años</t>
  </si>
  <si>
    <t>Año 3</t>
  </si>
  <si>
    <t>PRI</t>
  </si>
  <si>
    <t>Cálculo Punto de Equilibrio Qu</t>
  </si>
  <si>
    <t>PUNTO DE EQUILIBRIO</t>
  </si>
  <si>
    <t>Precio de venta</t>
  </si>
  <si>
    <t>Costo Variable Unitario</t>
  </si>
  <si>
    <t>Qu</t>
  </si>
  <si>
    <t>Se requiere esta cantidad de venta de ganado anual para cubrir los costos.</t>
  </si>
  <si>
    <t>Precio de venta Unitario</t>
  </si>
  <si>
    <t>Adecuación Casa</t>
  </si>
  <si>
    <t>Motosierra de largo alcance</t>
  </si>
  <si>
    <t>Motosierra a gasolina</t>
  </si>
  <si>
    <t>Resumen Inversión Fija</t>
  </si>
  <si>
    <t>Total Inversión Fija</t>
  </si>
  <si>
    <t>Descripción</t>
  </si>
  <si>
    <t>Tanques de agua y mangueras</t>
  </si>
  <si>
    <t>Utilidad</t>
  </si>
  <si>
    <t>Reservas (5%  de las utilidades del ejercicio)</t>
  </si>
  <si>
    <t>Inflación IPC Proyectada</t>
  </si>
  <si>
    <t>Amortización diferida</t>
  </si>
  <si>
    <t>Arriendo terreno</t>
  </si>
  <si>
    <t>Gerente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</si>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</sst>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  <numFmt numFmtId="166" formatCode="&quot;$&quot;\ #,##0.00"/>
    <numFmt numFmtId="167" formatCode="_(&quot;$&quot;\ * #,##0_);_(&quot;$&quot;\ * \(#,##0\);_(&quot;$&quot;\ * &quot;-&quot;_);_(@_)"/>
    <numFmt numFmtId="168" formatCode="0.0%"/>
    <numFmt numFmtId="169" formatCode="0.0000%"/>
    <numFmt numFmtId="170" formatCode="_-[$$-240A]\ * #,##0_ ;_-[$$-240A]\ * \-#,##0\ ;_-[$$-240A]\ * &quot;-&quot;_ ;_-@_ "/>
    <numFmt numFmtId="171" formatCode="_(&quot;$&quot;\ * #,##0.00_);_(&quot;$&quot;\ * \(#,##0.00\);_(&quot;$&quot;\ * &quot;-&quot;??_);_(@_)"/>
    <numFmt numFmtId="172" formatCode="_-[$$-240A]\ * #,##0_-;\-[$$-240A]\ * #,##0_-;_-[$$-240A]\ * &quot;-&quot;??_-;_-@_-"/>
    <numFmt numFmtId="173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202122"/>
      <name val="Arial"/>
      <family val="2"/>
    </font>
    <font>
      <sz val="10"/>
      <color rgb="FF202122"/>
      <name val="Arial"/>
      <family val="2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71" fontId="17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6" fontId="3" fillId="3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165" fontId="0" fillId="4" borderId="0" xfId="0" applyNumberFormat="1" applyFill="1" applyAlignment="1">
      <alignment horizontal="center" vertical="center" wrapText="1"/>
    </xf>
    <xf numFmtId="6" fontId="0" fillId="5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0" fillId="6" borderId="0" xfId="0" applyNumberFormat="1" applyFill="1" applyAlignment="1">
      <alignment horizontal="center" vertical="center" wrapText="1"/>
    </xf>
    <xf numFmtId="44" fontId="0" fillId="6" borderId="0" xfId="0" applyNumberForma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10" fontId="0" fillId="4" borderId="0" xfId="0" applyNumberFormat="1" applyFill="1" applyAlignment="1">
      <alignment horizontal="center" vertical="center" wrapText="1"/>
    </xf>
    <xf numFmtId="9" fontId="0" fillId="4" borderId="0" xfId="0" applyNumberFormat="1" applyFill="1" applyAlignment="1">
      <alignment horizontal="center" vertical="center" wrapText="1"/>
    </xf>
    <xf numFmtId="44" fontId="0" fillId="4" borderId="0" xfId="0" applyNumberForma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Alignment="1">
      <alignment vertical="center" wrapText="1"/>
    </xf>
    <xf numFmtId="6" fontId="2" fillId="0" borderId="0" xfId="0" applyNumberFormat="1" applyFont="1" applyAlignment="1">
      <alignment vertical="center" wrapText="1"/>
    </xf>
    <xf numFmtId="6" fontId="0" fillId="0" borderId="0" xfId="0" applyNumberFormat="1"/>
    <xf numFmtId="0" fontId="0" fillId="3" borderId="0" xfId="0" applyFill="1"/>
    <xf numFmtId="166" fontId="0" fillId="0" borderId="0" xfId="0" applyNumberFormat="1" applyAlignment="1">
      <alignment vertical="center" wrapText="1"/>
    </xf>
    <xf numFmtId="167" fontId="6" fillId="2" borderId="4" xfId="1" applyNumberFormat="1" applyFont="1" applyFill="1" applyBorder="1" applyAlignment="1" applyProtection="1">
      <alignment horizontal="right" vertical="top" wrapText="1"/>
    </xf>
    <xf numFmtId="167" fontId="6" fillId="8" borderId="4" xfId="1" applyNumberFormat="1" applyFont="1" applyFill="1" applyBorder="1" applyAlignment="1" applyProtection="1">
      <alignment horizontal="right" vertical="top" wrapText="1"/>
    </xf>
    <xf numFmtId="9" fontId="0" fillId="0" borderId="0" xfId="0" applyNumberFormat="1"/>
    <xf numFmtId="0" fontId="0" fillId="0" borderId="0" xfId="0" applyAlignment="1">
      <alignment vertical="center"/>
    </xf>
    <xf numFmtId="44" fontId="0" fillId="0" borderId="0" xfId="1" applyFont="1"/>
    <xf numFmtId="9" fontId="0" fillId="0" borderId="0" xfId="2" applyFont="1"/>
    <xf numFmtId="168" fontId="0" fillId="0" borderId="0" xfId="2" applyNumberFormat="1" applyFont="1"/>
    <xf numFmtId="164" fontId="0" fillId="0" borderId="0" xfId="0" applyNumberFormat="1"/>
    <xf numFmtId="166" fontId="0" fillId="0" borderId="0" xfId="0" applyNumberFormat="1"/>
    <xf numFmtId="165" fontId="0" fillId="0" borderId="0" xfId="1" applyNumberFormat="1" applyFont="1"/>
    <xf numFmtId="6" fontId="2" fillId="0" borderId="0" xfId="0" applyNumberFormat="1" applyFont="1"/>
    <xf numFmtId="0" fontId="2" fillId="0" borderId="0" xfId="0" applyFont="1"/>
    <xf numFmtId="0" fontId="2" fillId="3" borderId="0" xfId="0" applyFont="1" applyFill="1"/>
    <xf numFmtId="165" fontId="0" fillId="0" borderId="0" xfId="0" applyNumberFormat="1"/>
    <xf numFmtId="44" fontId="0" fillId="0" borderId="0" xfId="0" applyNumberFormat="1"/>
    <xf numFmtId="44" fontId="2" fillId="0" borderId="0" xfId="1" applyFont="1" applyAlignment="1">
      <alignment vertical="center" wrapText="1"/>
    </xf>
    <xf numFmtId="44" fontId="2" fillId="0" borderId="0" xfId="1" applyFont="1"/>
    <xf numFmtId="44" fontId="2" fillId="0" borderId="0" xfId="0" applyNumberFormat="1" applyFont="1"/>
    <xf numFmtId="3" fontId="0" fillId="0" borderId="0" xfId="0" applyNumberFormat="1" applyAlignment="1">
      <alignment vertical="center" wrapText="1"/>
    </xf>
    <xf numFmtId="44" fontId="0" fillId="0" borderId="0" xfId="0" applyNumberFormat="1" applyAlignment="1">
      <alignment vertical="center" wrapText="1"/>
    </xf>
    <xf numFmtId="0" fontId="0" fillId="0" borderId="0" xfId="1" applyNumberFormat="1" applyFont="1"/>
    <xf numFmtId="10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169" fontId="0" fillId="0" borderId="4" xfId="2" applyNumberFormat="1" applyFont="1" applyBorder="1" applyAlignment="1">
      <alignment horizontal="right"/>
    </xf>
    <xf numFmtId="0" fontId="2" fillId="2" borderId="0" xfId="0" applyFont="1" applyFill="1" applyAlignment="1">
      <alignment vertical="center" wrapText="1"/>
    </xf>
    <xf numFmtId="6" fontId="2" fillId="2" borderId="0" xfId="0" applyNumberFormat="1" applyFont="1" applyFill="1" applyAlignment="1">
      <alignment vertical="center" wrapText="1"/>
    </xf>
    <xf numFmtId="6" fontId="0" fillId="4" borderId="6" xfId="1" applyNumberFormat="1" applyFont="1" applyFill="1" applyBorder="1" applyAlignment="1">
      <alignment horizontal="center" vertical="center" wrapText="1"/>
    </xf>
    <xf numFmtId="0" fontId="0" fillId="4" borderId="6" xfId="1" applyNumberFormat="1" applyFont="1" applyFill="1" applyBorder="1" applyAlignment="1">
      <alignment horizontal="center" vertical="center" wrapText="1"/>
    </xf>
    <xf numFmtId="0" fontId="0" fillId="4" borderId="4" xfId="1" applyNumberFormat="1" applyFont="1" applyFill="1" applyBorder="1" applyAlignment="1">
      <alignment horizontal="center" vertical="center" wrapText="1"/>
    </xf>
    <xf numFmtId="10" fontId="0" fillId="4" borderId="4" xfId="2" applyNumberFormat="1" applyFont="1" applyFill="1" applyBorder="1" applyAlignment="1">
      <alignment horizontal="center" vertical="center" wrapText="1"/>
    </xf>
    <xf numFmtId="0" fontId="0" fillId="2" borderId="0" xfId="0" applyFill="1"/>
    <xf numFmtId="6" fontId="2" fillId="10" borderId="0" xfId="0" applyNumberFormat="1" applyFont="1" applyFill="1" applyAlignment="1">
      <alignment vertical="center" wrapText="1"/>
    </xf>
    <xf numFmtId="8" fontId="0" fillId="4" borderId="4" xfId="1" applyNumberFormat="1" applyFont="1" applyFill="1" applyBorder="1" applyAlignment="1">
      <alignment horizontal="center" vertical="center" wrapText="1"/>
    </xf>
    <xf numFmtId="6" fontId="2" fillId="10" borderId="0" xfId="0" applyNumberFormat="1" applyFont="1" applyFill="1"/>
    <xf numFmtId="0" fontId="2" fillId="3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0" fillId="4" borderId="0" xfId="1" applyNumberFormat="1" applyFont="1" applyFill="1" applyBorder="1" applyAlignment="1">
      <alignment horizontal="center" vertical="center" wrapText="1"/>
    </xf>
    <xf numFmtId="44" fontId="0" fillId="4" borderId="0" xfId="1" applyFont="1" applyFill="1" applyBorder="1" applyAlignment="1">
      <alignment horizontal="left" vertical="center" wrapText="1"/>
    </xf>
    <xf numFmtId="0" fontId="0" fillId="3" borderId="0" xfId="1" applyNumberFormat="1" applyFont="1" applyFill="1" applyBorder="1" applyAlignment="1">
      <alignment horizontal="center" vertical="center" wrapText="1"/>
    </xf>
    <xf numFmtId="44" fontId="0" fillId="3" borderId="0" xfId="1" applyFont="1" applyFill="1" applyBorder="1" applyAlignment="1">
      <alignment horizontal="left" vertical="center" wrapText="1"/>
    </xf>
    <xf numFmtId="44" fontId="10" fillId="9" borderId="0" xfId="1" applyFont="1" applyFill="1" applyBorder="1" applyAlignment="1">
      <alignment horizontal="left"/>
    </xf>
    <xf numFmtId="165" fontId="2" fillId="0" borderId="0" xfId="0" applyNumberFormat="1" applyFont="1"/>
    <xf numFmtId="0" fontId="0" fillId="4" borderId="4" xfId="0" applyFill="1" applyBorder="1"/>
    <xf numFmtId="44" fontId="2" fillId="4" borderId="4" xfId="0" applyNumberFormat="1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/>
    <xf numFmtId="0" fontId="0" fillId="2" borderId="4" xfId="0" applyFill="1" applyBorder="1" applyAlignment="1">
      <alignment horizontal="left"/>
    </xf>
    <xf numFmtId="0" fontId="0" fillId="2" borderId="4" xfId="0" applyFill="1" applyBorder="1"/>
    <xf numFmtId="44" fontId="0" fillId="0" borderId="4" xfId="0" applyNumberFormat="1" applyBorder="1"/>
    <xf numFmtId="0" fontId="6" fillId="0" borderId="7" xfId="0" applyFont="1" applyBorder="1" applyAlignment="1">
      <alignment horizontal="left" wrapText="1"/>
    </xf>
    <xf numFmtId="170" fontId="9" fillId="10" borderId="4" xfId="0" applyNumberFormat="1" applyFont="1" applyFill="1" applyBorder="1"/>
    <xf numFmtId="0" fontId="9" fillId="0" borderId="7" xfId="0" applyFont="1" applyBorder="1" applyAlignment="1">
      <alignment horizontal="left" wrapText="1"/>
    </xf>
    <xf numFmtId="170" fontId="9" fillId="0" borderId="4" xfId="0" applyNumberFormat="1" applyFont="1" applyBorder="1"/>
    <xf numFmtId="10" fontId="9" fillId="10" borderId="4" xfId="2" applyNumberFormat="1" applyFont="1" applyFill="1" applyBorder="1" applyProtection="1"/>
    <xf numFmtId="0" fontId="6" fillId="0" borderId="4" xfId="0" applyFont="1" applyBorder="1"/>
    <xf numFmtId="170" fontId="6" fillId="10" borderId="4" xfId="0" applyNumberFormat="1" applyFont="1" applyFill="1" applyBorder="1"/>
    <xf numFmtId="0" fontId="9" fillId="0" borderId="0" xfId="0" applyFont="1"/>
    <xf numFmtId="170" fontId="9" fillId="0" borderId="0" xfId="0" applyNumberFormat="1" applyFont="1"/>
    <xf numFmtId="0" fontId="2" fillId="3" borderId="0" xfId="0" applyFont="1" applyFill="1" applyAlignment="1">
      <alignment horizontal="center" vertical="center"/>
    </xf>
    <xf numFmtId="0" fontId="2" fillId="11" borderId="0" xfId="0" applyFont="1" applyFill="1"/>
    <xf numFmtId="44" fontId="2" fillId="11" borderId="0" xfId="1" applyFont="1" applyFill="1"/>
    <xf numFmtId="165" fontId="2" fillId="11" borderId="0" xfId="1" applyNumberFormat="1" applyFont="1" applyFill="1"/>
    <xf numFmtId="168" fontId="2" fillId="0" borderId="0" xfId="2" applyNumberFormat="1" applyFont="1" applyAlignment="1">
      <alignment horizontal="right"/>
    </xf>
    <xf numFmtId="168" fontId="2" fillId="0" borderId="0" xfId="0" applyNumberFormat="1" applyFont="1"/>
    <xf numFmtId="0" fontId="15" fillId="2" borderId="0" xfId="0" applyFont="1" applyFill="1" applyBorder="1"/>
    <xf numFmtId="0" fontId="0" fillId="2" borderId="0" xfId="0" applyFill="1" applyBorder="1"/>
    <xf numFmtId="0" fontId="15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10" fontId="0" fillId="0" borderId="0" xfId="2" applyNumberFormat="1" applyFont="1" applyBorder="1"/>
    <xf numFmtId="10" fontId="14" fillId="0" borderId="0" xfId="2" applyNumberFormat="1" applyFont="1" applyBorder="1" applyAlignment="1">
      <alignment horizontal="right" vertical="center" wrapText="1"/>
    </xf>
    <xf numFmtId="10" fontId="0" fillId="0" borderId="0" xfId="0" applyNumberFormat="1" applyBorder="1"/>
    <xf numFmtId="168" fontId="0" fillId="0" borderId="0" xfId="2" applyNumberFormat="1" applyFont="1" applyBorder="1"/>
    <xf numFmtId="2" fontId="0" fillId="0" borderId="0" xfId="0" applyNumberFormat="1" applyBorder="1"/>
    <xf numFmtId="44" fontId="0" fillId="0" borderId="0" xfId="0" applyNumberFormat="1" applyBorder="1"/>
    <xf numFmtId="6" fontId="0" fillId="0" borderId="0" xfId="1" applyNumberFormat="1" applyFont="1"/>
    <xf numFmtId="6" fontId="2" fillId="11" borderId="0" xfId="1" applyNumberFormat="1" applyFont="1" applyFill="1"/>
    <xf numFmtId="2" fontId="0" fillId="0" borderId="0" xfId="0" applyNumberFormat="1"/>
    <xf numFmtId="0" fontId="0" fillId="2" borderId="0" xfId="0" applyFill="1" applyAlignment="1"/>
    <xf numFmtId="172" fontId="0" fillId="0" borderId="4" xfId="1" applyNumberFormat="1" applyFont="1" applyBorder="1" applyAlignment="1">
      <alignment horizontal="center" vertical="center"/>
    </xf>
    <xf numFmtId="172" fontId="14" fillId="0" borderId="4" xfId="1" applyNumberFormat="1" applyFont="1" applyBorder="1" applyAlignment="1">
      <alignment horizontal="center" vertical="center" wrapText="1"/>
    </xf>
    <xf numFmtId="171" fontId="9" fillId="0" borderId="0" xfId="6" applyFont="1" applyFill="1" applyBorder="1" applyAlignment="1" applyProtection="1">
      <alignment horizontal="center" vertical="center"/>
    </xf>
    <xf numFmtId="0" fontId="9" fillId="0" borderId="0" xfId="4" applyBorder="1"/>
    <xf numFmtId="0" fontId="6" fillId="0" borderId="0" xfId="4" applyFont="1" applyBorder="1"/>
    <xf numFmtId="0" fontId="6" fillId="0" borderId="0" xfId="4" applyFont="1" applyBorder="1" applyAlignment="1">
      <alignment horizontal="center"/>
    </xf>
    <xf numFmtId="0" fontId="6" fillId="4" borderId="0" xfId="4" applyFont="1" applyFill="1" applyBorder="1" applyAlignment="1">
      <alignment horizontal="left"/>
    </xf>
    <xf numFmtId="170" fontId="9" fillId="0" borderId="0" xfId="4" applyNumberFormat="1" applyBorder="1"/>
    <xf numFmtId="0" fontId="9" fillId="4" borderId="0" xfId="4" applyFill="1" applyBorder="1"/>
    <xf numFmtId="0" fontId="6" fillId="4" borderId="0" xfId="4" applyFont="1" applyFill="1" applyBorder="1"/>
    <xf numFmtId="0" fontId="9" fillId="4" borderId="0" xfId="4" applyFill="1" applyBorder="1" applyAlignment="1">
      <alignment horizontal="center"/>
    </xf>
    <xf numFmtId="3" fontId="9" fillId="4" borderId="0" xfId="4" applyNumberFormat="1" applyFill="1" applyBorder="1" applyAlignment="1">
      <alignment horizontal="center"/>
    </xf>
    <xf numFmtId="0" fontId="9" fillId="0" borderId="0" xfId="4" applyBorder="1" applyAlignment="1">
      <alignment horizontal="center"/>
    </xf>
    <xf numFmtId="10" fontId="15" fillId="0" borderId="0" xfId="5" applyNumberFormat="1" applyFont="1" applyFill="1" applyBorder="1" applyProtection="1"/>
    <xf numFmtId="9" fontId="9" fillId="0" borderId="0" xfId="4" applyNumberFormat="1" applyBorder="1"/>
    <xf numFmtId="10" fontId="18" fillId="0" borderId="0" xfId="4" applyNumberFormat="1" applyFont="1" applyBorder="1" applyAlignment="1">
      <alignment vertical="center"/>
    </xf>
    <xf numFmtId="10" fontId="9" fillId="0" borderId="0" xfId="4" applyNumberFormat="1" applyBorder="1"/>
    <xf numFmtId="0" fontId="2" fillId="0" borderId="0" xfId="4" applyFont="1" applyBorder="1"/>
    <xf numFmtId="164" fontId="9" fillId="0" borderId="0" xfId="4" applyNumberFormat="1" applyBorder="1"/>
    <xf numFmtId="2" fontId="9" fillId="0" borderId="0" xfId="4" applyNumberFormat="1" applyBorder="1"/>
    <xf numFmtId="166" fontId="9" fillId="0" borderId="0" xfId="4" applyNumberFormat="1" applyBorder="1"/>
    <xf numFmtId="0" fontId="9" fillId="0" borderId="0" xfId="4" applyBorder="1" applyAlignment="1">
      <alignment wrapText="1"/>
    </xf>
    <xf numFmtId="0" fontId="6" fillId="11" borderId="0" xfId="4" applyFont="1" applyFill="1" applyBorder="1" applyAlignment="1">
      <alignment horizontal="left"/>
    </xf>
    <xf numFmtId="170" fontId="6" fillId="11" borderId="0" xfId="4" applyNumberFormat="1" applyFont="1" applyFill="1" applyBorder="1"/>
    <xf numFmtId="0" fontId="6" fillId="11" borderId="0" xfId="4" applyFont="1" applyFill="1" applyBorder="1"/>
    <xf numFmtId="0" fontId="9" fillId="11" borderId="0" xfId="4" applyFill="1" applyBorder="1"/>
    <xf numFmtId="3" fontId="6" fillId="11" borderId="0" xfId="4" applyNumberFormat="1" applyFont="1" applyFill="1" applyBorder="1" applyAlignment="1">
      <alignment horizontal="center"/>
    </xf>
    <xf numFmtId="170" fontId="9" fillId="11" borderId="0" xfId="4" applyNumberFormat="1" applyFill="1" applyBorder="1"/>
    <xf numFmtId="0" fontId="6" fillId="11" borderId="0" xfId="4" applyFont="1" applyFill="1" applyBorder="1" applyAlignment="1">
      <alignment horizontal="center"/>
    </xf>
    <xf numFmtId="3" fontId="6" fillId="3" borderId="0" xfId="4" applyNumberFormat="1" applyFont="1" applyFill="1" applyBorder="1"/>
    <xf numFmtId="0" fontId="6" fillId="3" borderId="0" xfId="4" applyFont="1" applyFill="1" applyBorder="1" applyAlignment="1">
      <alignment horizontal="center"/>
    </xf>
    <xf numFmtId="1" fontId="6" fillId="3" borderId="0" xfId="4" applyNumberFormat="1" applyFont="1" applyFill="1" applyBorder="1" applyAlignment="1">
      <alignment horizontal="center"/>
    </xf>
    <xf numFmtId="10" fontId="6" fillId="3" borderId="0" xfId="4" applyNumberFormat="1" applyFont="1" applyFill="1" applyBorder="1" applyAlignment="1">
      <alignment horizontal="center"/>
    </xf>
    <xf numFmtId="170" fontId="6" fillId="3" borderId="0" xfId="4" applyNumberFormat="1" applyFont="1" applyFill="1" applyBorder="1"/>
    <xf numFmtId="0" fontId="9" fillId="3" borderId="0" xfId="4" applyFill="1" applyBorder="1"/>
    <xf numFmtId="3" fontId="6" fillId="3" borderId="0" xfId="4" applyNumberFormat="1" applyFont="1" applyFill="1" applyBorder="1" applyAlignment="1">
      <alignment horizontal="center"/>
    </xf>
    <xf numFmtId="170" fontId="9" fillId="4" borderId="0" xfId="4" applyNumberFormat="1" applyFill="1" applyBorder="1"/>
    <xf numFmtId="10" fontId="9" fillId="4" borderId="0" xfId="4" applyNumberFormat="1" applyFill="1" applyBorder="1" applyAlignment="1">
      <alignment horizontal="center"/>
    </xf>
    <xf numFmtId="173" fontId="9" fillId="4" borderId="0" xfId="4" applyNumberFormat="1" applyFill="1" applyBorder="1" applyAlignment="1">
      <alignment horizontal="center"/>
    </xf>
    <xf numFmtId="171" fontId="0" fillId="4" borderId="0" xfId="6" applyFont="1" applyFill="1" applyBorder="1" applyAlignment="1" applyProtection="1">
      <alignment horizontal="center" vertical="center"/>
    </xf>
    <xf numFmtId="164" fontId="9" fillId="4" borderId="0" xfId="4" applyNumberFormat="1" applyFill="1" applyBorder="1"/>
    <xf numFmtId="2" fontId="9" fillId="4" borderId="0" xfId="4" applyNumberFormat="1" applyFill="1" applyBorder="1" applyAlignment="1">
      <alignment horizontal="center"/>
    </xf>
    <xf numFmtId="164" fontId="19" fillId="4" borderId="0" xfId="4" applyNumberFormat="1" applyFont="1" applyFill="1" applyBorder="1" applyAlignment="1">
      <alignment vertical="center"/>
    </xf>
    <xf numFmtId="0" fontId="2" fillId="4" borderId="0" xfId="4" applyFont="1" applyFill="1" applyBorder="1" applyAlignment="1">
      <alignment horizontal="center"/>
    </xf>
    <xf numFmtId="1" fontId="2" fillId="4" borderId="0" xfId="4" applyNumberFormat="1" applyFont="1" applyFill="1" applyBorder="1" applyAlignment="1">
      <alignment horizontal="center"/>
    </xf>
    <xf numFmtId="171" fontId="2" fillId="3" borderId="0" xfId="6" applyFont="1" applyFill="1" applyBorder="1" applyAlignment="1" applyProtection="1">
      <alignment horizontal="center" vertical="center"/>
    </xf>
    <xf numFmtId="171" fontId="2" fillId="3" borderId="0" xfId="6" applyFont="1" applyFill="1" applyBorder="1" applyAlignment="1" applyProtection="1">
      <alignment horizontal="center"/>
    </xf>
    <xf numFmtId="0" fontId="2" fillId="0" borderId="0" xfId="4" applyFont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center" vertical="center" wrapText="1"/>
    </xf>
    <xf numFmtId="6" fontId="0" fillId="6" borderId="0" xfId="0" applyNumberFormat="1" applyFill="1" applyAlignment="1">
      <alignment horizontal="center" vertical="center" wrapText="1"/>
    </xf>
    <xf numFmtId="6" fontId="0" fillId="4" borderId="0" xfId="0" applyNumberForma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0" fontId="2" fillId="6" borderId="0" xfId="0" applyFont="1" applyFill="1" applyAlignment="1">
      <alignment horizontal="center" vertical="center" wrapText="1"/>
    </xf>
    <xf numFmtId="164" fontId="0" fillId="6" borderId="0" xfId="1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center" vertical="center" wrapText="1"/>
    </xf>
    <xf numFmtId="6" fontId="0" fillId="6" borderId="0" xfId="0" applyNumberFormat="1" applyFill="1" applyAlignment="1">
      <alignment horizontal="center" vertical="center" wrapText="1"/>
    </xf>
    <xf numFmtId="164" fontId="0" fillId="6" borderId="0" xfId="0" applyNumberFormat="1" applyFill="1" applyAlignment="1">
      <alignment horizontal="center" vertical="center" wrapText="1"/>
    </xf>
    <xf numFmtId="6" fontId="0" fillId="4" borderId="0" xfId="0" applyNumberForma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6" fontId="0" fillId="0" borderId="0" xfId="0" applyNumberFormat="1" applyAlignment="1">
      <alignment horizontal="center"/>
    </xf>
    <xf numFmtId="0" fontId="4" fillId="7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 wrapText="1"/>
    </xf>
    <xf numFmtId="44" fontId="2" fillId="0" borderId="0" xfId="1" applyFont="1" applyAlignment="1">
      <alignment horizontal="center"/>
    </xf>
    <xf numFmtId="0" fontId="16" fillId="0" borderId="0" xfId="0" applyFont="1" applyAlignment="1">
      <alignment horizontal="center" wrapText="1"/>
    </xf>
    <xf numFmtId="0" fontId="9" fillId="4" borderId="0" xfId="4" applyFill="1" applyBorder="1" applyAlignment="1">
      <alignment horizontal="center"/>
    </xf>
    <xf numFmtId="0" fontId="9" fillId="3" borderId="0" xfId="4" applyFill="1" applyBorder="1" applyAlignment="1">
      <alignment horizontal="center" vertical="center" wrapText="1"/>
    </xf>
    <xf numFmtId="0" fontId="6" fillId="3" borderId="0" xfId="4" applyFont="1" applyFill="1" applyBorder="1" applyAlignment="1">
      <alignment horizontal="center"/>
    </xf>
    <xf numFmtId="0" fontId="6" fillId="11" borderId="0" xfId="4" applyFont="1" applyFill="1" applyBorder="1" applyAlignment="1">
      <alignment horizontal="left"/>
    </xf>
    <xf numFmtId="0" fontId="12" fillId="3" borderId="0" xfId="4" applyFont="1" applyFill="1" applyBorder="1" applyAlignment="1">
      <alignment horizontal="center"/>
    </xf>
    <xf numFmtId="0" fontId="6" fillId="4" borderId="0" xfId="4" applyFont="1" applyFill="1" applyBorder="1" applyAlignment="1">
      <alignment horizontal="left"/>
    </xf>
    <xf numFmtId="0" fontId="6" fillId="3" borderId="0" xfId="4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2" borderId="4" xfId="0" applyFill="1" applyBorder="1" applyAlignment="1">
      <alignment horizontal="center" wrapText="1"/>
    </xf>
    <xf numFmtId="44" fontId="0" fillId="0" borderId="0" xfId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6" borderId="0" xfId="0" applyFont="1" applyFill="1" applyAlignment="1">
      <alignment horizontal="center" vertical="center" wrapText="1"/>
    </xf>
    <xf numFmtId="164" fontId="0" fillId="0" borderId="0" xfId="1" applyNumberFormat="1" applyFont="1"/>
  </cellXfs>
  <cellStyles count="7">
    <cellStyle name="Moneda" xfId="1" builtinId="4"/>
    <cellStyle name="Moneda 2" xfId="3" xr:uid="{85812F94-C244-4700-B728-513E201A4C13}"/>
    <cellStyle name="Moneda 2 2" xfId="6" xr:uid="{7B2102A3-71E8-4987-B659-DD5A13DC8B87}"/>
    <cellStyle name="Normal" xfId="0" builtinId="0"/>
    <cellStyle name="Normal 2" xfId="4" xr:uid="{41137C61-919E-404D-9CF9-905E874A9364}"/>
    <cellStyle name="Porcentaje" xfId="2" builtinId="5"/>
    <cellStyle name="Porcentaje 2" xfId="5" xr:uid="{96799C5B-D7FA-40FB-AB7B-68212D467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[2]Ingresos!$G$9:$G$15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[2]Ingresos!$H$9:$H$15</c:f>
              <c:numCache>
                <c:formatCode>General</c:formatCode>
                <c:ptCount val="7"/>
                <c:pt idx="0">
                  <c:v>3998</c:v>
                </c:pt>
                <c:pt idx="1">
                  <c:v>4303.833333333333</c:v>
                </c:pt>
                <c:pt idx="2">
                  <c:v>4733.166666666667</c:v>
                </c:pt>
                <c:pt idx="3">
                  <c:v>6234</c:v>
                </c:pt>
                <c:pt idx="4">
                  <c:v>7662.583333333333</c:v>
                </c:pt>
                <c:pt idx="5">
                  <c:v>7855.75</c:v>
                </c:pt>
                <c:pt idx="6">
                  <c:v>7809.25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56-44DE-B109-2758B67A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554352"/>
        <c:axId val="334560176"/>
      </c:scatterChart>
      <c:valAx>
        <c:axId val="334554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4560176"/>
        <c:crosses val="autoZero"/>
        <c:crossBetween val="midCat"/>
      </c:valAx>
      <c:valAx>
        <c:axId val="33456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455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689898</xdr:colOff>
      <xdr:row>25</xdr:row>
      <xdr:rowOff>39349</xdr:rowOff>
    </xdr:from>
    <xdr:to>
      <xdr:col>10</xdr:col>
      <xdr:colOff>199272</xdr:colOff>
      <xdr:row>40</xdr:row>
      <xdr:rowOff>39348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D5F088-0A95-4536-A6B1-BDF1BDD43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LIBRO%20PROYECTO%20DE%20GRADO/libro%20entregar/Ap&#233;ndice%20M.%20Estudio%20Financie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LO/Desktop/plan/ANEXO%20ANALISIS%20FINANCI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RSIONES "/>
      <sheetName val="COSTOS Y GASTOS"/>
      <sheetName val="CRÉDITO"/>
      <sheetName val="COSTOS RESUMEN"/>
      <sheetName val="PROYECCIONES"/>
      <sheetName val="EVALU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4">
          <cell r="F34">
            <v>1</v>
          </cell>
          <cell r="G34">
            <v>2</v>
          </cell>
          <cell r="H34">
            <v>3</v>
          </cell>
          <cell r="I34">
            <v>4</v>
          </cell>
          <cell r="J34">
            <v>5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 salarial"/>
      <sheetName val="Inversiones"/>
      <sheetName val="Ingresos"/>
      <sheetName val="Costos y Gastos"/>
      <sheetName val="Financiacion"/>
      <sheetName val="Estado de Resultados"/>
      <sheetName val="Flujo de Caja"/>
      <sheetName val="Balance General"/>
      <sheetName val="Indicadores"/>
    </sheetNames>
    <sheetDataSet>
      <sheetData sheetId="0"/>
      <sheetData sheetId="1"/>
      <sheetData sheetId="2">
        <row r="9">
          <cell r="G9">
            <v>1</v>
          </cell>
          <cell r="H9">
            <v>3998</v>
          </cell>
        </row>
        <row r="10">
          <cell r="G10">
            <v>2</v>
          </cell>
          <cell r="H10">
            <v>4303.833333333333</v>
          </cell>
        </row>
        <row r="11">
          <cell r="G11">
            <v>3</v>
          </cell>
          <cell r="H11">
            <v>4733.166666666667</v>
          </cell>
        </row>
        <row r="12">
          <cell r="G12">
            <v>4</v>
          </cell>
          <cell r="H12">
            <v>6234</v>
          </cell>
        </row>
        <row r="13">
          <cell r="G13">
            <v>5</v>
          </cell>
          <cell r="H13">
            <v>7662.583333333333</v>
          </cell>
        </row>
        <row r="14">
          <cell r="G14">
            <v>6</v>
          </cell>
          <cell r="H14">
            <v>7855.75</v>
          </cell>
        </row>
        <row r="15">
          <cell r="G15">
            <v>7</v>
          </cell>
          <cell r="H15">
            <v>7809.25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D98E-ADC0-40EF-B67C-CFA16538366D}">
  <dimension ref="A1:N56"/>
  <sheetViews>
    <sheetView topLeftCell="A35" zoomScale="70" zoomScaleNormal="70" workbookViewId="0">
      <selection activeCell="L55" sqref="L55"/>
    </sheetView>
  </sheetViews>
  <sheetFormatPr baseColWidth="10" defaultRowHeight="14.4" x14ac:dyDescent="0.3"/>
  <cols>
    <col min="1" max="1" width="15" style="1" customWidth="1"/>
    <col min="2" max="2" width="11.88671875" style="1" customWidth="1"/>
    <col min="3" max="3" width="15.33203125" style="1" bestFit="1" customWidth="1"/>
    <col min="4" max="4" width="12.109375" style="1" customWidth="1"/>
    <col min="5" max="5" width="17.44140625" style="1" customWidth="1"/>
    <col min="6" max="6" width="18" style="1" bestFit="1" customWidth="1"/>
    <col min="7" max="7" width="16.5546875" style="1" customWidth="1"/>
    <col min="8" max="8" width="18.33203125" style="1" bestFit="1" customWidth="1"/>
    <col min="9" max="9" width="11.88671875" style="1" customWidth="1"/>
    <col min="10" max="10" width="9.77734375" style="1" customWidth="1"/>
    <col min="11" max="11" width="9.6640625" style="1" customWidth="1"/>
    <col min="12" max="12" width="10.6640625" style="1" customWidth="1"/>
    <col min="13" max="13" width="11.33203125" style="1" customWidth="1"/>
    <col min="14" max="14" width="14.77734375" style="1" bestFit="1" customWidth="1"/>
    <col min="15" max="16384" width="11.5546875" style="1"/>
  </cols>
  <sheetData>
    <row r="1" spans="1:14" s="163" customFormat="1" hidden="1" x14ac:dyDescent="0.3">
      <c r="A1" s="158"/>
      <c r="B1" s="158"/>
      <c r="C1" s="158"/>
      <c r="D1" s="158"/>
      <c r="E1" s="158"/>
      <c r="F1" s="158"/>
      <c r="G1" s="177" t="s">
        <v>0</v>
      </c>
      <c r="H1" s="177"/>
      <c r="I1" s="177"/>
      <c r="J1" s="177"/>
      <c r="K1" s="177"/>
      <c r="L1" s="177"/>
      <c r="M1" s="158"/>
    </row>
    <row r="2" spans="1:14" s="163" customFormat="1" ht="28.8" hidden="1" x14ac:dyDescent="0.3">
      <c r="A2" s="170" t="s">
        <v>1</v>
      </c>
      <c r="B2" s="157" t="s">
        <v>2</v>
      </c>
      <c r="C2" s="157" t="s">
        <v>3</v>
      </c>
      <c r="D2" s="157" t="s">
        <v>4</v>
      </c>
      <c r="E2" s="158"/>
      <c r="F2" s="158"/>
      <c r="G2" s="177"/>
      <c r="H2" s="177"/>
      <c r="I2" s="177"/>
      <c r="J2" s="177"/>
      <c r="K2" s="177"/>
      <c r="L2" s="177"/>
      <c r="M2" s="158"/>
    </row>
    <row r="3" spans="1:14" s="163" customFormat="1" hidden="1" x14ac:dyDescent="0.3">
      <c r="A3" s="170"/>
      <c r="B3" s="3">
        <v>1300000</v>
      </c>
      <c r="C3" s="4">
        <v>162000</v>
      </c>
      <c r="D3" s="4" t="s">
        <v>5</v>
      </c>
      <c r="E3" s="158"/>
      <c r="F3" s="158"/>
      <c r="G3" s="177"/>
      <c r="H3" s="177"/>
      <c r="I3" s="177"/>
      <c r="J3" s="177"/>
      <c r="K3" s="177"/>
      <c r="L3" s="177"/>
      <c r="M3" s="158"/>
    </row>
    <row r="4" spans="1:14" s="163" customFormat="1" ht="4.8" hidden="1" customHeight="1" x14ac:dyDescent="0.3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4" s="163" customFormat="1" hidden="1" x14ac:dyDescent="0.3">
      <c r="A5" s="170" t="s">
        <v>6</v>
      </c>
      <c r="B5" s="170" t="s">
        <v>7</v>
      </c>
      <c r="C5" s="170" t="s">
        <v>8</v>
      </c>
      <c r="D5" s="170" t="s">
        <v>9</v>
      </c>
      <c r="E5" s="170" t="s">
        <v>10</v>
      </c>
      <c r="F5" s="170" t="s">
        <v>11</v>
      </c>
      <c r="G5" s="170" t="s">
        <v>12</v>
      </c>
      <c r="H5" s="170" t="s">
        <v>13</v>
      </c>
      <c r="I5" s="170" t="s">
        <v>14</v>
      </c>
      <c r="J5" s="157" t="s">
        <v>15</v>
      </c>
      <c r="K5" s="157" t="s">
        <v>16</v>
      </c>
      <c r="L5" s="170" t="s">
        <v>17</v>
      </c>
      <c r="M5" s="170" t="s">
        <v>18</v>
      </c>
    </row>
    <row r="6" spans="1:14" s="163" customFormat="1" hidden="1" x14ac:dyDescent="0.3">
      <c r="A6" s="170"/>
      <c r="B6" s="170"/>
      <c r="C6" s="170"/>
      <c r="D6" s="170"/>
      <c r="E6" s="170"/>
      <c r="F6" s="170"/>
      <c r="G6" s="170"/>
      <c r="H6" s="170"/>
      <c r="I6" s="170"/>
      <c r="J6" s="5">
        <v>0.04</v>
      </c>
      <c r="K6" s="5">
        <v>0.04</v>
      </c>
      <c r="L6" s="170"/>
      <c r="M6" s="170"/>
    </row>
    <row r="7" spans="1:14" s="163" customFormat="1" hidden="1" x14ac:dyDescent="0.3">
      <c r="A7" s="162" t="s">
        <v>19</v>
      </c>
      <c r="B7" s="159">
        <f>+B3*2</f>
        <v>2600000</v>
      </c>
      <c r="C7" s="162">
        <v>30</v>
      </c>
      <c r="D7" s="6">
        <f>(B7/30)*C7</f>
        <v>2600000</v>
      </c>
      <c r="E7" s="162"/>
      <c r="F7" s="162"/>
      <c r="G7" s="161">
        <f>+IF(D7&gt;($B$3),0,$C$3)</f>
        <v>0</v>
      </c>
      <c r="H7" s="7">
        <f>+SUM(D7:G7)</f>
        <v>2600000</v>
      </c>
      <c r="I7" s="7">
        <f>+H7-G7</f>
        <v>2600000</v>
      </c>
      <c r="J7" s="7">
        <f>+I7*$J$6</f>
        <v>104000</v>
      </c>
      <c r="K7" s="7">
        <f>+I7*$K$6</f>
        <v>104000</v>
      </c>
      <c r="L7" s="7">
        <f>+J7+K7</f>
        <v>208000</v>
      </c>
      <c r="M7" s="161">
        <f>+H7+L7</f>
        <v>2808000</v>
      </c>
      <c r="N7" s="8"/>
    </row>
    <row r="8" spans="1:14" s="163" customFormat="1" hidden="1" x14ac:dyDescent="0.3">
      <c r="A8" s="162" t="s">
        <v>20</v>
      </c>
      <c r="B8" s="159">
        <f>+B3</f>
        <v>1300000</v>
      </c>
      <c r="C8" s="162">
        <v>30</v>
      </c>
      <c r="D8" s="6">
        <f>(B8/30)*C8</f>
        <v>1300000</v>
      </c>
      <c r="E8" s="162"/>
      <c r="F8" s="162"/>
      <c r="G8" s="161">
        <f>+IF(D8&gt;($B$3),0,$C$3)</f>
        <v>162000</v>
      </c>
      <c r="H8" s="7">
        <f>+SUM(D8:G8)</f>
        <v>1462000</v>
      </c>
      <c r="I8" s="7">
        <f>+H8-G8</f>
        <v>1300000</v>
      </c>
      <c r="J8" s="7">
        <f>+I8*$J$6</f>
        <v>52000</v>
      </c>
      <c r="K8" s="7">
        <f>+I8*$K$6</f>
        <v>52000</v>
      </c>
      <c r="L8" s="7">
        <f>+J8+K8</f>
        <v>104000</v>
      </c>
      <c r="M8" s="161">
        <f>+H8+L8</f>
        <v>1566000</v>
      </c>
    </row>
    <row r="9" spans="1:14" s="163" customFormat="1" hidden="1" x14ac:dyDescent="0.3">
      <c r="A9" s="162" t="s">
        <v>21</v>
      </c>
      <c r="B9" s="159">
        <f>+B3</f>
        <v>1300000</v>
      </c>
      <c r="C9" s="162">
        <v>30</v>
      </c>
      <c r="D9" s="6">
        <f>(B9/30)*C9</f>
        <v>1300000</v>
      </c>
      <c r="E9" s="162"/>
      <c r="F9" s="162"/>
      <c r="G9" s="161">
        <f>+IF(D9&gt;($B$3),0,$C$3)</f>
        <v>162000</v>
      </c>
      <c r="H9" s="7">
        <f>+SUM(D9:G9)</f>
        <v>1462000</v>
      </c>
      <c r="I9" s="7">
        <f>+H9-G9</f>
        <v>1300000</v>
      </c>
      <c r="J9" s="7">
        <f>+I9*$J$6</f>
        <v>52000</v>
      </c>
      <c r="K9" s="7">
        <f>+I9*$K$6</f>
        <v>52000</v>
      </c>
      <c r="L9" s="7">
        <f>+J9+K9</f>
        <v>104000</v>
      </c>
      <c r="M9" s="161">
        <f>+H9+L9</f>
        <v>1566000</v>
      </c>
    </row>
    <row r="10" spans="1:14" s="163" customFormat="1" hidden="1" x14ac:dyDescent="0.3">
      <c r="A10" s="168" t="s">
        <v>22</v>
      </c>
      <c r="B10" s="168"/>
      <c r="C10" s="168"/>
      <c r="D10" s="9">
        <f t="shared" ref="D10:M10" si="0">+ SUM(D7:D9)</f>
        <v>5200000</v>
      </c>
      <c r="E10" s="10">
        <f t="shared" si="0"/>
        <v>0</v>
      </c>
      <c r="F10" s="10">
        <f t="shared" si="0"/>
        <v>0</v>
      </c>
      <c r="G10" s="160">
        <f t="shared" si="0"/>
        <v>324000</v>
      </c>
      <c r="H10" s="160">
        <f t="shared" si="0"/>
        <v>5524000</v>
      </c>
      <c r="I10" s="160">
        <f t="shared" si="0"/>
        <v>5200000</v>
      </c>
      <c r="J10" s="160">
        <f t="shared" si="0"/>
        <v>208000</v>
      </c>
      <c r="K10" s="160">
        <f t="shared" si="0"/>
        <v>208000</v>
      </c>
      <c r="L10" s="160">
        <f t="shared" si="0"/>
        <v>416000</v>
      </c>
      <c r="M10" s="160">
        <f t="shared" si="0"/>
        <v>5940000</v>
      </c>
    </row>
    <row r="11" spans="1:14" s="163" customFormat="1" ht="4.8" hidden="1" customHeight="1" x14ac:dyDescent="0.3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4" s="163" customFormat="1" hidden="1" x14ac:dyDescent="0.3">
      <c r="A12" s="170" t="s">
        <v>23</v>
      </c>
      <c r="B12" s="170"/>
      <c r="C12" s="170"/>
      <c r="D12" s="170"/>
      <c r="E12" s="170"/>
      <c r="F12" s="158"/>
      <c r="L12" s="158"/>
    </row>
    <row r="13" spans="1:14" s="163" customFormat="1" hidden="1" x14ac:dyDescent="0.3">
      <c r="A13" s="157" t="s">
        <v>24</v>
      </c>
      <c r="B13" s="157" t="s">
        <v>25</v>
      </c>
      <c r="C13" s="157" t="s">
        <v>26</v>
      </c>
      <c r="D13" s="170" t="s">
        <v>27</v>
      </c>
      <c r="E13" s="170"/>
      <c r="F13" s="158"/>
      <c r="L13" s="158"/>
    </row>
    <row r="14" spans="1:14" s="163" customFormat="1" hidden="1" x14ac:dyDescent="0.3">
      <c r="A14" s="11" t="s">
        <v>15</v>
      </c>
      <c r="B14" s="12">
        <f>+I10</f>
        <v>5200000</v>
      </c>
      <c r="C14" s="13">
        <v>8.5000000000000006E-2</v>
      </c>
      <c r="D14" s="171">
        <f>+B14*C14</f>
        <v>442000.00000000006</v>
      </c>
      <c r="E14" s="171"/>
      <c r="F14" s="158"/>
      <c r="L14" s="158"/>
    </row>
    <row r="15" spans="1:14" s="163" customFormat="1" ht="29.55" hidden="1" customHeight="1" x14ac:dyDescent="0.3">
      <c r="A15" s="11" t="s">
        <v>16</v>
      </c>
      <c r="B15" s="12">
        <f>+I10</f>
        <v>5200000</v>
      </c>
      <c r="C15" s="14">
        <v>0.12</v>
      </c>
      <c r="D15" s="171">
        <f>+B15*C15</f>
        <v>624000</v>
      </c>
      <c r="E15" s="171"/>
      <c r="F15" s="158"/>
      <c r="L15" s="158"/>
    </row>
    <row r="16" spans="1:14" s="163" customFormat="1" ht="28.8" hidden="1" x14ac:dyDescent="0.3">
      <c r="A16" s="11" t="s">
        <v>28</v>
      </c>
      <c r="B16" s="12">
        <f>+I7</f>
        <v>2600000</v>
      </c>
      <c r="C16" s="13">
        <f>+C17</f>
        <v>2.4400000000000002E-2</v>
      </c>
      <c r="D16" s="171">
        <f>+B16*C16</f>
        <v>63440.000000000007</v>
      </c>
      <c r="E16" s="171"/>
      <c r="F16" s="158"/>
      <c r="L16" s="158"/>
    </row>
    <row r="17" spans="1:13" s="163" customFormat="1" hidden="1" x14ac:dyDescent="0.3">
      <c r="A17" s="11" t="s">
        <v>29</v>
      </c>
      <c r="B17" s="12">
        <f>+SUM(I8:I9)</f>
        <v>2600000</v>
      </c>
      <c r="C17" s="13">
        <v>2.4400000000000002E-2</v>
      </c>
      <c r="D17" s="171">
        <f>+B17*C17</f>
        <v>63440.000000000007</v>
      </c>
      <c r="E17" s="171"/>
      <c r="F17" s="158"/>
      <c r="L17" s="158"/>
    </row>
    <row r="18" spans="1:13" s="163" customFormat="1" hidden="1" x14ac:dyDescent="0.3">
      <c r="A18" s="168" t="s">
        <v>22</v>
      </c>
      <c r="B18" s="168"/>
      <c r="C18" s="168"/>
      <c r="D18" s="173">
        <f>+SUM(D14:E17)</f>
        <v>1192880</v>
      </c>
      <c r="E18" s="173"/>
      <c r="F18" s="158"/>
      <c r="G18" s="158"/>
      <c r="H18" s="176"/>
      <c r="I18" s="176"/>
      <c r="J18" s="176"/>
      <c r="K18" s="158"/>
      <c r="L18" s="158"/>
    </row>
    <row r="19" spans="1:13" s="163" customFormat="1" ht="4.2" hidden="1" customHeight="1" x14ac:dyDescent="0.3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s="163" customFormat="1" hidden="1" x14ac:dyDescent="0.3">
      <c r="A20" s="170" t="s">
        <v>30</v>
      </c>
      <c r="B20" s="170"/>
      <c r="C20" s="170"/>
      <c r="D20" s="170"/>
      <c r="E20" s="170"/>
      <c r="F20" s="158"/>
      <c r="G20" s="158"/>
      <c r="H20" s="158"/>
      <c r="I20" s="158"/>
      <c r="J20" s="158"/>
      <c r="K20" s="158"/>
      <c r="L20" s="158"/>
      <c r="M20" s="158"/>
    </row>
    <row r="21" spans="1:13" s="163" customFormat="1" hidden="1" x14ac:dyDescent="0.3">
      <c r="A21" s="157" t="s">
        <v>24</v>
      </c>
      <c r="B21" s="157" t="s">
        <v>25</v>
      </c>
      <c r="C21" s="157" t="s">
        <v>26</v>
      </c>
      <c r="D21" s="170" t="s">
        <v>27</v>
      </c>
      <c r="E21" s="170"/>
      <c r="F21" s="158"/>
      <c r="G21" s="158"/>
      <c r="H21" s="158"/>
      <c r="I21" s="158"/>
      <c r="J21" s="158"/>
      <c r="K21" s="158"/>
      <c r="L21" s="158"/>
      <c r="M21" s="158"/>
    </row>
    <row r="22" spans="1:13" s="163" customFormat="1" ht="43.2" hidden="1" x14ac:dyDescent="0.3">
      <c r="A22" s="11" t="s">
        <v>31</v>
      </c>
      <c r="B22" s="12">
        <f>I10</f>
        <v>5200000</v>
      </c>
      <c r="C22" s="14">
        <v>0.04</v>
      </c>
      <c r="D22" s="174">
        <f>+C22*B22</f>
        <v>208000</v>
      </c>
      <c r="E22" s="174"/>
      <c r="F22" s="158"/>
      <c r="G22" s="158"/>
      <c r="H22" s="158"/>
      <c r="I22" s="158"/>
      <c r="J22" s="158"/>
      <c r="K22" s="158"/>
      <c r="L22" s="158"/>
      <c r="M22" s="158"/>
    </row>
    <row r="23" spans="1:13" s="163" customFormat="1" hidden="1" x14ac:dyDescent="0.3">
      <c r="A23" s="11" t="s">
        <v>32</v>
      </c>
      <c r="B23" s="15"/>
      <c r="C23" s="14">
        <v>0.03</v>
      </c>
      <c r="D23" s="175"/>
      <c r="E23" s="175"/>
      <c r="F23" s="158"/>
      <c r="G23" s="158"/>
      <c r="H23" s="158"/>
      <c r="I23" s="158"/>
      <c r="J23" s="158"/>
      <c r="K23" s="158"/>
      <c r="L23" s="158"/>
      <c r="M23" s="158"/>
    </row>
    <row r="24" spans="1:13" s="163" customFormat="1" hidden="1" x14ac:dyDescent="0.3">
      <c r="A24" s="11" t="s">
        <v>33</v>
      </c>
      <c r="B24" s="15"/>
      <c r="C24" s="14">
        <v>0.02</v>
      </c>
      <c r="D24" s="175"/>
      <c r="E24" s="175"/>
      <c r="F24" s="158"/>
      <c r="G24" s="158"/>
      <c r="H24" s="158"/>
      <c r="I24" s="158"/>
      <c r="J24" s="158"/>
      <c r="K24" s="158"/>
      <c r="L24" s="158"/>
      <c r="M24" s="158"/>
    </row>
    <row r="25" spans="1:13" s="163" customFormat="1" hidden="1" x14ac:dyDescent="0.3">
      <c r="A25" s="168" t="s">
        <v>22</v>
      </c>
      <c r="B25" s="168"/>
      <c r="C25" s="168"/>
      <c r="D25" s="172">
        <f>+SUM(D22:E24)</f>
        <v>208000</v>
      </c>
      <c r="E25" s="172"/>
      <c r="F25" s="158"/>
      <c r="G25" s="158"/>
      <c r="H25" s="158"/>
      <c r="I25" s="158"/>
      <c r="J25" s="158"/>
      <c r="K25" s="158"/>
      <c r="L25" s="158"/>
      <c r="M25" s="158"/>
    </row>
    <row r="26" spans="1:13" s="163" customFormat="1" ht="6" hidden="1" customHeight="1" x14ac:dyDescent="0.3"/>
    <row r="27" spans="1:13" s="163" customFormat="1" hidden="1" x14ac:dyDescent="0.3">
      <c r="A27" s="170" t="s">
        <v>34</v>
      </c>
      <c r="B27" s="170"/>
      <c r="C27" s="170"/>
      <c r="D27" s="170"/>
      <c r="E27" s="170"/>
    </row>
    <row r="28" spans="1:13" s="163" customFormat="1" hidden="1" x14ac:dyDescent="0.3">
      <c r="A28" s="157" t="s">
        <v>24</v>
      </c>
      <c r="B28" s="157" t="s">
        <v>25</v>
      </c>
      <c r="C28" s="16" t="s">
        <v>26</v>
      </c>
      <c r="D28" s="170" t="s">
        <v>27</v>
      </c>
      <c r="E28" s="170"/>
    </row>
    <row r="29" spans="1:13" s="163" customFormat="1" hidden="1" x14ac:dyDescent="0.3">
      <c r="A29" s="11" t="s">
        <v>35</v>
      </c>
      <c r="B29" s="12">
        <f>+H10</f>
        <v>5524000</v>
      </c>
      <c r="C29" s="13">
        <v>8.3000000000000004E-2</v>
      </c>
      <c r="D29" s="171">
        <f>+B29*C29</f>
        <v>458492</v>
      </c>
      <c r="E29" s="171"/>
    </row>
    <row r="30" spans="1:13" s="163" customFormat="1" ht="28.8" hidden="1" x14ac:dyDescent="0.3">
      <c r="A30" s="11" t="s">
        <v>36</v>
      </c>
      <c r="B30" s="12">
        <f>+H10</f>
        <v>5524000</v>
      </c>
      <c r="C30" s="13">
        <v>0.01</v>
      </c>
      <c r="D30" s="171">
        <f>+B30*C30</f>
        <v>55240</v>
      </c>
      <c r="E30" s="171"/>
    </row>
    <row r="31" spans="1:13" s="163" customFormat="1" ht="28.8" hidden="1" x14ac:dyDescent="0.3">
      <c r="A31" s="11" t="s">
        <v>37</v>
      </c>
      <c r="B31" s="12">
        <f>+H10</f>
        <v>5524000</v>
      </c>
      <c r="C31" s="13">
        <v>8.3000000000000004E-2</v>
      </c>
      <c r="D31" s="171">
        <f>+B31*C31</f>
        <v>458492</v>
      </c>
      <c r="E31" s="171"/>
    </row>
    <row r="32" spans="1:13" s="163" customFormat="1" hidden="1" x14ac:dyDescent="0.3">
      <c r="A32" s="11" t="s">
        <v>38</v>
      </c>
      <c r="B32" s="12">
        <f>+H10-G10-F10</f>
        <v>5200000</v>
      </c>
      <c r="C32" s="13">
        <v>4.1700000000000001E-2</v>
      </c>
      <c r="D32" s="171">
        <f>+B32*C32</f>
        <v>216840</v>
      </c>
      <c r="E32" s="171"/>
    </row>
    <row r="33" spans="1:8" s="163" customFormat="1" hidden="1" x14ac:dyDescent="0.3">
      <c r="A33" s="220" t="s">
        <v>22</v>
      </c>
      <c r="B33" s="220"/>
      <c r="C33" s="220"/>
      <c r="D33" s="169">
        <f>+SUM(D29:E32)</f>
        <v>1189064</v>
      </c>
      <c r="E33" s="169"/>
    </row>
    <row r="34" spans="1:8" s="163" customFormat="1" hidden="1" x14ac:dyDescent="0.3"/>
    <row r="38" spans="1:8" x14ac:dyDescent="0.3">
      <c r="D38" s="219"/>
      <c r="E38" s="219"/>
    </row>
    <row r="39" spans="1:8" ht="28.8" x14ac:dyDescent="0.3">
      <c r="A39" s="157" t="s">
        <v>24</v>
      </c>
      <c r="B39" s="157" t="s">
        <v>81</v>
      </c>
      <c r="C39"/>
      <c r="D39" s="170" t="s">
        <v>1</v>
      </c>
      <c r="E39" s="157" t="s">
        <v>2</v>
      </c>
      <c r="F39" s="157" t="s">
        <v>3</v>
      </c>
      <c r="G39" s="157" t="s">
        <v>4</v>
      </c>
      <c r="H39"/>
    </row>
    <row r="40" spans="1:8" ht="28.8" x14ac:dyDescent="0.3">
      <c r="A40" t="s">
        <v>82</v>
      </c>
      <c r="B40" s="30">
        <v>8.3330000000000001E-2</v>
      </c>
      <c r="C40"/>
      <c r="D40" s="170"/>
      <c r="E40" s="3">
        <v>1300000</v>
      </c>
      <c r="F40" s="4">
        <v>162000</v>
      </c>
      <c r="G40" s="4" t="s">
        <v>5</v>
      </c>
      <c r="H40"/>
    </row>
    <row r="41" spans="1:8" x14ac:dyDescent="0.3">
      <c r="A41" t="s">
        <v>83</v>
      </c>
      <c r="B41" s="30">
        <v>0.01</v>
      </c>
      <c r="C41"/>
      <c r="D41"/>
      <c r="E41"/>
      <c r="F41"/>
      <c r="G41"/>
      <c r="H41"/>
    </row>
    <row r="42" spans="1:8" x14ac:dyDescent="0.3">
      <c r="A42" t="s">
        <v>10</v>
      </c>
      <c r="B42" s="30">
        <v>4.1669999999999999E-2</v>
      </c>
      <c r="C42"/>
      <c r="D42"/>
      <c r="E42"/>
      <c r="F42"/>
      <c r="G42"/>
      <c r="H42"/>
    </row>
    <row r="43" spans="1:8" x14ac:dyDescent="0.3">
      <c r="A43" t="s">
        <v>84</v>
      </c>
      <c r="B43" s="30">
        <v>8.3330000000000001E-2</v>
      </c>
      <c r="C43"/>
      <c r="D43"/>
      <c r="E43"/>
      <c r="F43"/>
      <c r="G43"/>
      <c r="H43"/>
    </row>
    <row r="44" spans="1:8" x14ac:dyDescent="0.3">
      <c r="A44" t="s">
        <v>85</v>
      </c>
      <c r="B44" s="30">
        <v>0.09</v>
      </c>
      <c r="C44"/>
      <c r="D44"/>
      <c r="E44"/>
      <c r="F44"/>
      <c r="G44"/>
      <c r="H44"/>
    </row>
    <row r="45" spans="1:8" x14ac:dyDescent="0.3">
      <c r="A45" t="s">
        <v>86</v>
      </c>
      <c r="B45" s="30">
        <v>0.20499999999999999</v>
      </c>
      <c r="C45"/>
      <c r="D45"/>
      <c r="E45"/>
      <c r="F45"/>
      <c r="G45"/>
      <c r="H45"/>
    </row>
    <row r="46" spans="1:8" x14ac:dyDescent="0.3">
      <c r="A46" t="s">
        <v>87</v>
      </c>
      <c r="B46" s="30">
        <v>7.0000000000000007E-2</v>
      </c>
      <c r="C46"/>
      <c r="D46"/>
      <c r="E46"/>
      <c r="F46"/>
      <c r="G46"/>
      <c r="H46"/>
    </row>
    <row r="47" spans="1:8" x14ac:dyDescent="0.3">
      <c r="A47" t="s">
        <v>88</v>
      </c>
      <c r="B47" s="30">
        <v>4.3499999999999997E-2</v>
      </c>
      <c r="C47"/>
      <c r="D47"/>
      <c r="E47"/>
      <c r="F47"/>
      <c r="G47"/>
      <c r="H47"/>
    </row>
    <row r="48" spans="1:8" x14ac:dyDescent="0.3">
      <c r="A48" t="s">
        <v>89</v>
      </c>
      <c r="B48" s="30">
        <f>SUM(B40:B47)</f>
        <v>0.62682999999999989</v>
      </c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 s="170" t="s">
        <v>90</v>
      </c>
      <c r="B52" s="170" t="s">
        <v>91</v>
      </c>
      <c r="C52" s="170" t="s">
        <v>92</v>
      </c>
      <c r="D52" s="170" t="s">
        <v>93</v>
      </c>
      <c r="E52" s="170" t="s">
        <v>94</v>
      </c>
      <c r="F52" s="170" t="s">
        <v>95</v>
      </c>
      <c r="G52" s="170"/>
      <c r="H52" s="170" t="s">
        <v>96</v>
      </c>
    </row>
    <row r="53" spans="1:8" x14ac:dyDescent="0.3">
      <c r="A53" s="170"/>
      <c r="B53" s="170"/>
      <c r="C53" s="170"/>
      <c r="D53" s="170"/>
      <c r="E53" s="170"/>
      <c r="F53" s="157" t="s">
        <v>98</v>
      </c>
      <c r="G53" s="157" t="s">
        <v>22</v>
      </c>
      <c r="H53" s="170"/>
    </row>
    <row r="54" spans="1:8" x14ac:dyDescent="0.3">
      <c r="A54" s="1" t="s">
        <v>403</v>
      </c>
      <c r="B54" s="1">
        <v>1</v>
      </c>
      <c r="C54" s="218">
        <v>2600000</v>
      </c>
      <c r="D54" s="217">
        <v>0</v>
      </c>
      <c r="E54" s="218">
        <f>+C54*B48</f>
        <v>1629757.9999999998</v>
      </c>
      <c r="F54" s="37">
        <f>+C54+D54+E54</f>
        <v>4229758</v>
      </c>
      <c r="G54" s="33">
        <f>+F54*B54</f>
        <v>4229758</v>
      </c>
      <c r="H54" s="33">
        <f>+G54*12</f>
        <v>50757096</v>
      </c>
    </row>
    <row r="55" spans="1:8" x14ac:dyDescent="0.3">
      <c r="A55" t="s">
        <v>99</v>
      </c>
      <c r="B55" s="164">
        <v>2</v>
      </c>
      <c r="C55" s="21">
        <f>+E40</f>
        <v>1300000</v>
      </c>
      <c r="D55" s="31">
        <f>+F40</f>
        <v>162000</v>
      </c>
      <c r="E55" s="33">
        <f>+(C55+D55)*B48</f>
        <v>916425.45999999985</v>
      </c>
      <c r="F55" s="37">
        <f>+C55+D55+E55</f>
        <v>2378425.46</v>
      </c>
      <c r="G55" s="33">
        <f>+F55*B55</f>
        <v>4756850.92</v>
      </c>
      <c r="H55" s="33">
        <f>+G55*12</f>
        <v>57082211.039999999</v>
      </c>
    </row>
    <row r="56" spans="1:8" x14ac:dyDescent="0.3">
      <c r="A56" s="220" t="s">
        <v>404</v>
      </c>
      <c r="B56" s="220"/>
      <c r="C56" s="220"/>
      <c r="D56" s="220"/>
      <c r="E56" s="220"/>
      <c r="F56" s="220"/>
      <c r="G56" s="160">
        <f>SUM(G54:G55)</f>
        <v>8986608.9199999999</v>
      </c>
      <c r="H56" s="160">
        <f>SUM(H54:H55)</f>
        <v>107839307.03999999</v>
      </c>
    </row>
  </sheetData>
  <mergeCells count="47">
    <mergeCell ref="D39:D40"/>
    <mergeCell ref="A52:A53"/>
    <mergeCell ref="B52:B53"/>
    <mergeCell ref="C52:C53"/>
    <mergeCell ref="D52:D53"/>
    <mergeCell ref="E52:E53"/>
    <mergeCell ref="F52:G52"/>
    <mergeCell ref="H52:H53"/>
    <mergeCell ref="A56:F56"/>
    <mergeCell ref="M5:M6"/>
    <mergeCell ref="G1:L3"/>
    <mergeCell ref="A2:A3"/>
    <mergeCell ref="A5:A6"/>
    <mergeCell ref="B5:B6"/>
    <mergeCell ref="C5:C6"/>
    <mergeCell ref="D5:D6"/>
    <mergeCell ref="E5:E6"/>
    <mergeCell ref="F5:F6"/>
    <mergeCell ref="G5:G6"/>
    <mergeCell ref="H5:H6"/>
    <mergeCell ref="H18:J18"/>
    <mergeCell ref="I5:I6"/>
    <mergeCell ref="L5:L6"/>
    <mergeCell ref="A10:C10"/>
    <mergeCell ref="A12:E12"/>
    <mergeCell ref="D13:E13"/>
    <mergeCell ref="D14:E14"/>
    <mergeCell ref="A25:C25"/>
    <mergeCell ref="D25:E25"/>
    <mergeCell ref="D15:E15"/>
    <mergeCell ref="D16:E16"/>
    <mergeCell ref="D17:E17"/>
    <mergeCell ref="A18:C18"/>
    <mergeCell ref="D18:E18"/>
    <mergeCell ref="A20:E20"/>
    <mergeCell ref="D21:E21"/>
    <mergeCell ref="D22:E22"/>
    <mergeCell ref="D23:E23"/>
    <mergeCell ref="D24:E24"/>
    <mergeCell ref="A33:C33"/>
    <mergeCell ref="D33:E33"/>
    <mergeCell ref="A27:E27"/>
    <mergeCell ref="D28:E28"/>
    <mergeCell ref="D29:E29"/>
    <mergeCell ref="D30:E30"/>
    <mergeCell ref="D31:E31"/>
    <mergeCell ref="D32:E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29E6-0C4C-44C2-B204-9C380083E671}">
  <dimension ref="A1:S72"/>
  <sheetViews>
    <sheetView topLeftCell="A49" zoomScale="70" zoomScaleNormal="70" workbookViewId="0">
      <selection activeCell="F34" sqref="F34"/>
    </sheetView>
  </sheetViews>
  <sheetFormatPr baseColWidth="10" defaultRowHeight="14.4" x14ac:dyDescent="0.3"/>
  <cols>
    <col min="1" max="1" width="34" bestFit="1" customWidth="1"/>
    <col min="2" max="2" width="13.77734375" bestFit="1" customWidth="1"/>
    <col min="3" max="3" width="15.33203125" bestFit="1" customWidth="1"/>
    <col min="4" max="4" width="15.6640625" bestFit="1" customWidth="1"/>
    <col min="5" max="6" width="15.33203125" bestFit="1" customWidth="1"/>
  </cols>
  <sheetData>
    <row r="1" spans="1:17" ht="18" x14ac:dyDescent="0.35">
      <c r="A1" s="185" t="s">
        <v>39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3" spans="1:17" ht="18" x14ac:dyDescent="0.3">
      <c r="A3" s="187" t="s">
        <v>109</v>
      </c>
      <c r="B3" s="187"/>
      <c r="C3" s="187"/>
      <c r="D3" s="187"/>
    </row>
    <row r="4" spans="1:17" x14ac:dyDescent="0.3">
      <c r="A4" s="17" t="s">
        <v>40</v>
      </c>
      <c r="B4" s="17" t="s">
        <v>41</v>
      </c>
      <c r="C4" s="17" t="s">
        <v>42</v>
      </c>
      <c r="D4" s="17" t="s">
        <v>43</v>
      </c>
    </row>
    <row r="5" spans="1:17" x14ac:dyDescent="0.3">
      <c r="A5" s="165" t="s">
        <v>402</v>
      </c>
      <c r="B5" s="165">
        <v>45</v>
      </c>
      <c r="C5" s="166">
        <f>+D5/12</f>
        <v>1250000</v>
      </c>
      <c r="D5" s="166">
        <v>15000000</v>
      </c>
    </row>
    <row r="6" spans="1:17" ht="28.8" x14ac:dyDescent="0.3">
      <c r="A6" s="18" t="s">
        <v>112</v>
      </c>
      <c r="B6" s="18">
        <v>40</v>
      </c>
      <c r="C6" s="19">
        <v>150000</v>
      </c>
      <c r="D6" s="19">
        <f>+B6*C6</f>
        <v>6000000</v>
      </c>
    </row>
    <row r="7" spans="1:17" ht="43.2" customHeight="1" x14ac:dyDescent="0.3">
      <c r="A7" s="186" t="s">
        <v>44</v>
      </c>
      <c r="B7" s="186"/>
      <c r="C7" s="186"/>
      <c r="D7" s="167">
        <f>SUM(D5:D6)</f>
        <v>21000000</v>
      </c>
    </row>
    <row r="10" spans="1:17" ht="18" x14ac:dyDescent="0.3">
      <c r="A10" s="187" t="s">
        <v>110</v>
      </c>
      <c r="B10" s="187"/>
      <c r="C10" s="187"/>
      <c r="D10" s="187"/>
    </row>
    <row r="11" spans="1:17" x14ac:dyDescent="0.3">
      <c r="A11" s="17" t="s">
        <v>40</v>
      </c>
      <c r="B11" s="17" t="s">
        <v>45</v>
      </c>
      <c r="C11" s="17" t="s">
        <v>42</v>
      </c>
      <c r="D11" s="17" t="s">
        <v>43</v>
      </c>
    </row>
    <row r="12" spans="1:17" x14ac:dyDescent="0.3">
      <c r="A12" s="18" t="s">
        <v>46</v>
      </c>
      <c r="B12" s="18">
        <v>1</v>
      </c>
      <c r="C12" s="19">
        <v>6500000</v>
      </c>
      <c r="D12" s="19">
        <f>+B12*C12</f>
        <v>6500000</v>
      </c>
    </row>
    <row r="13" spans="1:17" x14ac:dyDescent="0.3">
      <c r="A13" s="18" t="s">
        <v>397</v>
      </c>
      <c r="B13" s="18">
        <v>1</v>
      </c>
      <c r="C13" s="19">
        <v>4000000</v>
      </c>
      <c r="D13" s="19">
        <f>+B13*C13</f>
        <v>4000000</v>
      </c>
    </row>
    <row r="14" spans="1:17" x14ac:dyDescent="0.3">
      <c r="A14" s="18" t="s">
        <v>391</v>
      </c>
      <c r="B14" s="18">
        <v>1</v>
      </c>
      <c r="C14" s="19">
        <v>5000000</v>
      </c>
      <c r="D14" s="19">
        <f>+C14*B14</f>
        <v>5000000</v>
      </c>
    </row>
    <row r="15" spans="1:17" x14ac:dyDescent="0.3">
      <c r="A15" s="18" t="s">
        <v>47</v>
      </c>
      <c r="B15" s="18">
        <v>1</v>
      </c>
      <c r="C15" s="19">
        <v>3600000</v>
      </c>
      <c r="D15" s="19">
        <f>+B15*C15</f>
        <v>3600000</v>
      </c>
    </row>
    <row r="16" spans="1:17" ht="43.2" customHeight="1" x14ac:dyDescent="0.3">
      <c r="A16" s="186" t="s">
        <v>48</v>
      </c>
      <c r="B16" s="186"/>
      <c r="C16" s="186"/>
      <c r="D16" s="20">
        <f>SUM(D12:D15)</f>
        <v>19100000</v>
      </c>
    </row>
    <row r="19" spans="1:4" ht="18" x14ac:dyDescent="0.3">
      <c r="A19" s="187" t="s">
        <v>111</v>
      </c>
      <c r="B19" s="187"/>
      <c r="C19" s="187"/>
      <c r="D19" s="187"/>
    </row>
    <row r="20" spans="1:4" x14ac:dyDescent="0.3">
      <c r="A20" s="17" t="s">
        <v>40</v>
      </c>
      <c r="B20" s="17" t="s">
        <v>45</v>
      </c>
      <c r="C20" s="17" t="s">
        <v>49</v>
      </c>
      <c r="D20" s="17" t="s">
        <v>50</v>
      </c>
    </row>
    <row r="21" spans="1:4" x14ac:dyDescent="0.3">
      <c r="A21" s="18" t="s">
        <v>392</v>
      </c>
      <c r="B21" s="18">
        <v>1</v>
      </c>
      <c r="C21" s="19">
        <v>2025000</v>
      </c>
      <c r="D21" s="19">
        <f>+B21*C21</f>
        <v>2025000</v>
      </c>
    </row>
    <row r="22" spans="1:4" x14ac:dyDescent="0.3">
      <c r="A22" s="18" t="s">
        <v>51</v>
      </c>
      <c r="B22" s="18">
        <v>1</v>
      </c>
      <c r="C22" s="19">
        <v>718000</v>
      </c>
      <c r="D22" s="19">
        <f t="shared" ref="D22:D31" si="0">+B22*C22</f>
        <v>718000</v>
      </c>
    </row>
    <row r="23" spans="1:4" x14ac:dyDescent="0.3">
      <c r="A23" s="18" t="s">
        <v>393</v>
      </c>
      <c r="B23" s="18">
        <v>1</v>
      </c>
      <c r="C23" s="19">
        <v>1243800</v>
      </c>
      <c r="D23" s="19">
        <f t="shared" si="0"/>
        <v>1243800</v>
      </c>
    </row>
    <row r="24" spans="1:4" x14ac:dyDescent="0.3">
      <c r="A24" s="18" t="s">
        <v>52</v>
      </c>
      <c r="B24" s="18">
        <v>3</v>
      </c>
      <c r="C24" s="19">
        <v>1950000</v>
      </c>
      <c r="D24" s="19">
        <f t="shared" si="0"/>
        <v>5850000</v>
      </c>
    </row>
    <row r="25" spans="1:4" x14ac:dyDescent="0.3">
      <c r="A25" s="18" t="s">
        <v>53</v>
      </c>
      <c r="B25" s="18">
        <v>6</v>
      </c>
      <c r="C25" s="19">
        <v>250000</v>
      </c>
      <c r="D25" s="19">
        <f t="shared" si="0"/>
        <v>1500000</v>
      </c>
    </row>
    <row r="26" spans="1:4" x14ac:dyDescent="0.3">
      <c r="A26" s="18" t="s">
        <v>54</v>
      </c>
      <c r="B26" s="18">
        <v>2</v>
      </c>
      <c r="C26" s="19">
        <v>600000</v>
      </c>
      <c r="D26" s="19">
        <f t="shared" si="0"/>
        <v>1200000</v>
      </c>
    </row>
    <row r="27" spans="1:4" x14ac:dyDescent="0.3">
      <c r="A27" s="18" t="s">
        <v>55</v>
      </c>
      <c r="B27" s="18">
        <v>1</v>
      </c>
      <c r="C27" s="19">
        <v>7690000</v>
      </c>
      <c r="D27" s="19">
        <f t="shared" si="0"/>
        <v>7690000</v>
      </c>
    </row>
    <row r="28" spans="1:4" x14ac:dyDescent="0.3">
      <c r="A28" s="18" t="s">
        <v>56</v>
      </c>
      <c r="B28" s="18">
        <v>1</v>
      </c>
      <c r="C28" s="19">
        <v>550000</v>
      </c>
      <c r="D28" s="19">
        <f t="shared" si="0"/>
        <v>550000</v>
      </c>
    </row>
    <row r="29" spans="1:4" x14ac:dyDescent="0.3">
      <c r="A29" s="18" t="s">
        <v>57</v>
      </c>
      <c r="B29" s="18">
        <v>1</v>
      </c>
      <c r="C29" s="19">
        <v>180000</v>
      </c>
      <c r="D29" s="19">
        <f t="shared" si="0"/>
        <v>180000</v>
      </c>
    </row>
    <row r="30" spans="1:4" x14ac:dyDescent="0.3">
      <c r="A30" s="18" t="s">
        <v>58</v>
      </c>
      <c r="B30" s="18">
        <v>3</v>
      </c>
      <c r="C30" s="19">
        <v>320000</v>
      </c>
      <c r="D30" s="19">
        <f t="shared" si="0"/>
        <v>960000</v>
      </c>
    </row>
    <row r="31" spans="1:4" x14ac:dyDescent="0.3">
      <c r="A31" s="18" t="s">
        <v>59</v>
      </c>
      <c r="B31" s="18">
        <v>1</v>
      </c>
      <c r="C31" s="19">
        <v>2500000</v>
      </c>
      <c r="D31" s="19">
        <f t="shared" si="0"/>
        <v>2500000</v>
      </c>
    </row>
    <row r="32" spans="1:4" ht="43.2" customHeight="1" x14ac:dyDescent="0.3">
      <c r="A32" s="186" t="s">
        <v>60</v>
      </c>
      <c r="B32" s="186"/>
      <c r="C32" s="186"/>
      <c r="D32" s="20">
        <f>+SUM(D21:D31)</f>
        <v>24416800</v>
      </c>
    </row>
    <row r="35" spans="1:19" ht="18" x14ac:dyDescent="0.3">
      <c r="A35" s="187" t="s">
        <v>394</v>
      </c>
      <c r="B35" s="187"/>
      <c r="C35" s="187"/>
      <c r="D35" s="187"/>
    </row>
    <row r="36" spans="1:19" x14ac:dyDescent="0.3">
      <c r="A36" s="189" t="s">
        <v>61</v>
      </c>
      <c r="B36" s="189"/>
      <c r="C36" s="191" t="s">
        <v>43</v>
      </c>
      <c r="D36" s="191"/>
    </row>
    <row r="37" spans="1:19" x14ac:dyDescent="0.3">
      <c r="A37" s="190" t="s">
        <v>109</v>
      </c>
      <c r="B37" s="190"/>
      <c r="C37" s="184">
        <f>+D7</f>
        <v>21000000</v>
      </c>
      <c r="D37" s="178"/>
    </row>
    <row r="38" spans="1:19" x14ac:dyDescent="0.3">
      <c r="A38" s="190" t="s">
        <v>110</v>
      </c>
      <c r="B38" s="190"/>
      <c r="C38" s="184">
        <f>+D16</f>
        <v>19100000</v>
      </c>
      <c r="D38" s="178"/>
    </row>
    <row r="39" spans="1:19" x14ac:dyDescent="0.3">
      <c r="A39" s="190" t="s">
        <v>111</v>
      </c>
      <c r="B39" s="190"/>
      <c r="C39" s="184">
        <f>+D32</f>
        <v>24416800</v>
      </c>
      <c r="D39" s="178"/>
    </row>
    <row r="40" spans="1:19" x14ac:dyDescent="0.3">
      <c r="A40" s="188" t="s">
        <v>395</v>
      </c>
      <c r="B40" s="188"/>
      <c r="C40" s="184">
        <f>SUM(C37:D39)</f>
        <v>64516800</v>
      </c>
      <c r="D40" s="178"/>
    </row>
    <row r="43" spans="1:19" ht="18" x14ac:dyDescent="0.35">
      <c r="A43" s="185" t="s">
        <v>62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</row>
    <row r="46" spans="1:19" ht="15.6" x14ac:dyDescent="0.3">
      <c r="A46" s="183" t="s">
        <v>63</v>
      </c>
      <c r="B46" s="183"/>
      <c r="C46" s="183"/>
      <c r="D46" s="183"/>
    </row>
    <row r="47" spans="1:19" x14ac:dyDescent="0.3">
      <c r="A47" s="22" t="s">
        <v>396</v>
      </c>
      <c r="B47" s="22" t="s">
        <v>45</v>
      </c>
      <c r="C47" s="22" t="s">
        <v>64</v>
      </c>
      <c r="D47" s="22" t="s">
        <v>65</v>
      </c>
    </row>
    <row r="48" spans="1:19" x14ac:dyDescent="0.3">
      <c r="A48" s="18" t="s">
        <v>66</v>
      </c>
      <c r="B48" s="18">
        <v>1</v>
      </c>
      <c r="C48" s="23">
        <v>750000</v>
      </c>
      <c r="D48" s="23">
        <f t="shared" ref="D48:D53" si="1">+B48*C48</f>
        <v>750000</v>
      </c>
    </row>
    <row r="49" spans="1:4" x14ac:dyDescent="0.3">
      <c r="A49" s="18" t="s">
        <v>67</v>
      </c>
      <c r="B49" s="18">
        <v>3</v>
      </c>
      <c r="C49" s="23">
        <v>250000</v>
      </c>
      <c r="D49" s="23">
        <f t="shared" si="1"/>
        <v>750000</v>
      </c>
    </row>
    <row r="50" spans="1:4" x14ac:dyDescent="0.3">
      <c r="A50" s="18" t="s">
        <v>68</v>
      </c>
      <c r="B50" s="18">
        <v>2</v>
      </c>
      <c r="C50" s="23">
        <v>650000</v>
      </c>
      <c r="D50" s="23">
        <f t="shared" si="1"/>
        <v>1300000</v>
      </c>
    </row>
    <row r="51" spans="1:4" x14ac:dyDescent="0.3">
      <c r="A51" s="18" t="s">
        <v>69</v>
      </c>
      <c r="B51" s="18">
        <v>1</v>
      </c>
      <c r="C51" s="23">
        <v>3500000</v>
      </c>
      <c r="D51" s="23">
        <f t="shared" si="1"/>
        <v>3500000</v>
      </c>
    </row>
    <row r="52" spans="1:4" x14ac:dyDescent="0.3">
      <c r="A52" s="18" t="s">
        <v>70</v>
      </c>
      <c r="B52" s="18">
        <v>1</v>
      </c>
      <c r="C52" s="23">
        <v>500000</v>
      </c>
      <c r="D52" s="23">
        <f t="shared" si="1"/>
        <v>500000</v>
      </c>
    </row>
    <row r="53" spans="1:4" x14ac:dyDescent="0.3">
      <c r="A53" t="s">
        <v>71</v>
      </c>
      <c r="B53" s="18">
        <v>320</v>
      </c>
      <c r="C53" s="23">
        <v>78000</v>
      </c>
      <c r="D53" s="23">
        <f t="shared" si="1"/>
        <v>24960000</v>
      </c>
    </row>
    <row r="54" spans="1:4" x14ac:dyDescent="0.3">
      <c r="A54" s="180" t="s">
        <v>22</v>
      </c>
      <c r="B54" s="181"/>
      <c r="C54" s="182"/>
      <c r="D54" s="24">
        <f>SUM(D48:D53)</f>
        <v>31760000</v>
      </c>
    </row>
    <row r="56" spans="1:4" x14ac:dyDescent="0.3">
      <c r="A56" s="180" t="s">
        <v>72</v>
      </c>
      <c r="B56" s="181"/>
      <c r="C56" s="182"/>
      <c r="D56" s="25">
        <f>+D54/5</f>
        <v>6352000</v>
      </c>
    </row>
    <row r="59" spans="1:4" ht="15.6" x14ac:dyDescent="0.3">
      <c r="A59" s="183" t="s">
        <v>73</v>
      </c>
      <c r="B59" s="183"/>
      <c r="C59" s="183"/>
      <c r="D59" s="183"/>
    </row>
    <row r="60" spans="1:4" x14ac:dyDescent="0.3">
      <c r="A60" s="179" t="s">
        <v>79</v>
      </c>
      <c r="B60" s="179"/>
      <c r="C60" s="178" t="s">
        <v>74</v>
      </c>
      <c r="D60" s="178"/>
    </row>
    <row r="61" spans="1:4" x14ac:dyDescent="0.3">
      <c r="A61" s="179"/>
      <c r="B61" s="179"/>
      <c r="C61" t="s">
        <v>75</v>
      </c>
      <c r="D61" t="s">
        <v>76</v>
      </c>
    </row>
    <row r="62" spans="1:4" x14ac:dyDescent="0.3">
      <c r="A62" s="178" t="s">
        <v>77</v>
      </c>
      <c r="B62" s="178"/>
      <c r="C62" s="26">
        <v>0.8</v>
      </c>
      <c r="D62" s="26">
        <f>+(1-C62)</f>
        <v>0.19999999999999996</v>
      </c>
    </row>
    <row r="63" spans="1:4" x14ac:dyDescent="0.3">
      <c r="A63" s="178" t="s">
        <v>78</v>
      </c>
      <c r="B63" s="178"/>
      <c r="C63" s="26">
        <v>0.5</v>
      </c>
      <c r="D63" s="26">
        <f>+(1-C63)</f>
        <v>0.5</v>
      </c>
    </row>
    <row r="64" spans="1:4" x14ac:dyDescent="0.3">
      <c r="A64" s="178"/>
      <c r="B64" s="178"/>
    </row>
    <row r="65" spans="1:6" x14ac:dyDescent="0.3">
      <c r="A65" s="178"/>
      <c r="B65" s="178"/>
    </row>
    <row r="66" spans="1:6" x14ac:dyDescent="0.3">
      <c r="A66" s="179" t="s">
        <v>79</v>
      </c>
      <c r="B66" s="179" t="s">
        <v>80</v>
      </c>
      <c r="C66" s="27" t="s">
        <v>74</v>
      </c>
      <c r="D66" s="27"/>
    </row>
    <row r="67" spans="1:6" x14ac:dyDescent="0.3">
      <c r="A67" s="179"/>
      <c r="B67" s="179"/>
      <c r="C67" s="27" t="s">
        <v>75</v>
      </c>
      <c r="D67" s="27" t="s">
        <v>76</v>
      </c>
    </row>
    <row r="68" spans="1:6" x14ac:dyDescent="0.3">
      <c r="A68" t="s">
        <v>77</v>
      </c>
      <c r="B68" s="28">
        <v>300000</v>
      </c>
      <c r="C68" s="28">
        <f>+B68*C62</f>
        <v>240000</v>
      </c>
      <c r="D68" s="28">
        <f>+B68*D62</f>
        <v>59999.999999999985</v>
      </c>
      <c r="F68" s="28">
        <f>+C68*12</f>
        <v>2880000</v>
      </c>
    </row>
    <row r="69" spans="1:6" x14ac:dyDescent="0.3">
      <c r="A69" t="s">
        <v>78</v>
      </c>
      <c r="B69" s="28">
        <v>100000</v>
      </c>
      <c r="C69" s="28">
        <f>+B69*C63</f>
        <v>50000</v>
      </c>
      <c r="D69" s="28">
        <f>+B69*D63</f>
        <v>50000</v>
      </c>
      <c r="F69" s="28">
        <f>+C69*12</f>
        <v>600000</v>
      </c>
    </row>
    <row r="71" spans="1:6" x14ac:dyDescent="0.3">
      <c r="C71" s="28"/>
      <c r="D71" s="28"/>
    </row>
    <row r="72" spans="1:6" x14ac:dyDescent="0.3">
      <c r="C72" s="28"/>
      <c r="D72" s="28"/>
      <c r="E72" s="38"/>
    </row>
  </sheetData>
  <mergeCells count="31">
    <mergeCell ref="A19:D19"/>
    <mergeCell ref="A1:Q1"/>
    <mergeCell ref="A3:D3"/>
    <mergeCell ref="A7:C7"/>
    <mergeCell ref="A10:D10"/>
    <mergeCell ref="A16:C16"/>
    <mergeCell ref="A32:C32"/>
    <mergeCell ref="A35:D35"/>
    <mergeCell ref="A40:B40"/>
    <mergeCell ref="A36:B36"/>
    <mergeCell ref="A37:B37"/>
    <mergeCell ref="A38:B38"/>
    <mergeCell ref="A39:B39"/>
    <mergeCell ref="C36:D36"/>
    <mergeCell ref="A56:C56"/>
    <mergeCell ref="A59:D59"/>
    <mergeCell ref="A60:B61"/>
    <mergeCell ref="C60:D60"/>
    <mergeCell ref="C37:D37"/>
    <mergeCell ref="C38:D38"/>
    <mergeCell ref="C39:D39"/>
    <mergeCell ref="C40:D40"/>
    <mergeCell ref="A43:S43"/>
    <mergeCell ref="A54:C54"/>
    <mergeCell ref="A46:D46"/>
    <mergeCell ref="A62:B62"/>
    <mergeCell ref="A63:B63"/>
    <mergeCell ref="A64:B64"/>
    <mergeCell ref="A65:B65"/>
    <mergeCell ref="A66:A67"/>
    <mergeCell ref="B66:B6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D58F-EE0A-419E-B60F-F9767BAD042E}">
  <dimension ref="A1:J178"/>
  <sheetViews>
    <sheetView topLeftCell="A154" zoomScale="85" zoomScaleNormal="85" workbookViewId="0">
      <selection activeCell="C172" sqref="A167:C172"/>
    </sheetView>
  </sheetViews>
  <sheetFormatPr baseColWidth="10" defaultRowHeight="14.4" x14ac:dyDescent="0.3"/>
  <cols>
    <col min="1" max="1" width="31.5546875" bestFit="1" customWidth="1"/>
    <col min="2" max="2" width="26" bestFit="1" customWidth="1"/>
    <col min="3" max="3" width="29.5546875" bestFit="1" customWidth="1"/>
    <col min="4" max="4" width="23.6640625" bestFit="1" customWidth="1"/>
    <col min="5" max="5" width="12.88671875" bestFit="1" customWidth="1"/>
    <col min="6" max="6" width="14.44140625" bestFit="1" customWidth="1"/>
    <col min="7" max="7" width="23" bestFit="1" customWidth="1"/>
    <col min="8" max="8" width="20.88671875" bestFit="1" customWidth="1"/>
    <col min="9" max="9" width="12.33203125" bestFit="1" customWidth="1"/>
    <col min="10" max="10" width="17" bestFit="1" customWidth="1"/>
  </cols>
  <sheetData>
    <row r="1" spans="1:8" ht="15.6" x14ac:dyDescent="0.3">
      <c r="A1" s="196" t="s">
        <v>100</v>
      </c>
      <c r="B1" s="196"/>
      <c r="C1" s="196"/>
      <c r="D1" s="196"/>
      <c r="E1" s="196"/>
      <c r="F1" s="196"/>
      <c r="G1" s="196"/>
      <c r="H1" s="196"/>
    </row>
    <row r="2" spans="1:8" x14ac:dyDescent="0.3">
      <c r="A2" s="2" t="s">
        <v>24</v>
      </c>
      <c r="B2" s="2" t="s">
        <v>81</v>
      </c>
      <c r="D2" s="170" t="s">
        <v>1</v>
      </c>
      <c r="E2" s="2" t="s">
        <v>2</v>
      </c>
      <c r="F2" s="2" t="s">
        <v>3</v>
      </c>
      <c r="G2" s="2" t="s">
        <v>4</v>
      </c>
    </row>
    <row r="3" spans="1:8" x14ac:dyDescent="0.3">
      <c r="A3" t="s">
        <v>82</v>
      </c>
      <c r="B3" s="30">
        <v>8.3330000000000001E-2</v>
      </c>
      <c r="D3" s="170"/>
      <c r="E3" s="3">
        <v>1300000</v>
      </c>
      <c r="F3" s="4">
        <v>162000</v>
      </c>
      <c r="G3" s="4" t="s">
        <v>5</v>
      </c>
    </row>
    <row r="4" spans="1:8" x14ac:dyDescent="0.3">
      <c r="A4" t="s">
        <v>83</v>
      </c>
      <c r="B4" s="30">
        <v>0.01</v>
      </c>
    </row>
    <row r="5" spans="1:8" x14ac:dyDescent="0.3">
      <c r="A5" t="s">
        <v>10</v>
      </c>
      <c r="B5" s="30">
        <v>4.1669999999999999E-2</v>
      </c>
    </row>
    <row r="6" spans="1:8" x14ac:dyDescent="0.3">
      <c r="A6" t="s">
        <v>84</v>
      </c>
      <c r="B6" s="30">
        <v>8.3330000000000001E-2</v>
      </c>
    </row>
    <row r="7" spans="1:8" x14ac:dyDescent="0.3">
      <c r="A7" t="s">
        <v>85</v>
      </c>
      <c r="B7" s="30">
        <v>0.09</v>
      </c>
    </row>
    <row r="8" spans="1:8" x14ac:dyDescent="0.3">
      <c r="A8" t="s">
        <v>86</v>
      </c>
      <c r="B8" s="30">
        <v>0.20499999999999999</v>
      </c>
    </row>
    <row r="9" spans="1:8" x14ac:dyDescent="0.3">
      <c r="A9" t="s">
        <v>87</v>
      </c>
      <c r="B9" s="30">
        <v>7.0000000000000007E-2</v>
      </c>
    </row>
    <row r="10" spans="1:8" x14ac:dyDescent="0.3">
      <c r="A10" t="s">
        <v>88</v>
      </c>
      <c r="B10" s="30">
        <v>4.3499999999999997E-2</v>
      </c>
    </row>
    <row r="11" spans="1:8" x14ac:dyDescent="0.3">
      <c r="A11" t="s">
        <v>89</v>
      </c>
      <c r="B11" s="30">
        <f>SUM(B3:B10)</f>
        <v>0.62682999999999989</v>
      </c>
    </row>
    <row r="15" spans="1:8" ht="14.4" customHeight="1" x14ac:dyDescent="0.3">
      <c r="A15" s="170" t="s">
        <v>90</v>
      </c>
      <c r="B15" s="170" t="s">
        <v>91</v>
      </c>
      <c r="C15" s="170" t="s">
        <v>92</v>
      </c>
      <c r="D15" s="170" t="s">
        <v>93</v>
      </c>
      <c r="E15" s="170" t="s">
        <v>94</v>
      </c>
      <c r="F15" s="170" t="s">
        <v>95</v>
      </c>
      <c r="G15" s="170"/>
      <c r="H15" s="170" t="s">
        <v>96</v>
      </c>
    </row>
    <row r="16" spans="1:8" x14ac:dyDescent="0.3">
      <c r="A16" s="170"/>
      <c r="B16" s="170"/>
      <c r="C16" s="170"/>
      <c r="D16" s="170"/>
      <c r="E16" s="170"/>
      <c r="F16" s="2" t="s">
        <v>98</v>
      </c>
      <c r="G16" s="2" t="s">
        <v>22</v>
      </c>
      <c r="H16" s="170"/>
    </row>
    <row r="17" spans="1:10" x14ac:dyDescent="0.3">
      <c r="A17" t="s">
        <v>99</v>
      </c>
      <c r="B17">
        <v>2</v>
      </c>
      <c r="C17" s="21">
        <f>+E3</f>
        <v>1300000</v>
      </c>
      <c r="D17" s="31">
        <f>+F3</f>
        <v>162000</v>
      </c>
      <c r="E17" s="28">
        <f>+(C17+D17)*B11</f>
        <v>916425.45999999985</v>
      </c>
      <c r="F17" s="32">
        <f>+C17+D17+E17</f>
        <v>2378425.46</v>
      </c>
      <c r="G17" s="28">
        <f>+F17*B17</f>
        <v>4756850.92</v>
      </c>
      <c r="H17" s="28">
        <f>+G17*12</f>
        <v>57082211.039999999</v>
      </c>
    </row>
    <row r="20" spans="1:10" ht="15.6" x14ac:dyDescent="0.3">
      <c r="A20" s="193" t="s">
        <v>101</v>
      </c>
      <c r="B20" s="193"/>
      <c r="C20" s="193"/>
      <c r="D20" s="193"/>
      <c r="E20" s="193"/>
      <c r="F20" s="193"/>
      <c r="G20" s="193"/>
      <c r="H20" s="193"/>
    </row>
    <row r="22" spans="1:10" x14ac:dyDescent="0.3">
      <c r="A22" s="170" t="s">
        <v>90</v>
      </c>
      <c r="B22" s="170"/>
      <c r="C22" s="170" t="s">
        <v>80</v>
      </c>
      <c r="D22" s="170" t="s">
        <v>102</v>
      </c>
      <c r="E22" s="170" t="s">
        <v>103</v>
      </c>
      <c r="F22" s="170" t="s">
        <v>104</v>
      </c>
      <c r="G22" s="170" t="s">
        <v>105</v>
      </c>
      <c r="H22" s="170" t="s">
        <v>106</v>
      </c>
    </row>
    <row r="23" spans="1:10" x14ac:dyDescent="0.3">
      <c r="A23" s="170"/>
      <c r="B23" s="170"/>
      <c r="C23" s="170" t="s">
        <v>97</v>
      </c>
      <c r="D23" s="170"/>
      <c r="E23" s="170"/>
      <c r="F23" s="170" t="s">
        <v>98</v>
      </c>
      <c r="G23" s="170" t="s">
        <v>22</v>
      </c>
      <c r="H23" s="170"/>
    </row>
    <row r="24" spans="1:10" x14ac:dyDescent="0.3">
      <c r="A24" s="190" t="s">
        <v>107</v>
      </c>
      <c r="B24" s="190"/>
      <c r="C24" s="21">
        <f>+INVERSIONES!C38</f>
        <v>19100000</v>
      </c>
      <c r="D24">
        <v>20</v>
      </c>
      <c r="E24" s="21">
        <f>+C24-((C24/D24)*5)</f>
        <v>14325000</v>
      </c>
      <c r="F24" s="21">
        <f>+C24-E24</f>
        <v>4775000</v>
      </c>
      <c r="G24" s="33">
        <f>+H24/12</f>
        <v>19895.833333333332</v>
      </c>
      <c r="H24" s="33">
        <f>+F24/D24</f>
        <v>238750</v>
      </c>
    </row>
    <row r="25" spans="1:10" x14ac:dyDescent="0.3">
      <c r="A25" s="190" t="s">
        <v>108</v>
      </c>
      <c r="B25" s="190"/>
      <c r="C25" s="21">
        <f>+INVERSIONES!C37</f>
        <v>21000000</v>
      </c>
      <c r="D25">
        <v>10</v>
      </c>
      <c r="E25" s="21">
        <f>+C25-((C25/D25)*5)</f>
        <v>10500000</v>
      </c>
      <c r="F25" s="21">
        <f>+C25-E25</f>
        <v>10500000</v>
      </c>
      <c r="G25" s="33">
        <f>+H25/12</f>
        <v>87500</v>
      </c>
      <c r="H25" s="33">
        <f>+F25/D25</f>
        <v>1050000</v>
      </c>
    </row>
    <row r="26" spans="1:10" x14ac:dyDescent="0.3">
      <c r="A26" s="190" t="s">
        <v>114</v>
      </c>
      <c r="B26" s="190"/>
      <c r="C26" s="21">
        <f>+INVERSIONES!D21+INVERSIONES!D22+INVERSIONES!D23+INVERSIONES!D24+INVERSIONES!D31</f>
        <v>12336800</v>
      </c>
      <c r="D26">
        <v>10</v>
      </c>
      <c r="E26" s="21">
        <f>+C26-((C26/D26)*5)</f>
        <v>6168400</v>
      </c>
      <c r="F26" s="21">
        <f>+C26-E26</f>
        <v>6168400</v>
      </c>
      <c r="G26" s="33">
        <f>+H26/12</f>
        <v>51403.333333333336</v>
      </c>
      <c r="H26" s="33">
        <f>+F26/D26</f>
        <v>616840</v>
      </c>
    </row>
    <row r="27" spans="1:10" x14ac:dyDescent="0.3">
      <c r="A27" s="190" t="s">
        <v>113</v>
      </c>
      <c r="B27" s="190"/>
      <c r="C27" s="21">
        <f>+INVERSIONES!D25++INVERSIONES!D26+INVERSIONES!D27+INVERSIONES!D28+INVERSIONES!D29+INVERSIONES!D30</f>
        <v>12080000</v>
      </c>
      <c r="D27">
        <v>5</v>
      </c>
      <c r="E27" s="21">
        <f>+C27-((C27/D27)*5)</f>
        <v>0</v>
      </c>
      <c r="F27" s="21">
        <f>+C27-E27</f>
        <v>12080000</v>
      </c>
      <c r="G27" s="33">
        <f>+H27/12</f>
        <v>201333.33333333334</v>
      </c>
      <c r="H27" s="33">
        <f>+F27/D27</f>
        <v>2416000</v>
      </c>
    </row>
    <row r="28" spans="1:10" x14ac:dyDescent="0.3">
      <c r="A28" s="191" t="s">
        <v>22</v>
      </c>
      <c r="B28" s="191"/>
      <c r="C28" s="34"/>
      <c r="D28" s="35"/>
      <c r="E28" s="35"/>
      <c r="F28" s="34">
        <f>SUM(F24:F27)</f>
        <v>33523400</v>
      </c>
      <c r="G28" s="34">
        <f>SUM(G24:G27)</f>
        <v>360132.5</v>
      </c>
      <c r="H28" s="65">
        <f>SUM(H24:H27)</f>
        <v>4321590</v>
      </c>
      <c r="J28">
        <v>1428822</v>
      </c>
    </row>
    <row r="31" spans="1:10" x14ac:dyDescent="0.3">
      <c r="A31" s="170" t="s">
        <v>73</v>
      </c>
      <c r="B31" s="170"/>
      <c r="C31" s="170"/>
    </row>
    <row r="32" spans="1:10" x14ac:dyDescent="0.3">
      <c r="A32" s="179" t="s">
        <v>115</v>
      </c>
      <c r="B32" t="s">
        <v>74</v>
      </c>
    </row>
    <row r="33" spans="1:8" x14ac:dyDescent="0.3">
      <c r="A33" s="179"/>
      <c r="B33" t="s">
        <v>75</v>
      </c>
      <c r="C33" t="s">
        <v>76</v>
      </c>
    </row>
    <row r="34" spans="1:8" x14ac:dyDescent="0.3">
      <c r="A34" t="s">
        <v>107</v>
      </c>
      <c r="B34" s="26">
        <v>0.7</v>
      </c>
      <c r="C34" s="26">
        <f>+(1-B34)</f>
        <v>0.30000000000000004</v>
      </c>
    </row>
    <row r="35" spans="1:8" x14ac:dyDescent="0.3">
      <c r="A35" t="s">
        <v>108</v>
      </c>
      <c r="B35" s="26">
        <v>1</v>
      </c>
      <c r="C35" s="26">
        <f>+(1-B35)</f>
        <v>0</v>
      </c>
    </row>
    <row r="36" spans="1:8" x14ac:dyDescent="0.3">
      <c r="A36" t="s">
        <v>114</v>
      </c>
      <c r="B36" s="26">
        <v>1</v>
      </c>
      <c r="C36" s="26">
        <f>+(1-B36)</f>
        <v>0</v>
      </c>
    </row>
    <row r="37" spans="1:8" x14ac:dyDescent="0.3">
      <c r="A37" t="s">
        <v>113</v>
      </c>
      <c r="B37" s="26">
        <v>1</v>
      </c>
      <c r="C37" s="26">
        <f>+(1-B37)</f>
        <v>0</v>
      </c>
    </row>
    <row r="40" spans="1:8" ht="14.4" customHeight="1" x14ac:dyDescent="0.3">
      <c r="A40" s="170" t="s">
        <v>115</v>
      </c>
      <c r="B40" s="170" t="s">
        <v>118</v>
      </c>
      <c r="C40" s="170" t="s">
        <v>116</v>
      </c>
      <c r="D40" s="170"/>
    </row>
    <row r="41" spans="1:8" ht="14.4" customHeight="1" x14ac:dyDescent="0.3">
      <c r="A41" s="170"/>
      <c r="B41" s="170"/>
      <c r="C41" s="36" t="s">
        <v>75</v>
      </c>
      <c r="D41" s="36" t="s">
        <v>76</v>
      </c>
    </row>
    <row r="42" spans="1:8" x14ac:dyDescent="0.3">
      <c r="A42" t="s">
        <v>107</v>
      </c>
      <c r="B42" s="37">
        <f>+H24</f>
        <v>238750</v>
      </c>
      <c r="C42" s="37">
        <f>+B34*B42</f>
        <v>167125</v>
      </c>
      <c r="D42" s="37">
        <f>+C34*B42</f>
        <v>71625.000000000015</v>
      </c>
    </row>
    <row r="43" spans="1:8" x14ac:dyDescent="0.3">
      <c r="A43" t="s">
        <v>108</v>
      </c>
      <c r="B43" s="37">
        <f>+H25</f>
        <v>1050000</v>
      </c>
      <c r="C43" s="37">
        <f>+B35*B43</f>
        <v>1050000</v>
      </c>
      <c r="D43" s="37">
        <f>+C35*B43</f>
        <v>0</v>
      </c>
    </row>
    <row r="44" spans="1:8" x14ac:dyDescent="0.3">
      <c r="A44" t="s">
        <v>114</v>
      </c>
      <c r="B44" s="37">
        <f>+H26</f>
        <v>616840</v>
      </c>
      <c r="C44" s="37">
        <f>+B36*B44</f>
        <v>616840</v>
      </c>
      <c r="D44" s="37">
        <f>+C36*B44</f>
        <v>0</v>
      </c>
    </row>
    <row r="45" spans="1:8" x14ac:dyDescent="0.3">
      <c r="A45" t="s">
        <v>113</v>
      </c>
      <c r="B45" s="37">
        <f>+H27</f>
        <v>2416000</v>
      </c>
      <c r="C45" s="37">
        <f>+B37*B45</f>
        <v>2416000</v>
      </c>
      <c r="D45" s="37">
        <f>+C37*B45</f>
        <v>0</v>
      </c>
    </row>
    <row r="48" spans="1:8" ht="15.6" x14ac:dyDescent="0.3">
      <c r="A48" s="193" t="s">
        <v>119</v>
      </c>
      <c r="B48" s="193"/>
      <c r="C48" s="193"/>
      <c r="D48" s="193"/>
      <c r="E48" s="193"/>
      <c r="F48" s="193"/>
      <c r="G48" s="193"/>
      <c r="H48" s="193"/>
    </row>
    <row r="50" spans="1:10" x14ac:dyDescent="0.3">
      <c r="A50" s="170" t="s">
        <v>120</v>
      </c>
      <c r="B50" s="170" t="s">
        <v>121</v>
      </c>
      <c r="C50" s="170" t="s">
        <v>122</v>
      </c>
      <c r="D50" s="170" t="s">
        <v>123</v>
      </c>
      <c r="E50" s="170" t="s">
        <v>124</v>
      </c>
      <c r="F50" s="170" t="s">
        <v>125</v>
      </c>
      <c r="G50" s="170" t="s">
        <v>126</v>
      </c>
      <c r="H50" s="170" t="s">
        <v>127</v>
      </c>
    </row>
    <row r="51" spans="1:10" x14ac:dyDescent="0.3">
      <c r="A51" s="170"/>
      <c r="B51" s="170"/>
      <c r="C51" s="170"/>
      <c r="D51" s="170" t="s">
        <v>97</v>
      </c>
      <c r="E51" s="170"/>
      <c r="F51" s="170"/>
      <c r="G51" s="170"/>
      <c r="H51" s="170"/>
    </row>
    <row r="52" spans="1:10" x14ac:dyDescent="0.3">
      <c r="A52" s="18" t="s">
        <v>128</v>
      </c>
      <c r="B52" t="s">
        <v>132</v>
      </c>
      <c r="C52">
        <v>6</v>
      </c>
      <c r="D52">
        <v>0.5</v>
      </c>
      <c r="E52" s="32">
        <v>18000</v>
      </c>
      <c r="F52" s="28">
        <f>+E52*D52</f>
        <v>9000</v>
      </c>
      <c r="G52" s="32">
        <f>+C52*E52*12</f>
        <v>1296000</v>
      </c>
      <c r="H52" s="28">
        <f>+G52/12</f>
        <v>108000</v>
      </c>
    </row>
    <row r="53" spans="1:10" x14ac:dyDescent="0.3">
      <c r="A53" s="18" t="s">
        <v>129</v>
      </c>
      <c r="B53" t="s">
        <v>131</v>
      </c>
      <c r="C53">
        <v>7</v>
      </c>
      <c r="D53">
        <v>0.5</v>
      </c>
      <c r="E53" s="32">
        <v>58000</v>
      </c>
      <c r="F53" s="28">
        <f>+E53*D53</f>
        <v>29000</v>
      </c>
      <c r="G53" s="32">
        <f>+C53*E53*12</f>
        <v>4872000</v>
      </c>
      <c r="H53" s="28">
        <f>+G53/12</f>
        <v>406000</v>
      </c>
    </row>
    <row r="54" spans="1:10" x14ac:dyDescent="0.3">
      <c r="A54" s="18" t="s">
        <v>130</v>
      </c>
      <c r="B54" t="s">
        <v>133</v>
      </c>
      <c r="C54">
        <v>40</v>
      </c>
      <c r="D54">
        <v>0.3</v>
      </c>
      <c r="E54" s="32">
        <v>48000</v>
      </c>
      <c r="F54" s="28">
        <f>+E54*D54</f>
        <v>14400</v>
      </c>
      <c r="G54" s="32">
        <f>+C54*E54*12</f>
        <v>23040000</v>
      </c>
      <c r="H54" s="28">
        <f>+G54/12</f>
        <v>1920000</v>
      </c>
    </row>
    <row r="55" spans="1:10" x14ac:dyDescent="0.3">
      <c r="A55" s="39" t="s">
        <v>22</v>
      </c>
      <c r="B55" s="40"/>
      <c r="C55" s="40"/>
      <c r="D55" s="40"/>
      <c r="E55" s="40"/>
      <c r="F55" s="40">
        <f>SUM(F52:F54)</f>
        <v>52400</v>
      </c>
      <c r="G55" s="40">
        <f>SUM(G52:G54)</f>
        <v>29208000</v>
      </c>
      <c r="H55" s="40">
        <f>SUM(H52:H54)</f>
        <v>2434000</v>
      </c>
    </row>
    <row r="56" spans="1:10" x14ac:dyDescent="0.3">
      <c r="A56" s="39"/>
      <c r="B56" s="40"/>
      <c r="C56" s="40"/>
      <c r="D56" s="40"/>
      <c r="E56" s="40"/>
      <c r="F56" s="40"/>
      <c r="G56" s="40"/>
      <c r="H56" s="40"/>
    </row>
    <row r="57" spans="1:10" ht="15.6" x14ac:dyDescent="0.3">
      <c r="A57" s="193" t="s">
        <v>189</v>
      </c>
      <c r="B57" s="193"/>
      <c r="C57" s="193"/>
      <c r="D57" s="193"/>
      <c r="E57" s="193"/>
      <c r="F57" s="193"/>
      <c r="G57" s="193"/>
      <c r="H57" s="193"/>
    </row>
    <row r="58" spans="1:10" ht="14.4" customHeight="1" x14ac:dyDescent="0.3">
      <c r="A58" s="39"/>
      <c r="B58" s="40"/>
      <c r="C58" s="40"/>
      <c r="D58" s="40"/>
      <c r="E58" s="40"/>
      <c r="F58" s="40"/>
      <c r="G58" s="40"/>
      <c r="H58" s="40"/>
    </row>
    <row r="59" spans="1:10" x14ac:dyDescent="0.3">
      <c r="A59" s="170" t="s">
        <v>24</v>
      </c>
      <c r="B59" s="170" t="s">
        <v>121</v>
      </c>
      <c r="C59" s="170" t="s">
        <v>195</v>
      </c>
      <c r="D59" s="170" t="s">
        <v>196</v>
      </c>
      <c r="E59" s="170" t="s">
        <v>124</v>
      </c>
      <c r="F59" s="170" t="s">
        <v>125</v>
      </c>
      <c r="G59" s="170" t="s">
        <v>126</v>
      </c>
      <c r="H59" s="170" t="s">
        <v>127</v>
      </c>
    </row>
    <row r="60" spans="1:10" x14ac:dyDescent="0.3">
      <c r="A60" s="170"/>
      <c r="B60" s="170"/>
      <c r="C60" s="170"/>
      <c r="D60" s="170" t="s">
        <v>97</v>
      </c>
      <c r="E60" s="170"/>
      <c r="F60" s="170"/>
      <c r="G60" s="170"/>
      <c r="H60" s="170"/>
    </row>
    <row r="61" spans="1:10" x14ac:dyDescent="0.3">
      <c r="A61" t="s">
        <v>194</v>
      </c>
      <c r="B61" t="s">
        <v>197</v>
      </c>
      <c r="C61">
        <v>130</v>
      </c>
      <c r="D61">
        <v>300</v>
      </c>
      <c r="E61">
        <v>7800</v>
      </c>
      <c r="F61" s="33">
        <f>+D61*E61</f>
        <v>2340000</v>
      </c>
      <c r="G61" s="33">
        <f>+C61*F61*2</f>
        <v>608400000</v>
      </c>
      <c r="H61" s="33">
        <f>+G61/12</f>
        <v>50700000</v>
      </c>
      <c r="J61" s="28">
        <f>+G61/2</f>
        <v>304200000</v>
      </c>
    </row>
    <row r="62" spans="1:10" x14ac:dyDescent="0.3">
      <c r="A62" s="35" t="s">
        <v>22</v>
      </c>
      <c r="B62" s="35"/>
      <c r="C62" s="35"/>
      <c r="D62" s="35"/>
      <c r="E62" s="35"/>
      <c r="F62" s="65">
        <f>SUM(F61)</f>
        <v>2340000</v>
      </c>
      <c r="G62" s="65">
        <f>SUM(G61)</f>
        <v>608400000</v>
      </c>
      <c r="H62" s="65">
        <f>SUM(H61)</f>
        <v>50700000</v>
      </c>
    </row>
    <row r="65" spans="1:8" ht="15.6" x14ac:dyDescent="0.3">
      <c r="A65" s="193" t="s">
        <v>190</v>
      </c>
      <c r="B65" s="193"/>
      <c r="C65" s="193"/>
      <c r="D65" s="193"/>
      <c r="E65" s="193"/>
      <c r="F65" s="193"/>
      <c r="G65" s="193"/>
      <c r="H65" s="193"/>
    </row>
    <row r="67" spans="1:8" x14ac:dyDescent="0.3">
      <c r="A67" s="195" t="s">
        <v>90</v>
      </c>
      <c r="B67" s="195"/>
      <c r="C67" s="195" t="s">
        <v>135</v>
      </c>
      <c r="D67" s="195" t="s">
        <v>136</v>
      </c>
    </row>
    <row r="68" spans="1:8" x14ac:dyDescent="0.3">
      <c r="A68" s="195"/>
      <c r="B68" s="195"/>
      <c r="C68" s="195"/>
      <c r="D68" s="195"/>
    </row>
    <row r="69" spans="1:8" x14ac:dyDescent="0.3">
      <c r="A69" t="s">
        <v>137</v>
      </c>
      <c r="B69" s="26">
        <v>0.05</v>
      </c>
      <c r="C69" s="28">
        <f>+D69/12</f>
        <v>101736.66666666667</v>
      </c>
      <c r="D69" s="28">
        <f>+B69*(C26+C27)</f>
        <v>1220840</v>
      </c>
    </row>
    <row r="70" spans="1:8" x14ac:dyDescent="0.3">
      <c r="A70" t="s">
        <v>138</v>
      </c>
      <c r="B70" s="26">
        <v>0.01</v>
      </c>
      <c r="C70" s="28">
        <f>+D70/12</f>
        <v>48989</v>
      </c>
      <c r="D70" s="28">
        <f>+((C24*B34)+(C25*B35)+(C26*B36)+(C27*B37))*B70</f>
        <v>587868</v>
      </c>
    </row>
    <row r="71" spans="1:8" x14ac:dyDescent="0.3">
      <c r="A71" t="s">
        <v>139</v>
      </c>
      <c r="C71" s="28">
        <f t="shared" ref="C71:C79" si="0">+D71/12</f>
        <v>13927.083333333334</v>
      </c>
      <c r="D71" s="28">
        <f>+C42</f>
        <v>167125</v>
      </c>
    </row>
    <row r="72" spans="1:8" x14ac:dyDescent="0.3">
      <c r="A72" t="s">
        <v>140</v>
      </c>
      <c r="C72" s="28">
        <f t="shared" si="0"/>
        <v>87500</v>
      </c>
      <c r="D72" s="28">
        <f>+C43</f>
        <v>1050000</v>
      </c>
    </row>
    <row r="73" spans="1:8" x14ac:dyDescent="0.3">
      <c r="A73" t="s">
        <v>141</v>
      </c>
      <c r="C73" s="28">
        <f t="shared" si="0"/>
        <v>51403.333333333336</v>
      </c>
      <c r="D73" s="28">
        <f>+C44</f>
        <v>616840</v>
      </c>
    </row>
    <row r="74" spans="1:8" x14ac:dyDescent="0.3">
      <c r="A74" t="s">
        <v>142</v>
      </c>
      <c r="C74" s="28">
        <f t="shared" si="0"/>
        <v>201333.33333333334</v>
      </c>
      <c r="D74" s="28">
        <f>+C45</f>
        <v>2416000</v>
      </c>
    </row>
    <row r="75" spans="1:8" x14ac:dyDescent="0.3">
      <c r="A75" t="s">
        <v>79</v>
      </c>
      <c r="C75" s="28">
        <f>+INVERSIONES!C68+INVERSIONES!C69</f>
        <v>290000</v>
      </c>
      <c r="D75" s="28">
        <f>+C75*12</f>
        <v>3480000</v>
      </c>
    </row>
    <row r="76" spans="1:8" x14ac:dyDescent="0.3">
      <c r="A76" t="s">
        <v>192</v>
      </c>
      <c r="C76" s="28">
        <f t="shared" si="0"/>
        <v>1760000</v>
      </c>
      <c r="D76" s="28">
        <v>21120000</v>
      </c>
      <c r="E76" t="s">
        <v>244</v>
      </c>
    </row>
    <row r="77" spans="1:8" x14ac:dyDescent="0.3">
      <c r="A77" t="s">
        <v>191</v>
      </c>
      <c r="C77" s="28">
        <f t="shared" si="0"/>
        <v>2300000</v>
      </c>
      <c r="D77" s="28">
        <v>27600000</v>
      </c>
      <c r="E77" t="s">
        <v>244</v>
      </c>
    </row>
    <row r="78" spans="1:8" x14ac:dyDescent="0.3">
      <c r="A78" t="s">
        <v>193</v>
      </c>
      <c r="B78" t="s">
        <v>199</v>
      </c>
      <c r="C78" s="28">
        <f t="shared" si="0"/>
        <v>291666.66666666669</v>
      </c>
      <c r="D78" s="28">
        <v>3500000</v>
      </c>
      <c r="E78" t="s">
        <v>244</v>
      </c>
    </row>
    <row r="79" spans="1:8" x14ac:dyDescent="0.3">
      <c r="A79" t="s">
        <v>155</v>
      </c>
      <c r="C79" s="28">
        <f t="shared" si="0"/>
        <v>83333.333333333328</v>
      </c>
      <c r="D79" s="28">
        <v>1000000</v>
      </c>
      <c r="E79" t="s">
        <v>244</v>
      </c>
      <c r="G79" s="38">
        <f>SUM(D76:D79)</f>
        <v>53220000</v>
      </c>
    </row>
    <row r="80" spans="1:8" x14ac:dyDescent="0.3">
      <c r="A80" s="40" t="s">
        <v>22</v>
      </c>
      <c r="B80" s="40"/>
      <c r="C80" s="40">
        <f>SUM(C69:C79)</f>
        <v>5229889.416666667</v>
      </c>
      <c r="D80" s="40">
        <f>SUM(D69:D79)</f>
        <v>62758673</v>
      </c>
    </row>
    <row r="83" spans="1:8" x14ac:dyDescent="0.3">
      <c r="A83" s="194" t="s">
        <v>143</v>
      </c>
      <c r="B83" s="194"/>
      <c r="C83" s="194"/>
      <c r="D83" s="194"/>
      <c r="E83" s="194"/>
      <c r="F83" s="194"/>
      <c r="G83" s="194"/>
      <c r="H83" s="194"/>
    </row>
    <row r="86" spans="1:8" x14ac:dyDescent="0.3">
      <c r="A86" s="195" t="s">
        <v>90</v>
      </c>
      <c r="B86" s="195"/>
      <c r="C86" s="195" t="s">
        <v>135</v>
      </c>
      <c r="D86" s="195" t="s">
        <v>136</v>
      </c>
    </row>
    <row r="87" spans="1:8" x14ac:dyDescent="0.3">
      <c r="A87" s="195"/>
      <c r="B87" s="195"/>
      <c r="C87" s="195"/>
      <c r="D87" s="195"/>
    </row>
    <row r="88" spans="1:8" x14ac:dyDescent="0.3">
      <c r="A88" s="178" t="s">
        <v>146</v>
      </c>
      <c r="B88" s="178"/>
      <c r="C88" s="38">
        <f>+G17</f>
        <v>4756850.92</v>
      </c>
      <c r="D88" s="28">
        <f>+C88*12</f>
        <v>57082211.039999999</v>
      </c>
    </row>
    <row r="89" spans="1:8" x14ac:dyDescent="0.3">
      <c r="A89" s="178" t="s">
        <v>198</v>
      </c>
      <c r="B89" s="178"/>
      <c r="C89" s="38">
        <f>+D89/12</f>
        <v>50700000</v>
      </c>
      <c r="D89" s="28">
        <f>+G62</f>
        <v>608400000</v>
      </c>
    </row>
    <row r="90" spans="1:8" x14ac:dyDescent="0.3">
      <c r="A90" s="178" t="s">
        <v>119</v>
      </c>
      <c r="B90" s="178"/>
      <c r="C90" s="38">
        <f>+H55</f>
        <v>2434000</v>
      </c>
      <c r="D90" s="28">
        <f>+C90*12</f>
        <v>29208000</v>
      </c>
    </row>
    <row r="91" spans="1:8" x14ac:dyDescent="0.3">
      <c r="A91" s="178" t="s">
        <v>147</v>
      </c>
      <c r="B91" s="178"/>
      <c r="C91" s="38">
        <f>+C80</f>
        <v>5229889.416666667</v>
      </c>
      <c r="D91" s="28">
        <f>+C91*12</f>
        <v>62758673</v>
      </c>
    </row>
    <row r="92" spans="1:8" x14ac:dyDescent="0.3">
      <c r="A92" s="35" t="s">
        <v>22</v>
      </c>
      <c r="B92" s="35"/>
      <c r="C92" s="41">
        <f>SUM(C88:C91)</f>
        <v>63120740.336666666</v>
      </c>
      <c r="D92" s="41">
        <f>SUM(D88:D91)</f>
        <v>757448884.03999996</v>
      </c>
    </row>
    <row r="95" spans="1:8" ht="15.6" x14ac:dyDescent="0.3">
      <c r="A95" s="193" t="s">
        <v>148</v>
      </c>
      <c r="B95" s="193"/>
      <c r="C95" s="193"/>
      <c r="D95" s="193"/>
      <c r="E95" s="193"/>
      <c r="F95" s="193"/>
      <c r="G95" s="193"/>
      <c r="H95" s="193"/>
    </row>
    <row r="98" spans="1:10" x14ac:dyDescent="0.3">
      <c r="A98" s="170" t="s">
        <v>90</v>
      </c>
      <c r="B98" s="170" t="s">
        <v>91</v>
      </c>
      <c r="C98" s="170" t="s">
        <v>92</v>
      </c>
      <c r="D98" s="170" t="s">
        <v>93</v>
      </c>
      <c r="E98" s="170" t="s">
        <v>94</v>
      </c>
      <c r="F98" s="170" t="s">
        <v>95</v>
      </c>
      <c r="G98" s="170"/>
      <c r="H98" s="170" t="s">
        <v>96</v>
      </c>
    </row>
    <row r="99" spans="1:10" x14ac:dyDescent="0.3">
      <c r="A99" s="170"/>
      <c r="B99" s="170"/>
      <c r="C99" s="170"/>
      <c r="D99" s="170"/>
      <c r="E99" s="170"/>
      <c r="F99" s="2" t="s">
        <v>98</v>
      </c>
      <c r="G99" s="2" t="s">
        <v>22</v>
      </c>
      <c r="H99" s="170"/>
    </row>
    <row r="100" spans="1:10" x14ac:dyDescent="0.3">
      <c r="A100" t="s">
        <v>149</v>
      </c>
      <c r="B100">
        <v>1</v>
      </c>
      <c r="C100" s="21">
        <f>2600000*0.5</f>
        <v>1300000</v>
      </c>
      <c r="D100" s="31">
        <v>0</v>
      </c>
      <c r="E100" s="28">
        <f>+C100*B11</f>
        <v>814878.99999999988</v>
      </c>
      <c r="F100" s="32">
        <f>+C100+D100+E100</f>
        <v>2114879</v>
      </c>
      <c r="G100" s="28">
        <f>+F100*B100</f>
        <v>2114879</v>
      </c>
      <c r="H100" s="28">
        <f>+G100*12</f>
        <v>25378548</v>
      </c>
    </row>
    <row r="101" spans="1:10" x14ac:dyDescent="0.3">
      <c r="A101" s="35" t="s">
        <v>22</v>
      </c>
      <c r="B101" s="35">
        <f>SUM(B100)</f>
        <v>1</v>
      </c>
      <c r="C101" s="40">
        <f t="shared" ref="C101:H101" si="1">SUM(C100)</f>
        <v>1300000</v>
      </c>
      <c r="D101" s="40">
        <f t="shared" si="1"/>
        <v>0</v>
      </c>
      <c r="E101" s="40">
        <f t="shared" si="1"/>
        <v>814878.99999999988</v>
      </c>
      <c r="F101" s="40">
        <f t="shared" si="1"/>
        <v>2114879</v>
      </c>
      <c r="G101" s="40">
        <f t="shared" si="1"/>
        <v>2114879</v>
      </c>
      <c r="H101" s="40">
        <f t="shared" si="1"/>
        <v>25378548</v>
      </c>
    </row>
    <row r="104" spans="1:10" x14ac:dyDescent="0.3">
      <c r="A104" s="194" t="s">
        <v>150</v>
      </c>
      <c r="B104" s="194"/>
      <c r="C104" s="194"/>
      <c r="D104" s="194"/>
      <c r="E104" s="194"/>
      <c r="F104" s="194"/>
      <c r="G104" s="194"/>
      <c r="H104" s="194"/>
    </row>
    <row r="107" spans="1:10" x14ac:dyDescent="0.3">
      <c r="A107" s="195" t="s">
        <v>90</v>
      </c>
      <c r="B107" s="195"/>
      <c r="C107" s="195" t="s">
        <v>135</v>
      </c>
      <c r="D107" s="195" t="s">
        <v>136</v>
      </c>
    </row>
    <row r="108" spans="1:10" x14ac:dyDescent="0.3">
      <c r="A108" s="195"/>
      <c r="B108" s="195"/>
      <c r="C108" s="195"/>
      <c r="D108" s="195"/>
    </row>
    <row r="109" spans="1:10" x14ac:dyDescent="0.3">
      <c r="A109" t="s">
        <v>137</v>
      </c>
      <c r="B109" s="26">
        <v>0.05</v>
      </c>
      <c r="C109" s="28">
        <f t="shared" ref="C109:C114" si="2">+D109/12</f>
        <v>298.43750000000006</v>
      </c>
      <c r="D109" s="28">
        <f>+B109*(D42)</f>
        <v>3581.2500000000009</v>
      </c>
      <c r="G109" s="18"/>
      <c r="H109" s="42"/>
      <c r="I109" s="43"/>
      <c r="J109" s="43"/>
    </row>
    <row r="110" spans="1:10" x14ac:dyDescent="0.3">
      <c r="A110" t="s">
        <v>138</v>
      </c>
      <c r="B110" s="26">
        <v>0.01</v>
      </c>
      <c r="C110" s="28">
        <f t="shared" si="2"/>
        <v>4775.0000000000009</v>
      </c>
      <c r="D110" s="28">
        <f>+((C24*C34))*B110</f>
        <v>57300.000000000007</v>
      </c>
      <c r="G110" s="18"/>
      <c r="H110" s="18"/>
      <c r="I110" s="43"/>
      <c r="J110" s="43"/>
    </row>
    <row r="111" spans="1:10" x14ac:dyDescent="0.3">
      <c r="A111" t="s">
        <v>139</v>
      </c>
      <c r="C111" s="28">
        <f t="shared" si="2"/>
        <v>5968.7500000000009</v>
      </c>
      <c r="D111" s="33">
        <f>+D42</f>
        <v>71625.000000000015</v>
      </c>
    </row>
    <row r="112" spans="1:10" x14ac:dyDescent="0.3">
      <c r="A112" t="s">
        <v>140</v>
      </c>
      <c r="C112" s="28">
        <f t="shared" si="2"/>
        <v>0</v>
      </c>
      <c r="D112" s="33">
        <f>+D43</f>
        <v>0</v>
      </c>
    </row>
    <row r="113" spans="1:8" x14ac:dyDescent="0.3">
      <c r="A113" t="s">
        <v>141</v>
      </c>
      <c r="C113" s="28">
        <f t="shared" si="2"/>
        <v>0</v>
      </c>
      <c r="D113" s="33">
        <f>+D44</f>
        <v>0</v>
      </c>
    </row>
    <row r="114" spans="1:8" x14ac:dyDescent="0.3">
      <c r="A114" t="s">
        <v>142</v>
      </c>
      <c r="C114" s="28">
        <f t="shared" si="2"/>
        <v>0</v>
      </c>
      <c r="D114" s="33">
        <f>+D45</f>
        <v>0</v>
      </c>
    </row>
    <row r="115" spans="1:8" x14ac:dyDescent="0.3">
      <c r="A115" t="s">
        <v>79</v>
      </c>
      <c r="C115" s="28">
        <f>+INVERSIONES!D68+INVERSIONES!D69</f>
        <v>109999.99999999999</v>
      </c>
      <c r="D115" s="33">
        <f>+C115*12</f>
        <v>1319999.9999999998</v>
      </c>
    </row>
    <row r="116" spans="1:8" x14ac:dyDescent="0.3">
      <c r="A116" s="18" t="s">
        <v>151</v>
      </c>
      <c r="B116" t="s">
        <v>153</v>
      </c>
      <c r="C116" s="28">
        <f>+D116/12</f>
        <v>25000</v>
      </c>
      <c r="D116" s="28">
        <v>300000</v>
      </c>
    </row>
    <row r="117" spans="1:8" x14ac:dyDescent="0.3">
      <c r="A117" s="18" t="s">
        <v>152</v>
      </c>
      <c r="B117" t="s">
        <v>153</v>
      </c>
      <c r="C117" s="28">
        <f>+D117/12</f>
        <v>50000</v>
      </c>
      <c r="D117" s="28">
        <v>600000</v>
      </c>
    </row>
    <row r="118" spans="1:8" x14ac:dyDescent="0.3">
      <c r="A118" t="s">
        <v>154</v>
      </c>
      <c r="C118" s="28">
        <f>+D118/12</f>
        <v>529333.33333333337</v>
      </c>
      <c r="D118" s="28">
        <f>+INVERSIONES!D56</f>
        <v>6352000</v>
      </c>
    </row>
    <row r="119" spans="1:8" x14ac:dyDescent="0.3">
      <c r="A119" t="s">
        <v>156</v>
      </c>
      <c r="C119" s="28">
        <f>+D119/12</f>
        <v>50000</v>
      </c>
      <c r="D119" s="28">
        <v>600000</v>
      </c>
    </row>
    <row r="120" spans="1:8" x14ac:dyDescent="0.3">
      <c r="A120" s="35" t="s">
        <v>22</v>
      </c>
      <c r="B120" s="35"/>
      <c r="C120" s="41">
        <f>SUM(C109:C119)</f>
        <v>775375.52083333337</v>
      </c>
      <c r="D120" s="41">
        <f>SUM(D109:D119)</f>
        <v>9304506.25</v>
      </c>
    </row>
    <row r="123" spans="1:8" x14ac:dyDescent="0.3">
      <c r="A123" s="194" t="s">
        <v>157</v>
      </c>
      <c r="B123" s="194"/>
      <c r="C123" s="194"/>
      <c r="D123" s="194"/>
      <c r="E123" s="194"/>
      <c r="F123" s="194"/>
      <c r="G123" s="194"/>
      <c r="H123" s="194"/>
    </row>
    <row r="125" spans="1:8" x14ac:dyDescent="0.3">
      <c r="A125" s="170" t="s">
        <v>90</v>
      </c>
      <c r="B125" s="170" t="s">
        <v>91</v>
      </c>
      <c r="C125" s="170" t="s">
        <v>92</v>
      </c>
      <c r="D125" s="170" t="s">
        <v>93</v>
      </c>
      <c r="E125" s="170" t="s">
        <v>94</v>
      </c>
      <c r="F125" s="170" t="s">
        <v>95</v>
      </c>
      <c r="G125" s="170"/>
      <c r="H125" s="170" t="s">
        <v>96</v>
      </c>
    </row>
    <row r="126" spans="1:8" x14ac:dyDescent="0.3">
      <c r="A126" s="170"/>
      <c r="B126" s="170"/>
      <c r="C126" s="170"/>
      <c r="D126" s="170"/>
      <c r="E126" s="170"/>
      <c r="F126" s="2" t="s">
        <v>98</v>
      </c>
      <c r="G126" s="2" t="s">
        <v>22</v>
      </c>
      <c r="H126" s="170"/>
    </row>
    <row r="127" spans="1:8" x14ac:dyDescent="0.3">
      <c r="A127" t="s">
        <v>158</v>
      </c>
      <c r="B127">
        <v>1</v>
      </c>
      <c r="C127" s="21">
        <f>2600000*0.2</f>
        <v>520000</v>
      </c>
      <c r="D127" s="31">
        <v>0</v>
      </c>
      <c r="E127" s="28">
        <f>+C127*B11</f>
        <v>325951.59999999992</v>
      </c>
      <c r="F127" s="32">
        <f>+C127+D127+E127</f>
        <v>845951.59999999986</v>
      </c>
      <c r="G127" s="28">
        <f>+F127*B127</f>
        <v>845951.59999999986</v>
      </c>
      <c r="H127" s="28">
        <f>+G127*12</f>
        <v>10151419.199999999</v>
      </c>
    </row>
    <row r="128" spans="1:8" x14ac:dyDescent="0.3">
      <c r="A128" s="35" t="s">
        <v>22</v>
      </c>
      <c r="B128" s="35">
        <f t="shared" ref="B128:H128" si="3">SUM(B127)</f>
        <v>1</v>
      </c>
      <c r="C128" s="40">
        <f t="shared" si="3"/>
        <v>520000</v>
      </c>
      <c r="D128" s="40">
        <f t="shared" si="3"/>
        <v>0</v>
      </c>
      <c r="E128" s="40">
        <f t="shared" si="3"/>
        <v>325951.59999999992</v>
      </c>
      <c r="F128" s="40">
        <f t="shared" si="3"/>
        <v>845951.59999999986</v>
      </c>
      <c r="G128" s="40">
        <f t="shared" si="3"/>
        <v>845951.59999999986</v>
      </c>
      <c r="H128" s="40">
        <f t="shared" si="3"/>
        <v>10151419.199999999</v>
      </c>
    </row>
    <row r="130" spans="1:8" x14ac:dyDescent="0.3">
      <c r="A130" s="194" t="s">
        <v>159</v>
      </c>
      <c r="B130" s="194"/>
      <c r="C130" s="194"/>
      <c r="D130" s="194"/>
      <c r="E130" s="194"/>
      <c r="F130" s="194"/>
      <c r="G130" s="194"/>
      <c r="H130" s="194"/>
    </row>
    <row r="132" spans="1:8" x14ac:dyDescent="0.3">
      <c r="A132" s="195" t="s">
        <v>90</v>
      </c>
      <c r="B132" s="195"/>
      <c r="C132" s="195" t="s">
        <v>135</v>
      </c>
      <c r="D132" s="195" t="s">
        <v>136</v>
      </c>
    </row>
    <row r="133" spans="1:8" x14ac:dyDescent="0.3">
      <c r="A133" s="195"/>
      <c r="B133" s="195"/>
      <c r="C133" s="195"/>
      <c r="D133" s="195"/>
    </row>
    <row r="134" spans="1:8" x14ac:dyDescent="0.3">
      <c r="A134" t="s">
        <v>148</v>
      </c>
      <c r="C134" s="28">
        <f>+D134/12</f>
        <v>2114879</v>
      </c>
      <c r="D134" s="38">
        <f>+H101</f>
        <v>25378548</v>
      </c>
    </row>
    <row r="135" spans="1:8" x14ac:dyDescent="0.3">
      <c r="A135" t="s">
        <v>157</v>
      </c>
      <c r="C135" s="28">
        <f>+D135/12</f>
        <v>845951.6</v>
      </c>
      <c r="D135" s="38">
        <f>+H128</f>
        <v>10151419.199999999</v>
      </c>
    </row>
    <row r="136" spans="1:8" x14ac:dyDescent="0.3">
      <c r="A136" t="s">
        <v>150</v>
      </c>
      <c r="C136" s="28">
        <f>+D136/12</f>
        <v>775375.52083333337</v>
      </c>
      <c r="D136" s="38">
        <f>+D120</f>
        <v>9304506.25</v>
      </c>
    </row>
    <row r="137" spans="1:8" x14ac:dyDescent="0.3">
      <c r="A137" s="35" t="s">
        <v>22</v>
      </c>
      <c r="B137" s="35"/>
      <c r="C137" s="41">
        <f>SUM(C134:C136)</f>
        <v>3736206.1208333336</v>
      </c>
      <c r="D137" s="41">
        <f>SUM(D134:D136)</f>
        <v>44834473.450000003</v>
      </c>
    </row>
    <row r="140" spans="1:8" x14ac:dyDescent="0.3">
      <c r="A140" s="194" t="s">
        <v>160</v>
      </c>
      <c r="B140" s="194"/>
      <c r="C140" s="194"/>
      <c r="D140" s="194"/>
      <c r="E140" s="194"/>
      <c r="F140" s="194"/>
      <c r="G140" s="194"/>
      <c r="H140" s="194"/>
    </row>
    <row r="142" spans="1:8" x14ac:dyDescent="0.3">
      <c r="A142" s="195" t="s">
        <v>160</v>
      </c>
      <c r="B142" s="195"/>
      <c r="C142" s="195" t="s">
        <v>178</v>
      </c>
    </row>
    <row r="143" spans="1:8" x14ac:dyDescent="0.3">
      <c r="A143" s="195"/>
      <c r="B143" s="195"/>
      <c r="C143" s="195" t="s">
        <v>97</v>
      </c>
    </row>
    <row r="144" spans="1:8" x14ac:dyDescent="0.3">
      <c r="A144" s="178" t="s">
        <v>179</v>
      </c>
      <c r="B144" s="178"/>
      <c r="C144" s="38">
        <f>+CREDITO!D14</f>
        <v>4647218.3749658335</v>
      </c>
    </row>
    <row r="145" spans="1:8" x14ac:dyDescent="0.3">
      <c r="A145" s="178" t="s">
        <v>180</v>
      </c>
      <c r="B145" s="178"/>
      <c r="C145" s="38">
        <f>+CREDITO!D15</f>
        <v>4291201.7796601346</v>
      </c>
    </row>
    <row r="146" spans="1:8" x14ac:dyDescent="0.3">
      <c r="A146" s="178" t="s">
        <v>186</v>
      </c>
      <c r="B146" s="178"/>
      <c r="C146" s="38">
        <f>+CREDITO!D16</f>
        <v>3929785.5993256317</v>
      </c>
    </row>
    <row r="147" spans="1:8" x14ac:dyDescent="0.3">
      <c r="A147" s="178" t="s">
        <v>183</v>
      </c>
      <c r="B147" s="178"/>
      <c r="C147" s="38">
        <f>+CREDITO!D17</f>
        <v>3562887.9402560559</v>
      </c>
    </row>
    <row r="148" spans="1:8" x14ac:dyDescent="0.3">
      <c r="A148" s="178" t="s">
        <v>184</v>
      </c>
      <c r="B148" s="178"/>
      <c r="C148" s="38">
        <f>+CREDITO!D18</f>
        <v>3190425.6666905917</v>
      </c>
    </row>
    <row r="149" spans="1:8" x14ac:dyDescent="0.3">
      <c r="A149" s="178" t="s">
        <v>185</v>
      </c>
      <c r="B149" s="178"/>
      <c r="C149" s="38">
        <f>+CREDITO!D19</f>
        <v>2812314.3819760513</v>
      </c>
    </row>
    <row r="151" spans="1:8" x14ac:dyDescent="0.3">
      <c r="A151" t="s">
        <v>181</v>
      </c>
      <c r="D151">
        <v>6</v>
      </c>
      <c r="E151" t="s">
        <v>182</v>
      </c>
    </row>
    <row r="154" spans="1:8" x14ac:dyDescent="0.3">
      <c r="A154" s="194" t="s">
        <v>187</v>
      </c>
      <c r="B154" s="194"/>
      <c r="C154" s="194"/>
      <c r="D154" s="194"/>
      <c r="E154" s="194"/>
      <c r="F154" s="194"/>
      <c r="G154" s="194"/>
      <c r="H154" s="194"/>
    </row>
    <row r="156" spans="1:8" x14ac:dyDescent="0.3">
      <c r="A156" s="195" t="s">
        <v>187</v>
      </c>
      <c r="B156" s="195"/>
      <c r="C156" s="195" t="s">
        <v>178</v>
      </c>
      <c r="D156" s="195" t="s">
        <v>188</v>
      </c>
    </row>
    <row r="157" spans="1:8" x14ac:dyDescent="0.3">
      <c r="A157" s="195"/>
      <c r="B157" s="195"/>
      <c r="C157" s="195" t="s">
        <v>97</v>
      </c>
      <c r="D157" s="195"/>
    </row>
    <row r="158" spans="1:8" x14ac:dyDescent="0.3">
      <c r="A158" s="178" t="s">
        <v>200</v>
      </c>
      <c r="B158" s="178"/>
      <c r="C158" s="38">
        <f>+C92</f>
        <v>63120740.336666666</v>
      </c>
      <c r="D158" s="28">
        <f>+C158*$D$151</f>
        <v>378724442.01999998</v>
      </c>
    </row>
    <row r="159" spans="1:8" x14ac:dyDescent="0.3">
      <c r="A159" s="178" t="s">
        <v>201</v>
      </c>
      <c r="B159" s="178"/>
      <c r="C159" s="38">
        <f>+C137</f>
        <v>3736206.1208333336</v>
      </c>
      <c r="D159" s="28">
        <f>+C159*$D$151</f>
        <v>22417236.725000001</v>
      </c>
    </row>
    <row r="160" spans="1:8" x14ac:dyDescent="0.3">
      <c r="A160" s="178" t="s">
        <v>202</v>
      </c>
      <c r="B160" s="178"/>
      <c r="C160" s="38">
        <f>+D160/12</f>
        <v>304560.75</v>
      </c>
      <c r="D160" s="28">
        <f>+PROYECCIONES!C28</f>
        <v>3654729</v>
      </c>
    </row>
    <row r="161" spans="1:8" x14ac:dyDescent="0.3">
      <c r="A161" s="178" t="s">
        <v>203</v>
      </c>
      <c r="B161" s="178"/>
      <c r="C161" s="38">
        <f>+C111+C112+C113+C118+C114+C71+C72+C73+C74</f>
        <v>889465.83333333349</v>
      </c>
      <c r="D161" s="28">
        <f>+C161*$D$151</f>
        <v>5336795.0000000009</v>
      </c>
    </row>
    <row r="162" spans="1:8" x14ac:dyDescent="0.3">
      <c r="A162" s="191" t="s">
        <v>22</v>
      </c>
      <c r="B162" s="191"/>
      <c r="C162" s="41">
        <f>SUM(C158:C161)</f>
        <v>68050973.040833324</v>
      </c>
      <c r="D162" s="41">
        <f>SUM(D158:D161)</f>
        <v>410133202.745</v>
      </c>
    </row>
    <row r="165" spans="1:8" x14ac:dyDescent="0.3">
      <c r="A165" s="194" t="s">
        <v>222</v>
      </c>
      <c r="B165" s="194"/>
      <c r="C165" s="194"/>
      <c r="D165" s="194"/>
      <c r="E165" s="194"/>
      <c r="F165" s="194"/>
      <c r="G165" s="194"/>
      <c r="H165" s="194"/>
    </row>
    <row r="167" spans="1:8" x14ac:dyDescent="0.3">
      <c r="A167" s="195" t="s">
        <v>222</v>
      </c>
      <c r="B167" s="195"/>
      <c r="C167" s="195" t="s">
        <v>80</v>
      </c>
    </row>
    <row r="168" spans="1:8" x14ac:dyDescent="0.3">
      <c r="A168" s="195"/>
      <c r="B168" s="195"/>
      <c r="C168" s="195" t="s">
        <v>97</v>
      </c>
    </row>
    <row r="169" spans="1:8" x14ac:dyDescent="0.3">
      <c r="A169" s="178" t="s">
        <v>39</v>
      </c>
      <c r="B169" s="178"/>
      <c r="C169" s="21">
        <f>+INVERSIONES!C40</f>
        <v>64516800</v>
      </c>
    </row>
    <row r="170" spans="1:8" x14ac:dyDescent="0.3">
      <c r="A170" s="178" t="s">
        <v>62</v>
      </c>
      <c r="B170" s="178"/>
      <c r="C170" s="221">
        <f>+INVERSIONES!D54</f>
        <v>31760000</v>
      </c>
    </row>
    <row r="171" spans="1:8" x14ac:dyDescent="0.3">
      <c r="A171" s="178" t="s">
        <v>223</v>
      </c>
      <c r="B171" s="178"/>
      <c r="C171" s="31">
        <f>+D162</f>
        <v>410133202.745</v>
      </c>
    </row>
    <row r="172" spans="1:8" x14ac:dyDescent="0.3">
      <c r="A172" s="191" t="s">
        <v>22</v>
      </c>
      <c r="B172" s="191"/>
      <c r="C172" s="34">
        <f>SUM(C169:C171)</f>
        <v>506410002.745</v>
      </c>
    </row>
    <row r="175" spans="1:8" x14ac:dyDescent="0.3">
      <c r="A175" s="77" t="s">
        <v>165</v>
      </c>
      <c r="B175" s="78">
        <f>+C172</f>
        <v>506410002.745</v>
      </c>
      <c r="C175" s="192" t="s">
        <v>224</v>
      </c>
      <c r="D175" s="192"/>
    </row>
    <row r="176" spans="1:8" x14ac:dyDescent="0.3">
      <c r="A176" s="79" t="s">
        <v>227</v>
      </c>
      <c r="B176" s="80">
        <v>200000000</v>
      </c>
      <c r="C176" s="81">
        <f>B176/B175</f>
        <v>0.39493690668805553</v>
      </c>
      <c r="D176" s="82" t="s">
        <v>352</v>
      </c>
    </row>
    <row r="177" spans="1:4" x14ac:dyDescent="0.3">
      <c r="A177" s="79" t="s">
        <v>225</v>
      </c>
      <c r="B177" s="83">
        <f>B175-SUM(B176)</f>
        <v>306410002.745</v>
      </c>
      <c r="C177" s="81">
        <f>B177/B175</f>
        <v>0.60506309331194452</v>
      </c>
      <c r="D177" s="82" t="s">
        <v>226</v>
      </c>
    </row>
    <row r="178" spans="1:4" x14ac:dyDescent="0.3">
      <c r="A178" s="84"/>
      <c r="B178" s="85"/>
      <c r="C178" s="84"/>
      <c r="D178" s="84"/>
    </row>
  </sheetData>
  <mergeCells count="107">
    <mergeCell ref="A172:B172"/>
    <mergeCell ref="D2:D3"/>
    <mergeCell ref="F15:G15"/>
    <mergeCell ref="A1:H1"/>
    <mergeCell ref="A20:H20"/>
    <mergeCell ref="C22:C23"/>
    <mergeCell ref="D22:D23"/>
    <mergeCell ref="E22:E23"/>
    <mergeCell ref="F22:F23"/>
    <mergeCell ref="A15:A16"/>
    <mergeCell ref="B15:B16"/>
    <mergeCell ref="C15:C16"/>
    <mergeCell ref="D15:D16"/>
    <mergeCell ref="E15:E16"/>
    <mergeCell ref="H15:H16"/>
    <mergeCell ref="A40:A41"/>
    <mergeCell ref="B40:B41"/>
    <mergeCell ref="C40:D40"/>
    <mergeCell ref="A27:B27"/>
    <mergeCell ref="A28:B28"/>
    <mergeCell ref="A32:A33"/>
    <mergeCell ref="A31:C31"/>
    <mergeCell ref="G22:G23"/>
    <mergeCell ref="H22:H23"/>
    <mergeCell ref="A22:B23"/>
    <mergeCell ref="A26:B26"/>
    <mergeCell ref="A24:B24"/>
    <mergeCell ref="A25:B25"/>
    <mergeCell ref="A83:H83"/>
    <mergeCell ref="A86:B87"/>
    <mergeCell ref="C86:C87"/>
    <mergeCell ref="D86:D87"/>
    <mergeCell ref="A65:H65"/>
    <mergeCell ref="A67:B68"/>
    <mergeCell ref="C67:C68"/>
    <mergeCell ref="D67:D68"/>
    <mergeCell ref="A48:H48"/>
    <mergeCell ref="A50:A51"/>
    <mergeCell ref="B50:B51"/>
    <mergeCell ref="C50:C51"/>
    <mergeCell ref="D50:D51"/>
    <mergeCell ref="E50:E51"/>
    <mergeCell ref="F50:F51"/>
    <mergeCell ref="G50:G51"/>
    <mergeCell ref="H50:H51"/>
    <mergeCell ref="H98:H99"/>
    <mergeCell ref="A104:H104"/>
    <mergeCell ref="A107:B108"/>
    <mergeCell ref="C107:C108"/>
    <mergeCell ref="D107:D108"/>
    <mergeCell ref="A123:H123"/>
    <mergeCell ref="A88:B88"/>
    <mergeCell ref="A90:B90"/>
    <mergeCell ref="A91:B91"/>
    <mergeCell ref="A95:H95"/>
    <mergeCell ref="A98:A99"/>
    <mergeCell ref="B98:B99"/>
    <mergeCell ref="C98:C99"/>
    <mergeCell ref="D98:D99"/>
    <mergeCell ref="E98:E99"/>
    <mergeCell ref="F98:G98"/>
    <mergeCell ref="H125:H126"/>
    <mergeCell ref="A130:H130"/>
    <mergeCell ref="A132:B133"/>
    <mergeCell ref="C132:C133"/>
    <mergeCell ref="D132:D133"/>
    <mergeCell ref="A140:H140"/>
    <mergeCell ref="A125:A126"/>
    <mergeCell ref="B125:B126"/>
    <mergeCell ref="C125:C126"/>
    <mergeCell ref="D125:D126"/>
    <mergeCell ref="E125:E126"/>
    <mergeCell ref="F125:G125"/>
    <mergeCell ref="A154:H154"/>
    <mergeCell ref="A156:B157"/>
    <mergeCell ref="C156:C157"/>
    <mergeCell ref="D156:D157"/>
    <mergeCell ref="A142:B143"/>
    <mergeCell ref="C142:C143"/>
    <mergeCell ref="A144:B144"/>
    <mergeCell ref="A145:B145"/>
    <mergeCell ref="A146:B146"/>
    <mergeCell ref="A147:B147"/>
    <mergeCell ref="A169:B169"/>
    <mergeCell ref="A170:B170"/>
    <mergeCell ref="A171:B171"/>
    <mergeCell ref="C175:D175"/>
    <mergeCell ref="G59:G60"/>
    <mergeCell ref="H59:H60"/>
    <mergeCell ref="A57:H57"/>
    <mergeCell ref="A89:B89"/>
    <mergeCell ref="A165:H165"/>
    <mergeCell ref="A167:B168"/>
    <mergeCell ref="C167:C168"/>
    <mergeCell ref="C59:C60"/>
    <mergeCell ref="D59:D60"/>
    <mergeCell ref="E59:E60"/>
    <mergeCell ref="F59:F60"/>
    <mergeCell ref="A158:B158"/>
    <mergeCell ref="A159:B159"/>
    <mergeCell ref="A160:B160"/>
    <mergeCell ref="A161:B161"/>
    <mergeCell ref="A162:B162"/>
    <mergeCell ref="A59:A60"/>
    <mergeCell ref="B59:B60"/>
    <mergeCell ref="A148:B148"/>
    <mergeCell ref="A149:B149"/>
  </mergeCells>
  <phoneticPr fontId="11" type="noConversion"/>
  <pageMargins left="0.7" right="0.7" top="0.75" bottom="0.75" header="0.3" footer="0.3"/>
  <pageSetup paperSize="9" orientation="portrait" r:id="rId1"/>
  <ignoredErrors>
    <ignoredError sqref="D89 C7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A2231-5260-474D-912E-8EDA7480F12C}">
  <dimension ref="A1:G45"/>
  <sheetViews>
    <sheetView topLeftCell="A19" workbookViewId="0">
      <selection activeCell="B15" sqref="B15"/>
    </sheetView>
  </sheetViews>
  <sheetFormatPr baseColWidth="10" defaultRowHeight="14.4" x14ac:dyDescent="0.3"/>
  <cols>
    <col min="1" max="1" width="53.5546875" customWidth="1"/>
    <col min="2" max="2" width="16.44140625" bestFit="1" customWidth="1"/>
    <col min="3" max="3" width="18.21875" bestFit="1" customWidth="1"/>
    <col min="7" max="7" width="14.33203125" bestFit="1" customWidth="1"/>
  </cols>
  <sheetData>
    <row r="1" spans="1:7" x14ac:dyDescent="0.3">
      <c r="A1" s="194" t="s">
        <v>246</v>
      </c>
      <c r="B1" s="194"/>
      <c r="C1" s="194"/>
      <c r="D1" s="194"/>
      <c r="E1" s="194"/>
      <c r="F1" s="194"/>
    </row>
    <row r="3" spans="1:7" x14ac:dyDescent="0.3">
      <c r="A3" t="s">
        <v>247</v>
      </c>
      <c r="B3">
        <v>260</v>
      </c>
    </row>
    <row r="5" spans="1:7" x14ac:dyDescent="0.3">
      <c r="A5" s="194" t="s">
        <v>228</v>
      </c>
      <c r="B5" s="194"/>
      <c r="C5" s="194"/>
      <c r="D5" s="194"/>
      <c r="E5" s="194"/>
      <c r="F5" s="194"/>
    </row>
    <row r="7" spans="1:7" x14ac:dyDescent="0.3">
      <c r="A7" s="195" t="s">
        <v>229</v>
      </c>
      <c r="B7" s="195" t="s">
        <v>136</v>
      </c>
    </row>
    <row r="8" spans="1:7" x14ac:dyDescent="0.3">
      <c r="A8" s="195"/>
      <c r="B8" s="195" t="s">
        <v>97</v>
      </c>
    </row>
    <row r="9" spans="1:7" x14ac:dyDescent="0.3">
      <c r="A9" t="s">
        <v>144</v>
      </c>
      <c r="B9" s="28">
        <f>+'COSTOS Y GASTOS'!D88</f>
        <v>57082211.039999999</v>
      </c>
    </row>
    <row r="10" spans="1:7" x14ac:dyDescent="0.3">
      <c r="A10" t="s">
        <v>230</v>
      </c>
      <c r="B10" s="28">
        <f>+INVERSIONES!F69</f>
        <v>600000</v>
      </c>
    </row>
    <row r="11" spans="1:7" x14ac:dyDescent="0.3">
      <c r="A11" t="s">
        <v>231</v>
      </c>
      <c r="B11" s="28">
        <f>+'COSTOS Y GASTOS'!D71+'COSTOS Y GASTOS'!D72+'COSTOS Y GASTOS'!D73+'COSTOS Y GASTOS'!D74</f>
        <v>4249965</v>
      </c>
    </row>
    <row r="12" spans="1:7" x14ac:dyDescent="0.3">
      <c r="A12" t="s">
        <v>232</v>
      </c>
      <c r="B12" s="28">
        <f>+'COSTOS Y GASTOS'!D69</f>
        <v>1220840</v>
      </c>
      <c r="G12" s="38">
        <f>SUM(B10:B13)</f>
        <v>6658673</v>
      </c>
    </row>
    <row r="13" spans="1:7" x14ac:dyDescent="0.3">
      <c r="A13" t="s">
        <v>233</v>
      </c>
      <c r="B13" s="28">
        <f>+'COSTOS Y GASTOS'!D70</f>
        <v>587868</v>
      </c>
    </row>
    <row r="14" spans="1:7" x14ac:dyDescent="0.3">
      <c r="A14" t="s">
        <v>234</v>
      </c>
      <c r="B14" s="28">
        <v>0</v>
      </c>
    </row>
    <row r="15" spans="1:7" x14ac:dyDescent="0.3">
      <c r="A15" t="s">
        <v>235</v>
      </c>
      <c r="B15" s="28">
        <f>+'COSTOS Y GASTOS'!D137</f>
        <v>44834473.450000003</v>
      </c>
    </row>
    <row r="16" spans="1:7" x14ac:dyDescent="0.3">
      <c r="A16" s="35" t="s">
        <v>22</v>
      </c>
      <c r="B16" s="41">
        <f>SUM(B9:B15)</f>
        <v>108575357.49000001</v>
      </c>
    </row>
    <row r="19" spans="1:6" x14ac:dyDescent="0.3">
      <c r="A19" s="194" t="s">
        <v>236</v>
      </c>
      <c r="B19" s="194"/>
      <c r="C19" s="194"/>
      <c r="D19" s="194"/>
      <c r="E19" s="194"/>
      <c r="F19" s="194"/>
    </row>
    <row r="21" spans="1:6" x14ac:dyDescent="0.3">
      <c r="A21" s="195" t="s">
        <v>237</v>
      </c>
      <c r="B21" s="195" t="s">
        <v>136</v>
      </c>
    </row>
    <row r="22" spans="1:6" x14ac:dyDescent="0.3">
      <c r="A22" s="195"/>
      <c r="B22" s="195" t="s">
        <v>97</v>
      </c>
    </row>
    <row r="23" spans="1:6" x14ac:dyDescent="0.3">
      <c r="A23" t="s">
        <v>145</v>
      </c>
      <c r="B23" s="37">
        <f>+'COSTOS Y GASTOS'!G55</f>
        <v>29208000</v>
      </c>
    </row>
    <row r="24" spans="1:6" x14ac:dyDescent="0.3">
      <c r="A24" t="s">
        <v>245</v>
      </c>
      <c r="B24" s="37">
        <f>+'COSTOS Y GASTOS'!G62</f>
        <v>608400000</v>
      </c>
    </row>
    <row r="25" spans="1:6" x14ac:dyDescent="0.3">
      <c r="A25" t="s">
        <v>238</v>
      </c>
      <c r="B25" s="37">
        <f>+'COSTOS Y GASTOS'!D76+'COSTOS Y GASTOS'!D77+'COSTOS Y GASTOS'!D78+'COSTOS Y GASTOS'!D79</f>
        <v>53220000</v>
      </c>
    </row>
    <row r="26" spans="1:6" x14ac:dyDescent="0.3">
      <c r="A26" t="s">
        <v>239</v>
      </c>
      <c r="B26" s="37">
        <f>+INVERSIONES!F68</f>
        <v>2880000</v>
      </c>
    </row>
    <row r="27" spans="1:6" x14ac:dyDescent="0.3">
      <c r="A27" t="s">
        <v>22</v>
      </c>
      <c r="B27" s="37">
        <f>SUM(B23:B26)</f>
        <v>693708000</v>
      </c>
    </row>
    <row r="30" spans="1:6" x14ac:dyDescent="0.3">
      <c r="A30" s="194" t="s">
        <v>240</v>
      </c>
      <c r="B30" s="194"/>
      <c r="C30" s="194"/>
      <c r="D30" s="194"/>
      <c r="E30" s="194"/>
      <c r="F30" s="194"/>
    </row>
    <row r="32" spans="1:6" x14ac:dyDescent="0.3">
      <c r="A32" s="195" t="s">
        <v>241</v>
      </c>
      <c r="B32" s="195" t="s">
        <v>136</v>
      </c>
      <c r="C32" s="195" t="s">
        <v>125</v>
      </c>
    </row>
    <row r="33" spans="1:3" x14ac:dyDescent="0.3">
      <c r="A33" s="195"/>
      <c r="B33" s="195" t="s">
        <v>97</v>
      </c>
      <c r="C33" s="195"/>
    </row>
    <row r="34" spans="1:3" x14ac:dyDescent="0.3">
      <c r="A34" t="s">
        <v>242</v>
      </c>
      <c r="B34" s="38">
        <f>+B16</f>
        <v>108575357.49000001</v>
      </c>
      <c r="C34" s="28">
        <f>+B34/$B$3</f>
        <v>417597.52880769235</v>
      </c>
    </row>
    <row r="35" spans="1:3" x14ac:dyDescent="0.3">
      <c r="A35" t="s">
        <v>243</v>
      </c>
      <c r="B35" s="38">
        <f>+B27</f>
        <v>693708000</v>
      </c>
      <c r="C35" s="28">
        <f>+B35/$B$3</f>
        <v>2668107.6923076925</v>
      </c>
    </row>
    <row r="36" spans="1:3" x14ac:dyDescent="0.3">
      <c r="A36" s="40" t="s">
        <v>22</v>
      </c>
      <c r="B36" s="40">
        <f>SUM(B34:B35)</f>
        <v>802283357.49000001</v>
      </c>
      <c r="C36" s="40">
        <f>SUM(C34:C35)</f>
        <v>3085705.2211153847</v>
      </c>
    </row>
    <row r="42" spans="1:3" x14ac:dyDescent="0.3">
      <c r="B42" s="28"/>
    </row>
    <row r="43" spans="1:3" x14ac:dyDescent="0.3">
      <c r="B43" s="38"/>
    </row>
    <row r="44" spans="1:3" x14ac:dyDescent="0.3">
      <c r="B44" s="28"/>
    </row>
    <row r="45" spans="1:3" x14ac:dyDescent="0.3">
      <c r="B45" s="28"/>
    </row>
  </sheetData>
  <mergeCells count="11">
    <mergeCell ref="A32:A33"/>
    <mergeCell ref="B32:B33"/>
    <mergeCell ref="C32:C33"/>
    <mergeCell ref="A1:F1"/>
    <mergeCell ref="A5:F5"/>
    <mergeCell ref="A19:F19"/>
    <mergeCell ref="A30:F30"/>
    <mergeCell ref="A7:A8"/>
    <mergeCell ref="B7:B8"/>
    <mergeCell ref="A21:A22"/>
    <mergeCell ref="B21:B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B669-79DF-404C-A1E7-9E7820F15D19}">
  <dimension ref="A1:L21"/>
  <sheetViews>
    <sheetView zoomScaleNormal="100" workbookViewId="0">
      <selection activeCell="A13" sqref="A13:C18"/>
    </sheetView>
  </sheetViews>
  <sheetFormatPr baseColWidth="10" defaultRowHeight="14.4" x14ac:dyDescent="0.3"/>
  <cols>
    <col min="2" max="2" width="17.88671875" bestFit="1" customWidth="1"/>
    <col min="3" max="3" width="19.33203125" bestFit="1" customWidth="1"/>
    <col min="4" max="4" width="12.6640625" bestFit="1" customWidth="1"/>
    <col min="5" max="5" width="21.21875" bestFit="1" customWidth="1"/>
    <col min="6" max="6" width="18" bestFit="1" customWidth="1"/>
    <col min="7" max="7" width="21" bestFit="1" customWidth="1"/>
    <col min="8" max="8" width="12.6640625" bestFit="1" customWidth="1"/>
  </cols>
  <sheetData>
    <row r="1" spans="1:12" x14ac:dyDescent="0.3">
      <c r="A1" s="194" t="s">
        <v>204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3" spans="1:12" x14ac:dyDescent="0.3">
      <c r="A3" s="215" t="s">
        <v>205</v>
      </c>
      <c r="B3" s="215"/>
      <c r="C3" s="215"/>
      <c r="D3" s="66">
        <v>130</v>
      </c>
      <c r="E3" s="66" t="s">
        <v>206</v>
      </c>
      <c r="G3" s="199" t="s">
        <v>207</v>
      </c>
      <c r="H3" s="199"/>
      <c r="I3" s="199"/>
      <c r="J3" s="199"/>
      <c r="K3" s="199"/>
      <c r="L3" s="199"/>
    </row>
    <row r="4" spans="1:12" x14ac:dyDescent="0.3">
      <c r="A4" s="215" t="s">
        <v>208</v>
      </c>
      <c r="B4" s="215"/>
      <c r="C4" s="215"/>
      <c r="D4" s="66">
        <v>2</v>
      </c>
      <c r="E4" s="66" t="s">
        <v>209</v>
      </c>
      <c r="G4" s="199"/>
      <c r="H4" s="199"/>
      <c r="I4" s="199"/>
      <c r="J4" s="199"/>
      <c r="K4" s="199"/>
      <c r="L4" s="199"/>
    </row>
    <row r="5" spans="1:12" x14ac:dyDescent="0.3">
      <c r="A5" s="215" t="s">
        <v>210</v>
      </c>
      <c r="B5" s="215"/>
      <c r="C5" s="215"/>
      <c r="D5" s="66">
        <v>450</v>
      </c>
      <c r="E5" s="66" t="s">
        <v>134</v>
      </c>
      <c r="G5" s="199"/>
      <c r="H5" s="199"/>
      <c r="I5" s="199"/>
      <c r="J5" s="199"/>
      <c r="K5" s="199"/>
      <c r="L5" s="199"/>
    </row>
    <row r="6" spans="1:12" x14ac:dyDescent="0.3">
      <c r="A6" s="215" t="s">
        <v>211</v>
      </c>
      <c r="B6" s="215"/>
      <c r="C6" s="215"/>
      <c r="D6" s="67">
        <f>+H15</f>
        <v>7809.25</v>
      </c>
      <c r="E6" s="66" t="s">
        <v>212</v>
      </c>
      <c r="G6" s="216" t="s">
        <v>214</v>
      </c>
      <c r="H6" s="216"/>
      <c r="I6" s="216"/>
      <c r="J6" s="108"/>
      <c r="K6" s="108"/>
      <c r="L6" s="108"/>
    </row>
    <row r="7" spans="1:12" x14ac:dyDescent="0.3">
      <c r="A7" s="215" t="s">
        <v>213</v>
      </c>
      <c r="B7" s="215"/>
      <c r="C7" s="215"/>
      <c r="D7" s="67">
        <f>+H16</f>
        <v>9151.9399999999987</v>
      </c>
      <c r="E7" s="66" t="s">
        <v>212</v>
      </c>
      <c r="G7" s="216"/>
      <c r="H7" s="216"/>
      <c r="I7" s="216"/>
      <c r="J7" s="108"/>
      <c r="K7" s="108"/>
      <c r="L7" s="108"/>
    </row>
    <row r="8" spans="1:12" x14ac:dyDescent="0.3">
      <c r="A8" s="215" t="s">
        <v>215</v>
      </c>
      <c r="B8" s="215"/>
      <c r="C8" s="215"/>
      <c r="D8" s="67">
        <f>+H17</f>
        <v>9918.619999999999</v>
      </c>
      <c r="E8" s="66" t="s">
        <v>212</v>
      </c>
      <c r="G8" s="68" t="s">
        <v>216</v>
      </c>
      <c r="H8" s="69" t="s">
        <v>217</v>
      </c>
      <c r="I8" s="70" t="s">
        <v>117</v>
      </c>
    </row>
    <row r="9" spans="1:12" x14ac:dyDescent="0.3">
      <c r="A9" s="215" t="s">
        <v>218</v>
      </c>
      <c r="B9" s="215"/>
      <c r="C9" s="215"/>
      <c r="D9" s="67">
        <f>+H18</f>
        <v>10685.3</v>
      </c>
      <c r="E9" s="66" t="s">
        <v>212</v>
      </c>
      <c r="G9" s="71">
        <v>1</v>
      </c>
      <c r="H9" s="109">
        <v>3998</v>
      </c>
      <c r="I9" s="72">
        <v>2018</v>
      </c>
    </row>
    <row r="10" spans="1:12" x14ac:dyDescent="0.3">
      <c r="A10" s="215" t="s">
        <v>219</v>
      </c>
      <c r="B10" s="215"/>
      <c r="C10" s="215"/>
      <c r="D10" s="67">
        <f>+H19</f>
        <v>11451.98</v>
      </c>
      <c r="E10" s="66" t="s">
        <v>212</v>
      </c>
      <c r="G10" s="73">
        <v>2</v>
      </c>
      <c r="H10" s="110">
        <v>4303.833333333333</v>
      </c>
      <c r="I10" s="72">
        <v>2019</v>
      </c>
    </row>
    <row r="11" spans="1:12" x14ac:dyDescent="0.3">
      <c r="G11" s="73">
        <v>3</v>
      </c>
      <c r="H11" s="110">
        <v>4733.166666666667</v>
      </c>
      <c r="I11" s="72">
        <v>2020</v>
      </c>
    </row>
    <row r="12" spans="1:12" x14ac:dyDescent="0.3">
      <c r="G12" s="71">
        <v>4</v>
      </c>
      <c r="H12" s="110">
        <v>6234</v>
      </c>
      <c r="I12" s="72">
        <v>2021</v>
      </c>
    </row>
    <row r="13" spans="1:12" x14ac:dyDescent="0.3">
      <c r="A13" s="74" t="s">
        <v>117</v>
      </c>
      <c r="B13" s="75" t="s">
        <v>220</v>
      </c>
      <c r="C13" s="75" t="s">
        <v>221</v>
      </c>
      <c r="G13" s="73">
        <v>5</v>
      </c>
      <c r="H13" s="110">
        <v>7662.583333333333</v>
      </c>
      <c r="I13" s="72">
        <v>2022</v>
      </c>
    </row>
    <row r="14" spans="1:12" x14ac:dyDescent="0.3">
      <c r="A14" s="74">
        <v>2024</v>
      </c>
      <c r="B14" s="76">
        <f>+$D$3*$D$5*D6</f>
        <v>456841125</v>
      </c>
      <c r="C14" s="76">
        <f>+B14*$D$4</f>
        <v>913682250</v>
      </c>
      <c r="G14" s="73">
        <v>6</v>
      </c>
      <c r="H14" s="110">
        <v>7855.75</v>
      </c>
      <c r="I14" s="72">
        <v>2023</v>
      </c>
    </row>
    <row r="15" spans="1:12" x14ac:dyDescent="0.3">
      <c r="A15" s="74">
        <v>2025</v>
      </c>
      <c r="B15" s="76">
        <f>+$D$3*$D$5*D7</f>
        <v>535388489.99999994</v>
      </c>
      <c r="C15" s="76">
        <f>+B15*$D$4</f>
        <v>1070776979.9999999</v>
      </c>
      <c r="G15" s="71">
        <v>7</v>
      </c>
      <c r="H15" s="110">
        <v>7809.25</v>
      </c>
      <c r="I15" s="72">
        <v>2024</v>
      </c>
    </row>
    <row r="16" spans="1:12" x14ac:dyDescent="0.3">
      <c r="A16" s="74">
        <v>2026</v>
      </c>
      <c r="B16" s="76">
        <f>+$D$3*$D$5*D8</f>
        <v>580239270</v>
      </c>
      <c r="C16" s="76">
        <f>+B16*$D$4</f>
        <v>1160478540</v>
      </c>
      <c r="G16" s="71">
        <v>8</v>
      </c>
      <c r="H16" s="109">
        <f t="shared" ref="H16:H21" si="0">+(766.68*G16) + 3018.5</f>
        <v>9151.9399999999987</v>
      </c>
      <c r="I16" s="72">
        <v>2025</v>
      </c>
    </row>
    <row r="17" spans="1:9" x14ac:dyDescent="0.3">
      <c r="A17" s="74">
        <v>2027</v>
      </c>
      <c r="B17" s="76">
        <f>+$D$3*$D$5*D9</f>
        <v>625090050</v>
      </c>
      <c r="C17" s="76">
        <f>+B17*$D$4</f>
        <v>1250180100</v>
      </c>
      <c r="G17" s="73">
        <v>9</v>
      </c>
      <c r="H17" s="109">
        <f t="shared" si="0"/>
        <v>9918.619999999999</v>
      </c>
      <c r="I17" s="72">
        <v>2026</v>
      </c>
    </row>
    <row r="18" spans="1:9" x14ac:dyDescent="0.3">
      <c r="A18" s="74">
        <v>2028</v>
      </c>
      <c r="B18" s="76">
        <f>+$D$3*$D$5*D10</f>
        <v>669940830</v>
      </c>
      <c r="C18" s="76">
        <f>+B18*$D$4</f>
        <v>1339881660</v>
      </c>
      <c r="G18" s="73">
        <v>10</v>
      </c>
      <c r="H18" s="109">
        <f t="shared" si="0"/>
        <v>10685.3</v>
      </c>
      <c r="I18" s="72">
        <v>2027</v>
      </c>
    </row>
    <row r="19" spans="1:9" x14ac:dyDescent="0.3">
      <c r="G19" s="71">
        <v>11</v>
      </c>
      <c r="H19" s="109">
        <f t="shared" si="0"/>
        <v>11451.98</v>
      </c>
      <c r="I19" s="72">
        <v>2028</v>
      </c>
    </row>
    <row r="20" spans="1:9" x14ac:dyDescent="0.3">
      <c r="G20" s="73">
        <v>12</v>
      </c>
      <c r="H20" s="109">
        <f t="shared" si="0"/>
        <v>12218.66</v>
      </c>
      <c r="I20" s="72">
        <v>2029</v>
      </c>
    </row>
    <row r="21" spans="1:9" x14ac:dyDescent="0.3">
      <c r="A21" s="214" t="s">
        <v>390</v>
      </c>
      <c r="B21" s="198"/>
      <c r="C21" s="38">
        <f>+D5*D6</f>
        <v>3514162.5</v>
      </c>
      <c r="G21" s="73">
        <v>13</v>
      </c>
      <c r="H21" s="109">
        <f t="shared" si="0"/>
        <v>12985.34</v>
      </c>
      <c r="I21" s="72">
        <v>2030</v>
      </c>
    </row>
  </sheetData>
  <mergeCells count="12">
    <mergeCell ref="A21:B21"/>
    <mergeCell ref="A1:L1"/>
    <mergeCell ref="A3:C3"/>
    <mergeCell ref="G3:L5"/>
    <mergeCell ref="A4:C4"/>
    <mergeCell ref="A5:C5"/>
    <mergeCell ref="A7:C7"/>
    <mergeCell ref="A8:C8"/>
    <mergeCell ref="A9:C9"/>
    <mergeCell ref="A10:C10"/>
    <mergeCell ref="G6:I7"/>
    <mergeCell ref="A6:C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3532-199F-40F7-910F-B03B63C76C5D}">
  <dimension ref="B1:L28"/>
  <sheetViews>
    <sheetView workbookViewId="0">
      <selection activeCell="H28" sqref="H28"/>
    </sheetView>
  </sheetViews>
  <sheetFormatPr baseColWidth="10" defaultRowHeight="14.4" x14ac:dyDescent="0.3"/>
  <cols>
    <col min="3" max="4" width="14.88671875" bestFit="1" customWidth="1"/>
    <col min="5" max="5" width="16.6640625" bestFit="1" customWidth="1"/>
    <col min="6" max="6" width="15.88671875" bestFit="1" customWidth="1"/>
    <col min="9" max="9" width="18.33203125" bestFit="1" customWidth="1"/>
    <col min="10" max="10" width="16.5546875" bestFit="1" customWidth="1"/>
    <col min="11" max="11" width="16.6640625" bestFit="1" customWidth="1"/>
    <col min="12" max="13" width="16.5546875" bestFit="1" customWidth="1"/>
    <col min="14" max="14" width="16.6640625" bestFit="1" customWidth="1"/>
    <col min="15" max="15" width="15.88671875" bestFit="1" customWidth="1"/>
  </cols>
  <sheetData>
    <row r="1" spans="2:12" x14ac:dyDescent="0.3">
      <c r="B1" s="44"/>
    </row>
    <row r="2" spans="2:12" x14ac:dyDescent="0.3">
      <c r="B2" s="44"/>
      <c r="C2" s="211" t="s">
        <v>161</v>
      </c>
      <c r="D2" s="211"/>
      <c r="E2" s="212"/>
      <c r="F2" s="212"/>
    </row>
    <row r="3" spans="2:12" x14ac:dyDescent="0.3">
      <c r="B3" s="44"/>
      <c r="C3" s="213" t="s">
        <v>162</v>
      </c>
      <c r="D3" s="45">
        <v>0.115</v>
      </c>
      <c r="E3" s="45">
        <v>6.7000000000000004E-2</v>
      </c>
      <c r="F3" s="45">
        <f>+D3+E3</f>
        <v>0.182</v>
      </c>
    </row>
    <row r="4" spans="2:12" x14ac:dyDescent="0.3">
      <c r="B4" s="44"/>
      <c r="C4" s="213"/>
      <c r="D4" s="46" t="s">
        <v>163</v>
      </c>
      <c r="E4" s="46" t="s">
        <v>164</v>
      </c>
      <c r="F4" s="47">
        <f>+F3/12</f>
        <v>1.5166666666666667E-2</v>
      </c>
      <c r="I4" s="48" t="s">
        <v>165</v>
      </c>
      <c r="J4" s="49">
        <f>+J7+J8</f>
        <v>506410002.745</v>
      </c>
    </row>
    <row r="5" spans="2:12" x14ac:dyDescent="0.3">
      <c r="B5" s="44"/>
      <c r="C5" s="209" t="s">
        <v>166</v>
      </c>
      <c r="D5" s="210"/>
      <c r="E5" s="50">
        <f>+J8</f>
        <v>306410002.745</v>
      </c>
      <c r="F5" s="51"/>
    </row>
    <row r="6" spans="2:12" x14ac:dyDescent="0.3">
      <c r="B6" s="44"/>
      <c r="C6" s="209" t="s">
        <v>167</v>
      </c>
      <c r="D6" s="210"/>
      <c r="E6" s="52">
        <v>12</v>
      </c>
      <c r="F6" s="52" t="s">
        <v>168</v>
      </c>
    </row>
    <row r="7" spans="2:12" x14ac:dyDescent="0.3">
      <c r="B7" s="44"/>
      <c r="C7" s="209" t="s">
        <v>169</v>
      </c>
      <c r="D7" s="210"/>
      <c r="E7" s="53">
        <f>+F4</f>
        <v>1.5166666666666667E-2</v>
      </c>
      <c r="F7" s="52" t="s">
        <v>164</v>
      </c>
      <c r="I7" s="54" t="s">
        <v>170</v>
      </c>
      <c r="J7" s="55">
        <f>+'COSTOS Y GASTOS'!B176</f>
        <v>200000000</v>
      </c>
    </row>
    <row r="8" spans="2:12" x14ac:dyDescent="0.3">
      <c r="B8" s="44"/>
      <c r="C8" s="209" t="s">
        <v>171</v>
      </c>
      <c r="D8" s="210"/>
      <c r="E8" s="56">
        <f>-PMT(E7,E6,E5)</f>
        <v>28120840.04347349</v>
      </c>
      <c r="F8" s="52" t="s">
        <v>164</v>
      </c>
      <c r="I8" s="54" t="s">
        <v>172</v>
      </c>
      <c r="J8" s="57">
        <f>+'COSTOS Y GASTOS'!B177</f>
        <v>306410002.745</v>
      </c>
    </row>
    <row r="9" spans="2:12" x14ac:dyDescent="0.3">
      <c r="B9" s="44"/>
    </row>
    <row r="10" spans="2:12" x14ac:dyDescent="0.3">
      <c r="B10" s="44"/>
    </row>
    <row r="11" spans="2:12" x14ac:dyDescent="0.3">
      <c r="B11" s="44"/>
    </row>
    <row r="12" spans="2:12" x14ac:dyDescent="0.3">
      <c r="B12" s="58" t="s">
        <v>173</v>
      </c>
      <c r="C12" s="58" t="s">
        <v>173</v>
      </c>
      <c r="D12" s="58" t="s">
        <v>174</v>
      </c>
      <c r="E12" s="58" t="s">
        <v>175</v>
      </c>
      <c r="F12" s="58" t="s">
        <v>176</v>
      </c>
      <c r="H12" s="59" t="s">
        <v>117</v>
      </c>
      <c r="I12" s="59" t="s">
        <v>177</v>
      </c>
      <c r="J12" s="59" t="s">
        <v>174</v>
      </c>
      <c r="K12" s="59" t="s">
        <v>175</v>
      </c>
      <c r="L12" s="59" t="s">
        <v>176</v>
      </c>
    </row>
    <row r="13" spans="2:12" x14ac:dyDescent="0.3">
      <c r="B13" s="60">
        <v>0</v>
      </c>
      <c r="C13" s="61"/>
      <c r="D13" s="61"/>
      <c r="E13" s="61"/>
      <c r="F13" s="61">
        <f>E5</f>
        <v>306410002.745</v>
      </c>
      <c r="H13" s="62">
        <v>1</v>
      </c>
      <c r="I13" s="63">
        <f>SUM(C14:C25)</f>
        <v>337450080.52168185</v>
      </c>
      <c r="J13" s="63">
        <f>SUM(D14:D25)</f>
        <v>31040077.776681852</v>
      </c>
      <c r="K13" s="63">
        <f>SUM(E14:E25)</f>
        <v>306410002.74500006</v>
      </c>
      <c r="L13" s="63">
        <f>F25</f>
        <v>4.4703483581542969E-8</v>
      </c>
    </row>
    <row r="14" spans="2:12" x14ac:dyDescent="0.3">
      <c r="B14" s="60">
        <v>1</v>
      </c>
      <c r="C14" s="61">
        <f>E8</f>
        <v>28120840.04347349</v>
      </c>
      <c r="D14" s="61">
        <f>F13*$E$7</f>
        <v>4647218.3749658335</v>
      </c>
      <c r="E14" s="61">
        <f>C14-D14</f>
        <v>23473621.668507658</v>
      </c>
      <c r="F14" s="61">
        <f>F13-E14</f>
        <v>282936381.07649237</v>
      </c>
      <c r="H14" s="64" t="s">
        <v>22</v>
      </c>
      <c r="I14" s="64">
        <f>SUM(I13:I13)</f>
        <v>337450080.52168185</v>
      </c>
      <c r="J14" s="64">
        <f>SUM(J13:J13)</f>
        <v>31040077.776681852</v>
      </c>
      <c r="K14" s="64">
        <f>SUM(K13:K13)</f>
        <v>306410002.74500006</v>
      </c>
      <c r="L14" s="64"/>
    </row>
    <row r="15" spans="2:12" x14ac:dyDescent="0.3">
      <c r="B15" s="60">
        <f t="shared" ref="B15:B25" si="0">B14+1</f>
        <v>2</v>
      </c>
      <c r="C15" s="61">
        <f>C14</f>
        <v>28120840.04347349</v>
      </c>
      <c r="D15" s="61">
        <f t="shared" ref="D15:D25" si="1">F14*$E$7</f>
        <v>4291201.7796601346</v>
      </c>
      <c r="E15" s="61">
        <f t="shared" ref="E15:E25" si="2">C15-D15</f>
        <v>23829638.263813354</v>
      </c>
      <c r="F15" s="61">
        <f t="shared" ref="F15:F25" si="3">F14-E15</f>
        <v>259106742.81267902</v>
      </c>
    </row>
    <row r="16" spans="2:12" x14ac:dyDescent="0.3">
      <c r="B16" s="60">
        <f t="shared" si="0"/>
        <v>3</v>
      </c>
      <c r="C16" s="61">
        <f t="shared" ref="C16:C25" si="4">C15</f>
        <v>28120840.04347349</v>
      </c>
      <c r="D16" s="61">
        <f t="shared" si="1"/>
        <v>3929785.5993256317</v>
      </c>
      <c r="E16" s="61">
        <f t="shared" si="2"/>
        <v>24191054.444147859</v>
      </c>
      <c r="F16" s="61">
        <f t="shared" si="3"/>
        <v>234915688.36853117</v>
      </c>
    </row>
    <row r="17" spans="2:6" x14ac:dyDescent="0.3">
      <c r="B17" s="60">
        <f t="shared" si="0"/>
        <v>4</v>
      </c>
      <c r="C17" s="61">
        <f t="shared" si="4"/>
        <v>28120840.04347349</v>
      </c>
      <c r="D17" s="61">
        <f t="shared" si="1"/>
        <v>3562887.9402560559</v>
      </c>
      <c r="E17" s="61">
        <f t="shared" si="2"/>
        <v>24557952.103217434</v>
      </c>
      <c r="F17" s="61">
        <f t="shared" si="3"/>
        <v>210357736.26531374</v>
      </c>
    </row>
    <row r="18" spans="2:6" x14ac:dyDescent="0.3">
      <c r="B18" s="60">
        <f t="shared" si="0"/>
        <v>5</v>
      </c>
      <c r="C18" s="61">
        <f t="shared" si="4"/>
        <v>28120840.04347349</v>
      </c>
      <c r="D18" s="61">
        <f t="shared" si="1"/>
        <v>3190425.6666905917</v>
      </c>
      <c r="E18" s="61">
        <f t="shared" si="2"/>
        <v>24930414.376782898</v>
      </c>
      <c r="F18" s="61">
        <f t="shared" si="3"/>
        <v>185427321.88853085</v>
      </c>
    </row>
    <row r="19" spans="2:6" x14ac:dyDescent="0.3">
      <c r="B19" s="60">
        <f t="shared" si="0"/>
        <v>6</v>
      </c>
      <c r="C19" s="61">
        <f t="shared" si="4"/>
        <v>28120840.04347349</v>
      </c>
      <c r="D19" s="61">
        <f t="shared" si="1"/>
        <v>2812314.3819760513</v>
      </c>
      <c r="E19" s="61">
        <f t="shared" si="2"/>
        <v>25308525.661497436</v>
      </c>
      <c r="F19" s="61">
        <f t="shared" si="3"/>
        <v>160118796.22703341</v>
      </c>
    </row>
    <row r="20" spans="2:6" x14ac:dyDescent="0.3">
      <c r="B20" s="60">
        <f t="shared" si="0"/>
        <v>7</v>
      </c>
      <c r="C20" s="61">
        <f t="shared" si="4"/>
        <v>28120840.04347349</v>
      </c>
      <c r="D20" s="61">
        <f t="shared" si="1"/>
        <v>2428468.4094433398</v>
      </c>
      <c r="E20" s="61">
        <f t="shared" si="2"/>
        <v>25692371.634030148</v>
      </c>
      <c r="F20" s="61">
        <f t="shared" si="3"/>
        <v>134426424.59300327</v>
      </c>
    </row>
    <row r="21" spans="2:6" x14ac:dyDescent="0.3">
      <c r="B21" s="60">
        <f t="shared" si="0"/>
        <v>8</v>
      </c>
      <c r="C21" s="61">
        <f t="shared" si="4"/>
        <v>28120840.04347349</v>
      </c>
      <c r="D21" s="61">
        <f t="shared" si="1"/>
        <v>2038800.7729938829</v>
      </c>
      <c r="E21" s="61">
        <f t="shared" si="2"/>
        <v>26082039.270479608</v>
      </c>
      <c r="F21" s="61">
        <f t="shared" si="3"/>
        <v>108344385.32252367</v>
      </c>
    </row>
    <row r="22" spans="2:6" x14ac:dyDescent="0.3">
      <c r="B22" s="60">
        <f t="shared" si="0"/>
        <v>9</v>
      </c>
      <c r="C22" s="61">
        <f t="shared" si="4"/>
        <v>28120840.04347349</v>
      </c>
      <c r="D22" s="61">
        <f t="shared" si="1"/>
        <v>1643223.1773916089</v>
      </c>
      <c r="E22" s="61">
        <f t="shared" si="2"/>
        <v>26477616.866081882</v>
      </c>
      <c r="F22" s="61">
        <f t="shared" si="3"/>
        <v>81866768.45644179</v>
      </c>
    </row>
    <row r="23" spans="2:6" x14ac:dyDescent="0.3">
      <c r="B23" s="60">
        <f t="shared" si="0"/>
        <v>10</v>
      </c>
      <c r="C23" s="61">
        <f t="shared" si="4"/>
        <v>28120840.04347349</v>
      </c>
      <c r="D23" s="61">
        <f t="shared" si="1"/>
        <v>1241645.9882560337</v>
      </c>
      <c r="E23" s="61">
        <f t="shared" si="2"/>
        <v>26879194.055217456</v>
      </c>
      <c r="F23" s="61">
        <f t="shared" si="3"/>
        <v>54987574.40122433</v>
      </c>
    </row>
    <row r="24" spans="2:6" x14ac:dyDescent="0.3">
      <c r="B24" s="60">
        <f t="shared" si="0"/>
        <v>11</v>
      </c>
      <c r="C24" s="61">
        <f t="shared" si="4"/>
        <v>28120840.04347349</v>
      </c>
      <c r="D24" s="61">
        <f t="shared" si="1"/>
        <v>833978.21175190236</v>
      </c>
      <c r="E24" s="61">
        <f t="shared" si="2"/>
        <v>27286861.831721589</v>
      </c>
      <c r="F24" s="61">
        <f t="shared" si="3"/>
        <v>27700712.569502741</v>
      </c>
    </row>
    <row r="25" spans="2:6" x14ac:dyDescent="0.3">
      <c r="B25" s="60">
        <f t="shared" si="0"/>
        <v>12</v>
      </c>
      <c r="C25" s="61">
        <f t="shared" si="4"/>
        <v>28120840.04347349</v>
      </c>
      <c r="D25" s="61">
        <f t="shared" si="1"/>
        <v>420127.47397079156</v>
      </c>
      <c r="E25" s="61">
        <f t="shared" si="2"/>
        <v>27700712.569502696</v>
      </c>
      <c r="F25" s="61">
        <f t="shared" si="3"/>
        <v>4.4703483581542969E-8</v>
      </c>
    </row>
    <row r="26" spans="2:6" x14ac:dyDescent="0.3">
      <c r="B26" s="44"/>
    </row>
    <row r="27" spans="2:6" x14ac:dyDescent="0.3">
      <c r="B27" s="44"/>
    </row>
    <row r="28" spans="2:6" x14ac:dyDescent="0.3">
      <c r="B28" s="44"/>
    </row>
  </sheetData>
  <mergeCells count="6">
    <mergeCell ref="C8:D8"/>
    <mergeCell ref="C2:F2"/>
    <mergeCell ref="C3:C4"/>
    <mergeCell ref="C5:D5"/>
    <mergeCell ref="C6:D6"/>
    <mergeCell ref="C7: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C768-17EB-438C-BD36-11EC9711BF8F}">
  <dimension ref="A3:W178"/>
  <sheetViews>
    <sheetView tabSelected="1" topLeftCell="A112" zoomScale="85" zoomScaleNormal="85" workbookViewId="0">
      <selection activeCell="G79" sqref="G79"/>
    </sheetView>
  </sheetViews>
  <sheetFormatPr baseColWidth="10" defaultRowHeight="14.4" x14ac:dyDescent="0.3"/>
  <cols>
    <col min="1" max="1" width="39.109375" bestFit="1" customWidth="1"/>
    <col min="2" max="2" width="24.33203125" bestFit="1" customWidth="1"/>
    <col min="3" max="3" width="44.77734375" bestFit="1" customWidth="1"/>
    <col min="4" max="4" width="26.33203125" bestFit="1" customWidth="1"/>
    <col min="5" max="6" width="25.77734375" bestFit="1" customWidth="1"/>
    <col min="7" max="7" width="26.33203125" bestFit="1" customWidth="1"/>
    <col min="8" max="8" width="17.5546875" bestFit="1" customWidth="1"/>
    <col min="10" max="10" width="21.44140625" bestFit="1" customWidth="1"/>
    <col min="11" max="11" width="15.6640625" customWidth="1"/>
    <col min="12" max="12" width="11.6640625" bestFit="1" customWidth="1"/>
    <col min="13" max="13" width="11.5546875" bestFit="1" customWidth="1"/>
    <col min="14" max="15" width="12.6640625" bestFit="1" customWidth="1"/>
  </cols>
  <sheetData>
    <row r="3" spans="1:23" ht="15.6" x14ac:dyDescent="0.3">
      <c r="A3" s="193" t="s">
        <v>249</v>
      </c>
      <c r="B3" s="193"/>
      <c r="C3" s="193"/>
      <c r="D3" s="193"/>
      <c r="E3" s="193"/>
      <c r="F3" s="193"/>
      <c r="G3" s="193"/>
    </row>
    <row r="5" spans="1:23" x14ac:dyDescent="0.3">
      <c r="A5" s="22"/>
      <c r="B5" s="22"/>
      <c r="C5" s="86" t="s">
        <v>248</v>
      </c>
      <c r="D5" s="86" t="s">
        <v>248</v>
      </c>
      <c r="E5" s="86" t="s">
        <v>248</v>
      </c>
      <c r="F5" s="86" t="s">
        <v>248</v>
      </c>
      <c r="G5" s="86" t="s">
        <v>248</v>
      </c>
    </row>
    <row r="6" spans="1:23" x14ac:dyDescent="0.3">
      <c r="A6" s="22"/>
      <c r="B6" s="22"/>
      <c r="C6" s="86">
        <v>2024</v>
      </c>
      <c r="D6" s="86">
        <v>2025</v>
      </c>
      <c r="E6" s="86">
        <v>2026</v>
      </c>
      <c r="F6" s="86">
        <v>2027</v>
      </c>
      <c r="G6" s="86">
        <v>2028</v>
      </c>
    </row>
    <row r="7" spans="1:23" x14ac:dyDescent="0.3">
      <c r="A7" t="s">
        <v>250</v>
      </c>
      <c r="C7" s="33">
        <f>+INGRESOS!C14</f>
        <v>913682250</v>
      </c>
      <c r="D7" s="33">
        <f>+INGRESOS!C15</f>
        <v>1070776979.9999999</v>
      </c>
      <c r="E7" s="33">
        <f>+INGRESOS!C16</f>
        <v>1160478540</v>
      </c>
      <c r="F7" s="33">
        <f>+INGRESOS!C17</f>
        <v>1250180100</v>
      </c>
      <c r="G7" s="33">
        <f>+INGRESOS!C18</f>
        <v>1339881660</v>
      </c>
    </row>
    <row r="8" spans="1:23" x14ac:dyDescent="0.3">
      <c r="A8" s="87" t="s">
        <v>251</v>
      </c>
      <c r="B8" s="87"/>
      <c r="C8" s="89">
        <f>SUM(C7)</f>
        <v>913682250</v>
      </c>
      <c r="D8" s="89">
        <f>SUM(D7)</f>
        <v>1070776979.9999999</v>
      </c>
      <c r="E8" s="89">
        <f>SUM(E7)</f>
        <v>1160478540</v>
      </c>
      <c r="F8" s="89">
        <f>SUM(F7)</f>
        <v>1250180100</v>
      </c>
      <c r="G8" s="89">
        <f>SUM(G7)</f>
        <v>1339881660</v>
      </c>
    </row>
    <row r="9" spans="1:23" x14ac:dyDescent="0.3">
      <c r="C9" s="33"/>
      <c r="D9" s="33"/>
      <c r="E9" s="33"/>
      <c r="F9" s="33"/>
      <c r="G9" s="33"/>
    </row>
    <row r="10" spans="1:23" x14ac:dyDescent="0.3">
      <c r="C10" s="33"/>
      <c r="D10" s="33"/>
      <c r="E10" s="33"/>
      <c r="F10" s="33"/>
      <c r="G10" s="33"/>
    </row>
    <row r="11" spans="1:23" x14ac:dyDescent="0.3">
      <c r="A11" t="s">
        <v>144</v>
      </c>
      <c r="C11" s="33">
        <f>+'COSTOS Y GASTOS'!H17</f>
        <v>57082211.039999999</v>
      </c>
      <c r="D11" s="33">
        <f>+C11*(1+K26)</f>
        <v>62311595.037653007</v>
      </c>
      <c r="E11" s="33">
        <f>+D11*(1+L26)</f>
        <v>68381919.293082073</v>
      </c>
      <c r="F11" s="33">
        <f>+E11*(1+M26)</f>
        <v>75440729.252917647</v>
      </c>
      <c r="G11" s="33">
        <f>+F11*(1+N26)</f>
        <v>83666308.833379716</v>
      </c>
      <c r="Q11" s="197" t="s">
        <v>334</v>
      </c>
      <c r="R11" s="197"/>
      <c r="S11" s="197"/>
      <c r="T11" s="197"/>
      <c r="U11" s="197"/>
      <c r="V11" s="197"/>
      <c r="W11" s="197"/>
    </row>
    <row r="12" spans="1:23" x14ac:dyDescent="0.3">
      <c r="A12" t="s">
        <v>145</v>
      </c>
      <c r="C12" s="33">
        <f>+'COSTOS Y GASTOS'!G55</f>
        <v>29208000</v>
      </c>
      <c r="D12" s="33">
        <f>+C12*(1+L30)</f>
        <v>30466871.132624015</v>
      </c>
      <c r="E12" s="33">
        <f>+D12*(1+M30)</f>
        <v>31649717.84056858</v>
      </c>
      <c r="F12" s="33">
        <f>+E12*(1+N30)</f>
        <v>32814189.660533246</v>
      </c>
      <c r="G12" s="33">
        <f>+F12*(1+O30)</f>
        <v>34004227.996721625</v>
      </c>
      <c r="Q12" s="92"/>
      <c r="R12" s="92" t="s">
        <v>335</v>
      </c>
      <c r="S12" s="92" t="s">
        <v>336</v>
      </c>
      <c r="T12" s="93" t="s">
        <v>337</v>
      </c>
      <c r="U12" s="92" t="s">
        <v>338</v>
      </c>
      <c r="V12" s="92" t="s">
        <v>339</v>
      </c>
      <c r="W12" s="92" t="s">
        <v>340</v>
      </c>
    </row>
    <row r="13" spans="1:23" x14ac:dyDescent="0.3">
      <c r="A13" t="s">
        <v>350</v>
      </c>
      <c r="C13" s="33">
        <f>+('COSTOS Y GASTOS'!$D$61*('COSTOS Y GASTOS'!$C$61*2))*'COSTOS Y GASTOS'!E61</f>
        <v>608400000</v>
      </c>
      <c r="D13" s="33">
        <f>+('COSTOS Y GASTOS'!$D$61*'COSTOS Y GASTOS'!$C$61*2)*L37</f>
        <v>713851319.99999988</v>
      </c>
      <c r="E13" s="33">
        <f>+('COSTOS Y GASTOS'!$D$61*'COSTOS Y GASTOS'!$C$61*2)*M37</f>
        <v>773652359.99999988</v>
      </c>
      <c r="F13" s="33">
        <f>+('COSTOS Y GASTOS'!$D$61*'COSTOS Y GASTOS'!$C$61*2)*N37</f>
        <v>833453400</v>
      </c>
      <c r="G13" s="33">
        <f>+('COSTOS Y GASTOS'!$D$61*'COSTOS Y GASTOS'!$C$61*2)*O37</f>
        <v>893254440</v>
      </c>
      <c r="Q13" s="92"/>
      <c r="R13" s="92"/>
      <c r="S13" s="92"/>
      <c r="T13" s="93"/>
      <c r="U13" s="92"/>
      <c r="V13" s="92"/>
      <c r="W13" s="92"/>
    </row>
    <row r="14" spans="1:23" ht="26.4" x14ac:dyDescent="0.3">
      <c r="A14" t="s">
        <v>252</v>
      </c>
      <c r="C14" s="33">
        <f>+'COSTOS RESUMEN'!G12</f>
        <v>6658673</v>
      </c>
      <c r="D14" s="33">
        <f>+C14*(1+L30)</f>
        <v>6945663.2499754503</v>
      </c>
      <c r="E14" s="33">
        <f>+D14*(1+M30)</f>
        <v>7215321.885874155</v>
      </c>
      <c r="F14" s="33">
        <f>+E14*(1+N30)</f>
        <v>7480791.5197710181</v>
      </c>
      <c r="G14" s="33">
        <f>+F14*(1+O30)</f>
        <v>7752089.6619972056</v>
      </c>
      <c r="Q14" s="94" t="s">
        <v>341</v>
      </c>
      <c r="R14" s="94" t="s">
        <v>216</v>
      </c>
      <c r="S14" s="95"/>
      <c r="T14" s="96" t="s">
        <v>342</v>
      </c>
      <c r="U14" s="97"/>
      <c r="V14" s="94"/>
      <c r="W14" s="94"/>
    </row>
    <row r="15" spans="1:23" x14ac:dyDescent="0.3">
      <c r="A15" t="s">
        <v>253</v>
      </c>
      <c r="C15" s="33">
        <f>+'COSTOS RESUMEN'!B25</f>
        <v>53220000</v>
      </c>
      <c r="D15" s="33">
        <f>+C15*(1+L30)</f>
        <v>55513793.538696595</v>
      </c>
      <c r="E15" s="33">
        <f>+D15*(1+M30)</f>
        <v>57669062.704569295</v>
      </c>
      <c r="F15" s="33">
        <f>+E15*(1+N30)</f>
        <v>59790850.92213022</v>
      </c>
      <c r="G15" s="33">
        <f>+F15*(1+O30)</f>
        <v>61959223.979235999</v>
      </c>
      <c r="Q15" s="98">
        <v>2013</v>
      </c>
      <c r="R15" s="97">
        <v>1</v>
      </c>
      <c r="S15" s="97">
        <v>-5</v>
      </c>
      <c r="T15" s="99">
        <v>4.02E-2</v>
      </c>
      <c r="U15" s="97">
        <v>-0.20100000000000001</v>
      </c>
      <c r="V15" s="97">
        <v>25</v>
      </c>
      <c r="W15" s="97">
        <f t="shared" ref="W15:W25" si="0">+T15^2</f>
        <v>1.61604E-3</v>
      </c>
    </row>
    <row r="16" spans="1:23" x14ac:dyDescent="0.3">
      <c r="A16" s="87" t="s">
        <v>347</v>
      </c>
      <c r="B16" s="87"/>
      <c r="C16" s="89">
        <f>SUM(C11:C15)</f>
        <v>754568884.03999996</v>
      </c>
      <c r="D16" s="89">
        <f>SUM(D11:D15)</f>
        <v>869089242.95894897</v>
      </c>
      <c r="E16" s="89">
        <f>SUM(E11:E15)</f>
        <v>938568381.72409403</v>
      </c>
      <c r="F16" s="89">
        <f>SUM(F11:F15)</f>
        <v>1008979961.3553522</v>
      </c>
      <c r="G16" s="89">
        <f>SUM(G11:G15)</f>
        <v>1080636290.4713345</v>
      </c>
      <c r="Q16" s="95">
        <v>2014</v>
      </c>
      <c r="R16" s="94">
        <v>2</v>
      </c>
      <c r="S16" s="94">
        <v>-4</v>
      </c>
      <c r="T16" s="100">
        <v>4.4999999999999998E-2</v>
      </c>
      <c r="U16" s="97">
        <v>-0.18</v>
      </c>
      <c r="V16" s="97">
        <v>16</v>
      </c>
      <c r="W16" s="97">
        <f t="shared" si="0"/>
        <v>2.0249999999999999E-3</v>
      </c>
    </row>
    <row r="17" spans="1:23" x14ac:dyDescent="0.3">
      <c r="C17" s="33"/>
      <c r="D17" s="33"/>
      <c r="E17" s="33"/>
      <c r="F17" s="33"/>
      <c r="G17" s="33"/>
      <c r="Q17" s="95">
        <v>2015</v>
      </c>
      <c r="R17" s="94">
        <v>3</v>
      </c>
      <c r="S17" s="94">
        <v>-3</v>
      </c>
      <c r="T17" s="100">
        <v>4.5999999999999999E-2</v>
      </c>
      <c r="U17" s="97">
        <v>-0.13800000000000001</v>
      </c>
      <c r="V17" s="97">
        <v>9</v>
      </c>
      <c r="W17" s="97">
        <f t="shared" si="0"/>
        <v>2.1159999999999998E-3</v>
      </c>
    </row>
    <row r="18" spans="1:23" x14ac:dyDescent="0.3">
      <c r="A18" s="87" t="s">
        <v>254</v>
      </c>
      <c r="B18" s="87"/>
      <c r="C18" s="89">
        <f>+C8-C16</f>
        <v>159113365.96000004</v>
      </c>
      <c r="D18" s="89">
        <f>+D8-D16</f>
        <v>201687737.04105091</v>
      </c>
      <c r="E18" s="89">
        <f>+E8-E16</f>
        <v>221910158.27590597</v>
      </c>
      <c r="F18" s="89">
        <f>+F8-F16</f>
        <v>241200138.64464784</v>
      </c>
      <c r="G18" s="89">
        <f>+G8-G16</f>
        <v>259245369.52866554</v>
      </c>
      <c r="J18" s="199" t="s">
        <v>207</v>
      </c>
      <c r="K18" s="199"/>
      <c r="L18" s="199"/>
      <c r="M18" s="199"/>
      <c r="N18" s="199"/>
      <c r="O18" s="199"/>
      <c r="Q18" s="95">
        <v>2016</v>
      </c>
      <c r="R18" s="97">
        <v>4</v>
      </c>
      <c r="S18" s="94">
        <v>-2</v>
      </c>
      <c r="T18" s="100">
        <v>7.0000000000000007E-2</v>
      </c>
      <c r="U18" s="97">
        <v>-0.14000000000000001</v>
      </c>
      <c r="V18" s="97">
        <v>4</v>
      </c>
      <c r="W18" s="97">
        <f t="shared" si="0"/>
        <v>4.9000000000000007E-3</v>
      </c>
    </row>
    <row r="19" spans="1:23" x14ac:dyDescent="0.3">
      <c r="C19" s="33"/>
      <c r="D19" s="33"/>
      <c r="E19" s="33"/>
      <c r="F19" s="33"/>
      <c r="G19" s="33"/>
      <c r="J19" s="199"/>
      <c r="K19" s="199"/>
      <c r="L19" s="199"/>
      <c r="M19" s="199"/>
      <c r="N19" s="199"/>
      <c r="O19" s="199"/>
      <c r="Q19" s="95">
        <v>2017</v>
      </c>
      <c r="R19" s="94">
        <v>5</v>
      </c>
      <c r="S19" s="94">
        <v>-1</v>
      </c>
      <c r="T19" s="100">
        <v>7.0000000000000007E-2</v>
      </c>
      <c r="U19" s="97">
        <v>-7.0000000000000007E-2</v>
      </c>
      <c r="V19" s="97">
        <v>1</v>
      </c>
      <c r="W19" s="97">
        <f t="shared" si="0"/>
        <v>4.9000000000000007E-3</v>
      </c>
    </row>
    <row r="20" spans="1:23" x14ac:dyDescent="0.3">
      <c r="A20" t="s">
        <v>348</v>
      </c>
      <c r="C20" s="33">
        <f>+'COSTOS Y GASTOS'!H101</f>
        <v>25378548</v>
      </c>
      <c r="D20" s="33">
        <f>+C20*(1+K26)</f>
        <v>27703513.525632322</v>
      </c>
      <c r="E20" s="33">
        <f>+D20*(1+L26)</f>
        <v>30402358.098839495</v>
      </c>
      <c r="F20" s="33">
        <f>+E20*(1+M26)</f>
        <v>33540679.900407981</v>
      </c>
      <c r="G20" s="33">
        <f>+F20*(1+N26)</f>
        <v>37197743.325374015</v>
      </c>
      <c r="J20" s="199"/>
      <c r="K20" s="199"/>
      <c r="L20" s="199"/>
      <c r="M20" s="199"/>
      <c r="N20" s="199"/>
      <c r="O20" s="199"/>
      <c r="Q20" s="95">
        <v>2018</v>
      </c>
      <c r="R20" s="94">
        <v>6</v>
      </c>
      <c r="S20" s="94">
        <v>0</v>
      </c>
      <c r="T20" s="100">
        <v>5.8999999999999997E-2</v>
      </c>
      <c r="U20" s="97">
        <v>0</v>
      </c>
      <c r="V20" s="97">
        <v>25</v>
      </c>
      <c r="W20" s="97">
        <f t="shared" si="0"/>
        <v>3.4809999999999997E-3</v>
      </c>
    </row>
    <row r="21" spans="1:23" x14ac:dyDescent="0.3">
      <c r="A21" t="s">
        <v>255</v>
      </c>
      <c r="C21" s="33">
        <f>+'COSTOS Y GASTOS'!D120</f>
        <v>9304506.25</v>
      </c>
      <c r="D21" s="33">
        <f>+C21*(1+L30)</f>
        <v>9705532.4866969567</v>
      </c>
      <c r="E21" s="33">
        <f>+D21*(1+M30)</f>
        <v>10082340.367649509</v>
      </c>
      <c r="F21" s="33">
        <f>+E21*(1+N30)</f>
        <v>10453294.740657249</v>
      </c>
      <c r="G21" s="33">
        <f>+F21*(1+O30)</f>
        <v>10832393.588123847</v>
      </c>
      <c r="Q21" s="98">
        <v>2019</v>
      </c>
      <c r="R21" s="97">
        <v>7</v>
      </c>
      <c r="S21" s="97">
        <v>1</v>
      </c>
      <c r="T21" s="99">
        <v>0.06</v>
      </c>
      <c r="U21" s="97">
        <v>0.06</v>
      </c>
      <c r="V21" s="97">
        <v>1</v>
      </c>
      <c r="W21" s="97">
        <f t="shared" si="0"/>
        <v>3.5999999999999999E-3</v>
      </c>
    </row>
    <row r="22" spans="1:23" x14ac:dyDescent="0.3">
      <c r="A22" t="s">
        <v>256</v>
      </c>
      <c r="C22" s="33">
        <f>+'COSTOS Y GASTOS'!H128</f>
        <v>10151419.199999999</v>
      </c>
      <c r="D22" s="33">
        <f>+C22*(1+K26)</f>
        <v>11081405.410252929</v>
      </c>
      <c r="E22" s="33">
        <f>+D22*(1+L26)</f>
        <v>12160943.239535799</v>
      </c>
      <c r="F22" s="33">
        <f>+E22*(1+M26)</f>
        <v>13416271.960163195</v>
      </c>
      <c r="G22" s="33">
        <f>+F22*(1+N26)</f>
        <v>14879097.330149608</v>
      </c>
      <c r="Q22" s="95">
        <v>2020</v>
      </c>
      <c r="R22" s="94">
        <v>8</v>
      </c>
      <c r="S22" s="94">
        <v>2</v>
      </c>
      <c r="T22" s="100">
        <v>0.06</v>
      </c>
      <c r="U22" s="97">
        <v>0.12</v>
      </c>
      <c r="V22" s="97">
        <v>4</v>
      </c>
      <c r="W22" s="97">
        <f t="shared" si="0"/>
        <v>3.5999999999999999E-3</v>
      </c>
    </row>
    <row r="23" spans="1:23" x14ac:dyDescent="0.3">
      <c r="A23" s="89" t="s">
        <v>257</v>
      </c>
      <c r="B23" s="89"/>
      <c r="C23" s="89">
        <f>SUM(C20:C22)</f>
        <v>44834473.450000003</v>
      </c>
      <c r="D23" s="89">
        <f>SUM(D20:D22)</f>
        <v>48490451.422582209</v>
      </c>
      <c r="E23" s="89">
        <f>SUM(E20:E22)</f>
        <v>52645641.706024803</v>
      </c>
      <c r="F23" s="89">
        <f>SUM(F20:F22)</f>
        <v>57410246.601228431</v>
      </c>
      <c r="G23" s="89">
        <f>SUM(G20:G22)</f>
        <v>62909234.243647471</v>
      </c>
      <c r="Q23" s="95">
        <v>2021</v>
      </c>
      <c r="R23" s="94">
        <v>9</v>
      </c>
      <c r="S23" s="94">
        <v>3</v>
      </c>
      <c r="T23" s="100">
        <v>3.5000000000000003E-2</v>
      </c>
      <c r="U23" s="97">
        <v>0.10500000000000001</v>
      </c>
      <c r="V23" s="97">
        <v>9</v>
      </c>
      <c r="W23" s="97">
        <f t="shared" si="0"/>
        <v>1.2250000000000002E-3</v>
      </c>
    </row>
    <row r="24" spans="1:23" x14ac:dyDescent="0.3">
      <c r="C24" s="33"/>
      <c r="D24" s="33"/>
      <c r="E24" s="33"/>
      <c r="F24" s="33"/>
      <c r="G24" s="33"/>
      <c r="Q24" s="95">
        <v>2022</v>
      </c>
      <c r="R24" s="97">
        <v>10</v>
      </c>
      <c r="S24" s="94">
        <v>4</v>
      </c>
      <c r="T24" s="100">
        <v>0.107</v>
      </c>
      <c r="U24" s="97">
        <v>0.42799999999999999</v>
      </c>
      <c r="V24" s="97">
        <v>16</v>
      </c>
      <c r="W24" s="97">
        <f t="shared" si="0"/>
        <v>1.1448999999999999E-2</v>
      </c>
    </row>
    <row r="25" spans="1:23" x14ac:dyDescent="0.3">
      <c r="C25" s="33"/>
      <c r="D25" s="33"/>
      <c r="E25" s="33"/>
      <c r="F25" s="33"/>
      <c r="G25" s="33"/>
      <c r="J25" s="54" t="s">
        <v>248</v>
      </c>
      <c r="K25" s="54">
        <v>2025</v>
      </c>
      <c r="L25" s="54">
        <v>2026</v>
      </c>
      <c r="M25" s="54">
        <v>2027</v>
      </c>
      <c r="N25" s="54">
        <v>2028</v>
      </c>
      <c r="Q25" s="95">
        <v>2023</v>
      </c>
      <c r="R25" s="94">
        <v>11</v>
      </c>
      <c r="S25" s="94">
        <v>5</v>
      </c>
      <c r="T25" s="100">
        <v>0.16</v>
      </c>
      <c r="U25" s="97">
        <v>0.8</v>
      </c>
      <c r="V25" s="97">
        <v>25</v>
      </c>
      <c r="W25" s="97">
        <f t="shared" si="0"/>
        <v>2.5600000000000001E-2</v>
      </c>
    </row>
    <row r="26" spans="1:23" x14ac:dyDescent="0.3">
      <c r="A26" s="89" t="s">
        <v>258</v>
      </c>
      <c r="B26" s="89"/>
      <c r="C26" s="89">
        <f>+C18-C23</f>
        <v>114278892.51000004</v>
      </c>
      <c r="D26" s="89">
        <f>+D18-D23</f>
        <v>153197285.6184687</v>
      </c>
      <c r="E26" s="89">
        <f>+E18-E23</f>
        <v>169264516.56988117</v>
      </c>
      <c r="F26" s="89">
        <f>+F18-F23</f>
        <v>183789892.04341942</v>
      </c>
      <c r="G26" s="89">
        <f>+G18-G23</f>
        <v>196336135.28501809</v>
      </c>
      <c r="J26" s="35" t="s">
        <v>333</v>
      </c>
      <c r="K26" s="90">
        <f>+S29</f>
        <v>9.161144781144781E-2</v>
      </c>
      <c r="L26" s="91">
        <f>+S30</f>
        <v>9.7418855218855224E-2</v>
      </c>
      <c r="M26" s="91">
        <f>+S31</f>
        <v>0.10322626262626264</v>
      </c>
      <c r="N26" s="91">
        <f>+S32</f>
        <v>0.10903367003367004</v>
      </c>
      <c r="Q26" s="97" t="s">
        <v>343</v>
      </c>
      <c r="R26" s="97">
        <f t="shared" ref="R26:W26" si="1">SUM(R15:R25)</f>
        <v>66</v>
      </c>
      <c r="S26" s="97">
        <f t="shared" si="1"/>
        <v>0</v>
      </c>
      <c r="T26" s="101">
        <f t="shared" si="1"/>
        <v>0.75219999999999998</v>
      </c>
      <c r="U26" s="97">
        <f t="shared" si="1"/>
        <v>0.78400000000000003</v>
      </c>
      <c r="V26" s="97">
        <f t="shared" si="1"/>
        <v>135</v>
      </c>
      <c r="W26" s="97">
        <f t="shared" si="1"/>
        <v>6.4512039999999993E-2</v>
      </c>
    </row>
    <row r="27" spans="1:23" x14ac:dyDescent="0.3">
      <c r="A27" t="s">
        <v>259</v>
      </c>
      <c r="C27" s="33">
        <f>+CREDITO!J13</f>
        <v>31040077.776681852</v>
      </c>
      <c r="D27" s="33">
        <v>0</v>
      </c>
      <c r="E27" s="33">
        <v>0</v>
      </c>
      <c r="F27" s="33">
        <v>0</v>
      </c>
      <c r="G27" s="33">
        <v>0</v>
      </c>
      <c r="J27" s="35"/>
      <c r="K27" s="90"/>
      <c r="L27" s="91"/>
      <c r="M27" s="91"/>
      <c r="N27" s="91"/>
      <c r="Q27" s="97"/>
      <c r="R27" s="97"/>
      <c r="S27" s="97"/>
      <c r="T27" s="97"/>
      <c r="U27" s="97"/>
      <c r="V27" s="97"/>
      <c r="W27" s="97"/>
    </row>
    <row r="28" spans="1:23" x14ac:dyDescent="0.3">
      <c r="A28" t="s">
        <v>260</v>
      </c>
      <c r="C28" s="33">
        <f>+C8*0.004</f>
        <v>3654729</v>
      </c>
      <c r="D28" s="33">
        <f>+D8*0.004</f>
        <v>4283107.92</v>
      </c>
      <c r="E28" s="33">
        <f>+E8*0.004</f>
        <v>4641914.16</v>
      </c>
      <c r="F28" s="33">
        <f>+F8*0.004</f>
        <v>5000720.4000000004</v>
      </c>
      <c r="G28" s="33">
        <f>+G8*0.004</f>
        <v>5359526.6399999997</v>
      </c>
      <c r="Q28" s="198" t="s">
        <v>344</v>
      </c>
      <c r="R28" s="198"/>
      <c r="S28" s="198"/>
      <c r="T28" s="97"/>
      <c r="U28" s="97"/>
      <c r="V28" s="97"/>
      <c r="W28" s="97"/>
    </row>
    <row r="29" spans="1:23" x14ac:dyDescent="0.3">
      <c r="A29" t="s">
        <v>261</v>
      </c>
      <c r="C29" s="33"/>
      <c r="D29" s="33"/>
      <c r="E29" s="33"/>
      <c r="F29" s="33"/>
      <c r="G29" s="33"/>
      <c r="J29" s="54" t="s">
        <v>248</v>
      </c>
      <c r="K29" s="54">
        <v>2024</v>
      </c>
      <c r="L29" s="54">
        <v>2025</v>
      </c>
      <c r="M29" s="54">
        <v>2026</v>
      </c>
      <c r="N29" s="54">
        <v>2027</v>
      </c>
      <c r="O29" s="54">
        <v>2028</v>
      </c>
      <c r="Q29" s="95">
        <v>2025</v>
      </c>
      <c r="R29" s="94">
        <v>4</v>
      </c>
      <c r="S29" s="102">
        <f>+$V$30+$V$29*R29</f>
        <v>9.161144781144781E-2</v>
      </c>
      <c r="T29" s="97"/>
      <c r="U29" s="93" t="s">
        <v>345</v>
      </c>
      <c r="V29" s="103">
        <f>+((11*U26))/((11*V26))</f>
        <v>5.8074074074074078E-3</v>
      </c>
      <c r="W29" s="97"/>
    </row>
    <row r="30" spans="1:23" x14ac:dyDescent="0.3">
      <c r="C30" s="33"/>
      <c r="D30" s="33"/>
      <c r="E30" s="33"/>
      <c r="F30" s="33"/>
      <c r="G30" s="33"/>
      <c r="J30" s="35" t="s">
        <v>400</v>
      </c>
      <c r="K30" s="91">
        <v>5.7092529899895883E-2</v>
      </c>
      <c r="L30" s="91">
        <v>4.3100216811285064E-2</v>
      </c>
      <c r="M30" s="91">
        <v>3.8824029641756352E-2</v>
      </c>
      <c r="N30" s="91">
        <v>3.6792486613326014E-2</v>
      </c>
      <c r="O30" s="91">
        <v>3.6265967512818964E-2</v>
      </c>
      <c r="Q30" s="95">
        <v>2026</v>
      </c>
      <c r="R30" s="94">
        <v>5</v>
      </c>
      <c r="S30" s="102">
        <f t="shared" ref="S30:S37" si="2">+$V$30+$V$29*R30</f>
        <v>9.7418855218855224E-2</v>
      </c>
      <c r="T30" s="97"/>
      <c r="U30" s="93" t="s">
        <v>346</v>
      </c>
      <c r="V30" s="97">
        <f>+(T26/R25)</f>
        <v>6.8381818181818183E-2</v>
      </c>
      <c r="W30" s="97"/>
    </row>
    <row r="31" spans="1:23" x14ac:dyDescent="0.3">
      <c r="A31" s="89" t="s">
        <v>262</v>
      </c>
      <c r="B31" s="89"/>
      <c r="C31" s="89">
        <f>+C26-C27-C28+C29</f>
        <v>79584085.73331818</v>
      </c>
      <c r="D31" s="89">
        <f>+D26-D27-D28+D29</f>
        <v>148914177.69846871</v>
      </c>
      <c r="E31" s="89">
        <f>+E26-E27-E28+E29</f>
        <v>164622602.40988117</v>
      </c>
      <c r="F31" s="89">
        <f>+F26-F27-F28+F29</f>
        <v>178789171.64341941</v>
      </c>
      <c r="G31" s="89">
        <f>+G26-G27-G28+G29</f>
        <v>190976608.6450181</v>
      </c>
      <c r="Q31" s="95">
        <v>2027</v>
      </c>
      <c r="R31" s="94">
        <v>6</v>
      </c>
      <c r="S31" s="102">
        <f t="shared" si="2"/>
        <v>0.10322626262626264</v>
      </c>
      <c r="T31" s="97"/>
      <c r="U31" s="97"/>
      <c r="V31" s="97"/>
      <c r="W31" s="97"/>
    </row>
    <row r="32" spans="1:23" x14ac:dyDescent="0.3">
      <c r="C32" s="33"/>
      <c r="D32" s="33"/>
      <c r="E32" s="33"/>
      <c r="F32" s="33"/>
      <c r="G32" s="33"/>
      <c r="Q32" s="95">
        <v>2028</v>
      </c>
      <c r="R32" s="94">
        <v>7</v>
      </c>
      <c r="S32" s="102">
        <f t="shared" si="2"/>
        <v>0.10903367003367004</v>
      </c>
      <c r="T32" s="104"/>
      <c r="U32" s="104"/>
      <c r="V32" s="104"/>
      <c r="W32" s="104"/>
    </row>
    <row r="33" spans="1:23" x14ac:dyDescent="0.3">
      <c r="C33" s="33"/>
      <c r="D33" s="33"/>
      <c r="E33" s="33"/>
      <c r="F33" s="33"/>
      <c r="G33" s="33"/>
      <c r="Q33" s="95">
        <v>2029</v>
      </c>
      <c r="R33" s="94">
        <v>8</v>
      </c>
      <c r="S33" s="102">
        <f t="shared" si="2"/>
        <v>0.11484107744107744</v>
      </c>
      <c r="T33" s="104"/>
      <c r="U33" s="104"/>
      <c r="V33" s="104"/>
      <c r="W33" s="104"/>
    </row>
    <row r="34" spans="1:23" x14ac:dyDescent="0.3">
      <c r="A34" t="s">
        <v>263</v>
      </c>
      <c r="B34">
        <v>0.33</v>
      </c>
      <c r="C34" s="33">
        <f>+IF(C31&gt;0,C31*$B$34,0)</f>
        <v>26262748.291995</v>
      </c>
      <c r="D34" s="33">
        <f>+IF(D31&gt;0,D31*$B$34,0)</f>
        <v>49141678.640494682</v>
      </c>
      <c r="E34" s="33">
        <f>+IF(E31&gt;0,E31*$B$34,0)</f>
        <v>54325458.795260787</v>
      </c>
      <c r="F34" s="33">
        <f>+IF(F31&gt;0,F31*$B$34,0)</f>
        <v>59000426.642328411</v>
      </c>
      <c r="G34" s="33">
        <f>+IF(G31&gt;0,G31*$B$34,0)</f>
        <v>63022280.852855973</v>
      </c>
      <c r="Q34" s="95">
        <v>2030</v>
      </c>
      <c r="R34" s="94">
        <v>9</v>
      </c>
      <c r="S34" s="102">
        <f t="shared" si="2"/>
        <v>0.12064848484848485</v>
      </c>
      <c r="T34" s="104"/>
      <c r="U34" s="104"/>
      <c r="V34" s="104"/>
      <c r="W34" s="104"/>
    </row>
    <row r="35" spans="1:23" x14ac:dyDescent="0.3">
      <c r="C35" s="33"/>
      <c r="D35" s="33"/>
      <c r="E35" s="33"/>
      <c r="F35" s="33"/>
      <c r="G35" s="33"/>
      <c r="Q35" s="95">
        <v>2031</v>
      </c>
      <c r="R35" s="94">
        <v>10</v>
      </c>
      <c r="S35" s="102">
        <f t="shared" si="2"/>
        <v>0.12645589225589227</v>
      </c>
      <c r="T35" s="104"/>
      <c r="U35" s="104"/>
      <c r="V35" s="104"/>
      <c r="W35" s="97"/>
    </row>
    <row r="36" spans="1:23" x14ac:dyDescent="0.3">
      <c r="C36" s="33"/>
      <c r="D36" s="33"/>
      <c r="E36" s="33"/>
      <c r="F36" s="33"/>
      <c r="G36" s="33"/>
      <c r="J36" s="54" t="s">
        <v>248</v>
      </c>
      <c r="K36" s="54">
        <v>2024</v>
      </c>
      <c r="L36" s="54">
        <v>2025</v>
      </c>
      <c r="M36" s="54">
        <v>2026</v>
      </c>
      <c r="N36" s="54">
        <v>2027</v>
      </c>
      <c r="O36" s="54">
        <v>2028</v>
      </c>
      <c r="Q36" s="95">
        <v>2032</v>
      </c>
      <c r="R36" s="94">
        <v>11</v>
      </c>
      <c r="S36" s="102">
        <f t="shared" si="2"/>
        <v>0.13226329966329967</v>
      </c>
      <c r="T36" s="97"/>
      <c r="U36" s="97"/>
      <c r="V36" s="97"/>
      <c r="W36" s="97"/>
    </row>
    <row r="37" spans="1:23" x14ac:dyDescent="0.3">
      <c r="A37" s="89" t="s">
        <v>264</v>
      </c>
      <c r="B37" s="89"/>
      <c r="C37" s="89">
        <f>+C31-C34</f>
        <v>53321337.441323176</v>
      </c>
      <c r="D37" s="89">
        <f>+D31-D34</f>
        <v>99772499.057974041</v>
      </c>
      <c r="E37" s="89">
        <f>+E31-E34</f>
        <v>110297143.61462039</v>
      </c>
      <c r="F37" s="89">
        <f>+F31-F34</f>
        <v>119788745.001091</v>
      </c>
      <c r="G37" s="89">
        <f>+G31-G34</f>
        <v>127954327.79216212</v>
      </c>
      <c r="J37" s="201" t="s">
        <v>351</v>
      </c>
      <c r="K37" s="200">
        <v>7809.25</v>
      </c>
      <c r="L37" s="200">
        <v>9151.9399999999987</v>
      </c>
      <c r="M37" s="200">
        <v>9918.619999999999</v>
      </c>
      <c r="N37" s="200">
        <v>10685.3</v>
      </c>
      <c r="O37" s="200">
        <v>11451.98</v>
      </c>
      <c r="Q37" s="95">
        <v>2033</v>
      </c>
      <c r="R37" s="94">
        <v>12</v>
      </c>
      <c r="S37" s="102">
        <f t="shared" si="2"/>
        <v>0.13807070707070707</v>
      </c>
      <c r="T37" s="97"/>
      <c r="U37" s="97"/>
      <c r="V37" s="97"/>
      <c r="W37" s="97"/>
    </row>
    <row r="38" spans="1:23" x14ac:dyDescent="0.3">
      <c r="C38" s="33"/>
      <c r="D38" s="33"/>
      <c r="E38" s="33"/>
      <c r="F38" s="33"/>
      <c r="G38" s="33"/>
      <c r="J38" s="201"/>
      <c r="K38" s="200"/>
      <c r="L38" s="200"/>
      <c r="M38" s="200"/>
      <c r="N38" s="200"/>
      <c r="O38" s="200"/>
    </row>
    <row r="39" spans="1:23" x14ac:dyDescent="0.3">
      <c r="A39" t="s">
        <v>265</v>
      </c>
      <c r="B39">
        <v>0.05</v>
      </c>
      <c r="C39" s="33">
        <f>+C37*$B$39</f>
        <v>2666066.8720661588</v>
      </c>
      <c r="D39" s="33">
        <f>+D37*$B$39</f>
        <v>4988624.9528987026</v>
      </c>
      <c r="E39" s="33">
        <f>+E37*$B$39</f>
        <v>5514857.1807310199</v>
      </c>
      <c r="F39" s="33">
        <f>+F37*$B$39</f>
        <v>5989437.2500545504</v>
      </c>
      <c r="G39" s="33">
        <f>+G37*$B$39</f>
        <v>6397716.3896081066</v>
      </c>
    </row>
    <row r="40" spans="1:23" x14ac:dyDescent="0.3">
      <c r="A40" s="89" t="s">
        <v>266</v>
      </c>
      <c r="B40" s="89"/>
      <c r="C40" s="89">
        <f>+C37-C39</f>
        <v>50655270.569257021</v>
      </c>
      <c r="D40" s="89">
        <f>+D37-D39</f>
        <v>94783874.105075344</v>
      </c>
      <c r="E40" s="89">
        <f>+E37-E39</f>
        <v>104782286.43388937</v>
      </c>
      <c r="F40" s="89">
        <f>+F37-F39</f>
        <v>113799307.75103645</v>
      </c>
      <c r="G40" s="89">
        <f>+G37-G39</f>
        <v>121556611.40255402</v>
      </c>
      <c r="H40" s="37">
        <f>SUM(C40:G40)</f>
        <v>485577350.26181227</v>
      </c>
    </row>
    <row r="41" spans="1:23" x14ac:dyDescent="0.3">
      <c r="C41" s="33"/>
      <c r="D41" s="33"/>
      <c r="E41" s="33"/>
      <c r="F41" s="33"/>
      <c r="G41" s="33"/>
    </row>
    <row r="42" spans="1:23" x14ac:dyDescent="0.3">
      <c r="C42" s="33"/>
      <c r="D42" s="33"/>
      <c r="E42" s="33"/>
      <c r="F42" s="33"/>
      <c r="G42" s="33"/>
    </row>
    <row r="43" spans="1:23" x14ac:dyDescent="0.3">
      <c r="C43" s="29">
        <f>+C40/C8</f>
        <v>5.5440795275662869E-2</v>
      </c>
      <c r="D43" s="29">
        <f>+D40/D8</f>
        <v>8.8518782039071625E-2</v>
      </c>
      <c r="E43" s="29">
        <f>+E40/E8</f>
        <v>9.0292308579777242E-2</v>
      </c>
      <c r="F43" s="29">
        <f>+F40/F8</f>
        <v>9.102633112704038E-2</v>
      </c>
      <c r="G43" s="29">
        <f>+G40/G8</f>
        <v>9.0721901068900379E-2</v>
      </c>
    </row>
    <row r="44" spans="1:23" x14ac:dyDescent="0.3">
      <c r="J44" t="s">
        <v>381</v>
      </c>
      <c r="K44" t="s">
        <v>398</v>
      </c>
    </row>
    <row r="45" spans="1:23" ht="15.6" x14ac:dyDescent="0.3">
      <c r="A45" s="193" t="s">
        <v>267</v>
      </c>
      <c r="B45" s="193"/>
      <c r="C45" s="193"/>
      <c r="D45" s="193"/>
      <c r="E45" s="193"/>
      <c r="F45" s="193"/>
      <c r="G45" s="193"/>
      <c r="I45" t="s">
        <v>268</v>
      </c>
      <c r="J45" t="s">
        <v>369</v>
      </c>
      <c r="K45" s="37">
        <f>+C40</f>
        <v>50655270.569257021</v>
      </c>
    </row>
    <row r="46" spans="1:23" x14ac:dyDescent="0.3">
      <c r="A46" s="86"/>
      <c r="B46" s="86" t="s">
        <v>248</v>
      </c>
      <c r="C46" s="86" t="s">
        <v>248</v>
      </c>
      <c r="D46" s="86" t="s">
        <v>248</v>
      </c>
      <c r="E46" s="86" t="s">
        <v>248</v>
      </c>
      <c r="F46" s="86" t="s">
        <v>248</v>
      </c>
      <c r="G46" s="86" t="s">
        <v>248</v>
      </c>
      <c r="J46" t="s">
        <v>370</v>
      </c>
      <c r="K46" s="37">
        <f>+D40</f>
        <v>94783874.105075344</v>
      </c>
    </row>
    <row r="47" spans="1:23" x14ac:dyDescent="0.3">
      <c r="A47" s="86"/>
      <c r="B47" s="86">
        <v>2023</v>
      </c>
      <c r="C47" s="86">
        <v>2024</v>
      </c>
      <c r="D47" s="86">
        <v>2025</v>
      </c>
      <c r="E47" s="86">
        <v>2026</v>
      </c>
      <c r="F47" s="86">
        <v>2027</v>
      </c>
      <c r="G47" s="86">
        <v>2028</v>
      </c>
      <c r="J47" t="s">
        <v>382</v>
      </c>
      <c r="K47" s="37">
        <f>+E40</f>
        <v>104782286.43388937</v>
      </c>
    </row>
    <row r="48" spans="1:23" x14ac:dyDescent="0.3">
      <c r="A48" t="s">
        <v>269</v>
      </c>
      <c r="B48" s="28"/>
      <c r="C48" s="28">
        <f>+C8</f>
        <v>913682250</v>
      </c>
      <c r="D48" s="28">
        <f>+D8</f>
        <v>1070776979.9999999</v>
      </c>
      <c r="E48" s="28">
        <f>+E8</f>
        <v>1160478540</v>
      </c>
      <c r="F48" s="28">
        <f>+F8</f>
        <v>1250180100</v>
      </c>
      <c r="G48" s="28">
        <f>+G8</f>
        <v>1339881660</v>
      </c>
      <c r="J48" t="s">
        <v>372</v>
      </c>
      <c r="K48" s="37">
        <f>+F40</f>
        <v>113799307.75103645</v>
      </c>
    </row>
    <row r="49" spans="1:11" x14ac:dyDescent="0.3">
      <c r="A49" t="s">
        <v>270</v>
      </c>
      <c r="B49" s="28"/>
      <c r="C49" s="28"/>
      <c r="D49" s="28"/>
      <c r="E49" s="28"/>
      <c r="F49" s="28"/>
      <c r="G49" s="28"/>
      <c r="J49" t="s">
        <v>373</v>
      </c>
      <c r="K49" s="37">
        <f>+G40</f>
        <v>121556611.40255402</v>
      </c>
    </row>
    <row r="50" spans="1:11" x14ac:dyDescent="0.3">
      <c r="A50" s="89" t="s">
        <v>271</v>
      </c>
      <c r="B50" s="88"/>
      <c r="C50" s="88">
        <f>SUM(C48:C49)</f>
        <v>913682250</v>
      </c>
      <c r="D50" s="88">
        <f>SUM(D48:D49)</f>
        <v>1070776979.9999999</v>
      </c>
      <c r="E50" s="88">
        <f>SUM(E48:E49)</f>
        <v>1160478540</v>
      </c>
      <c r="F50" s="88">
        <f>SUM(F48:F49)</f>
        <v>1250180100</v>
      </c>
      <c r="G50" s="88">
        <f>SUM(G48:G49)</f>
        <v>1339881660</v>
      </c>
    </row>
    <row r="51" spans="1:11" x14ac:dyDescent="0.3">
      <c r="B51" s="28"/>
      <c r="C51" s="28"/>
      <c r="D51" s="28"/>
      <c r="E51" s="28"/>
      <c r="F51" s="28"/>
      <c r="G51" s="28"/>
    </row>
    <row r="52" spans="1:11" x14ac:dyDescent="0.3">
      <c r="A52" s="36" t="s">
        <v>272</v>
      </c>
      <c r="B52" s="28"/>
      <c r="C52" s="28"/>
      <c r="D52" s="28"/>
      <c r="E52" s="28"/>
      <c r="F52" s="28"/>
      <c r="G52" s="28"/>
    </row>
    <row r="53" spans="1:11" x14ac:dyDescent="0.3">
      <c r="A53" t="s">
        <v>273</v>
      </c>
      <c r="B53" s="28"/>
      <c r="C53" s="28">
        <f t="shared" ref="C53:G54" si="3">+C12</f>
        <v>29208000</v>
      </c>
      <c r="D53" s="28">
        <f t="shared" si="3"/>
        <v>30466871.132624015</v>
      </c>
      <c r="E53" s="28">
        <f t="shared" si="3"/>
        <v>31649717.84056858</v>
      </c>
      <c r="F53" s="28">
        <f t="shared" si="3"/>
        <v>32814189.660533246</v>
      </c>
      <c r="G53" s="28">
        <f t="shared" si="3"/>
        <v>34004227.996721625</v>
      </c>
    </row>
    <row r="54" spans="1:11" x14ac:dyDescent="0.3">
      <c r="A54" t="s">
        <v>350</v>
      </c>
      <c r="B54" s="28"/>
      <c r="C54" s="28">
        <f t="shared" si="3"/>
        <v>608400000</v>
      </c>
      <c r="D54" s="28">
        <f t="shared" si="3"/>
        <v>713851319.99999988</v>
      </c>
      <c r="E54" s="28">
        <f t="shared" si="3"/>
        <v>773652359.99999988</v>
      </c>
      <c r="F54" s="28">
        <f t="shared" si="3"/>
        <v>833453400</v>
      </c>
      <c r="G54" s="28">
        <f t="shared" si="3"/>
        <v>893254440</v>
      </c>
    </row>
    <row r="55" spans="1:11" x14ac:dyDescent="0.3">
      <c r="A55" t="s">
        <v>274</v>
      </c>
      <c r="B55" s="28"/>
      <c r="C55" s="28">
        <f>+C11</f>
        <v>57082211.039999999</v>
      </c>
      <c r="D55" s="28">
        <f>+D11</f>
        <v>62311595.037653007</v>
      </c>
      <c r="E55" s="28">
        <f>+E11</f>
        <v>68381919.293082073</v>
      </c>
      <c r="F55" s="28">
        <f>+F11</f>
        <v>75440729.252917647</v>
      </c>
      <c r="G55" s="28">
        <f>+G11</f>
        <v>83666308.833379716</v>
      </c>
    </row>
    <row r="56" spans="1:11" x14ac:dyDescent="0.3">
      <c r="A56" t="s">
        <v>275</v>
      </c>
      <c r="B56" s="28"/>
      <c r="C56" s="28">
        <f>+C14</f>
        <v>6658673</v>
      </c>
      <c r="D56" s="28">
        <f>+D14</f>
        <v>6945663.2499754503</v>
      </c>
      <c r="E56" s="28">
        <f>+E14</f>
        <v>7215321.885874155</v>
      </c>
      <c r="F56" s="28">
        <f>+F14</f>
        <v>7480791.5197710181</v>
      </c>
      <c r="G56" s="28">
        <f>+G14</f>
        <v>7752089.6619972056</v>
      </c>
    </row>
    <row r="57" spans="1:11" x14ac:dyDescent="0.3">
      <c r="A57" t="s">
        <v>276</v>
      </c>
      <c r="B57" s="28"/>
      <c r="C57" s="28">
        <f>-'COSTOS RESUMEN'!B11</f>
        <v>-4249965</v>
      </c>
      <c r="D57" s="28">
        <f>+C57</f>
        <v>-4249965</v>
      </c>
      <c r="E57" s="28">
        <f>+D57</f>
        <v>-4249965</v>
      </c>
      <c r="F57" s="28">
        <f>+E57</f>
        <v>-4249965</v>
      </c>
      <c r="G57" s="28">
        <f>+F57</f>
        <v>-4249965</v>
      </c>
    </row>
    <row r="58" spans="1:11" x14ac:dyDescent="0.3">
      <c r="A58" t="s">
        <v>277</v>
      </c>
      <c r="B58" s="28"/>
      <c r="C58" s="28">
        <f>+C15</f>
        <v>53220000</v>
      </c>
      <c r="D58" s="28">
        <f>+D15</f>
        <v>55513793.538696595</v>
      </c>
      <c r="E58" s="28">
        <f>+E15</f>
        <v>57669062.704569295</v>
      </c>
      <c r="F58" s="28">
        <f>+F15</f>
        <v>59790850.92213022</v>
      </c>
      <c r="G58" s="28">
        <f>+G15</f>
        <v>61959223.979235999</v>
      </c>
    </row>
    <row r="59" spans="1:11" x14ac:dyDescent="0.3">
      <c r="A59" s="89" t="s">
        <v>278</v>
      </c>
      <c r="B59" s="88"/>
      <c r="C59" s="88">
        <f>SUM(C53:C58)</f>
        <v>750318919.03999996</v>
      </c>
      <c r="D59" s="88">
        <f>SUM(D53:D58)</f>
        <v>864839277.95894897</v>
      </c>
      <c r="E59" s="88">
        <f>SUM(E53:E58)</f>
        <v>934318416.72409403</v>
      </c>
      <c r="F59" s="88">
        <f>SUM(F53:F58)</f>
        <v>1004729996.355352</v>
      </c>
      <c r="G59" s="88">
        <f>SUM(G53:G58)</f>
        <v>1076386325.4713345</v>
      </c>
    </row>
    <row r="60" spans="1:11" x14ac:dyDescent="0.3">
      <c r="B60" s="28"/>
      <c r="C60" s="28"/>
      <c r="D60" s="28"/>
      <c r="E60" s="28"/>
      <c r="F60" s="28"/>
      <c r="G60" s="28"/>
    </row>
    <row r="61" spans="1:11" x14ac:dyDescent="0.3">
      <c r="A61" s="89" t="s">
        <v>279</v>
      </c>
      <c r="B61" s="88"/>
      <c r="C61" s="88">
        <f>+C50-C59</f>
        <v>163363330.96000004</v>
      </c>
      <c r="D61" s="88">
        <f>+D50-D59</f>
        <v>205937702.04105091</v>
      </c>
      <c r="E61" s="88">
        <f>+E50-E59</f>
        <v>226160123.27590597</v>
      </c>
      <c r="F61" s="88">
        <f>+F50-F59</f>
        <v>245450103.64464796</v>
      </c>
      <c r="G61" s="88">
        <f>+G50-G59</f>
        <v>263495334.52866554</v>
      </c>
    </row>
    <row r="62" spans="1:11" x14ac:dyDescent="0.3">
      <c r="B62" s="28"/>
      <c r="C62" s="28"/>
      <c r="D62" s="28"/>
      <c r="E62" s="28"/>
      <c r="F62" s="28"/>
      <c r="G62" s="28"/>
    </row>
    <row r="63" spans="1:11" x14ac:dyDescent="0.3">
      <c r="A63" s="36" t="s">
        <v>280</v>
      </c>
      <c r="B63" s="28"/>
      <c r="C63" s="28"/>
      <c r="D63" s="28"/>
      <c r="E63" s="28"/>
      <c r="F63" s="28"/>
      <c r="G63" s="28"/>
    </row>
    <row r="64" spans="1:11" x14ac:dyDescent="0.3">
      <c r="A64" t="s">
        <v>281</v>
      </c>
      <c r="B64" s="28"/>
      <c r="C64" s="28">
        <f>+C20+C21</f>
        <v>34683054.25</v>
      </c>
      <c r="D64" s="28">
        <f>+D20+D21</f>
        <v>37409046.01232928</v>
      </c>
      <c r="E64" s="28">
        <f>+E20+E21</f>
        <v>40484698.466489002</v>
      </c>
      <c r="F64" s="28">
        <f>+F20+F21</f>
        <v>43993974.641065232</v>
      </c>
      <c r="G64" s="28">
        <f>+G20+G21</f>
        <v>48030136.913497865</v>
      </c>
    </row>
    <row r="65" spans="1:7" x14ac:dyDescent="0.3">
      <c r="A65" t="s">
        <v>282</v>
      </c>
      <c r="B65" s="28"/>
      <c r="C65" s="28">
        <f>-'COSTOS Y GASTOS'!D118</f>
        <v>-6352000</v>
      </c>
      <c r="D65" s="28">
        <f t="shared" ref="D65:G66" si="4">+C65</f>
        <v>-6352000</v>
      </c>
      <c r="E65" s="28">
        <f t="shared" si="4"/>
        <v>-6352000</v>
      </c>
      <c r="F65" s="28">
        <f t="shared" si="4"/>
        <v>-6352000</v>
      </c>
      <c r="G65" s="28">
        <f t="shared" si="4"/>
        <v>-6352000</v>
      </c>
    </row>
    <row r="66" spans="1:7" x14ac:dyDescent="0.3">
      <c r="A66" t="s">
        <v>276</v>
      </c>
      <c r="B66" s="28"/>
      <c r="C66" s="28">
        <f>-('COSTOS Y GASTOS'!D111+'COSTOS Y GASTOS'!D112+'COSTOS Y GASTOS'!D113+'COSTOS Y GASTOS'!D114)</f>
        <v>-71625.000000000015</v>
      </c>
      <c r="D66" s="28">
        <f t="shared" si="4"/>
        <v>-71625.000000000015</v>
      </c>
      <c r="E66" s="28">
        <f t="shared" si="4"/>
        <v>-71625.000000000015</v>
      </c>
      <c r="F66" s="28">
        <f t="shared" si="4"/>
        <v>-71625.000000000015</v>
      </c>
      <c r="G66" s="28">
        <f t="shared" si="4"/>
        <v>-71625.000000000015</v>
      </c>
    </row>
    <row r="67" spans="1:7" x14ac:dyDescent="0.3">
      <c r="A67" t="s">
        <v>283</v>
      </c>
      <c r="B67" s="28"/>
      <c r="C67" s="28">
        <f>+C22</f>
        <v>10151419.199999999</v>
      </c>
      <c r="D67" s="28">
        <f>+D22</f>
        <v>11081405.410252929</v>
      </c>
      <c r="E67" s="28">
        <f>+E22</f>
        <v>12160943.239535799</v>
      </c>
      <c r="F67" s="28">
        <f>+F22</f>
        <v>13416271.960163195</v>
      </c>
      <c r="G67" s="28">
        <f>+G22</f>
        <v>14879097.330149608</v>
      </c>
    </row>
    <row r="68" spans="1:7" x14ac:dyDescent="0.3">
      <c r="A68" t="s">
        <v>284</v>
      </c>
      <c r="B68" s="28"/>
      <c r="C68" s="28"/>
      <c r="D68" s="28">
        <f>+C34</f>
        <v>26262748.291995</v>
      </c>
      <c r="E68" s="28">
        <f>+D34</f>
        <v>49141678.640494682</v>
      </c>
      <c r="F68" s="28">
        <f>+E34</f>
        <v>54325458.795260787</v>
      </c>
      <c r="G68" s="28">
        <f>+F34</f>
        <v>59000426.642328411</v>
      </c>
    </row>
    <row r="69" spans="1:7" x14ac:dyDescent="0.3">
      <c r="A69" s="89" t="s">
        <v>285</v>
      </c>
      <c r="B69" s="88"/>
      <c r="C69" s="88">
        <f>SUM(C64:C68)</f>
        <v>38410848.450000003</v>
      </c>
      <c r="D69" s="88">
        <f>SUM(D64:D68)</f>
        <v>68329574.714577213</v>
      </c>
      <c r="E69" s="88">
        <f>SUM(E64:E68)</f>
        <v>95363695.346519485</v>
      </c>
      <c r="F69" s="88">
        <f>SUM(F64:F68)</f>
        <v>105312080.39648922</v>
      </c>
      <c r="G69" s="88">
        <f>SUM(G64:G68)</f>
        <v>115486035.88597588</v>
      </c>
    </row>
    <row r="70" spans="1:7" x14ac:dyDescent="0.3">
      <c r="B70" s="28"/>
      <c r="C70" s="28"/>
      <c r="D70" s="28"/>
      <c r="E70" s="28"/>
      <c r="F70" s="28"/>
      <c r="G70" s="28"/>
    </row>
    <row r="71" spans="1:7" x14ac:dyDescent="0.3">
      <c r="A71" s="89" t="s">
        <v>286</v>
      </c>
      <c r="B71" s="88"/>
      <c r="C71" s="88">
        <f>+C61-C69</f>
        <v>124952482.51000004</v>
      </c>
      <c r="D71" s="88">
        <f>+D61-D69</f>
        <v>137608127.32647371</v>
      </c>
      <c r="E71" s="88">
        <f>+E61-E69</f>
        <v>130796427.92938648</v>
      </c>
      <c r="F71" s="88">
        <f>+F61-F69</f>
        <v>140138023.24815875</v>
      </c>
      <c r="G71" s="88">
        <f>+G61-G69</f>
        <v>148009298.64268965</v>
      </c>
    </row>
    <row r="72" spans="1:7" x14ac:dyDescent="0.3">
      <c r="B72" s="28"/>
      <c r="C72" s="28"/>
      <c r="D72" s="28"/>
      <c r="E72" s="28"/>
      <c r="F72" s="28"/>
      <c r="G72" s="28"/>
    </row>
    <row r="73" spans="1:7" x14ac:dyDescent="0.3">
      <c r="A73" s="36" t="s">
        <v>287</v>
      </c>
      <c r="B73" s="28"/>
      <c r="C73" s="28"/>
      <c r="D73" s="28"/>
      <c r="E73" s="28"/>
      <c r="F73" s="28"/>
      <c r="G73" s="28"/>
    </row>
    <row r="74" spans="1:7" x14ac:dyDescent="0.3">
      <c r="A74" t="s">
        <v>288</v>
      </c>
      <c r="B74" s="105">
        <f>+INVERSIONES!C40</f>
        <v>64516800</v>
      </c>
      <c r="C74" s="28"/>
      <c r="D74" s="28"/>
      <c r="E74" s="28"/>
      <c r="F74" s="28"/>
      <c r="G74" s="28"/>
    </row>
    <row r="75" spans="1:7" x14ac:dyDescent="0.3">
      <c r="A75" t="s">
        <v>289</v>
      </c>
      <c r="B75" s="28">
        <f>+INVERSIONES!D54</f>
        <v>31760000</v>
      </c>
      <c r="C75" s="28"/>
      <c r="D75" s="28"/>
      <c r="E75" s="28"/>
      <c r="F75" s="28"/>
      <c r="G75" s="28"/>
    </row>
    <row r="76" spans="1:7" x14ac:dyDescent="0.3">
      <c r="A76" t="s">
        <v>290</v>
      </c>
      <c r="B76" s="28">
        <f>+'COSTOS Y GASTOS'!D162</f>
        <v>410133202.745</v>
      </c>
      <c r="C76" s="28"/>
      <c r="D76" s="28"/>
      <c r="E76" s="28"/>
      <c r="F76" s="28"/>
      <c r="G76" s="28"/>
    </row>
    <row r="77" spans="1:7" x14ac:dyDescent="0.3">
      <c r="A77" s="89" t="s">
        <v>291</v>
      </c>
      <c r="B77" s="106">
        <f t="shared" ref="B77:G77" si="5">SUM(B74:B76)</f>
        <v>506410002.745</v>
      </c>
      <c r="C77" s="106">
        <f t="shared" si="5"/>
        <v>0</v>
      </c>
      <c r="D77" s="106">
        <f t="shared" si="5"/>
        <v>0</v>
      </c>
      <c r="E77" s="106">
        <f t="shared" si="5"/>
        <v>0</v>
      </c>
      <c r="F77" s="106">
        <f t="shared" si="5"/>
        <v>0</v>
      </c>
      <c r="G77" s="106">
        <f t="shared" si="5"/>
        <v>0</v>
      </c>
    </row>
    <row r="78" spans="1:7" x14ac:dyDescent="0.3">
      <c r="B78" s="28"/>
      <c r="C78" s="28"/>
      <c r="D78" s="28"/>
      <c r="E78" s="28"/>
      <c r="F78" s="28"/>
      <c r="G78" s="28"/>
    </row>
    <row r="79" spans="1:7" x14ac:dyDescent="0.3">
      <c r="A79" s="89" t="s">
        <v>292</v>
      </c>
      <c r="B79" s="88">
        <f t="shared" ref="B79:G79" si="6">+B71-B77</f>
        <v>-506410002.745</v>
      </c>
      <c r="C79" s="88">
        <f t="shared" si="6"/>
        <v>124952482.51000004</v>
      </c>
      <c r="D79" s="88">
        <f t="shared" si="6"/>
        <v>137608127.32647371</v>
      </c>
      <c r="E79" s="88">
        <f t="shared" si="6"/>
        <v>130796427.92938648</v>
      </c>
      <c r="F79" s="88">
        <f t="shared" si="6"/>
        <v>140138023.24815875</v>
      </c>
      <c r="G79" s="88">
        <f t="shared" si="6"/>
        <v>148009298.64268965</v>
      </c>
    </row>
    <row r="80" spans="1:7" x14ac:dyDescent="0.3">
      <c r="B80" s="28"/>
      <c r="C80" s="28"/>
      <c r="D80" s="28"/>
      <c r="E80" s="28"/>
      <c r="F80" s="28"/>
      <c r="G80" s="28"/>
    </row>
    <row r="81" spans="1:8" x14ac:dyDescent="0.3">
      <c r="A81" s="36" t="s">
        <v>293</v>
      </c>
      <c r="B81" s="28"/>
      <c r="C81" s="28"/>
      <c r="D81" s="28"/>
      <c r="E81" s="28"/>
      <c r="F81" s="28"/>
      <c r="G81" s="28"/>
    </row>
    <row r="82" spans="1:8" x14ac:dyDescent="0.3">
      <c r="A82" t="s">
        <v>294</v>
      </c>
      <c r="B82" s="28">
        <f>+'COSTOS Y GASTOS'!B176</f>
        <v>200000000</v>
      </c>
      <c r="C82" s="28"/>
      <c r="D82" s="28"/>
      <c r="E82" s="28"/>
      <c r="F82" s="28"/>
      <c r="G82" s="28"/>
    </row>
    <row r="83" spans="1:8" x14ac:dyDescent="0.3">
      <c r="A83" t="s">
        <v>295</v>
      </c>
      <c r="B83" s="105">
        <f>+CREDITO!J8</f>
        <v>306410002.745</v>
      </c>
      <c r="C83" s="28"/>
      <c r="D83" s="28"/>
      <c r="E83" s="28"/>
      <c r="F83" s="28"/>
      <c r="G83" s="28"/>
    </row>
    <row r="84" spans="1:8" x14ac:dyDescent="0.3">
      <c r="A84" t="s">
        <v>296</v>
      </c>
      <c r="B84" s="28"/>
      <c r="C84" s="28"/>
      <c r="D84" s="28"/>
      <c r="E84" s="28"/>
      <c r="F84" s="28"/>
      <c r="G84" s="28"/>
    </row>
    <row r="85" spans="1:8" x14ac:dyDescent="0.3">
      <c r="A85" s="89" t="s">
        <v>297</v>
      </c>
      <c r="B85" s="88">
        <f t="shared" ref="B85:G85" si="7">+B82+B83+B84</f>
        <v>506410002.745</v>
      </c>
      <c r="C85" s="88">
        <f t="shared" si="7"/>
        <v>0</v>
      </c>
      <c r="D85" s="88">
        <f t="shared" si="7"/>
        <v>0</v>
      </c>
      <c r="E85" s="88">
        <f t="shared" si="7"/>
        <v>0</v>
      </c>
      <c r="F85" s="88">
        <f t="shared" si="7"/>
        <v>0</v>
      </c>
      <c r="G85" s="88">
        <f t="shared" si="7"/>
        <v>0</v>
      </c>
    </row>
    <row r="86" spans="1:8" x14ac:dyDescent="0.3">
      <c r="B86" s="28"/>
      <c r="C86" s="28"/>
      <c r="D86" s="28"/>
      <c r="E86" s="28"/>
      <c r="F86" s="28"/>
      <c r="G86" s="28"/>
    </row>
    <row r="87" spans="1:8" x14ac:dyDescent="0.3">
      <c r="B87" s="28"/>
      <c r="C87" s="28"/>
      <c r="D87" s="28"/>
      <c r="E87" s="28"/>
      <c r="F87" s="28"/>
      <c r="G87" s="28"/>
    </row>
    <row r="88" spans="1:8" x14ac:dyDescent="0.3">
      <c r="A88" s="36" t="s">
        <v>298</v>
      </c>
      <c r="B88" s="28"/>
      <c r="C88" s="28"/>
      <c r="D88" s="28"/>
      <c r="E88" s="28"/>
      <c r="F88" s="28"/>
      <c r="G88" s="28"/>
    </row>
    <row r="89" spans="1:8" x14ac:dyDescent="0.3">
      <c r="A89" t="s">
        <v>299</v>
      </c>
      <c r="B89" s="28"/>
      <c r="C89" s="28">
        <f>+CREDITO!K13</f>
        <v>306410002.74500006</v>
      </c>
      <c r="D89" s="28">
        <v>0</v>
      </c>
      <c r="E89" s="28">
        <v>0</v>
      </c>
      <c r="F89" s="28">
        <v>0</v>
      </c>
      <c r="G89" s="28">
        <v>0</v>
      </c>
    </row>
    <row r="90" spans="1:8" x14ac:dyDescent="0.3">
      <c r="A90" t="s">
        <v>300</v>
      </c>
      <c r="B90" s="28"/>
      <c r="C90" s="28">
        <f>+CREDITO!J13</f>
        <v>31040077.776681852</v>
      </c>
      <c r="D90" s="28">
        <v>0</v>
      </c>
      <c r="E90" s="28">
        <v>0</v>
      </c>
      <c r="F90" s="28">
        <v>0</v>
      </c>
      <c r="G90" s="28">
        <v>0</v>
      </c>
    </row>
    <row r="91" spans="1:8" x14ac:dyDescent="0.3">
      <c r="A91" t="s">
        <v>260</v>
      </c>
      <c r="B91" s="28"/>
      <c r="C91" s="28">
        <f>+C28</f>
        <v>3654729</v>
      </c>
      <c r="D91" s="28">
        <f>+D28</f>
        <v>4283107.92</v>
      </c>
      <c r="E91" s="28">
        <f>+E28</f>
        <v>4641914.16</v>
      </c>
      <c r="F91" s="28">
        <f>+F28</f>
        <v>5000720.4000000004</v>
      </c>
      <c r="G91" s="28">
        <f>+G28</f>
        <v>5359526.6399999997</v>
      </c>
    </row>
    <row r="92" spans="1:8" x14ac:dyDescent="0.3">
      <c r="A92" t="s">
        <v>301</v>
      </c>
      <c r="B92" s="28"/>
      <c r="C92" s="28"/>
      <c r="D92" s="28"/>
      <c r="E92" s="28"/>
      <c r="F92" s="28"/>
      <c r="G92" s="28"/>
    </row>
    <row r="93" spans="1:8" x14ac:dyDescent="0.3">
      <c r="A93" s="89" t="s">
        <v>302</v>
      </c>
      <c r="B93" s="88">
        <f t="shared" ref="B93:G93" si="8">SUM(B89:B92)</f>
        <v>0</v>
      </c>
      <c r="C93" s="88">
        <f t="shared" si="8"/>
        <v>341104809.5216819</v>
      </c>
      <c r="D93" s="88">
        <f t="shared" si="8"/>
        <v>4283107.92</v>
      </c>
      <c r="E93" s="88">
        <f t="shared" si="8"/>
        <v>4641914.16</v>
      </c>
      <c r="F93" s="88">
        <f t="shared" si="8"/>
        <v>5000720.4000000004</v>
      </c>
      <c r="G93" s="88">
        <f t="shared" si="8"/>
        <v>5359526.6399999997</v>
      </c>
      <c r="H93" s="38"/>
    </row>
    <row r="94" spans="1:8" x14ac:dyDescent="0.3">
      <c r="B94" s="28"/>
      <c r="C94" s="28"/>
      <c r="D94" s="28"/>
      <c r="E94" s="28"/>
      <c r="F94" s="28"/>
      <c r="G94" s="28"/>
    </row>
    <row r="95" spans="1:8" x14ac:dyDescent="0.3">
      <c r="A95" s="89" t="s">
        <v>303</v>
      </c>
      <c r="B95" s="88">
        <f t="shared" ref="B95:G95" si="9">+B85-B93</f>
        <v>506410002.745</v>
      </c>
      <c r="C95" s="88">
        <f t="shared" si="9"/>
        <v>-341104809.5216819</v>
      </c>
      <c r="D95" s="88">
        <f t="shared" si="9"/>
        <v>-4283107.92</v>
      </c>
      <c r="E95" s="88">
        <f t="shared" si="9"/>
        <v>-4641914.16</v>
      </c>
      <c r="F95" s="88">
        <f t="shared" si="9"/>
        <v>-5000720.4000000004</v>
      </c>
      <c r="G95" s="88">
        <f t="shared" si="9"/>
        <v>-5359526.6399999997</v>
      </c>
    </row>
    <row r="96" spans="1:8" x14ac:dyDescent="0.3">
      <c r="B96" s="28"/>
      <c r="C96" s="28"/>
      <c r="D96" s="28"/>
      <c r="E96" s="28"/>
      <c r="F96" s="28"/>
      <c r="G96" s="28"/>
    </row>
    <row r="97" spans="1:7" x14ac:dyDescent="0.3">
      <c r="B97" s="28"/>
      <c r="C97" s="28"/>
      <c r="D97" s="28"/>
      <c r="E97" s="28"/>
      <c r="F97" s="28"/>
      <c r="G97" s="28"/>
    </row>
    <row r="98" spans="1:7" x14ac:dyDescent="0.3">
      <c r="A98" s="89" t="s">
        <v>304</v>
      </c>
      <c r="B98" s="88">
        <f t="shared" ref="B98:G98" si="10">+B79+B95</f>
        <v>0</v>
      </c>
      <c r="C98" s="88">
        <f t="shared" si="10"/>
        <v>-216152327.01168185</v>
      </c>
      <c r="D98" s="88">
        <f t="shared" si="10"/>
        <v>133325019.40647371</v>
      </c>
      <c r="E98" s="88">
        <f t="shared" si="10"/>
        <v>126154513.76938649</v>
      </c>
      <c r="F98" s="88">
        <f t="shared" si="10"/>
        <v>135137302.84815875</v>
      </c>
      <c r="G98" s="88">
        <f t="shared" si="10"/>
        <v>142649772.00268966</v>
      </c>
    </row>
    <row r="99" spans="1:7" x14ac:dyDescent="0.3">
      <c r="B99" s="28"/>
      <c r="C99" s="28"/>
      <c r="D99" s="28"/>
      <c r="E99" s="28"/>
      <c r="F99" s="28"/>
      <c r="G99" s="28"/>
    </row>
    <row r="100" spans="1:7" x14ac:dyDescent="0.3">
      <c r="A100" t="s">
        <v>305</v>
      </c>
      <c r="B100" s="28">
        <f>+B79+B98</f>
        <v>-506410002.745</v>
      </c>
      <c r="C100" s="28">
        <f>+C98</f>
        <v>-216152327.01168185</v>
      </c>
      <c r="D100" s="28">
        <f>+D98</f>
        <v>133325019.40647371</v>
      </c>
      <c r="E100" s="28">
        <f>+E98</f>
        <v>126154513.76938649</v>
      </c>
      <c r="F100" s="28">
        <f>+F98</f>
        <v>135137302.84815875</v>
      </c>
      <c r="G100" s="28">
        <f>+G98</f>
        <v>142649772.00268966</v>
      </c>
    </row>
    <row r="101" spans="1:7" x14ac:dyDescent="0.3">
      <c r="A101" t="s">
        <v>306</v>
      </c>
      <c r="B101" s="28"/>
      <c r="C101" s="28">
        <f>+'COSTOS Y GASTOS'!C171</f>
        <v>410133202.745</v>
      </c>
      <c r="D101" s="28">
        <f>+C103</f>
        <v>193980875.73331815</v>
      </c>
      <c r="E101" s="28">
        <f>+D103</f>
        <v>327305895.13979185</v>
      </c>
      <c r="F101" s="28">
        <f>+E103</f>
        <v>453460408.90917832</v>
      </c>
      <c r="G101" s="28">
        <f>+F103</f>
        <v>588597711.75733709</v>
      </c>
    </row>
    <row r="102" spans="1:7" x14ac:dyDescent="0.3">
      <c r="B102" s="28"/>
      <c r="C102" s="28"/>
      <c r="D102" s="28"/>
      <c r="E102" s="28"/>
      <c r="F102" s="28"/>
      <c r="G102" s="28"/>
    </row>
    <row r="103" spans="1:7" x14ac:dyDescent="0.3">
      <c r="A103" s="89" t="s">
        <v>307</v>
      </c>
      <c r="B103" s="88">
        <f t="shared" ref="B103:G103" si="11">+B100+B101</f>
        <v>-506410002.745</v>
      </c>
      <c r="C103" s="88">
        <f t="shared" si="11"/>
        <v>193980875.73331815</v>
      </c>
      <c r="D103" s="88">
        <f t="shared" si="11"/>
        <v>327305895.13979185</v>
      </c>
      <c r="E103" s="88">
        <f t="shared" si="11"/>
        <v>453460408.90917832</v>
      </c>
      <c r="F103" s="88">
        <f t="shared" si="11"/>
        <v>588597711.75733709</v>
      </c>
      <c r="G103" s="88">
        <f t="shared" si="11"/>
        <v>731247483.76002669</v>
      </c>
    </row>
    <row r="108" spans="1:7" ht="15.6" x14ac:dyDescent="0.3">
      <c r="A108" s="193" t="s">
        <v>308</v>
      </c>
      <c r="B108" s="193"/>
      <c r="C108" s="193"/>
      <c r="D108" s="193"/>
      <c r="E108" s="193"/>
      <c r="F108" s="193"/>
      <c r="G108" s="193"/>
    </row>
    <row r="110" spans="1:7" x14ac:dyDescent="0.3">
      <c r="A110" s="86"/>
      <c r="B110" s="86" t="s">
        <v>248</v>
      </c>
      <c r="C110" s="86" t="s">
        <v>248</v>
      </c>
      <c r="D110" s="86" t="s">
        <v>248</v>
      </c>
      <c r="E110" s="86" t="s">
        <v>248</v>
      </c>
      <c r="F110" s="86" t="s">
        <v>248</v>
      </c>
      <c r="G110" s="86" t="s">
        <v>248</v>
      </c>
    </row>
    <row r="111" spans="1:7" x14ac:dyDescent="0.3">
      <c r="A111" s="86"/>
      <c r="B111" s="86">
        <v>0</v>
      </c>
      <c r="C111" s="86">
        <v>1</v>
      </c>
      <c r="D111" s="86">
        <v>2</v>
      </c>
      <c r="E111" s="86">
        <v>3</v>
      </c>
      <c r="F111" s="86">
        <v>4</v>
      </c>
      <c r="G111" s="86">
        <v>5</v>
      </c>
    </row>
    <row r="112" spans="1:7" x14ac:dyDescent="0.3">
      <c r="A112" t="s">
        <v>309</v>
      </c>
      <c r="B112" s="38">
        <f>+'COSTOS Y GASTOS'!C171</f>
        <v>410133202.745</v>
      </c>
      <c r="C112" s="38">
        <f>+C103</f>
        <v>193980875.73331815</v>
      </c>
      <c r="D112" s="38">
        <f>+D103</f>
        <v>327305895.13979185</v>
      </c>
      <c r="E112" s="38">
        <f>+E103</f>
        <v>453460408.90917832</v>
      </c>
      <c r="F112" s="38">
        <f>+F103</f>
        <v>588597711.75733709</v>
      </c>
      <c r="G112" s="38">
        <f>+G103</f>
        <v>731247483.76002669</v>
      </c>
    </row>
    <row r="113" spans="1:8" x14ac:dyDescent="0.3">
      <c r="A113" s="89" t="s">
        <v>310</v>
      </c>
      <c r="B113" s="89">
        <f t="shared" ref="B113:G113" si="12">SUM(B112)</f>
        <v>410133202.745</v>
      </c>
      <c r="C113" s="89">
        <f t="shared" si="12"/>
        <v>193980875.73331815</v>
      </c>
      <c r="D113" s="89">
        <f t="shared" si="12"/>
        <v>327305895.13979185</v>
      </c>
      <c r="E113" s="89">
        <f t="shared" si="12"/>
        <v>453460408.90917832</v>
      </c>
      <c r="F113" s="89">
        <f t="shared" si="12"/>
        <v>588597711.75733709</v>
      </c>
      <c r="G113" s="89">
        <f t="shared" si="12"/>
        <v>731247483.76002669</v>
      </c>
    </row>
    <row r="114" spans="1:8" x14ac:dyDescent="0.3">
      <c r="A114" t="s">
        <v>401</v>
      </c>
      <c r="B114" s="28">
        <v>0</v>
      </c>
      <c r="C114" s="28">
        <v>0</v>
      </c>
      <c r="D114" s="21">
        <v>2666066.8720660806</v>
      </c>
      <c r="E114" s="21">
        <v>4988624.9528986812</v>
      </c>
      <c r="F114" s="21">
        <v>5514857.1807311773</v>
      </c>
      <c r="G114" s="21">
        <v>5989437.2500544786</v>
      </c>
    </row>
    <row r="115" spans="1:8" x14ac:dyDescent="0.3">
      <c r="A115" t="s">
        <v>109</v>
      </c>
      <c r="B115" s="21">
        <f>+INVERSIONES!C37</f>
        <v>21000000</v>
      </c>
      <c r="C115" s="21">
        <f>+B115</f>
        <v>21000000</v>
      </c>
      <c r="D115" s="21">
        <f>+C115</f>
        <v>21000000</v>
      </c>
      <c r="E115" s="21">
        <f>+D115</f>
        <v>21000000</v>
      </c>
      <c r="F115" s="21">
        <f>+E115</f>
        <v>21000000</v>
      </c>
      <c r="G115" s="21">
        <f>+F115</f>
        <v>21000000</v>
      </c>
    </row>
    <row r="116" spans="1:8" x14ac:dyDescent="0.3">
      <c r="A116" t="s">
        <v>110</v>
      </c>
      <c r="B116" s="21">
        <f>+INVERSIONES!C38</f>
        <v>19100000</v>
      </c>
      <c r="C116" s="21">
        <f t="shared" ref="C116:G117" si="13">+B116</f>
        <v>19100000</v>
      </c>
      <c r="D116" s="21">
        <f t="shared" si="13"/>
        <v>19100000</v>
      </c>
      <c r="E116" s="21">
        <f t="shared" si="13"/>
        <v>19100000</v>
      </c>
      <c r="F116" s="21">
        <f t="shared" si="13"/>
        <v>19100000</v>
      </c>
      <c r="G116" s="21">
        <f t="shared" si="13"/>
        <v>19100000</v>
      </c>
    </row>
    <row r="117" spans="1:8" x14ac:dyDescent="0.3">
      <c r="A117" t="s">
        <v>111</v>
      </c>
      <c r="B117" s="21">
        <f>+INVERSIONES!C39</f>
        <v>24416800</v>
      </c>
      <c r="C117" s="21">
        <f t="shared" si="13"/>
        <v>24416800</v>
      </c>
      <c r="D117" s="21">
        <f t="shared" si="13"/>
        <v>24416800</v>
      </c>
      <c r="E117" s="21">
        <f t="shared" si="13"/>
        <v>24416800</v>
      </c>
      <c r="F117" s="21">
        <f t="shared" si="13"/>
        <v>24416800</v>
      </c>
      <c r="G117" s="21">
        <f t="shared" si="13"/>
        <v>24416800</v>
      </c>
    </row>
    <row r="118" spans="1:8" x14ac:dyDescent="0.3">
      <c r="A118" t="s">
        <v>311</v>
      </c>
      <c r="B118" s="38">
        <f>+B66+B57</f>
        <v>0</v>
      </c>
      <c r="C118" s="38">
        <f>+C66+C57</f>
        <v>-4321590</v>
      </c>
      <c r="D118" s="38">
        <f>+D66+D57+C118-D114</f>
        <v>-11309246.872066081</v>
      </c>
      <c r="E118" s="38">
        <f>+E66+E57+D118-E114</f>
        <v>-20619461.824964762</v>
      </c>
      <c r="F118" s="38">
        <f>+F66+F57+E118-F114</f>
        <v>-30455909.005695939</v>
      </c>
      <c r="G118" s="38">
        <f>+G66+G57+F118-G114</f>
        <v>-40766936.255750418</v>
      </c>
    </row>
    <row r="119" spans="1:8" x14ac:dyDescent="0.3">
      <c r="A119" s="89" t="s">
        <v>312</v>
      </c>
      <c r="B119" s="89">
        <f t="shared" ref="B119:G119" si="14">SUM(B115:B118)</f>
        <v>64516800</v>
      </c>
      <c r="C119" s="89">
        <f t="shared" si="14"/>
        <v>60195210</v>
      </c>
      <c r="D119" s="89">
        <f t="shared" si="14"/>
        <v>53207553.127933919</v>
      </c>
      <c r="E119" s="89">
        <f t="shared" si="14"/>
        <v>43897338.175035238</v>
      </c>
      <c r="F119" s="89">
        <f t="shared" si="14"/>
        <v>34060890.994304061</v>
      </c>
      <c r="G119" s="89">
        <f t="shared" si="14"/>
        <v>23749863.744249582</v>
      </c>
    </row>
    <row r="120" spans="1:8" x14ac:dyDescent="0.3">
      <c r="A120" t="s">
        <v>313</v>
      </c>
      <c r="B120" s="21">
        <f>+INVERSIONES!D54</f>
        <v>31760000</v>
      </c>
      <c r="C120" s="21">
        <f>+B120</f>
        <v>31760000</v>
      </c>
      <c r="D120" s="21">
        <f>+C120</f>
        <v>31760000</v>
      </c>
      <c r="E120" s="21">
        <f>+D120</f>
        <v>31760000</v>
      </c>
      <c r="F120" s="21">
        <f>+E120</f>
        <v>31760000</v>
      </c>
      <c r="G120" s="21">
        <f>+F120</f>
        <v>31760000</v>
      </c>
    </row>
    <row r="121" spans="1:8" x14ac:dyDescent="0.3">
      <c r="A121" t="s">
        <v>401</v>
      </c>
      <c r="B121" s="38">
        <f>+B65</f>
        <v>0</v>
      </c>
      <c r="C121" s="38">
        <f>+C65</f>
        <v>-6352000</v>
      </c>
      <c r="D121" s="38">
        <f>+C121+D65</f>
        <v>-12704000</v>
      </c>
      <c r="E121" s="38">
        <f>+D121+E65</f>
        <v>-19056000</v>
      </c>
      <c r="F121" s="38">
        <f>+E121+F65</f>
        <v>-25408000</v>
      </c>
      <c r="G121" s="38">
        <f>+F121+G65</f>
        <v>-31760000</v>
      </c>
    </row>
    <row r="122" spans="1:8" x14ac:dyDescent="0.3">
      <c r="A122" s="89" t="s">
        <v>314</v>
      </c>
      <c r="B122" s="89">
        <f t="shared" ref="B122:G122" si="15">+B121+B120</f>
        <v>31760000</v>
      </c>
      <c r="C122" s="89">
        <f t="shared" si="15"/>
        <v>25408000</v>
      </c>
      <c r="D122" s="89">
        <f t="shared" si="15"/>
        <v>19056000</v>
      </c>
      <c r="E122" s="89">
        <f t="shared" si="15"/>
        <v>12704000</v>
      </c>
      <c r="F122" s="89">
        <f t="shared" si="15"/>
        <v>6352000</v>
      </c>
      <c r="G122" s="89">
        <f t="shared" si="15"/>
        <v>0</v>
      </c>
    </row>
    <row r="123" spans="1:8" x14ac:dyDescent="0.3">
      <c r="A123" s="89" t="s">
        <v>315</v>
      </c>
      <c r="B123" s="89">
        <f t="shared" ref="B123:G123" si="16">+B122+B119+B113</f>
        <v>506410002.745</v>
      </c>
      <c r="C123" s="89">
        <f t="shared" si="16"/>
        <v>279584085.73331815</v>
      </c>
      <c r="D123" s="89">
        <f t="shared" si="16"/>
        <v>399569448.26772577</v>
      </c>
      <c r="E123" s="89">
        <f t="shared" si="16"/>
        <v>510061747.08421355</v>
      </c>
      <c r="F123" s="89">
        <f t="shared" si="16"/>
        <v>629010602.75164115</v>
      </c>
      <c r="G123" s="89">
        <f t="shared" si="16"/>
        <v>754997347.50427628</v>
      </c>
    </row>
    <row r="125" spans="1:8" x14ac:dyDescent="0.3">
      <c r="A125" t="s">
        <v>316</v>
      </c>
      <c r="B125" s="38">
        <f>+CREDITO!K13</f>
        <v>306410002.74500006</v>
      </c>
      <c r="C125" s="38">
        <v>0</v>
      </c>
      <c r="D125" s="38">
        <v>0</v>
      </c>
      <c r="E125" s="38">
        <v>0</v>
      </c>
      <c r="F125" s="38">
        <v>0</v>
      </c>
      <c r="H125" t="s">
        <v>268</v>
      </c>
    </row>
    <row r="126" spans="1:8" x14ac:dyDescent="0.3">
      <c r="A126" t="s">
        <v>317</v>
      </c>
      <c r="C126" s="37">
        <f>+C34</f>
        <v>26262748.291995</v>
      </c>
      <c r="D126" s="37">
        <f>+D34</f>
        <v>49141678.640494682</v>
      </c>
      <c r="E126" s="37">
        <f>+E34</f>
        <v>54325458.795260787</v>
      </c>
      <c r="F126" s="37">
        <f>+F34</f>
        <v>59000426.642328411</v>
      </c>
      <c r="G126" s="37">
        <f>+G34</f>
        <v>63022280.852855973</v>
      </c>
    </row>
    <row r="127" spans="1:8" x14ac:dyDescent="0.3">
      <c r="A127" s="89" t="s">
        <v>318</v>
      </c>
      <c r="B127" s="89">
        <f t="shared" ref="B127:G127" si="17">SUM(B125:B126)</f>
        <v>306410002.74500006</v>
      </c>
      <c r="C127" s="89">
        <f t="shared" si="17"/>
        <v>26262748.291995</v>
      </c>
      <c r="D127" s="89">
        <f t="shared" si="17"/>
        <v>49141678.640494682</v>
      </c>
      <c r="E127" s="89">
        <f t="shared" si="17"/>
        <v>54325458.795260787</v>
      </c>
      <c r="F127" s="89">
        <f t="shared" si="17"/>
        <v>59000426.642328411</v>
      </c>
      <c r="G127" s="89">
        <f t="shared" si="17"/>
        <v>63022280.852855973</v>
      </c>
    </row>
    <row r="128" spans="1:8" x14ac:dyDescent="0.3">
      <c r="A128" t="s">
        <v>319</v>
      </c>
      <c r="B128" s="38">
        <f>+CREDITO!L13</f>
        <v>4.4703483581542969E-8</v>
      </c>
      <c r="C128" s="38">
        <v>0</v>
      </c>
      <c r="D128" s="38">
        <v>0</v>
      </c>
      <c r="E128" s="38">
        <v>0</v>
      </c>
      <c r="F128" s="38">
        <v>0</v>
      </c>
      <c r="G128" s="28">
        <v>0</v>
      </c>
    </row>
    <row r="129" spans="1:7" x14ac:dyDescent="0.3">
      <c r="A129" s="89" t="s">
        <v>320</v>
      </c>
      <c r="B129" s="89">
        <f t="shared" ref="B129:G129" si="18">SUM(B127:B128)</f>
        <v>306410002.74500012</v>
      </c>
      <c r="C129" s="89">
        <f t="shared" si="18"/>
        <v>26262748.291995</v>
      </c>
      <c r="D129" s="89">
        <f t="shared" si="18"/>
        <v>49141678.640494682</v>
      </c>
      <c r="E129" s="89">
        <f t="shared" si="18"/>
        <v>54325458.795260787</v>
      </c>
      <c r="F129" s="89">
        <f t="shared" si="18"/>
        <v>59000426.642328411</v>
      </c>
      <c r="G129" s="89">
        <f t="shared" si="18"/>
        <v>63022280.852855973</v>
      </c>
    </row>
    <row r="131" spans="1:7" x14ac:dyDescent="0.3">
      <c r="A131" t="s">
        <v>349</v>
      </c>
      <c r="B131" s="28">
        <f>+'COSTOS Y GASTOS'!B176</f>
        <v>200000000</v>
      </c>
      <c r="C131" s="38">
        <f>+B131</f>
        <v>200000000</v>
      </c>
      <c r="D131" s="38">
        <f>+C131</f>
        <v>200000000</v>
      </c>
      <c r="E131" s="38">
        <f>+D131</f>
        <v>200000000</v>
      </c>
      <c r="F131" s="38">
        <f>+E131</f>
        <v>200000000</v>
      </c>
      <c r="G131" s="38">
        <f>+F131</f>
        <v>200000000</v>
      </c>
    </row>
    <row r="132" spans="1:7" x14ac:dyDescent="0.3">
      <c r="A132" t="s">
        <v>321</v>
      </c>
      <c r="D132" s="28">
        <f>+C133+C132</f>
        <v>50655270.569257021</v>
      </c>
      <c r="E132" s="28">
        <f>+D133+D132</f>
        <v>145439144.67433238</v>
      </c>
      <c r="F132" s="28">
        <f>+E133+E132</f>
        <v>250221431.10822177</v>
      </c>
      <c r="G132" s="28">
        <f>+F133+F132</f>
        <v>364020738.85925823</v>
      </c>
    </row>
    <row r="133" spans="1:7" x14ac:dyDescent="0.3">
      <c r="A133" t="s">
        <v>322</v>
      </c>
      <c r="C133" s="37">
        <f>+C40</f>
        <v>50655270.569257021</v>
      </c>
      <c r="D133" s="37">
        <f>+D40</f>
        <v>94783874.105075344</v>
      </c>
      <c r="E133" s="37">
        <f>+E40</f>
        <v>104782286.43388937</v>
      </c>
      <c r="F133" s="37">
        <f>+F40</f>
        <v>113799307.75103645</v>
      </c>
      <c r="G133" s="37">
        <f>+G40</f>
        <v>121556611.40255402</v>
      </c>
    </row>
    <row r="134" spans="1:7" x14ac:dyDescent="0.3">
      <c r="A134" t="s">
        <v>399</v>
      </c>
      <c r="C134" s="37">
        <f>+C39</f>
        <v>2666066.8720661588</v>
      </c>
      <c r="D134" s="37">
        <f>+D39</f>
        <v>4988624.9528987026</v>
      </c>
      <c r="E134" s="37">
        <f>+E39</f>
        <v>5514857.1807310199</v>
      </c>
      <c r="F134" s="37">
        <f>+F39</f>
        <v>5989437.2500545504</v>
      </c>
      <c r="G134" s="37">
        <f>+G39</f>
        <v>6397716.3896081066</v>
      </c>
    </row>
    <row r="135" spans="1:7" x14ac:dyDescent="0.3">
      <c r="A135" s="89" t="s">
        <v>323</v>
      </c>
      <c r="B135" s="89">
        <f t="shared" ref="B135:G135" si="19">SUM(B131:B134)</f>
        <v>200000000</v>
      </c>
      <c r="C135" s="89">
        <f t="shared" si="19"/>
        <v>253321337.44132319</v>
      </c>
      <c r="D135" s="89">
        <f t="shared" si="19"/>
        <v>350427769.62723106</v>
      </c>
      <c r="E135" s="89">
        <f t="shared" si="19"/>
        <v>455736288.28895277</v>
      </c>
      <c r="F135" s="89">
        <f t="shared" si="19"/>
        <v>570010176.10931277</v>
      </c>
      <c r="G135" s="89">
        <f t="shared" si="19"/>
        <v>691975066.65142035</v>
      </c>
    </row>
    <row r="136" spans="1:7" x14ac:dyDescent="0.3">
      <c r="A136" s="89" t="s">
        <v>324</v>
      </c>
      <c r="B136" s="89">
        <f t="shared" ref="B136:G136" si="20">+B135+B129</f>
        <v>506410002.74500012</v>
      </c>
      <c r="C136" s="89">
        <f t="shared" si="20"/>
        <v>279584085.73331821</v>
      </c>
      <c r="D136" s="89">
        <f t="shared" si="20"/>
        <v>399569448.26772577</v>
      </c>
      <c r="E136" s="89">
        <f t="shared" si="20"/>
        <v>510061747.08421355</v>
      </c>
      <c r="F136" s="89">
        <f t="shared" si="20"/>
        <v>629010602.75164115</v>
      </c>
      <c r="G136" s="89">
        <f t="shared" si="20"/>
        <v>754997347.50427628</v>
      </c>
    </row>
    <row r="139" spans="1:7" x14ac:dyDescent="0.3">
      <c r="A139" s="89" t="s">
        <v>325</v>
      </c>
      <c r="B139" s="89">
        <f t="shared" ref="B139:G139" si="21">+B123-B136</f>
        <v>0</v>
      </c>
      <c r="C139" s="89">
        <f t="shared" si="21"/>
        <v>0</v>
      </c>
      <c r="D139" s="89">
        <f t="shared" si="21"/>
        <v>0</v>
      </c>
      <c r="E139" s="89">
        <f t="shared" si="21"/>
        <v>0</v>
      </c>
      <c r="F139" s="89">
        <f t="shared" si="21"/>
        <v>0</v>
      </c>
      <c r="G139" s="89">
        <f t="shared" si="21"/>
        <v>0</v>
      </c>
    </row>
    <row r="140" spans="1:7" x14ac:dyDescent="0.3">
      <c r="C140" t="s">
        <v>326</v>
      </c>
    </row>
    <row r="143" spans="1:7" ht="15.6" x14ac:dyDescent="0.3">
      <c r="A143" s="193" t="s">
        <v>327</v>
      </c>
      <c r="B143" s="193"/>
      <c r="C143" s="193"/>
      <c r="D143" s="193"/>
      <c r="E143" s="193"/>
      <c r="F143" s="193"/>
      <c r="G143" s="193"/>
    </row>
    <row r="146" spans="1:6" x14ac:dyDescent="0.3">
      <c r="A146" s="86" t="s">
        <v>328</v>
      </c>
      <c r="B146" s="86" t="s">
        <v>248</v>
      </c>
      <c r="C146" s="86" t="s">
        <v>248</v>
      </c>
      <c r="D146" s="86" t="s">
        <v>248</v>
      </c>
      <c r="E146" s="86" t="s">
        <v>248</v>
      </c>
      <c r="F146" s="86" t="s">
        <v>248</v>
      </c>
    </row>
    <row r="147" spans="1:6" x14ac:dyDescent="0.3">
      <c r="A147" s="86"/>
      <c r="B147" s="86">
        <v>1</v>
      </c>
      <c r="C147" s="86">
        <v>2</v>
      </c>
      <c r="D147" s="86">
        <v>3</v>
      </c>
      <c r="E147" s="86">
        <v>4</v>
      </c>
      <c r="F147" s="86">
        <v>5</v>
      </c>
    </row>
    <row r="148" spans="1:6" x14ac:dyDescent="0.3">
      <c r="B148" s="107">
        <f>+C113/C127</f>
        <v>7.3861605638753494</v>
      </c>
      <c r="C148" s="107">
        <f>+D113/D127</f>
        <v>6.6604541032116655</v>
      </c>
      <c r="D148" s="107">
        <f>+E113/E127</f>
        <v>8.347106843923001</v>
      </c>
      <c r="E148" s="107">
        <f>+F113/F127</f>
        <v>9.9761602627982029</v>
      </c>
      <c r="F148" s="107">
        <f>+G113/G127</f>
        <v>11.602999349822625</v>
      </c>
    </row>
    <row r="152" spans="1:6" x14ac:dyDescent="0.3">
      <c r="A152" s="86" t="s">
        <v>187</v>
      </c>
      <c r="B152" s="86" t="s">
        <v>248</v>
      </c>
      <c r="C152" s="86" t="s">
        <v>248</v>
      </c>
      <c r="D152" s="86" t="s">
        <v>248</v>
      </c>
      <c r="E152" s="86" t="s">
        <v>248</v>
      </c>
      <c r="F152" s="86" t="s">
        <v>248</v>
      </c>
    </row>
    <row r="153" spans="1:6" x14ac:dyDescent="0.3">
      <c r="A153" s="86"/>
      <c r="B153" s="86">
        <v>1</v>
      </c>
      <c r="C153" s="86">
        <v>2</v>
      </c>
      <c r="D153" s="86">
        <v>3</v>
      </c>
      <c r="E153" s="86">
        <v>4</v>
      </c>
      <c r="F153" s="86">
        <v>5</v>
      </c>
    </row>
    <row r="154" spans="1:6" x14ac:dyDescent="0.3">
      <c r="B154" s="37">
        <f>+C113-C127</f>
        <v>167718127.44132316</v>
      </c>
      <c r="C154" s="37">
        <f>+D113-D127</f>
        <v>278164216.49929714</v>
      </c>
      <c r="D154" s="37">
        <f>+E113-E127</f>
        <v>399134950.11391753</v>
      </c>
      <c r="E154" s="37">
        <f>+F113-F127</f>
        <v>529597285.11500871</v>
      </c>
      <c r="F154" s="37">
        <f>+G113-G127</f>
        <v>668225202.90717077</v>
      </c>
    </row>
    <row r="158" spans="1:6" x14ac:dyDescent="0.3">
      <c r="A158" s="86" t="s">
        <v>329</v>
      </c>
      <c r="B158" s="86" t="s">
        <v>248</v>
      </c>
      <c r="C158" s="86" t="s">
        <v>248</v>
      </c>
      <c r="D158" s="86" t="s">
        <v>248</v>
      </c>
      <c r="E158" s="86" t="s">
        <v>248</v>
      </c>
      <c r="F158" s="86" t="s">
        <v>248</v>
      </c>
    </row>
    <row r="159" spans="1:6" x14ac:dyDescent="0.3">
      <c r="A159" s="86"/>
      <c r="B159" s="86">
        <v>1</v>
      </c>
      <c r="C159" s="86">
        <v>2</v>
      </c>
      <c r="D159" s="86">
        <v>3</v>
      </c>
      <c r="E159" s="86">
        <v>4</v>
      </c>
      <c r="F159" s="86">
        <v>5</v>
      </c>
    </row>
    <row r="160" spans="1:6" x14ac:dyDescent="0.3">
      <c r="B160" s="29">
        <f>+(C123/C129)</f>
        <v>10.645652260945463</v>
      </c>
      <c r="C160" s="29">
        <f>+D123/D129</f>
        <v>8.1309686466116116</v>
      </c>
      <c r="D160" s="29">
        <f>+E123/E129</f>
        <v>9.3890002660908962</v>
      </c>
      <c r="E160" s="29">
        <f>+F123/F129</f>
        <v>10.661119563843508</v>
      </c>
      <c r="F160" s="29">
        <f>+G123/G129</f>
        <v>11.979848036078531</v>
      </c>
    </row>
    <row r="164" spans="1:6" x14ac:dyDescent="0.3">
      <c r="A164" s="86" t="s">
        <v>330</v>
      </c>
      <c r="B164" s="86" t="s">
        <v>248</v>
      </c>
      <c r="C164" s="86" t="s">
        <v>248</v>
      </c>
      <c r="D164" s="86" t="s">
        <v>248</v>
      </c>
      <c r="E164" s="86" t="s">
        <v>248</v>
      </c>
      <c r="F164" s="86" t="s">
        <v>248</v>
      </c>
    </row>
    <row r="165" spans="1:6" x14ac:dyDescent="0.3">
      <c r="A165" s="86"/>
      <c r="B165" s="86">
        <v>1</v>
      </c>
      <c r="C165" s="86">
        <v>2</v>
      </c>
      <c r="D165" s="86">
        <v>3</v>
      </c>
      <c r="E165" s="86">
        <v>4</v>
      </c>
      <c r="F165" s="86">
        <v>5</v>
      </c>
    </row>
    <row r="166" spans="1:6" x14ac:dyDescent="0.3">
      <c r="B166" s="107">
        <f>+C8/C123</f>
        <v>3.2680052142578591</v>
      </c>
      <c r="C166" s="107">
        <f>+D8/D123</f>
        <v>2.6798269603499345</v>
      </c>
      <c r="D166" s="107">
        <f>+E8/E123</f>
        <v>2.2751726563184116</v>
      </c>
      <c r="E166" s="107">
        <f>+F8/F123</f>
        <v>1.987534223637915</v>
      </c>
      <c r="F166" s="107">
        <f>+G8/G123</f>
        <v>1.7746839302536901</v>
      </c>
    </row>
    <row r="170" spans="1:6" x14ac:dyDescent="0.3">
      <c r="A170" s="86" t="s">
        <v>331</v>
      </c>
      <c r="B170" s="86" t="s">
        <v>248</v>
      </c>
      <c r="C170" s="86" t="s">
        <v>248</v>
      </c>
      <c r="D170" s="86" t="s">
        <v>248</v>
      </c>
      <c r="E170" s="86" t="s">
        <v>248</v>
      </c>
      <c r="F170" s="86" t="s">
        <v>248</v>
      </c>
    </row>
    <row r="171" spans="1:6" x14ac:dyDescent="0.3">
      <c r="A171" s="86"/>
      <c r="B171" s="86">
        <v>1</v>
      </c>
      <c r="C171" s="86">
        <v>2</v>
      </c>
      <c r="D171" s="86">
        <v>3</v>
      </c>
      <c r="E171" s="86">
        <v>4</v>
      </c>
      <c r="F171" s="86">
        <v>5</v>
      </c>
    </row>
    <row r="172" spans="1:6" x14ac:dyDescent="0.3">
      <c r="B172" s="29">
        <f>+C8/C18</f>
        <v>5.7423349979893779</v>
      </c>
      <c r="C172" s="29">
        <f>+D8/D18</f>
        <v>5.3090832179948411</v>
      </c>
      <c r="D172" s="29">
        <f>+E8/E18</f>
        <v>5.2294971488288091</v>
      </c>
      <c r="E172" s="29">
        <f>+F8/F18</f>
        <v>5.1831649311025014</v>
      </c>
      <c r="F172" s="29">
        <f>+G8/G18</f>
        <v>5.1683918692011401</v>
      </c>
    </row>
    <row r="176" spans="1:6" x14ac:dyDescent="0.3">
      <c r="A176" s="86" t="s">
        <v>332</v>
      </c>
      <c r="B176" s="86" t="s">
        <v>248</v>
      </c>
      <c r="C176" s="86" t="s">
        <v>248</v>
      </c>
      <c r="D176" s="86" t="s">
        <v>248</v>
      </c>
      <c r="E176" s="86" t="s">
        <v>248</v>
      </c>
      <c r="F176" s="86" t="s">
        <v>248</v>
      </c>
    </row>
    <row r="177" spans="1:6" x14ac:dyDescent="0.3">
      <c r="A177" s="86"/>
      <c r="B177" s="86">
        <v>1</v>
      </c>
      <c r="C177" s="86">
        <v>2</v>
      </c>
      <c r="D177" s="86">
        <v>3</v>
      </c>
      <c r="E177" s="86">
        <v>4</v>
      </c>
      <c r="F177" s="86">
        <v>5</v>
      </c>
    </row>
    <row r="178" spans="1:6" x14ac:dyDescent="0.3">
      <c r="B178" s="30">
        <f>+C37/C8</f>
        <v>5.8358731869118809E-2</v>
      </c>
      <c r="C178" s="30">
        <f>+D37/D8</f>
        <v>9.3177665304285909E-2</v>
      </c>
      <c r="D178" s="30">
        <f>+E37/E8</f>
        <v>9.5044535347133946E-2</v>
      </c>
      <c r="E178" s="30">
        <f>+F37/F8</f>
        <v>9.5817190660042503E-2</v>
      </c>
      <c r="F178" s="30">
        <f>+G37/G8</f>
        <v>9.5496737967263559E-2</v>
      </c>
    </row>
  </sheetData>
  <mergeCells count="13">
    <mergeCell ref="A3:G3"/>
    <mergeCell ref="A45:G45"/>
    <mergeCell ref="A108:G108"/>
    <mergeCell ref="A143:G143"/>
    <mergeCell ref="Q11:W11"/>
    <mergeCell ref="Q28:S28"/>
    <mergeCell ref="J18:O20"/>
    <mergeCell ref="N37:N38"/>
    <mergeCell ref="O37:O38"/>
    <mergeCell ref="J37:J38"/>
    <mergeCell ref="K37:K38"/>
    <mergeCell ref="L37:L38"/>
    <mergeCell ref="M37:M38"/>
  </mergeCells>
  <phoneticPr fontId="11" type="noConversion"/>
  <pageMargins left="0.7" right="0.7" top="0.75" bottom="0.75" header="0.3" footer="0.3"/>
  <ignoredErrors>
    <ignoredError sqref="B12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AEE7-C856-4742-A3F3-9FD18CC82C2F}">
  <dimension ref="A4:L114"/>
  <sheetViews>
    <sheetView topLeftCell="A79" zoomScale="85" zoomScaleNormal="85" workbookViewId="0">
      <selection activeCell="F36" sqref="F36"/>
    </sheetView>
  </sheetViews>
  <sheetFormatPr baseColWidth="10" defaultColWidth="11.44140625" defaultRowHeight="13.2" x14ac:dyDescent="0.25"/>
  <cols>
    <col min="1" max="1" width="7.5546875" style="112" customWidth="1"/>
    <col min="2" max="2" width="3.44140625" style="112" customWidth="1"/>
    <col min="3" max="3" width="32" style="112" customWidth="1"/>
    <col min="4" max="4" width="16.109375" style="112" customWidth="1"/>
    <col min="5" max="5" width="15.5546875" style="112" customWidth="1"/>
    <col min="6" max="6" width="20.109375" style="112" customWidth="1"/>
    <col min="7" max="7" width="17.5546875" style="112" customWidth="1"/>
    <col min="8" max="8" width="17.88671875" style="112" customWidth="1"/>
    <col min="9" max="9" width="18" style="112" customWidth="1"/>
    <col min="10" max="11" width="18.88671875" style="112" bestFit="1" customWidth="1"/>
    <col min="12" max="12" width="18.44140625" style="112" bestFit="1" customWidth="1"/>
    <col min="13" max="15" width="18.88671875" style="112" bestFit="1" customWidth="1"/>
    <col min="16" max="255" width="11.44140625" style="112"/>
    <col min="256" max="256" width="7.5546875" style="112" customWidth="1"/>
    <col min="257" max="257" width="3.44140625" style="112" customWidth="1"/>
    <col min="258" max="258" width="32" style="112" customWidth="1"/>
    <col min="259" max="259" width="16.109375" style="112" customWidth="1"/>
    <col min="260" max="260" width="15.5546875" style="112" customWidth="1"/>
    <col min="261" max="261" width="20.109375" style="112" customWidth="1"/>
    <col min="262" max="262" width="17.5546875" style="112" customWidth="1"/>
    <col min="263" max="263" width="17.88671875" style="112" customWidth="1"/>
    <col min="264" max="264" width="18" style="112" customWidth="1"/>
    <col min="265" max="267" width="18.88671875" style="112" bestFit="1" customWidth="1"/>
    <col min="268" max="268" width="18.44140625" style="112" bestFit="1" customWidth="1"/>
    <col min="269" max="271" width="18.88671875" style="112" bestFit="1" customWidth="1"/>
    <col min="272" max="511" width="11.44140625" style="112"/>
    <col min="512" max="512" width="7.5546875" style="112" customWidth="1"/>
    <col min="513" max="513" width="3.44140625" style="112" customWidth="1"/>
    <col min="514" max="514" width="32" style="112" customWidth="1"/>
    <col min="515" max="515" width="16.109375" style="112" customWidth="1"/>
    <col min="516" max="516" width="15.5546875" style="112" customWidth="1"/>
    <col min="517" max="517" width="20.109375" style="112" customWidth="1"/>
    <col min="518" max="518" width="17.5546875" style="112" customWidth="1"/>
    <col min="519" max="519" width="17.88671875" style="112" customWidth="1"/>
    <col min="520" max="520" width="18" style="112" customWidth="1"/>
    <col min="521" max="523" width="18.88671875" style="112" bestFit="1" customWidth="1"/>
    <col min="524" max="524" width="18.44140625" style="112" bestFit="1" customWidth="1"/>
    <col min="525" max="527" width="18.88671875" style="112" bestFit="1" customWidth="1"/>
    <col min="528" max="767" width="11.44140625" style="112"/>
    <col min="768" max="768" width="7.5546875" style="112" customWidth="1"/>
    <col min="769" max="769" width="3.44140625" style="112" customWidth="1"/>
    <col min="770" max="770" width="32" style="112" customWidth="1"/>
    <col min="771" max="771" width="16.109375" style="112" customWidth="1"/>
    <col min="772" max="772" width="15.5546875" style="112" customWidth="1"/>
    <col min="773" max="773" width="20.109375" style="112" customWidth="1"/>
    <col min="774" max="774" width="17.5546875" style="112" customWidth="1"/>
    <col min="775" max="775" width="17.88671875" style="112" customWidth="1"/>
    <col min="776" max="776" width="18" style="112" customWidth="1"/>
    <col min="777" max="779" width="18.88671875" style="112" bestFit="1" customWidth="1"/>
    <col min="780" max="780" width="18.44140625" style="112" bestFit="1" customWidth="1"/>
    <col min="781" max="783" width="18.88671875" style="112" bestFit="1" customWidth="1"/>
    <col min="784" max="1023" width="11.44140625" style="112"/>
    <col min="1024" max="1024" width="7.5546875" style="112" customWidth="1"/>
    <col min="1025" max="1025" width="3.44140625" style="112" customWidth="1"/>
    <col min="1026" max="1026" width="32" style="112" customWidth="1"/>
    <col min="1027" max="1027" width="16.109375" style="112" customWidth="1"/>
    <col min="1028" max="1028" width="15.5546875" style="112" customWidth="1"/>
    <col min="1029" max="1029" width="20.109375" style="112" customWidth="1"/>
    <col min="1030" max="1030" width="17.5546875" style="112" customWidth="1"/>
    <col min="1031" max="1031" width="17.88671875" style="112" customWidth="1"/>
    <col min="1032" max="1032" width="18" style="112" customWidth="1"/>
    <col min="1033" max="1035" width="18.88671875" style="112" bestFit="1" customWidth="1"/>
    <col min="1036" max="1036" width="18.44140625" style="112" bestFit="1" customWidth="1"/>
    <col min="1037" max="1039" width="18.88671875" style="112" bestFit="1" customWidth="1"/>
    <col min="1040" max="1279" width="11.44140625" style="112"/>
    <col min="1280" max="1280" width="7.5546875" style="112" customWidth="1"/>
    <col min="1281" max="1281" width="3.44140625" style="112" customWidth="1"/>
    <col min="1282" max="1282" width="32" style="112" customWidth="1"/>
    <col min="1283" max="1283" width="16.109375" style="112" customWidth="1"/>
    <col min="1284" max="1284" width="15.5546875" style="112" customWidth="1"/>
    <col min="1285" max="1285" width="20.109375" style="112" customWidth="1"/>
    <col min="1286" max="1286" width="17.5546875" style="112" customWidth="1"/>
    <col min="1287" max="1287" width="17.88671875" style="112" customWidth="1"/>
    <col min="1288" max="1288" width="18" style="112" customWidth="1"/>
    <col min="1289" max="1291" width="18.88671875" style="112" bestFit="1" customWidth="1"/>
    <col min="1292" max="1292" width="18.44140625" style="112" bestFit="1" customWidth="1"/>
    <col min="1293" max="1295" width="18.88671875" style="112" bestFit="1" customWidth="1"/>
    <col min="1296" max="1535" width="11.44140625" style="112"/>
    <col min="1536" max="1536" width="7.5546875" style="112" customWidth="1"/>
    <col min="1537" max="1537" width="3.44140625" style="112" customWidth="1"/>
    <col min="1538" max="1538" width="32" style="112" customWidth="1"/>
    <col min="1539" max="1539" width="16.109375" style="112" customWidth="1"/>
    <col min="1540" max="1540" width="15.5546875" style="112" customWidth="1"/>
    <col min="1541" max="1541" width="20.109375" style="112" customWidth="1"/>
    <col min="1542" max="1542" width="17.5546875" style="112" customWidth="1"/>
    <col min="1543" max="1543" width="17.88671875" style="112" customWidth="1"/>
    <col min="1544" max="1544" width="18" style="112" customWidth="1"/>
    <col min="1545" max="1547" width="18.88671875" style="112" bestFit="1" customWidth="1"/>
    <col min="1548" max="1548" width="18.44140625" style="112" bestFit="1" customWidth="1"/>
    <col min="1549" max="1551" width="18.88671875" style="112" bestFit="1" customWidth="1"/>
    <col min="1552" max="1791" width="11.44140625" style="112"/>
    <col min="1792" max="1792" width="7.5546875" style="112" customWidth="1"/>
    <col min="1793" max="1793" width="3.44140625" style="112" customWidth="1"/>
    <col min="1794" max="1794" width="32" style="112" customWidth="1"/>
    <col min="1795" max="1795" width="16.109375" style="112" customWidth="1"/>
    <col min="1796" max="1796" width="15.5546875" style="112" customWidth="1"/>
    <col min="1797" max="1797" width="20.109375" style="112" customWidth="1"/>
    <col min="1798" max="1798" width="17.5546875" style="112" customWidth="1"/>
    <col min="1799" max="1799" width="17.88671875" style="112" customWidth="1"/>
    <col min="1800" max="1800" width="18" style="112" customWidth="1"/>
    <col min="1801" max="1803" width="18.88671875" style="112" bestFit="1" customWidth="1"/>
    <col min="1804" max="1804" width="18.44140625" style="112" bestFit="1" customWidth="1"/>
    <col min="1805" max="1807" width="18.88671875" style="112" bestFit="1" customWidth="1"/>
    <col min="1808" max="2047" width="11.44140625" style="112"/>
    <col min="2048" max="2048" width="7.5546875" style="112" customWidth="1"/>
    <col min="2049" max="2049" width="3.44140625" style="112" customWidth="1"/>
    <col min="2050" max="2050" width="32" style="112" customWidth="1"/>
    <col min="2051" max="2051" width="16.109375" style="112" customWidth="1"/>
    <col min="2052" max="2052" width="15.5546875" style="112" customWidth="1"/>
    <col min="2053" max="2053" width="20.109375" style="112" customWidth="1"/>
    <col min="2054" max="2054" width="17.5546875" style="112" customWidth="1"/>
    <col min="2055" max="2055" width="17.88671875" style="112" customWidth="1"/>
    <col min="2056" max="2056" width="18" style="112" customWidth="1"/>
    <col min="2057" max="2059" width="18.88671875" style="112" bestFit="1" customWidth="1"/>
    <col min="2060" max="2060" width="18.44140625" style="112" bestFit="1" customWidth="1"/>
    <col min="2061" max="2063" width="18.88671875" style="112" bestFit="1" customWidth="1"/>
    <col min="2064" max="2303" width="11.44140625" style="112"/>
    <col min="2304" max="2304" width="7.5546875" style="112" customWidth="1"/>
    <col min="2305" max="2305" width="3.44140625" style="112" customWidth="1"/>
    <col min="2306" max="2306" width="32" style="112" customWidth="1"/>
    <col min="2307" max="2307" width="16.109375" style="112" customWidth="1"/>
    <col min="2308" max="2308" width="15.5546875" style="112" customWidth="1"/>
    <col min="2309" max="2309" width="20.109375" style="112" customWidth="1"/>
    <col min="2310" max="2310" width="17.5546875" style="112" customWidth="1"/>
    <col min="2311" max="2311" width="17.88671875" style="112" customWidth="1"/>
    <col min="2312" max="2312" width="18" style="112" customWidth="1"/>
    <col min="2313" max="2315" width="18.88671875" style="112" bestFit="1" customWidth="1"/>
    <col min="2316" max="2316" width="18.44140625" style="112" bestFit="1" customWidth="1"/>
    <col min="2317" max="2319" width="18.88671875" style="112" bestFit="1" customWidth="1"/>
    <col min="2320" max="2559" width="11.44140625" style="112"/>
    <col min="2560" max="2560" width="7.5546875" style="112" customWidth="1"/>
    <col min="2561" max="2561" width="3.44140625" style="112" customWidth="1"/>
    <col min="2562" max="2562" width="32" style="112" customWidth="1"/>
    <col min="2563" max="2563" width="16.109375" style="112" customWidth="1"/>
    <col min="2564" max="2564" width="15.5546875" style="112" customWidth="1"/>
    <col min="2565" max="2565" width="20.109375" style="112" customWidth="1"/>
    <col min="2566" max="2566" width="17.5546875" style="112" customWidth="1"/>
    <col min="2567" max="2567" width="17.88671875" style="112" customWidth="1"/>
    <col min="2568" max="2568" width="18" style="112" customWidth="1"/>
    <col min="2569" max="2571" width="18.88671875" style="112" bestFit="1" customWidth="1"/>
    <col min="2572" max="2572" width="18.44140625" style="112" bestFit="1" customWidth="1"/>
    <col min="2573" max="2575" width="18.88671875" style="112" bestFit="1" customWidth="1"/>
    <col min="2576" max="2815" width="11.44140625" style="112"/>
    <col min="2816" max="2816" width="7.5546875" style="112" customWidth="1"/>
    <col min="2817" max="2817" width="3.44140625" style="112" customWidth="1"/>
    <col min="2818" max="2818" width="32" style="112" customWidth="1"/>
    <col min="2819" max="2819" width="16.109375" style="112" customWidth="1"/>
    <col min="2820" max="2820" width="15.5546875" style="112" customWidth="1"/>
    <col min="2821" max="2821" width="20.109375" style="112" customWidth="1"/>
    <col min="2822" max="2822" width="17.5546875" style="112" customWidth="1"/>
    <col min="2823" max="2823" width="17.88671875" style="112" customWidth="1"/>
    <col min="2824" max="2824" width="18" style="112" customWidth="1"/>
    <col min="2825" max="2827" width="18.88671875" style="112" bestFit="1" customWidth="1"/>
    <col min="2828" max="2828" width="18.44140625" style="112" bestFit="1" customWidth="1"/>
    <col min="2829" max="2831" width="18.88671875" style="112" bestFit="1" customWidth="1"/>
    <col min="2832" max="3071" width="11.44140625" style="112"/>
    <col min="3072" max="3072" width="7.5546875" style="112" customWidth="1"/>
    <col min="3073" max="3073" width="3.44140625" style="112" customWidth="1"/>
    <col min="3074" max="3074" width="32" style="112" customWidth="1"/>
    <col min="3075" max="3075" width="16.109375" style="112" customWidth="1"/>
    <col min="3076" max="3076" width="15.5546875" style="112" customWidth="1"/>
    <col min="3077" max="3077" width="20.109375" style="112" customWidth="1"/>
    <col min="3078" max="3078" width="17.5546875" style="112" customWidth="1"/>
    <col min="3079" max="3079" width="17.88671875" style="112" customWidth="1"/>
    <col min="3080" max="3080" width="18" style="112" customWidth="1"/>
    <col min="3081" max="3083" width="18.88671875" style="112" bestFit="1" customWidth="1"/>
    <col min="3084" max="3084" width="18.44140625" style="112" bestFit="1" customWidth="1"/>
    <col min="3085" max="3087" width="18.88671875" style="112" bestFit="1" customWidth="1"/>
    <col min="3088" max="3327" width="11.44140625" style="112"/>
    <col min="3328" max="3328" width="7.5546875" style="112" customWidth="1"/>
    <col min="3329" max="3329" width="3.44140625" style="112" customWidth="1"/>
    <col min="3330" max="3330" width="32" style="112" customWidth="1"/>
    <col min="3331" max="3331" width="16.109375" style="112" customWidth="1"/>
    <col min="3332" max="3332" width="15.5546875" style="112" customWidth="1"/>
    <col min="3333" max="3333" width="20.109375" style="112" customWidth="1"/>
    <col min="3334" max="3334" width="17.5546875" style="112" customWidth="1"/>
    <col min="3335" max="3335" width="17.88671875" style="112" customWidth="1"/>
    <col min="3336" max="3336" width="18" style="112" customWidth="1"/>
    <col min="3337" max="3339" width="18.88671875" style="112" bestFit="1" customWidth="1"/>
    <col min="3340" max="3340" width="18.44140625" style="112" bestFit="1" customWidth="1"/>
    <col min="3341" max="3343" width="18.88671875" style="112" bestFit="1" customWidth="1"/>
    <col min="3344" max="3583" width="11.44140625" style="112"/>
    <col min="3584" max="3584" width="7.5546875" style="112" customWidth="1"/>
    <col min="3585" max="3585" width="3.44140625" style="112" customWidth="1"/>
    <col min="3586" max="3586" width="32" style="112" customWidth="1"/>
    <col min="3587" max="3587" width="16.109375" style="112" customWidth="1"/>
    <col min="3588" max="3588" width="15.5546875" style="112" customWidth="1"/>
    <col min="3589" max="3589" width="20.109375" style="112" customWidth="1"/>
    <col min="3590" max="3590" width="17.5546875" style="112" customWidth="1"/>
    <col min="3591" max="3591" width="17.88671875" style="112" customWidth="1"/>
    <col min="3592" max="3592" width="18" style="112" customWidth="1"/>
    <col min="3593" max="3595" width="18.88671875" style="112" bestFit="1" customWidth="1"/>
    <col min="3596" max="3596" width="18.44140625" style="112" bestFit="1" customWidth="1"/>
    <col min="3597" max="3599" width="18.88671875" style="112" bestFit="1" customWidth="1"/>
    <col min="3600" max="3839" width="11.44140625" style="112"/>
    <col min="3840" max="3840" width="7.5546875" style="112" customWidth="1"/>
    <col min="3841" max="3841" width="3.44140625" style="112" customWidth="1"/>
    <col min="3842" max="3842" width="32" style="112" customWidth="1"/>
    <col min="3843" max="3843" width="16.109375" style="112" customWidth="1"/>
    <col min="3844" max="3844" width="15.5546875" style="112" customWidth="1"/>
    <col min="3845" max="3845" width="20.109375" style="112" customWidth="1"/>
    <col min="3846" max="3846" width="17.5546875" style="112" customWidth="1"/>
    <col min="3847" max="3847" width="17.88671875" style="112" customWidth="1"/>
    <col min="3848" max="3848" width="18" style="112" customWidth="1"/>
    <col min="3849" max="3851" width="18.88671875" style="112" bestFit="1" customWidth="1"/>
    <col min="3852" max="3852" width="18.44140625" style="112" bestFit="1" customWidth="1"/>
    <col min="3853" max="3855" width="18.88671875" style="112" bestFit="1" customWidth="1"/>
    <col min="3856" max="4095" width="11.44140625" style="112"/>
    <col min="4096" max="4096" width="7.5546875" style="112" customWidth="1"/>
    <col min="4097" max="4097" width="3.44140625" style="112" customWidth="1"/>
    <col min="4098" max="4098" width="32" style="112" customWidth="1"/>
    <col min="4099" max="4099" width="16.109375" style="112" customWidth="1"/>
    <col min="4100" max="4100" width="15.5546875" style="112" customWidth="1"/>
    <col min="4101" max="4101" width="20.109375" style="112" customWidth="1"/>
    <col min="4102" max="4102" width="17.5546875" style="112" customWidth="1"/>
    <col min="4103" max="4103" width="17.88671875" style="112" customWidth="1"/>
    <col min="4104" max="4104" width="18" style="112" customWidth="1"/>
    <col min="4105" max="4107" width="18.88671875" style="112" bestFit="1" customWidth="1"/>
    <col min="4108" max="4108" width="18.44140625" style="112" bestFit="1" customWidth="1"/>
    <col min="4109" max="4111" width="18.88671875" style="112" bestFit="1" customWidth="1"/>
    <col min="4112" max="4351" width="11.44140625" style="112"/>
    <col min="4352" max="4352" width="7.5546875" style="112" customWidth="1"/>
    <col min="4353" max="4353" width="3.44140625" style="112" customWidth="1"/>
    <col min="4354" max="4354" width="32" style="112" customWidth="1"/>
    <col min="4355" max="4355" width="16.109375" style="112" customWidth="1"/>
    <col min="4356" max="4356" width="15.5546875" style="112" customWidth="1"/>
    <col min="4357" max="4357" width="20.109375" style="112" customWidth="1"/>
    <col min="4358" max="4358" width="17.5546875" style="112" customWidth="1"/>
    <col min="4359" max="4359" width="17.88671875" style="112" customWidth="1"/>
    <col min="4360" max="4360" width="18" style="112" customWidth="1"/>
    <col min="4361" max="4363" width="18.88671875" style="112" bestFit="1" customWidth="1"/>
    <col min="4364" max="4364" width="18.44140625" style="112" bestFit="1" customWidth="1"/>
    <col min="4365" max="4367" width="18.88671875" style="112" bestFit="1" customWidth="1"/>
    <col min="4368" max="4607" width="11.44140625" style="112"/>
    <col min="4608" max="4608" width="7.5546875" style="112" customWidth="1"/>
    <col min="4609" max="4609" width="3.44140625" style="112" customWidth="1"/>
    <col min="4610" max="4610" width="32" style="112" customWidth="1"/>
    <col min="4611" max="4611" width="16.109375" style="112" customWidth="1"/>
    <col min="4612" max="4612" width="15.5546875" style="112" customWidth="1"/>
    <col min="4613" max="4613" width="20.109375" style="112" customWidth="1"/>
    <col min="4614" max="4614" width="17.5546875" style="112" customWidth="1"/>
    <col min="4615" max="4615" width="17.88671875" style="112" customWidth="1"/>
    <col min="4616" max="4616" width="18" style="112" customWidth="1"/>
    <col min="4617" max="4619" width="18.88671875" style="112" bestFit="1" customWidth="1"/>
    <col min="4620" max="4620" width="18.44140625" style="112" bestFit="1" customWidth="1"/>
    <col min="4621" max="4623" width="18.88671875" style="112" bestFit="1" customWidth="1"/>
    <col min="4624" max="4863" width="11.44140625" style="112"/>
    <col min="4864" max="4864" width="7.5546875" style="112" customWidth="1"/>
    <col min="4865" max="4865" width="3.44140625" style="112" customWidth="1"/>
    <col min="4866" max="4866" width="32" style="112" customWidth="1"/>
    <col min="4867" max="4867" width="16.109375" style="112" customWidth="1"/>
    <col min="4868" max="4868" width="15.5546875" style="112" customWidth="1"/>
    <col min="4869" max="4869" width="20.109375" style="112" customWidth="1"/>
    <col min="4870" max="4870" width="17.5546875" style="112" customWidth="1"/>
    <col min="4871" max="4871" width="17.88671875" style="112" customWidth="1"/>
    <col min="4872" max="4872" width="18" style="112" customWidth="1"/>
    <col min="4873" max="4875" width="18.88671875" style="112" bestFit="1" customWidth="1"/>
    <col min="4876" max="4876" width="18.44140625" style="112" bestFit="1" customWidth="1"/>
    <col min="4877" max="4879" width="18.88671875" style="112" bestFit="1" customWidth="1"/>
    <col min="4880" max="5119" width="11.44140625" style="112"/>
    <col min="5120" max="5120" width="7.5546875" style="112" customWidth="1"/>
    <col min="5121" max="5121" width="3.44140625" style="112" customWidth="1"/>
    <col min="5122" max="5122" width="32" style="112" customWidth="1"/>
    <col min="5123" max="5123" width="16.109375" style="112" customWidth="1"/>
    <col min="5124" max="5124" width="15.5546875" style="112" customWidth="1"/>
    <col min="5125" max="5125" width="20.109375" style="112" customWidth="1"/>
    <col min="5126" max="5126" width="17.5546875" style="112" customWidth="1"/>
    <col min="5127" max="5127" width="17.88671875" style="112" customWidth="1"/>
    <col min="5128" max="5128" width="18" style="112" customWidth="1"/>
    <col min="5129" max="5131" width="18.88671875" style="112" bestFit="1" customWidth="1"/>
    <col min="5132" max="5132" width="18.44140625" style="112" bestFit="1" customWidth="1"/>
    <col min="5133" max="5135" width="18.88671875" style="112" bestFit="1" customWidth="1"/>
    <col min="5136" max="5375" width="11.44140625" style="112"/>
    <col min="5376" max="5376" width="7.5546875" style="112" customWidth="1"/>
    <col min="5377" max="5377" width="3.44140625" style="112" customWidth="1"/>
    <col min="5378" max="5378" width="32" style="112" customWidth="1"/>
    <col min="5379" max="5379" width="16.109375" style="112" customWidth="1"/>
    <col min="5380" max="5380" width="15.5546875" style="112" customWidth="1"/>
    <col min="5381" max="5381" width="20.109375" style="112" customWidth="1"/>
    <col min="5382" max="5382" width="17.5546875" style="112" customWidth="1"/>
    <col min="5383" max="5383" width="17.88671875" style="112" customWidth="1"/>
    <col min="5384" max="5384" width="18" style="112" customWidth="1"/>
    <col min="5385" max="5387" width="18.88671875" style="112" bestFit="1" customWidth="1"/>
    <col min="5388" max="5388" width="18.44140625" style="112" bestFit="1" customWidth="1"/>
    <col min="5389" max="5391" width="18.88671875" style="112" bestFit="1" customWidth="1"/>
    <col min="5392" max="5631" width="11.44140625" style="112"/>
    <col min="5632" max="5632" width="7.5546875" style="112" customWidth="1"/>
    <col min="5633" max="5633" width="3.44140625" style="112" customWidth="1"/>
    <col min="5634" max="5634" width="32" style="112" customWidth="1"/>
    <col min="5635" max="5635" width="16.109375" style="112" customWidth="1"/>
    <col min="5636" max="5636" width="15.5546875" style="112" customWidth="1"/>
    <col min="5637" max="5637" width="20.109375" style="112" customWidth="1"/>
    <col min="5638" max="5638" width="17.5546875" style="112" customWidth="1"/>
    <col min="5639" max="5639" width="17.88671875" style="112" customWidth="1"/>
    <col min="5640" max="5640" width="18" style="112" customWidth="1"/>
    <col min="5641" max="5643" width="18.88671875" style="112" bestFit="1" customWidth="1"/>
    <col min="5644" max="5644" width="18.44140625" style="112" bestFit="1" customWidth="1"/>
    <col min="5645" max="5647" width="18.88671875" style="112" bestFit="1" customWidth="1"/>
    <col min="5648" max="5887" width="11.44140625" style="112"/>
    <col min="5888" max="5888" width="7.5546875" style="112" customWidth="1"/>
    <col min="5889" max="5889" width="3.44140625" style="112" customWidth="1"/>
    <col min="5890" max="5890" width="32" style="112" customWidth="1"/>
    <col min="5891" max="5891" width="16.109375" style="112" customWidth="1"/>
    <col min="5892" max="5892" width="15.5546875" style="112" customWidth="1"/>
    <col min="5893" max="5893" width="20.109375" style="112" customWidth="1"/>
    <col min="5894" max="5894" width="17.5546875" style="112" customWidth="1"/>
    <col min="5895" max="5895" width="17.88671875" style="112" customWidth="1"/>
    <col min="5896" max="5896" width="18" style="112" customWidth="1"/>
    <col min="5897" max="5899" width="18.88671875" style="112" bestFit="1" customWidth="1"/>
    <col min="5900" max="5900" width="18.44140625" style="112" bestFit="1" customWidth="1"/>
    <col min="5901" max="5903" width="18.88671875" style="112" bestFit="1" customWidth="1"/>
    <col min="5904" max="6143" width="11.44140625" style="112"/>
    <col min="6144" max="6144" width="7.5546875" style="112" customWidth="1"/>
    <col min="6145" max="6145" width="3.44140625" style="112" customWidth="1"/>
    <col min="6146" max="6146" width="32" style="112" customWidth="1"/>
    <col min="6147" max="6147" width="16.109375" style="112" customWidth="1"/>
    <col min="6148" max="6148" width="15.5546875" style="112" customWidth="1"/>
    <col min="6149" max="6149" width="20.109375" style="112" customWidth="1"/>
    <col min="6150" max="6150" width="17.5546875" style="112" customWidth="1"/>
    <col min="6151" max="6151" width="17.88671875" style="112" customWidth="1"/>
    <col min="6152" max="6152" width="18" style="112" customWidth="1"/>
    <col min="6153" max="6155" width="18.88671875" style="112" bestFit="1" customWidth="1"/>
    <col min="6156" max="6156" width="18.44140625" style="112" bestFit="1" customWidth="1"/>
    <col min="6157" max="6159" width="18.88671875" style="112" bestFit="1" customWidth="1"/>
    <col min="6160" max="6399" width="11.44140625" style="112"/>
    <col min="6400" max="6400" width="7.5546875" style="112" customWidth="1"/>
    <col min="6401" max="6401" width="3.44140625" style="112" customWidth="1"/>
    <col min="6402" max="6402" width="32" style="112" customWidth="1"/>
    <col min="6403" max="6403" width="16.109375" style="112" customWidth="1"/>
    <col min="6404" max="6404" width="15.5546875" style="112" customWidth="1"/>
    <col min="6405" max="6405" width="20.109375" style="112" customWidth="1"/>
    <col min="6406" max="6406" width="17.5546875" style="112" customWidth="1"/>
    <col min="6407" max="6407" width="17.88671875" style="112" customWidth="1"/>
    <col min="6408" max="6408" width="18" style="112" customWidth="1"/>
    <col min="6409" max="6411" width="18.88671875" style="112" bestFit="1" customWidth="1"/>
    <col min="6412" max="6412" width="18.44140625" style="112" bestFit="1" customWidth="1"/>
    <col min="6413" max="6415" width="18.88671875" style="112" bestFit="1" customWidth="1"/>
    <col min="6416" max="6655" width="11.44140625" style="112"/>
    <col min="6656" max="6656" width="7.5546875" style="112" customWidth="1"/>
    <col min="6657" max="6657" width="3.44140625" style="112" customWidth="1"/>
    <col min="6658" max="6658" width="32" style="112" customWidth="1"/>
    <col min="6659" max="6659" width="16.109375" style="112" customWidth="1"/>
    <col min="6660" max="6660" width="15.5546875" style="112" customWidth="1"/>
    <col min="6661" max="6661" width="20.109375" style="112" customWidth="1"/>
    <col min="6662" max="6662" width="17.5546875" style="112" customWidth="1"/>
    <col min="6663" max="6663" width="17.88671875" style="112" customWidth="1"/>
    <col min="6664" max="6664" width="18" style="112" customWidth="1"/>
    <col min="6665" max="6667" width="18.88671875" style="112" bestFit="1" customWidth="1"/>
    <col min="6668" max="6668" width="18.44140625" style="112" bestFit="1" customWidth="1"/>
    <col min="6669" max="6671" width="18.88671875" style="112" bestFit="1" customWidth="1"/>
    <col min="6672" max="6911" width="11.44140625" style="112"/>
    <col min="6912" max="6912" width="7.5546875" style="112" customWidth="1"/>
    <col min="6913" max="6913" width="3.44140625" style="112" customWidth="1"/>
    <col min="6914" max="6914" width="32" style="112" customWidth="1"/>
    <col min="6915" max="6915" width="16.109375" style="112" customWidth="1"/>
    <col min="6916" max="6916" width="15.5546875" style="112" customWidth="1"/>
    <col min="6917" max="6917" width="20.109375" style="112" customWidth="1"/>
    <col min="6918" max="6918" width="17.5546875" style="112" customWidth="1"/>
    <col min="6919" max="6919" width="17.88671875" style="112" customWidth="1"/>
    <col min="6920" max="6920" width="18" style="112" customWidth="1"/>
    <col min="6921" max="6923" width="18.88671875" style="112" bestFit="1" customWidth="1"/>
    <col min="6924" max="6924" width="18.44140625" style="112" bestFit="1" customWidth="1"/>
    <col min="6925" max="6927" width="18.88671875" style="112" bestFit="1" customWidth="1"/>
    <col min="6928" max="7167" width="11.44140625" style="112"/>
    <col min="7168" max="7168" width="7.5546875" style="112" customWidth="1"/>
    <col min="7169" max="7169" width="3.44140625" style="112" customWidth="1"/>
    <col min="7170" max="7170" width="32" style="112" customWidth="1"/>
    <col min="7171" max="7171" width="16.109375" style="112" customWidth="1"/>
    <col min="7172" max="7172" width="15.5546875" style="112" customWidth="1"/>
    <col min="7173" max="7173" width="20.109375" style="112" customWidth="1"/>
    <col min="7174" max="7174" width="17.5546875" style="112" customWidth="1"/>
    <col min="7175" max="7175" width="17.88671875" style="112" customWidth="1"/>
    <col min="7176" max="7176" width="18" style="112" customWidth="1"/>
    <col min="7177" max="7179" width="18.88671875" style="112" bestFit="1" customWidth="1"/>
    <col min="7180" max="7180" width="18.44140625" style="112" bestFit="1" customWidth="1"/>
    <col min="7181" max="7183" width="18.88671875" style="112" bestFit="1" customWidth="1"/>
    <col min="7184" max="7423" width="11.44140625" style="112"/>
    <col min="7424" max="7424" width="7.5546875" style="112" customWidth="1"/>
    <col min="7425" max="7425" width="3.44140625" style="112" customWidth="1"/>
    <col min="7426" max="7426" width="32" style="112" customWidth="1"/>
    <col min="7427" max="7427" width="16.109375" style="112" customWidth="1"/>
    <col min="7428" max="7428" width="15.5546875" style="112" customWidth="1"/>
    <col min="7429" max="7429" width="20.109375" style="112" customWidth="1"/>
    <col min="7430" max="7430" width="17.5546875" style="112" customWidth="1"/>
    <col min="7431" max="7431" width="17.88671875" style="112" customWidth="1"/>
    <col min="7432" max="7432" width="18" style="112" customWidth="1"/>
    <col min="7433" max="7435" width="18.88671875" style="112" bestFit="1" customWidth="1"/>
    <col min="7436" max="7436" width="18.44140625" style="112" bestFit="1" customWidth="1"/>
    <col min="7437" max="7439" width="18.88671875" style="112" bestFit="1" customWidth="1"/>
    <col min="7440" max="7679" width="11.44140625" style="112"/>
    <col min="7680" max="7680" width="7.5546875" style="112" customWidth="1"/>
    <col min="7681" max="7681" width="3.44140625" style="112" customWidth="1"/>
    <col min="7682" max="7682" width="32" style="112" customWidth="1"/>
    <col min="7683" max="7683" width="16.109375" style="112" customWidth="1"/>
    <col min="7684" max="7684" width="15.5546875" style="112" customWidth="1"/>
    <col min="7685" max="7685" width="20.109375" style="112" customWidth="1"/>
    <col min="7686" max="7686" width="17.5546875" style="112" customWidth="1"/>
    <col min="7687" max="7687" width="17.88671875" style="112" customWidth="1"/>
    <col min="7688" max="7688" width="18" style="112" customWidth="1"/>
    <col min="7689" max="7691" width="18.88671875" style="112" bestFit="1" customWidth="1"/>
    <col min="7692" max="7692" width="18.44140625" style="112" bestFit="1" customWidth="1"/>
    <col min="7693" max="7695" width="18.88671875" style="112" bestFit="1" customWidth="1"/>
    <col min="7696" max="7935" width="11.44140625" style="112"/>
    <col min="7936" max="7936" width="7.5546875" style="112" customWidth="1"/>
    <col min="7937" max="7937" width="3.44140625" style="112" customWidth="1"/>
    <col min="7938" max="7938" width="32" style="112" customWidth="1"/>
    <col min="7939" max="7939" width="16.109375" style="112" customWidth="1"/>
    <col min="7940" max="7940" width="15.5546875" style="112" customWidth="1"/>
    <col min="7941" max="7941" width="20.109375" style="112" customWidth="1"/>
    <col min="7942" max="7942" width="17.5546875" style="112" customWidth="1"/>
    <col min="7943" max="7943" width="17.88671875" style="112" customWidth="1"/>
    <col min="7944" max="7944" width="18" style="112" customWidth="1"/>
    <col min="7945" max="7947" width="18.88671875" style="112" bestFit="1" customWidth="1"/>
    <col min="7948" max="7948" width="18.44140625" style="112" bestFit="1" customWidth="1"/>
    <col min="7949" max="7951" width="18.88671875" style="112" bestFit="1" customWidth="1"/>
    <col min="7952" max="8191" width="11.44140625" style="112"/>
    <col min="8192" max="8192" width="7.5546875" style="112" customWidth="1"/>
    <col min="8193" max="8193" width="3.44140625" style="112" customWidth="1"/>
    <col min="8194" max="8194" width="32" style="112" customWidth="1"/>
    <col min="8195" max="8195" width="16.109375" style="112" customWidth="1"/>
    <col min="8196" max="8196" width="15.5546875" style="112" customWidth="1"/>
    <col min="8197" max="8197" width="20.109375" style="112" customWidth="1"/>
    <col min="8198" max="8198" width="17.5546875" style="112" customWidth="1"/>
    <col min="8199" max="8199" width="17.88671875" style="112" customWidth="1"/>
    <col min="8200" max="8200" width="18" style="112" customWidth="1"/>
    <col min="8201" max="8203" width="18.88671875" style="112" bestFit="1" customWidth="1"/>
    <col min="8204" max="8204" width="18.44140625" style="112" bestFit="1" customWidth="1"/>
    <col min="8205" max="8207" width="18.88671875" style="112" bestFit="1" customWidth="1"/>
    <col min="8208" max="8447" width="11.44140625" style="112"/>
    <col min="8448" max="8448" width="7.5546875" style="112" customWidth="1"/>
    <col min="8449" max="8449" width="3.44140625" style="112" customWidth="1"/>
    <col min="8450" max="8450" width="32" style="112" customWidth="1"/>
    <col min="8451" max="8451" width="16.109375" style="112" customWidth="1"/>
    <col min="8452" max="8452" width="15.5546875" style="112" customWidth="1"/>
    <col min="8453" max="8453" width="20.109375" style="112" customWidth="1"/>
    <col min="8454" max="8454" width="17.5546875" style="112" customWidth="1"/>
    <col min="8455" max="8455" width="17.88671875" style="112" customWidth="1"/>
    <col min="8456" max="8456" width="18" style="112" customWidth="1"/>
    <col min="8457" max="8459" width="18.88671875" style="112" bestFit="1" customWidth="1"/>
    <col min="8460" max="8460" width="18.44140625" style="112" bestFit="1" customWidth="1"/>
    <col min="8461" max="8463" width="18.88671875" style="112" bestFit="1" customWidth="1"/>
    <col min="8464" max="8703" width="11.44140625" style="112"/>
    <col min="8704" max="8704" width="7.5546875" style="112" customWidth="1"/>
    <col min="8705" max="8705" width="3.44140625" style="112" customWidth="1"/>
    <col min="8706" max="8706" width="32" style="112" customWidth="1"/>
    <col min="8707" max="8707" width="16.109375" style="112" customWidth="1"/>
    <col min="8708" max="8708" width="15.5546875" style="112" customWidth="1"/>
    <col min="8709" max="8709" width="20.109375" style="112" customWidth="1"/>
    <col min="8710" max="8710" width="17.5546875" style="112" customWidth="1"/>
    <col min="8711" max="8711" width="17.88671875" style="112" customWidth="1"/>
    <col min="8712" max="8712" width="18" style="112" customWidth="1"/>
    <col min="8713" max="8715" width="18.88671875" style="112" bestFit="1" customWidth="1"/>
    <col min="8716" max="8716" width="18.44140625" style="112" bestFit="1" customWidth="1"/>
    <col min="8717" max="8719" width="18.88671875" style="112" bestFit="1" customWidth="1"/>
    <col min="8720" max="8959" width="11.44140625" style="112"/>
    <col min="8960" max="8960" width="7.5546875" style="112" customWidth="1"/>
    <col min="8961" max="8961" width="3.44140625" style="112" customWidth="1"/>
    <col min="8962" max="8962" width="32" style="112" customWidth="1"/>
    <col min="8963" max="8963" width="16.109375" style="112" customWidth="1"/>
    <col min="8964" max="8964" width="15.5546875" style="112" customWidth="1"/>
    <col min="8965" max="8965" width="20.109375" style="112" customWidth="1"/>
    <col min="8966" max="8966" width="17.5546875" style="112" customWidth="1"/>
    <col min="8967" max="8967" width="17.88671875" style="112" customWidth="1"/>
    <col min="8968" max="8968" width="18" style="112" customWidth="1"/>
    <col min="8969" max="8971" width="18.88671875" style="112" bestFit="1" customWidth="1"/>
    <col min="8972" max="8972" width="18.44140625" style="112" bestFit="1" customWidth="1"/>
    <col min="8973" max="8975" width="18.88671875" style="112" bestFit="1" customWidth="1"/>
    <col min="8976" max="9215" width="11.44140625" style="112"/>
    <col min="9216" max="9216" width="7.5546875" style="112" customWidth="1"/>
    <col min="9217" max="9217" width="3.44140625" style="112" customWidth="1"/>
    <col min="9218" max="9218" width="32" style="112" customWidth="1"/>
    <col min="9219" max="9219" width="16.109375" style="112" customWidth="1"/>
    <col min="9220" max="9220" width="15.5546875" style="112" customWidth="1"/>
    <col min="9221" max="9221" width="20.109375" style="112" customWidth="1"/>
    <col min="9222" max="9222" width="17.5546875" style="112" customWidth="1"/>
    <col min="9223" max="9223" width="17.88671875" style="112" customWidth="1"/>
    <col min="9224" max="9224" width="18" style="112" customWidth="1"/>
    <col min="9225" max="9227" width="18.88671875" style="112" bestFit="1" customWidth="1"/>
    <col min="9228" max="9228" width="18.44140625" style="112" bestFit="1" customWidth="1"/>
    <col min="9229" max="9231" width="18.88671875" style="112" bestFit="1" customWidth="1"/>
    <col min="9232" max="9471" width="11.44140625" style="112"/>
    <col min="9472" max="9472" width="7.5546875" style="112" customWidth="1"/>
    <col min="9473" max="9473" width="3.44140625" style="112" customWidth="1"/>
    <col min="9474" max="9474" width="32" style="112" customWidth="1"/>
    <col min="9475" max="9475" width="16.109375" style="112" customWidth="1"/>
    <col min="9476" max="9476" width="15.5546875" style="112" customWidth="1"/>
    <col min="9477" max="9477" width="20.109375" style="112" customWidth="1"/>
    <col min="9478" max="9478" width="17.5546875" style="112" customWidth="1"/>
    <col min="9479" max="9479" width="17.88671875" style="112" customWidth="1"/>
    <col min="9480" max="9480" width="18" style="112" customWidth="1"/>
    <col min="9481" max="9483" width="18.88671875" style="112" bestFit="1" customWidth="1"/>
    <col min="9484" max="9484" width="18.44140625" style="112" bestFit="1" customWidth="1"/>
    <col min="9485" max="9487" width="18.88671875" style="112" bestFit="1" customWidth="1"/>
    <col min="9488" max="9727" width="11.44140625" style="112"/>
    <col min="9728" max="9728" width="7.5546875" style="112" customWidth="1"/>
    <col min="9729" max="9729" width="3.44140625" style="112" customWidth="1"/>
    <col min="9730" max="9730" width="32" style="112" customWidth="1"/>
    <col min="9731" max="9731" width="16.109375" style="112" customWidth="1"/>
    <col min="9732" max="9732" width="15.5546875" style="112" customWidth="1"/>
    <col min="9733" max="9733" width="20.109375" style="112" customWidth="1"/>
    <col min="9734" max="9734" width="17.5546875" style="112" customWidth="1"/>
    <col min="9735" max="9735" width="17.88671875" style="112" customWidth="1"/>
    <col min="9736" max="9736" width="18" style="112" customWidth="1"/>
    <col min="9737" max="9739" width="18.88671875" style="112" bestFit="1" customWidth="1"/>
    <col min="9740" max="9740" width="18.44140625" style="112" bestFit="1" customWidth="1"/>
    <col min="9741" max="9743" width="18.88671875" style="112" bestFit="1" customWidth="1"/>
    <col min="9744" max="9983" width="11.44140625" style="112"/>
    <col min="9984" max="9984" width="7.5546875" style="112" customWidth="1"/>
    <col min="9985" max="9985" width="3.44140625" style="112" customWidth="1"/>
    <col min="9986" max="9986" width="32" style="112" customWidth="1"/>
    <col min="9987" max="9987" width="16.109375" style="112" customWidth="1"/>
    <col min="9988" max="9988" width="15.5546875" style="112" customWidth="1"/>
    <col min="9989" max="9989" width="20.109375" style="112" customWidth="1"/>
    <col min="9990" max="9990" width="17.5546875" style="112" customWidth="1"/>
    <col min="9991" max="9991" width="17.88671875" style="112" customWidth="1"/>
    <col min="9992" max="9992" width="18" style="112" customWidth="1"/>
    <col min="9993" max="9995" width="18.88671875" style="112" bestFit="1" customWidth="1"/>
    <col min="9996" max="9996" width="18.44140625" style="112" bestFit="1" customWidth="1"/>
    <col min="9997" max="9999" width="18.88671875" style="112" bestFit="1" customWidth="1"/>
    <col min="10000" max="10239" width="11.44140625" style="112"/>
    <col min="10240" max="10240" width="7.5546875" style="112" customWidth="1"/>
    <col min="10241" max="10241" width="3.44140625" style="112" customWidth="1"/>
    <col min="10242" max="10242" width="32" style="112" customWidth="1"/>
    <col min="10243" max="10243" width="16.109375" style="112" customWidth="1"/>
    <col min="10244" max="10244" width="15.5546875" style="112" customWidth="1"/>
    <col min="10245" max="10245" width="20.109375" style="112" customWidth="1"/>
    <col min="10246" max="10246" width="17.5546875" style="112" customWidth="1"/>
    <col min="10247" max="10247" width="17.88671875" style="112" customWidth="1"/>
    <col min="10248" max="10248" width="18" style="112" customWidth="1"/>
    <col min="10249" max="10251" width="18.88671875" style="112" bestFit="1" customWidth="1"/>
    <col min="10252" max="10252" width="18.44140625" style="112" bestFit="1" customWidth="1"/>
    <col min="10253" max="10255" width="18.88671875" style="112" bestFit="1" customWidth="1"/>
    <col min="10256" max="10495" width="11.44140625" style="112"/>
    <col min="10496" max="10496" width="7.5546875" style="112" customWidth="1"/>
    <col min="10497" max="10497" width="3.44140625" style="112" customWidth="1"/>
    <col min="10498" max="10498" width="32" style="112" customWidth="1"/>
    <col min="10499" max="10499" width="16.109375" style="112" customWidth="1"/>
    <col min="10500" max="10500" width="15.5546875" style="112" customWidth="1"/>
    <col min="10501" max="10501" width="20.109375" style="112" customWidth="1"/>
    <col min="10502" max="10502" width="17.5546875" style="112" customWidth="1"/>
    <col min="10503" max="10503" width="17.88671875" style="112" customWidth="1"/>
    <col min="10504" max="10504" width="18" style="112" customWidth="1"/>
    <col min="10505" max="10507" width="18.88671875" style="112" bestFit="1" customWidth="1"/>
    <col min="10508" max="10508" width="18.44140625" style="112" bestFit="1" customWidth="1"/>
    <col min="10509" max="10511" width="18.88671875" style="112" bestFit="1" customWidth="1"/>
    <col min="10512" max="10751" width="11.44140625" style="112"/>
    <col min="10752" max="10752" width="7.5546875" style="112" customWidth="1"/>
    <col min="10753" max="10753" width="3.44140625" style="112" customWidth="1"/>
    <col min="10754" max="10754" width="32" style="112" customWidth="1"/>
    <col min="10755" max="10755" width="16.109375" style="112" customWidth="1"/>
    <col min="10756" max="10756" width="15.5546875" style="112" customWidth="1"/>
    <col min="10757" max="10757" width="20.109375" style="112" customWidth="1"/>
    <col min="10758" max="10758" width="17.5546875" style="112" customWidth="1"/>
    <col min="10759" max="10759" width="17.88671875" style="112" customWidth="1"/>
    <col min="10760" max="10760" width="18" style="112" customWidth="1"/>
    <col min="10761" max="10763" width="18.88671875" style="112" bestFit="1" customWidth="1"/>
    <col min="10764" max="10764" width="18.44140625" style="112" bestFit="1" customWidth="1"/>
    <col min="10765" max="10767" width="18.88671875" style="112" bestFit="1" customWidth="1"/>
    <col min="10768" max="11007" width="11.44140625" style="112"/>
    <col min="11008" max="11008" width="7.5546875" style="112" customWidth="1"/>
    <col min="11009" max="11009" width="3.44140625" style="112" customWidth="1"/>
    <col min="11010" max="11010" width="32" style="112" customWidth="1"/>
    <col min="11011" max="11011" width="16.109375" style="112" customWidth="1"/>
    <col min="11012" max="11012" width="15.5546875" style="112" customWidth="1"/>
    <col min="11013" max="11013" width="20.109375" style="112" customWidth="1"/>
    <col min="11014" max="11014" width="17.5546875" style="112" customWidth="1"/>
    <col min="11015" max="11015" width="17.88671875" style="112" customWidth="1"/>
    <col min="11016" max="11016" width="18" style="112" customWidth="1"/>
    <col min="11017" max="11019" width="18.88671875" style="112" bestFit="1" customWidth="1"/>
    <col min="11020" max="11020" width="18.44140625" style="112" bestFit="1" customWidth="1"/>
    <col min="11021" max="11023" width="18.88671875" style="112" bestFit="1" customWidth="1"/>
    <col min="11024" max="11263" width="11.44140625" style="112"/>
    <col min="11264" max="11264" width="7.5546875" style="112" customWidth="1"/>
    <col min="11265" max="11265" width="3.44140625" style="112" customWidth="1"/>
    <col min="11266" max="11266" width="32" style="112" customWidth="1"/>
    <col min="11267" max="11267" width="16.109375" style="112" customWidth="1"/>
    <col min="11268" max="11268" width="15.5546875" style="112" customWidth="1"/>
    <col min="11269" max="11269" width="20.109375" style="112" customWidth="1"/>
    <col min="11270" max="11270" width="17.5546875" style="112" customWidth="1"/>
    <col min="11271" max="11271" width="17.88671875" style="112" customWidth="1"/>
    <col min="11272" max="11272" width="18" style="112" customWidth="1"/>
    <col min="11273" max="11275" width="18.88671875" style="112" bestFit="1" customWidth="1"/>
    <col min="11276" max="11276" width="18.44140625" style="112" bestFit="1" customWidth="1"/>
    <col min="11277" max="11279" width="18.88671875" style="112" bestFit="1" customWidth="1"/>
    <col min="11280" max="11519" width="11.44140625" style="112"/>
    <col min="11520" max="11520" width="7.5546875" style="112" customWidth="1"/>
    <col min="11521" max="11521" width="3.44140625" style="112" customWidth="1"/>
    <col min="11522" max="11522" width="32" style="112" customWidth="1"/>
    <col min="11523" max="11523" width="16.109375" style="112" customWidth="1"/>
    <col min="11524" max="11524" width="15.5546875" style="112" customWidth="1"/>
    <col min="11525" max="11525" width="20.109375" style="112" customWidth="1"/>
    <col min="11526" max="11526" width="17.5546875" style="112" customWidth="1"/>
    <col min="11527" max="11527" width="17.88671875" style="112" customWidth="1"/>
    <col min="11528" max="11528" width="18" style="112" customWidth="1"/>
    <col min="11529" max="11531" width="18.88671875" style="112" bestFit="1" customWidth="1"/>
    <col min="11532" max="11532" width="18.44140625" style="112" bestFit="1" customWidth="1"/>
    <col min="11533" max="11535" width="18.88671875" style="112" bestFit="1" customWidth="1"/>
    <col min="11536" max="11775" width="11.44140625" style="112"/>
    <col min="11776" max="11776" width="7.5546875" style="112" customWidth="1"/>
    <col min="11777" max="11777" width="3.44140625" style="112" customWidth="1"/>
    <col min="11778" max="11778" width="32" style="112" customWidth="1"/>
    <col min="11779" max="11779" width="16.109375" style="112" customWidth="1"/>
    <col min="11780" max="11780" width="15.5546875" style="112" customWidth="1"/>
    <col min="11781" max="11781" width="20.109375" style="112" customWidth="1"/>
    <col min="11782" max="11782" width="17.5546875" style="112" customWidth="1"/>
    <col min="11783" max="11783" width="17.88671875" style="112" customWidth="1"/>
    <col min="11784" max="11784" width="18" style="112" customWidth="1"/>
    <col min="11785" max="11787" width="18.88671875" style="112" bestFit="1" customWidth="1"/>
    <col min="11788" max="11788" width="18.44140625" style="112" bestFit="1" customWidth="1"/>
    <col min="11789" max="11791" width="18.88671875" style="112" bestFit="1" customWidth="1"/>
    <col min="11792" max="12031" width="11.44140625" style="112"/>
    <col min="12032" max="12032" width="7.5546875" style="112" customWidth="1"/>
    <col min="12033" max="12033" width="3.44140625" style="112" customWidth="1"/>
    <col min="12034" max="12034" width="32" style="112" customWidth="1"/>
    <col min="12035" max="12035" width="16.109375" style="112" customWidth="1"/>
    <col min="12036" max="12036" width="15.5546875" style="112" customWidth="1"/>
    <col min="12037" max="12037" width="20.109375" style="112" customWidth="1"/>
    <col min="12038" max="12038" width="17.5546875" style="112" customWidth="1"/>
    <col min="12039" max="12039" width="17.88671875" style="112" customWidth="1"/>
    <col min="12040" max="12040" width="18" style="112" customWidth="1"/>
    <col min="12041" max="12043" width="18.88671875" style="112" bestFit="1" customWidth="1"/>
    <col min="12044" max="12044" width="18.44140625" style="112" bestFit="1" customWidth="1"/>
    <col min="12045" max="12047" width="18.88671875" style="112" bestFit="1" customWidth="1"/>
    <col min="12048" max="12287" width="11.44140625" style="112"/>
    <col min="12288" max="12288" width="7.5546875" style="112" customWidth="1"/>
    <col min="12289" max="12289" width="3.44140625" style="112" customWidth="1"/>
    <col min="12290" max="12290" width="32" style="112" customWidth="1"/>
    <col min="12291" max="12291" width="16.109375" style="112" customWidth="1"/>
    <col min="12292" max="12292" width="15.5546875" style="112" customWidth="1"/>
    <col min="12293" max="12293" width="20.109375" style="112" customWidth="1"/>
    <col min="12294" max="12294" width="17.5546875" style="112" customWidth="1"/>
    <col min="12295" max="12295" width="17.88671875" style="112" customWidth="1"/>
    <col min="12296" max="12296" width="18" style="112" customWidth="1"/>
    <col min="12297" max="12299" width="18.88671875" style="112" bestFit="1" customWidth="1"/>
    <col min="12300" max="12300" width="18.44140625" style="112" bestFit="1" customWidth="1"/>
    <col min="12301" max="12303" width="18.88671875" style="112" bestFit="1" customWidth="1"/>
    <col min="12304" max="12543" width="11.44140625" style="112"/>
    <col min="12544" max="12544" width="7.5546875" style="112" customWidth="1"/>
    <col min="12545" max="12545" width="3.44140625" style="112" customWidth="1"/>
    <col min="12546" max="12546" width="32" style="112" customWidth="1"/>
    <col min="12547" max="12547" width="16.109375" style="112" customWidth="1"/>
    <col min="12548" max="12548" width="15.5546875" style="112" customWidth="1"/>
    <col min="12549" max="12549" width="20.109375" style="112" customWidth="1"/>
    <col min="12550" max="12550" width="17.5546875" style="112" customWidth="1"/>
    <col min="12551" max="12551" width="17.88671875" style="112" customWidth="1"/>
    <col min="12552" max="12552" width="18" style="112" customWidth="1"/>
    <col min="12553" max="12555" width="18.88671875" style="112" bestFit="1" customWidth="1"/>
    <col min="12556" max="12556" width="18.44140625" style="112" bestFit="1" customWidth="1"/>
    <col min="12557" max="12559" width="18.88671875" style="112" bestFit="1" customWidth="1"/>
    <col min="12560" max="12799" width="11.44140625" style="112"/>
    <col min="12800" max="12800" width="7.5546875" style="112" customWidth="1"/>
    <col min="12801" max="12801" width="3.44140625" style="112" customWidth="1"/>
    <col min="12802" max="12802" width="32" style="112" customWidth="1"/>
    <col min="12803" max="12803" width="16.109375" style="112" customWidth="1"/>
    <col min="12804" max="12804" width="15.5546875" style="112" customWidth="1"/>
    <col min="12805" max="12805" width="20.109375" style="112" customWidth="1"/>
    <col min="12806" max="12806" width="17.5546875" style="112" customWidth="1"/>
    <col min="12807" max="12807" width="17.88671875" style="112" customWidth="1"/>
    <col min="12808" max="12808" width="18" style="112" customWidth="1"/>
    <col min="12809" max="12811" width="18.88671875" style="112" bestFit="1" customWidth="1"/>
    <col min="12812" max="12812" width="18.44140625" style="112" bestFit="1" customWidth="1"/>
    <col min="12813" max="12815" width="18.88671875" style="112" bestFit="1" customWidth="1"/>
    <col min="12816" max="13055" width="11.44140625" style="112"/>
    <col min="13056" max="13056" width="7.5546875" style="112" customWidth="1"/>
    <col min="13057" max="13057" width="3.44140625" style="112" customWidth="1"/>
    <col min="13058" max="13058" width="32" style="112" customWidth="1"/>
    <col min="13059" max="13059" width="16.109375" style="112" customWidth="1"/>
    <col min="13060" max="13060" width="15.5546875" style="112" customWidth="1"/>
    <col min="13061" max="13061" width="20.109375" style="112" customWidth="1"/>
    <col min="13062" max="13062" width="17.5546875" style="112" customWidth="1"/>
    <col min="13063" max="13063" width="17.88671875" style="112" customWidth="1"/>
    <col min="13064" max="13064" width="18" style="112" customWidth="1"/>
    <col min="13065" max="13067" width="18.88671875" style="112" bestFit="1" customWidth="1"/>
    <col min="13068" max="13068" width="18.44140625" style="112" bestFit="1" customWidth="1"/>
    <col min="13069" max="13071" width="18.88671875" style="112" bestFit="1" customWidth="1"/>
    <col min="13072" max="13311" width="11.44140625" style="112"/>
    <col min="13312" max="13312" width="7.5546875" style="112" customWidth="1"/>
    <col min="13313" max="13313" width="3.44140625" style="112" customWidth="1"/>
    <col min="13314" max="13314" width="32" style="112" customWidth="1"/>
    <col min="13315" max="13315" width="16.109375" style="112" customWidth="1"/>
    <col min="13316" max="13316" width="15.5546875" style="112" customWidth="1"/>
    <col min="13317" max="13317" width="20.109375" style="112" customWidth="1"/>
    <col min="13318" max="13318" width="17.5546875" style="112" customWidth="1"/>
    <col min="13319" max="13319" width="17.88671875" style="112" customWidth="1"/>
    <col min="13320" max="13320" width="18" style="112" customWidth="1"/>
    <col min="13321" max="13323" width="18.88671875" style="112" bestFit="1" customWidth="1"/>
    <col min="13324" max="13324" width="18.44140625" style="112" bestFit="1" customWidth="1"/>
    <col min="13325" max="13327" width="18.88671875" style="112" bestFit="1" customWidth="1"/>
    <col min="13328" max="13567" width="11.44140625" style="112"/>
    <col min="13568" max="13568" width="7.5546875" style="112" customWidth="1"/>
    <col min="13569" max="13569" width="3.44140625" style="112" customWidth="1"/>
    <col min="13570" max="13570" width="32" style="112" customWidth="1"/>
    <col min="13571" max="13571" width="16.109375" style="112" customWidth="1"/>
    <col min="13572" max="13572" width="15.5546875" style="112" customWidth="1"/>
    <col min="13573" max="13573" width="20.109375" style="112" customWidth="1"/>
    <col min="13574" max="13574" width="17.5546875" style="112" customWidth="1"/>
    <col min="13575" max="13575" width="17.88671875" style="112" customWidth="1"/>
    <col min="13576" max="13576" width="18" style="112" customWidth="1"/>
    <col min="13577" max="13579" width="18.88671875" style="112" bestFit="1" customWidth="1"/>
    <col min="13580" max="13580" width="18.44140625" style="112" bestFit="1" customWidth="1"/>
    <col min="13581" max="13583" width="18.88671875" style="112" bestFit="1" customWidth="1"/>
    <col min="13584" max="13823" width="11.44140625" style="112"/>
    <col min="13824" max="13824" width="7.5546875" style="112" customWidth="1"/>
    <col min="13825" max="13825" width="3.44140625" style="112" customWidth="1"/>
    <col min="13826" max="13826" width="32" style="112" customWidth="1"/>
    <col min="13827" max="13827" width="16.109375" style="112" customWidth="1"/>
    <col min="13828" max="13828" width="15.5546875" style="112" customWidth="1"/>
    <col min="13829" max="13829" width="20.109375" style="112" customWidth="1"/>
    <col min="13830" max="13830" width="17.5546875" style="112" customWidth="1"/>
    <col min="13831" max="13831" width="17.88671875" style="112" customWidth="1"/>
    <col min="13832" max="13832" width="18" style="112" customWidth="1"/>
    <col min="13833" max="13835" width="18.88671875" style="112" bestFit="1" customWidth="1"/>
    <col min="13836" max="13836" width="18.44140625" style="112" bestFit="1" customWidth="1"/>
    <col min="13837" max="13839" width="18.88671875" style="112" bestFit="1" customWidth="1"/>
    <col min="13840" max="14079" width="11.44140625" style="112"/>
    <col min="14080" max="14080" width="7.5546875" style="112" customWidth="1"/>
    <col min="14081" max="14081" width="3.44140625" style="112" customWidth="1"/>
    <col min="14082" max="14082" width="32" style="112" customWidth="1"/>
    <col min="14083" max="14083" width="16.109375" style="112" customWidth="1"/>
    <col min="14084" max="14084" width="15.5546875" style="112" customWidth="1"/>
    <col min="14085" max="14085" width="20.109375" style="112" customWidth="1"/>
    <col min="14086" max="14086" width="17.5546875" style="112" customWidth="1"/>
    <col min="14087" max="14087" width="17.88671875" style="112" customWidth="1"/>
    <col min="14088" max="14088" width="18" style="112" customWidth="1"/>
    <col min="14089" max="14091" width="18.88671875" style="112" bestFit="1" customWidth="1"/>
    <col min="14092" max="14092" width="18.44140625" style="112" bestFit="1" customWidth="1"/>
    <col min="14093" max="14095" width="18.88671875" style="112" bestFit="1" customWidth="1"/>
    <col min="14096" max="14335" width="11.44140625" style="112"/>
    <col min="14336" max="14336" width="7.5546875" style="112" customWidth="1"/>
    <col min="14337" max="14337" width="3.44140625" style="112" customWidth="1"/>
    <col min="14338" max="14338" width="32" style="112" customWidth="1"/>
    <col min="14339" max="14339" width="16.109375" style="112" customWidth="1"/>
    <col min="14340" max="14340" width="15.5546875" style="112" customWidth="1"/>
    <col min="14341" max="14341" width="20.109375" style="112" customWidth="1"/>
    <col min="14342" max="14342" width="17.5546875" style="112" customWidth="1"/>
    <col min="14343" max="14343" width="17.88671875" style="112" customWidth="1"/>
    <col min="14344" max="14344" width="18" style="112" customWidth="1"/>
    <col min="14345" max="14347" width="18.88671875" style="112" bestFit="1" customWidth="1"/>
    <col min="14348" max="14348" width="18.44140625" style="112" bestFit="1" customWidth="1"/>
    <col min="14349" max="14351" width="18.88671875" style="112" bestFit="1" customWidth="1"/>
    <col min="14352" max="14591" width="11.44140625" style="112"/>
    <col min="14592" max="14592" width="7.5546875" style="112" customWidth="1"/>
    <col min="14593" max="14593" width="3.44140625" style="112" customWidth="1"/>
    <col min="14594" max="14594" width="32" style="112" customWidth="1"/>
    <col min="14595" max="14595" width="16.109375" style="112" customWidth="1"/>
    <col min="14596" max="14596" width="15.5546875" style="112" customWidth="1"/>
    <col min="14597" max="14597" width="20.109375" style="112" customWidth="1"/>
    <col min="14598" max="14598" width="17.5546875" style="112" customWidth="1"/>
    <col min="14599" max="14599" width="17.88671875" style="112" customWidth="1"/>
    <col min="14600" max="14600" width="18" style="112" customWidth="1"/>
    <col min="14601" max="14603" width="18.88671875" style="112" bestFit="1" customWidth="1"/>
    <col min="14604" max="14604" width="18.44140625" style="112" bestFit="1" customWidth="1"/>
    <col min="14605" max="14607" width="18.88671875" style="112" bestFit="1" customWidth="1"/>
    <col min="14608" max="14847" width="11.44140625" style="112"/>
    <col min="14848" max="14848" width="7.5546875" style="112" customWidth="1"/>
    <col min="14849" max="14849" width="3.44140625" style="112" customWidth="1"/>
    <col min="14850" max="14850" width="32" style="112" customWidth="1"/>
    <col min="14851" max="14851" width="16.109375" style="112" customWidth="1"/>
    <col min="14852" max="14852" width="15.5546875" style="112" customWidth="1"/>
    <col min="14853" max="14853" width="20.109375" style="112" customWidth="1"/>
    <col min="14854" max="14854" width="17.5546875" style="112" customWidth="1"/>
    <col min="14855" max="14855" width="17.88671875" style="112" customWidth="1"/>
    <col min="14856" max="14856" width="18" style="112" customWidth="1"/>
    <col min="14857" max="14859" width="18.88671875" style="112" bestFit="1" customWidth="1"/>
    <col min="14860" max="14860" width="18.44140625" style="112" bestFit="1" customWidth="1"/>
    <col min="14861" max="14863" width="18.88671875" style="112" bestFit="1" customWidth="1"/>
    <col min="14864" max="15103" width="11.44140625" style="112"/>
    <col min="15104" max="15104" width="7.5546875" style="112" customWidth="1"/>
    <col min="15105" max="15105" width="3.44140625" style="112" customWidth="1"/>
    <col min="15106" max="15106" width="32" style="112" customWidth="1"/>
    <col min="15107" max="15107" width="16.109375" style="112" customWidth="1"/>
    <col min="15108" max="15108" width="15.5546875" style="112" customWidth="1"/>
    <col min="15109" max="15109" width="20.109375" style="112" customWidth="1"/>
    <col min="15110" max="15110" width="17.5546875" style="112" customWidth="1"/>
    <col min="15111" max="15111" width="17.88671875" style="112" customWidth="1"/>
    <col min="15112" max="15112" width="18" style="112" customWidth="1"/>
    <col min="15113" max="15115" width="18.88671875" style="112" bestFit="1" customWidth="1"/>
    <col min="15116" max="15116" width="18.44140625" style="112" bestFit="1" customWidth="1"/>
    <col min="15117" max="15119" width="18.88671875" style="112" bestFit="1" customWidth="1"/>
    <col min="15120" max="15359" width="11.44140625" style="112"/>
    <col min="15360" max="15360" width="7.5546875" style="112" customWidth="1"/>
    <col min="15361" max="15361" width="3.44140625" style="112" customWidth="1"/>
    <col min="15362" max="15362" width="32" style="112" customWidth="1"/>
    <col min="15363" max="15363" width="16.109375" style="112" customWidth="1"/>
    <col min="15364" max="15364" width="15.5546875" style="112" customWidth="1"/>
    <col min="15365" max="15365" width="20.109375" style="112" customWidth="1"/>
    <col min="15366" max="15366" width="17.5546875" style="112" customWidth="1"/>
    <col min="15367" max="15367" width="17.88671875" style="112" customWidth="1"/>
    <col min="15368" max="15368" width="18" style="112" customWidth="1"/>
    <col min="15369" max="15371" width="18.88671875" style="112" bestFit="1" customWidth="1"/>
    <col min="15372" max="15372" width="18.44140625" style="112" bestFit="1" customWidth="1"/>
    <col min="15373" max="15375" width="18.88671875" style="112" bestFit="1" customWidth="1"/>
    <col min="15376" max="15615" width="11.44140625" style="112"/>
    <col min="15616" max="15616" width="7.5546875" style="112" customWidth="1"/>
    <col min="15617" max="15617" width="3.44140625" style="112" customWidth="1"/>
    <col min="15618" max="15618" width="32" style="112" customWidth="1"/>
    <col min="15619" max="15619" width="16.109375" style="112" customWidth="1"/>
    <col min="15620" max="15620" width="15.5546875" style="112" customWidth="1"/>
    <col min="15621" max="15621" width="20.109375" style="112" customWidth="1"/>
    <col min="15622" max="15622" width="17.5546875" style="112" customWidth="1"/>
    <col min="15623" max="15623" width="17.88671875" style="112" customWidth="1"/>
    <col min="15624" max="15624" width="18" style="112" customWidth="1"/>
    <col min="15625" max="15627" width="18.88671875" style="112" bestFit="1" customWidth="1"/>
    <col min="15628" max="15628" width="18.44140625" style="112" bestFit="1" customWidth="1"/>
    <col min="15629" max="15631" width="18.88671875" style="112" bestFit="1" customWidth="1"/>
    <col min="15632" max="15871" width="11.44140625" style="112"/>
    <col min="15872" max="15872" width="7.5546875" style="112" customWidth="1"/>
    <col min="15873" max="15873" width="3.44140625" style="112" customWidth="1"/>
    <col min="15874" max="15874" width="32" style="112" customWidth="1"/>
    <col min="15875" max="15875" width="16.109375" style="112" customWidth="1"/>
    <col min="15876" max="15876" width="15.5546875" style="112" customWidth="1"/>
    <col min="15877" max="15877" width="20.109375" style="112" customWidth="1"/>
    <col min="15878" max="15878" width="17.5546875" style="112" customWidth="1"/>
    <col min="15879" max="15879" width="17.88671875" style="112" customWidth="1"/>
    <col min="15880" max="15880" width="18" style="112" customWidth="1"/>
    <col min="15881" max="15883" width="18.88671875" style="112" bestFit="1" customWidth="1"/>
    <col min="15884" max="15884" width="18.44140625" style="112" bestFit="1" customWidth="1"/>
    <col min="15885" max="15887" width="18.88671875" style="112" bestFit="1" customWidth="1"/>
    <col min="15888" max="16127" width="11.44140625" style="112"/>
    <col min="16128" max="16128" width="7.5546875" style="112" customWidth="1"/>
    <col min="16129" max="16129" width="3.44140625" style="112" customWidth="1"/>
    <col min="16130" max="16130" width="32" style="112" customWidth="1"/>
    <col min="16131" max="16131" width="16.109375" style="112" customWidth="1"/>
    <col min="16132" max="16132" width="15.5546875" style="112" customWidth="1"/>
    <col min="16133" max="16133" width="20.109375" style="112" customWidth="1"/>
    <col min="16134" max="16134" width="17.5546875" style="112" customWidth="1"/>
    <col min="16135" max="16135" width="17.88671875" style="112" customWidth="1"/>
    <col min="16136" max="16136" width="18" style="112" customWidth="1"/>
    <col min="16137" max="16139" width="18.88671875" style="112" bestFit="1" customWidth="1"/>
    <col min="16140" max="16140" width="18.44140625" style="112" bestFit="1" customWidth="1"/>
    <col min="16141" max="16143" width="18.88671875" style="112" bestFit="1" customWidth="1"/>
    <col min="16144" max="16384" width="11.44140625" style="112"/>
  </cols>
  <sheetData>
    <row r="4" spans="1:12" x14ac:dyDescent="0.25">
      <c r="A4" s="113" t="s">
        <v>353</v>
      </c>
      <c r="B4" s="114">
        <v>35</v>
      </c>
      <c r="C4" s="204" t="s">
        <v>354</v>
      </c>
      <c r="D4" s="204"/>
      <c r="E4" s="204"/>
      <c r="F4" s="204"/>
      <c r="G4" s="204"/>
      <c r="H4" s="204"/>
      <c r="I4" s="204"/>
      <c r="J4" s="204"/>
      <c r="K4" s="204"/>
    </row>
    <row r="5" spans="1:12" x14ac:dyDescent="0.25">
      <c r="C5" s="143"/>
      <c r="D5" s="143"/>
      <c r="E5" s="143"/>
      <c r="F5" s="139" t="s">
        <v>248</v>
      </c>
      <c r="G5" s="139" t="s">
        <v>248</v>
      </c>
      <c r="H5" s="139" t="s">
        <v>248</v>
      </c>
      <c r="I5" s="139" t="s">
        <v>248</v>
      </c>
      <c r="J5" s="139" t="s">
        <v>248</v>
      </c>
      <c r="K5" s="139" t="s">
        <v>248</v>
      </c>
    </row>
    <row r="6" spans="1:12" x14ac:dyDescent="0.25">
      <c r="C6" s="143"/>
      <c r="D6" s="143"/>
      <c r="E6" s="143"/>
      <c r="F6" s="144">
        <v>0</v>
      </c>
      <c r="G6" s="144">
        <f>[1]PROYECCIONES!F34</f>
        <v>1</v>
      </c>
      <c r="H6" s="144">
        <f>[1]PROYECCIONES!G34</f>
        <v>2</v>
      </c>
      <c r="I6" s="144">
        <f>[1]PROYECCIONES!H34</f>
        <v>3</v>
      </c>
      <c r="J6" s="144">
        <f>[1]PROYECCIONES!I34</f>
        <v>4</v>
      </c>
      <c r="K6" s="144">
        <f>[1]PROYECCIONES!J34</f>
        <v>5</v>
      </c>
    </row>
    <row r="7" spans="1:12" x14ac:dyDescent="0.25">
      <c r="C7" s="207" t="s">
        <v>269</v>
      </c>
      <c r="D7" s="207"/>
      <c r="E7" s="207"/>
      <c r="F7" s="115"/>
      <c r="G7" s="145">
        <f>+PROYECCIONES!C48</f>
        <v>913682250</v>
      </c>
      <c r="H7" s="145">
        <f>+PROYECCIONES!D48</f>
        <v>1070776979.9999999</v>
      </c>
      <c r="I7" s="145">
        <f>+PROYECCIONES!E48</f>
        <v>1160478540</v>
      </c>
      <c r="J7" s="145">
        <f>+PROYECCIONES!F48</f>
        <v>1250180100</v>
      </c>
      <c r="K7" s="145">
        <f>+PROYECCIONES!G48</f>
        <v>1339881660</v>
      </c>
      <c r="L7" s="116"/>
    </row>
    <row r="8" spans="1:12" x14ac:dyDescent="0.25">
      <c r="C8" s="207" t="s">
        <v>270</v>
      </c>
      <c r="D8" s="207"/>
      <c r="E8" s="207"/>
      <c r="F8" s="115"/>
      <c r="G8" s="145"/>
      <c r="H8" s="145"/>
      <c r="I8" s="145"/>
      <c r="J8" s="145"/>
      <c r="K8" s="145"/>
    </row>
    <row r="9" spans="1:12" x14ac:dyDescent="0.25">
      <c r="C9" s="205" t="s">
        <v>271</v>
      </c>
      <c r="D9" s="205"/>
      <c r="E9" s="205"/>
      <c r="F9" s="131"/>
      <c r="G9" s="132">
        <f>G7+G8</f>
        <v>913682250</v>
      </c>
      <c r="H9" s="132">
        <f>H7+H8</f>
        <v>1070776979.9999999</v>
      </c>
      <c r="I9" s="132">
        <f>I7+I8</f>
        <v>1160478540</v>
      </c>
      <c r="J9" s="132">
        <f t="shared" ref="J9:K9" si="0">J7+J8</f>
        <v>1250180100</v>
      </c>
      <c r="K9" s="132">
        <f t="shared" si="0"/>
        <v>1339881660</v>
      </c>
    </row>
    <row r="10" spans="1:12" hidden="1" x14ac:dyDescent="0.25"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2" x14ac:dyDescent="0.25">
      <c r="C11" s="118" t="s">
        <v>272</v>
      </c>
      <c r="D11" s="117"/>
      <c r="E11" s="117"/>
      <c r="F11" s="117"/>
      <c r="G11" s="117"/>
      <c r="H11" s="117"/>
      <c r="I11" s="117"/>
      <c r="J11" s="117"/>
      <c r="K11" s="117"/>
    </row>
    <row r="12" spans="1:12" x14ac:dyDescent="0.25">
      <c r="C12" s="117" t="s">
        <v>273</v>
      </c>
      <c r="D12" s="119"/>
      <c r="E12" s="120"/>
      <c r="F12" s="120"/>
      <c r="G12" s="145">
        <f>+PROYECCIONES!C53</f>
        <v>29208000</v>
      </c>
      <c r="H12" s="145">
        <f>+PROYECCIONES!D53</f>
        <v>30466871.132624015</v>
      </c>
      <c r="I12" s="145">
        <f>+PROYECCIONES!E53</f>
        <v>31649717.84056858</v>
      </c>
      <c r="J12" s="145">
        <f>+PROYECCIONES!F53</f>
        <v>32814189.660533246</v>
      </c>
      <c r="K12" s="145">
        <f>+PROYECCIONES!G53</f>
        <v>34004227.996721625</v>
      </c>
    </row>
    <row r="13" spans="1:12" x14ac:dyDescent="0.25">
      <c r="C13" s="117" t="s">
        <v>274</v>
      </c>
      <c r="D13" s="119"/>
      <c r="E13" s="120"/>
      <c r="F13" s="120"/>
      <c r="G13" s="145">
        <f>+PROYECCIONES!C55</f>
        <v>57082211.039999999</v>
      </c>
      <c r="H13" s="145">
        <f>+PROYECCIONES!D55</f>
        <v>62311595.037653007</v>
      </c>
      <c r="I13" s="145">
        <f>+PROYECCIONES!E55</f>
        <v>68381919.293082073</v>
      </c>
      <c r="J13" s="145">
        <f>+PROYECCIONES!F55</f>
        <v>75440729.252917647</v>
      </c>
      <c r="K13" s="145">
        <f>+PROYECCIONES!G55</f>
        <v>83666308.833379716</v>
      </c>
    </row>
    <row r="14" spans="1:12" x14ac:dyDescent="0.25">
      <c r="C14" s="117" t="s">
        <v>350</v>
      </c>
      <c r="D14" s="119"/>
      <c r="E14" s="120"/>
      <c r="F14" s="120"/>
      <c r="G14" s="145">
        <f>+PROYECCIONES!C54</f>
        <v>608400000</v>
      </c>
      <c r="H14" s="145">
        <f>+PROYECCIONES!D54</f>
        <v>713851319.99999988</v>
      </c>
      <c r="I14" s="145">
        <f>+PROYECCIONES!E54</f>
        <v>773652359.99999988</v>
      </c>
      <c r="J14" s="145">
        <f>+PROYECCIONES!F54</f>
        <v>833453400</v>
      </c>
      <c r="K14" s="145">
        <f>+PROYECCIONES!G54</f>
        <v>893254440</v>
      </c>
    </row>
    <row r="15" spans="1:12" x14ac:dyDescent="0.25">
      <c r="C15" s="117" t="s">
        <v>275</v>
      </c>
      <c r="D15" s="119"/>
      <c r="E15" s="120"/>
      <c r="F15" s="120"/>
      <c r="G15" s="145">
        <f>+PROYECCIONES!C56</f>
        <v>6658673</v>
      </c>
      <c r="H15" s="145">
        <f>+PROYECCIONES!D56</f>
        <v>6945663.2499754503</v>
      </c>
      <c r="I15" s="145">
        <f>+PROYECCIONES!E56</f>
        <v>7215321.885874155</v>
      </c>
      <c r="J15" s="145">
        <f>+PROYECCIONES!F56</f>
        <v>7480791.5197710181</v>
      </c>
      <c r="K15" s="145">
        <f>+PROYECCIONES!G56</f>
        <v>7752089.6619972056</v>
      </c>
    </row>
    <row r="16" spans="1:12" x14ac:dyDescent="0.25">
      <c r="C16" s="117" t="s">
        <v>276</v>
      </c>
      <c r="D16" s="119"/>
      <c r="E16" s="120"/>
      <c r="F16" s="120"/>
      <c r="G16" s="145">
        <f>+PROYECCIONES!C57</f>
        <v>-4249965</v>
      </c>
      <c r="H16" s="145">
        <f>+PROYECCIONES!D57</f>
        <v>-4249965</v>
      </c>
      <c r="I16" s="145">
        <f>+PROYECCIONES!E57</f>
        <v>-4249965</v>
      </c>
      <c r="J16" s="145">
        <f>+PROYECCIONES!F57</f>
        <v>-4249965</v>
      </c>
      <c r="K16" s="145">
        <f>+PROYECCIONES!G57</f>
        <v>-4249965</v>
      </c>
    </row>
    <row r="17" spans="3:11" x14ac:dyDescent="0.25">
      <c r="C17" s="117" t="s">
        <v>277</v>
      </c>
      <c r="D17" s="119"/>
      <c r="E17" s="120"/>
      <c r="F17" s="120"/>
      <c r="G17" s="145">
        <f>+PROYECCIONES!C58</f>
        <v>53220000</v>
      </c>
      <c r="H17" s="145">
        <f>+PROYECCIONES!D58</f>
        <v>55513793.538696595</v>
      </c>
      <c r="I17" s="145">
        <f>+PROYECCIONES!E58</f>
        <v>57669062.704569295</v>
      </c>
      <c r="J17" s="145">
        <f>+PROYECCIONES!F58</f>
        <v>59790850.92213022</v>
      </c>
      <c r="K17" s="145">
        <f>+PROYECCIONES!G58</f>
        <v>61959223.979235999</v>
      </c>
    </row>
    <row r="18" spans="3:11" ht="13.5" customHeight="1" x14ac:dyDescent="0.25">
      <c r="C18" s="133" t="s">
        <v>278</v>
      </c>
      <c r="D18" s="133"/>
      <c r="E18" s="133"/>
      <c r="F18" s="133"/>
      <c r="G18" s="132">
        <f>SUM(G12:G17)</f>
        <v>750318919.03999996</v>
      </c>
      <c r="H18" s="132">
        <f>SUM(H12:H17)</f>
        <v>864839277.95894897</v>
      </c>
      <c r="I18" s="132">
        <f>SUM(I12:I17)</f>
        <v>934318416.72409403</v>
      </c>
      <c r="J18" s="132">
        <f>SUM(J12:J17)</f>
        <v>1004729996.3553522</v>
      </c>
      <c r="K18" s="132">
        <f>SUM(K12:K17)</f>
        <v>1076386325.4713345</v>
      </c>
    </row>
    <row r="19" spans="3:11" ht="13.5" customHeight="1" x14ac:dyDescent="0.25">
      <c r="C19" s="117"/>
      <c r="D19" s="117"/>
      <c r="E19" s="117"/>
      <c r="F19" s="117"/>
      <c r="G19" s="117"/>
      <c r="H19" s="117"/>
      <c r="I19" s="117"/>
      <c r="J19" s="117"/>
      <c r="K19" s="117"/>
    </row>
    <row r="20" spans="3:11" ht="13.5" customHeight="1" x14ac:dyDescent="0.25">
      <c r="C20" s="133" t="s">
        <v>279</v>
      </c>
      <c r="D20" s="133"/>
      <c r="E20" s="133"/>
      <c r="F20" s="134"/>
      <c r="G20" s="132">
        <f>G9-G18</f>
        <v>163363330.96000004</v>
      </c>
      <c r="H20" s="132">
        <f>H9-H18</f>
        <v>205937702.04105091</v>
      </c>
      <c r="I20" s="132">
        <f>I9-I18</f>
        <v>226160123.27590597</v>
      </c>
      <c r="J20" s="132">
        <f>J9-J18</f>
        <v>245450103.64464784</v>
      </c>
      <c r="K20" s="132">
        <f>K9-K18</f>
        <v>263495334.52866554</v>
      </c>
    </row>
    <row r="21" spans="3:11" ht="13.5" customHeight="1" x14ac:dyDescent="0.25">
      <c r="C21" s="117"/>
      <c r="D21" s="117"/>
      <c r="E21" s="117"/>
      <c r="F21" s="117"/>
      <c r="G21" s="117"/>
      <c r="H21" s="117"/>
      <c r="I21" s="117"/>
      <c r="J21" s="117"/>
      <c r="K21" s="117"/>
    </row>
    <row r="22" spans="3:11" ht="13.5" customHeight="1" x14ac:dyDescent="0.25">
      <c r="C22" s="118" t="s">
        <v>280</v>
      </c>
      <c r="D22" s="117"/>
      <c r="E22" s="117"/>
      <c r="F22" s="117"/>
      <c r="G22" s="117"/>
      <c r="H22" s="117"/>
      <c r="I22" s="117"/>
      <c r="J22" s="117"/>
      <c r="K22" s="117"/>
    </row>
    <row r="23" spans="3:11" ht="13.5" customHeight="1" x14ac:dyDescent="0.25">
      <c r="C23" s="117" t="s">
        <v>281</v>
      </c>
      <c r="D23" s="119"/>
      <c r="E23" s="119"/>
      <c r="F23" s="120"/>
      <c r="G23" s="145">
        <f>+PROYECCIONES!C64</f>
        <v>34683054.25</v>
      </c>
      <c r="H23" s="145">
        <f>+PROYECCIONES!D64</f>
        <v>37409046.01232928</v>
      </c>
      <c r="I23" s="145">
        <f>+PROYECCIONES!E64</f>
        <v>40484698.466489002</v>
      </c>
      <c r="J23" s="145">
        <f>+PROYECCIONES!F64</f>
        <v>43993974.641065232</v>
      </c>
      <c r="K23" s="145">
        <f>+PROYECCIONES!G64</f>
        <v>48030136.913497865</v>
      </c>
    </row>
    <row r="24" spans="3:11" ht="13.5" customHeight="1" x14ac:dyDescent="0.25">
      <c r="C24" s="117" t="s">
        <v>282</v>
      </c>
      <c r="D24" s="119"/>
      <c r="E24" s="119"/>
      <c r="F24" s="120"/>
      <c r="G24" s="145">
        <f>+PROYECCIONES!C65</f>
        <v>-6352000</v>
      </c>
      <c r="H24" s="145">
        <f>+PROYECCIONES!D65</f>
        <v>-6352000</v>
      </c>
      <c r="I24" s="145">
        <f>+PROYECCIONES!E65</f>
        <v>-6352000</v>
      </c>
      <c r="J24" s="145">
        <f>+PROYECCIONES!F65</f>
        <v>-6352000</v>
      </c>
      <c r="K24" s="145">
        <f>+PROYECCIONES!G65</f>
        <v>-6352000</v>
      </c>
    </row>
    <row r="25" spans="3:11" ht="13.5" customHeight="1" x14ac:dyDescent="0.25">
      <c r="C25" s="117" t="s">
        <v>276</v>
      </c>
      <c r="D25" s="119"/>
      <c r="E25" s="119"/>
      <c r="F25" s="120"/>
      <c r="G25" s="145">
        <f>+PROYECCIONES!C66</f>
        <v>-71625.000000000015</v>
      </c>
      <c r="H25" s="145">
        <f>+PROYECCIONES!D66</f>
        <v>-71625.000000000015</v>
      </c>
      <c r="I25" s="145">
        <f>+PROYECCIONES!E66</f>
        <v>-71625.000000000015</v>
      </c>
      <c r="J25" s="145">
        <f>+PROYECCIONES!F66</f>
        <v>-71625.000000000015</v>
      </c>
      <c r="K25" s="145">
        <f>+PROYECCIONES!G66</f>
        <v>-71625.000000000015</v>
      </c>
    </row>
    <row r="26" spans="3:11" ht="13.5" customHeight="1" x14ac:dyDescent="0.25">
      <c r="C26" s="117" t="s">
        <v>283</v>
      </c>
      <c r="D26" s="119"/>
      <c r="E26" s="119"/>
      <c r="F26" s="120"/>
      <c r="G26" s="145">
        <f>+PROYECCIONES!C67</f>
        <v>10151419.199999999</v>
      </c>
      <c r="H26" s="145">
        <f>+PROYECCIONES!D67</f>
        <v>11081405.410252929</v>
      </c>
      <c r="I26" s="145">
        <f>+PROYECCIONES!E67</f>
        <v>12160943.239535799</v>
      </c>
      <c r="J26" s="145">
        <f>+PROYECCIONES!F67</f>
        <v>13416271.960163195</v>
      </c>
      <c r="K26" s="145">
        <f>+PROYECCIONES!G67</f>
        <v>14879097.330149608</v>
      </c>
    </row>
    <row r="27" spans="3:11" ht="13.5" customHeight="1" x14ac:dyDescent="0.25">
      <c r="C27" s="117" t="s">
        <v>284</v>
      </c>
      <c r="D27" s="119"/>
      <c r="E27" s="119"/>
      <c r="F27" s="120"/>
      <c r="G27" s="145">
        <f>+PROYECCIONES!C68</f>
        <v>0</v>
      </c>
      <c r="H27" s="145">
        <f>+PROYECCIONES!D68</f>
        <v>26262748.291995</v>
      </c>
      <c r="I27" s="145">
        <f>+PROYECCIONES!E68</f>
        <v>49141678.640494682</v>
      </c>
      <c r="J27" s="145">
        <f>+PROYECCIONES!F68</f>
        <v>54325458.795260787</v>
      </c>
      <c r="K27" s="145">
        <f>+PROYECCIONES!G68</f>
        <v>59000426.642328411</v>
      </c>
    </row>
    <row r="28" spans="3:11" ht="13.5" customHeight="1" x14ac:dyDescent="0.25">
      <c r="C28" s="133" t="s">
        <v>285</v>
      </c>
      <c r="D28" s="133"/>
      <c r="E28" s="133"/>
      <c r="F28" s="135"/>
      <c r="G28" s="132">
        <f>SUM(G23:G27)</f>
        <v>38410848.450000003</v>
      </c>
      <c r="H28" s="132">
        <f t="shared" ref="H28:K28" si="1">SUM(H23:H27)</f>
        <v>68329574.714577213</v>
      </c>
      <c r="I28" s="132">
        <f>SUM(I23:I27)</f>
        <v>95363695.346519485</v>
      </c>
      <c r="J28" s="132">
        <f t="shared" si="1"/>
        <v>105312080.39648922</v>
      </c>
      <c r="K28" s="132">
        <f t="shared" si="1"/>
        <v>115486035.88597588</v>
      </c>
    </row>
    <row r="29" spans="3:11" ht="13.5" customHeight="1" x14ac:dyDescent="0.25">
      <c r="C29" s="117"/>
      <c r="D29" s="117"/>
      <c r="E29" s="117"/>
      <c r="F29" s="117"/>
      <c r="G29" s="117"/>
      <c r="H29" s="117"/>
      <c r="I29" s="117"/>
      <c r="J29" s="117"/>
      <c r="K29" s="117"/>
    </row>
    <row r="30" spans="3:11" ht="13.5" customHeight="1" x14ac:dyDescent="0.25">
      <c r="C30" s="205" t="s">
        <v>286</v>
      </c>
      <c r="D30" s="205"/>
      <c r="E30" s="205"/>
      <c r="F30" s="133"/>
      <c r="G30" s="132">
        <f>G20-G28</f>
        <v>124952482.51000004</v>
      </c>
      <c r="H30" s="132">
        <f>H20-H28</f>
        <v>137608127.32647371</v>
      </c>
      <c r="I30" s="132">
        <f>I20-I28</f>
        <v>130796427.92938648</v>
      </c>
      <c r="J30" s="132">
        <f>J20-J28</f>
        <v>140138023.24815863</v>
      </c>
      <c r="K30" s="132">
        <f t="shared" ref="K30" si="2">K20-K28</f>
        <v>148009298.64268965</v>
      </c>
    </row>
    <row r="31" spans="3:11" ht="13.5" customHeight="1" x14ac:dyDescent="0.25">
      <c r="C31" s="117"/>
      <c r="D31" s="117"/>
      <c r="E31" s="117"/>
      <c r="F31" s="117"/>
      <c r="G31" s="117"/>
      <c r="H31" s="117"/>
      <c r="I31" s="117"/>
      <c r="J31" s="117"/>
      <c r="K31" s="117"/>
    </row>
    <row r="32" spans="3:11" ht="13.5" customHeight="1" x14ac:dyDescent="0.25">
      <c r="C32" s="118" t="s">
        <v>287</v>
      </c>
      <c r="D32" s="117"/>
      <c r="E32" s="117"/>
      <c r="F32" s="117"/>
      <c r="G32" s="117"/>
      <c r="H32" s="117"/>
      <c r="I32" s="117"/>
      <c r="J32" s="117"/>
      <c r="K32" s="117"/>
    </row>
    <row r="33" spans="1:11" ht="13.5" customHeight="1" x14ac:dyDescent="0.25">
      <c r="C33" s="117" t="s">
        <v>288</v>
      </c>
      <c r="D33" s="119"/>
      <c r="E33" s="119"/>
      <c r="F33" s="145">
        <f>+PROYECCIONES!B74</f>
        <v>64516800</v>
      </c>
      <c r="G33" s="145"/>
      <c r="H33" s="145"/>
      <c r="I33" s="145"/>
      <c r="J33" s="145"/>
      <c r="K33" s="145"/>
    </row>
    <row r="34" spans="1:11" ht="13.5" customHeight="1" x14ac:dyDescent="0.25">
      <c r="C34" s="117" t="s">
        <v>289</v>
      </c>
      <c r="D34" s="119"/>
      <c r="E34" s="119"/>
      <c r="F34" s="145">
        <f>+PROYECCIONES!B75</f>
        <v>31760000</v>
      </c>
      <c r="G34" s="145"/>
      <c r="H34" s="145"/>
      <c r="I34" s="145"/>
      <c r="J34" s="145"/>
      <c r="K34" s="145"/>
    </row>
    <row r="35" spans="1:11" ht="13.5" customHeight="1" x14ac:dyDescent="0.25">
      <c r="C35" s="117" t="s">
        <v>290</v>
      </c>
      <c r="D35" s="119"/>
      <c r="E35" s="119"/>
      <c r="F35" s="145">
        <f>+PROYECCIONES!B76</f>
        <v>410133202.745</v>
      </c>
      <c r="G35" s="145"/>
      <c r="H35" s="145"/>
      <c r="I35" s="145"/>
      <c r="J35" s="145"/>
      <c r="K35" s="145"/>
    </row>
    <row r="36" spans="1:11" ht="13.5" customHeight="1" x14ac:dyDescent="0.25">
      <c r="C36" s="205" t="s">
        <v>291</v>
      </c>
      <c r="D36" s="205"/>
      <c r="E36" s="205"/>
      <c r="F36" s="136">
        <f>SUM(F33:F35)</f>
        <v>506410002.745</v>
      </c>
      <c r="G36" s="136">
        <f>SUM(G33:G35)</f>
        <v>0</v>
      </c>
      <c r="H36" s="136">
        <f>SUM(H33:H35)</f>
        <v>0</v>
      </c>
      <c r="I36" s="136">
        <f t="shared" ref="I36:K36" si="3">SUM(I33:I35)</f>
        <v>0</v>
      </c>
      <c r="J36" s="136">
        <f t="shared" si="3"/>
        <v>0</v>
      </c>
      <c r="K36" s="136">
        <f t="shared" si="3"/>
        <v>0</v>
      </c>
    </row>
    <row r="37" spans="1:11" ht="13.5" customHeight="1" x14ac:dyDescent="0.25">
      <c r="C37" s="117"/>
      <c r="D37" s="119"/>
      <c r="E37" s="120"/>
      <c r="F37" s="145"/>
      <c r="G37" s="117"/>
      <c r="H37" s="117"/>
      <c r="I37" s="117"/>
      <c r="J37" s="117"/>
      <c r="K37" s="117"/>
    </row>
    <row r="38" spans="1:11" ht="13.5" customHeight="1" x14ac:dyDescent="0.25">
      <c r="C38" s="133" t="s">
        <v>292</v>
      </c>
      <c r="D38" s="137"/>
      <c r="E38" s="135"/>
      <c r="F38" s="132">
        <f>F30-F36</f>
        <v>-506410002.745</v>
      </c>
      <c r="G38" s="132">
        <f>G30</f>
        <v>124952482.51000004</v>
      </c>
      <c r="H38" s="132">
        <f>H30</f>
        <v>137608127.32647371</v>
      </c>
      <c r="I38" s="132">
        <f>I30</f>
        <v>130796427.92938648</v>
      </c>
      <c r="J38" s="132">
        <f t="shared" ref="J38:K38" si="4">J30</f>
        <v>140138023.24815863</v>
      </c>
      <c r="K38" s="132">
        <f t="shared" si="4"/>
        <v>148009298.64268965</v>
      </c>
    </row>
    <row r="39" spans="1:11" ht="13.5" customHeight="1" x14ac:dyDescent="0.25"/>
    <row r="40" spans="1:11" ht="13.5" customHeight="1" x14ac:dyDescent="0.25"/>
    <row r="41" spans="1:11" ht="13.5" customHeight="1" x14ac:dyDescent="0.25"/>
    <row r="42" spans="1:11" ht="13.5" customHeight="1" x14ac:dyDescent="0.25">
      <c r="A42" s="113" t="s">
        <v>355</v>
      </c>
      <c r="B42" s="113">
        <v>36</v>
      </c>
      <c r="C42" s="204" t="s">
        <v>356</v>
      </c>
      <c r="D42" s="204"/>
      <c r="E42" s="204"/>
      <c r="F42" s="204"/>
    </row>
    <row r="43" spans="1:11" ht="13.5" customHeight="1" x14ac:dyDescent="0.25">
      <c r="A43" s="113"/>
      <c r="B43" s="113"/>
      <c r="C43" s="113"/>
      <c r="D43" s="113"/>
      <c r="E43" s="113"/>
      <c r="F43" s="113"/>
    </row>
    <row r="44" spans="1:11" ht="13.5" customHeight="1" x14ac:dyDescent="0.25"/>
    <row r="45" spans="1:11" ht="13.5" customHeight="1" x14ac:dyDescent="0.25">
      <c r="C45" s="112" t="s">
        <v>357</v>
      </c>
      <c r="D45" s="122">
        <v>9.9099999999999994E-2</v>
      </c>
    </row>
    <row r="46" spans="1:11" ht="13.5" customHeight="1" x14ac:dyDescent="0.25">
      <c r="C46" s="112" t="s">
        <v>358</v>
      </c>
      <c r="D46" s="123">
        <v>0.1</v>
      </c>
    </row>
    <row r="47" spans="1:11" ht="13.5" customHeight="1" x14ac:dyDescent="0.25">
      <c r="C47" s="114" t="s">
        <v>359</v>
      </c>
      <c r="D47" s="124">
        <f>((1+D45)*(1+D46))-1</f>
        <v>0.20901000000000014</v>
      </c>
    </row>
    <row r="49" spans="1:9" ht="13.5" customHeight="1" x14ac:dyDescent="0.25">
      <c r="C49" s="204" t="s">
        <v>360</v>
      </c>
      <c r="D49" s="204"/>
      <c r="E49" s="141">
        <f>D47</f>
        <v>0.20901000000000014</v>
      </c>
      <c r="F49" s="139" t="s">
        <v>361</v>
      </c>
    </row>
    <row r="53" spans="1:9" x14ac:dyDescent="0.25">
      <c r="A53" s="113" t="s">
        <v>353</v>
      </c>
      <c r="B53" s="113">
        <v>37</v>
      </c>
      <c r="C53" s="204" t="s">
        <v>362</v>
      </c>
      <c r="D53" s="204"/>
      <c r="E53" s="204"/>
      <c r="F53" s="204"/>
      <c r="G53" s="204"/>
      <c r="H53" s="204"/>
      <c r="I53" s="204"/>
    </row>
    <row r="55" spans="1:9" x14ac:dyDescent="0.25">
      <c r="C55" s="208" t="s">
        <v>117</v>
      </c>
      <c r="D55" s="208"/>
      <c r="E55" s="208" t="s">
        <v>363</v>
      </c>
      <c r="F55" s="208" t="s">
        <v>364</v>
      </c>
      <c r="G55" s="208" t="s">
        <v>365</v>
      </c>
      <c r="H55" s="208" t="s">
        <v>366</v>
      </c>
    </row>
    <row r="56" spans="1:9" x14ac:dyDescent="0.25">
      <c r="C56" s="208"/>
      <c r="D56" s="208"/>
      <c r="E56" s="208"/>
      <c r="F56" s="208"/>
      <c r="G56" s="208"/>
      <c r="H56" s="208"/>
    </row>
    <row r="57" spans="1:9" x14ac:dyDescent="0.25">
      <c r="C57" s="119" t="s">
        <v>248</v>
      </c>
      <c r="D57" s="119">
        <v>0</v>
      </c>
      <c r="E57" s="145">
        <f>F38</f>
        <v>-506410002.745</v>
      </c>
      <c r="F57" s="146">
        <f>E49</f>
        <v>0.20901000000000014</v>
      </c>
      <c r="G57" s="147">
        <f>1/((1+F57)^D57)</f>
        <v>1</v>
      </c>
      <c r="H57" s="145">
        <f>E57*G57</f>
        <v>-506410002.745</v>
      </c>
    </row>
    <row r="58" spans="1:9" x14ac:dyDescent="0.25">
      <c r="C58" s="119" t="s">
        <v>248</v>
      </c>
      <c r="D58" s="119">
        <v>1</v>
      </c>
      <c r="E58" s="145">
        <f>G38</f>
        <v>124952482.51000004</v>
      </c>
      <c r="F58" s="146">
        <f t="shared" ref="F58:F62" si="5">F57</f>
        <v>0.20901000000000014</v>
      </c>
      <c r="G58" s="147">
        <f t="shared" ref="G58:G62" si="6">1/((1+F58)^D58)</f>
        <v>0.82712301800646804</v>
      </c>
      <c r="H58" s="145">
        <f>E58*G58</f>
        <v>103351074.44107164</v>
      </c>
    </row>
    <row r="59" spans="1:9" x14ac:dyDescent="0.25">
      <c r="C59" s="119" t="s">
        <v>248</v>
      </c>
      <c r="D59" s="119">
        <v>2</v>
      </c>
      <c r="E59" s="145">
        <f>H38</f>
        <v>137608127.32647371</v>
      </c>
      <c r="F59" s="146">
        <f t="shared" si="5"/>
        <v>0.20901000000000014</v>
      </c>
      <c r="G59" s="147">
        <f>1/((1+F59)^D59)</f>
        <v>0.68413248691612805</v>
      </c>
      <c r="H59" s="145">
        <f t="shared" ref="H59:H60" si="7">E59*G59</f>
        <v>94142190.367731661</v>
      </c>
    </row>
    <row r="60" spans="1:9" x14ac:dyDescent="0.25">
      <c r="C60" s="119" t="s">
        <v>248</v>
      </c>
      <c r="D60" s="119">
        <v>3</v>
      </c>
      <c r="E60" s="145">
        <f>I38</f>
        <v>130796427.92938648</v>
      </c>
      <c r="F60" s="146">
        <f t="shared" si="5"/>
        <v>0.20901000000000014</v>
      </c>
      <c r="G60" s="147">
        <f t="shared" si="6"/>
        <v>0.56586172729433826</v>
      </c>
      <c r="H60" s="145">
        <f t="shared" si="7"/>
        <v>74012692.632052064</v>
      </c>
    </row>
    <row r="61" spans="1:9" x14ac:dyDescent="0.25">
      <c r="C61" s="119" t="s">
        <v>248</v>
      </c>
      <c r="D61" s="119">
        <v>4</v>
      </c>
      <c r="E61" s="145">
        <f>J38</f>
        <v>140138023.24815863</v>
      </c>
      <c r="F61" s="146">
        <f t="shared" si="5"/>
        <v>0.20901000000000014</v>
      </c>
      <c r="G61" s="147">
        <f>1/((1+F61)^D61)</f>
        <v>0.46803725965404613</v>
      </c>
      <c r="H61" s="145">
        <f>E61*G61</f>
        <v>65589816.374403179</v>
      </c>
    </row>
    <row r="62" spans="1:9" x14ac:dyDescent="0.25">
      <c r="C62" s="119" t="s">
        <v>248</v>
      </c>
      <c r="D62" s="119">
        <v>5</v>
      </c>
      <c r="E62" s="145">
        <f>K38</f>
        <v>148009298.64268965</v>
      </c>
      <c r="F62" s="146">
        <f t="shared" si="5"/>
        <v>0.20901000000000014</v>
      </c>
      <c r="G62" s="147">
        <f t="shared" si="6"/>
        <v>0.38712439074453153</v>
      </c>
      <c r="H62" s="145">
        <f t="shared" ref="H62" si="8">E62*G62</f>
        <v>57298009.56157665</v>
      </c>
    </row>
    <row r="63" spans="1:9" x14ac:dyDescent="0.25">
      <c r="C63" s="204" t="s">
        <v>367</v>
      </c>
      <c r="D63" s="204"/>
      <c r="E63" s="204"/>
      <c r="F63" s="204"/>
      <c r="G63" s="204"/>
      <c r="H63" s="142">
        <f>SUM(H57:H62)</f>
        <v>-112016219.36816479</v>
      </c>
    </row>
    <row r="67" spans="1:11" x14ac:dyDescent="0.25">
      <c r="A67" s="113" t="s">
        <v>353</v>
      </c>
      <c r="B67" s="113">
        <v>38</v>
      </c>
      <c r="C67" s="204" t="s">
        <v>374</v>
      </c>
      <c r="D67" s="204"/>
      <c r="E67" s="204"/>
      <c r="F67" s="204"/>
      <c r="G67" s="204"/>
      <c r="H67" s="204"/>
      <c r="I67" s="204"/>
    </row>
    <row r="68" spans="1:11" x14ac:dyDescent="0.25">
      <c r="A68" s="113"/>
      <c r="B68" s="113"/>
    </row>
    <row r="69" spans="1:11" x14ac:dyDescent="0.25">
      <c r="C69" s="202" t="s">
        <v>368</v>
      </c>
      <c r="D69" s="202"/>
      <c r="E69" s="145">
        <f>+E57</f>
        <v>-506410002.745</v>
      </c>
    </row>
    <row r="70" spans="1:11" x14ac:dyDescent="0.25">
      <c r="C70" s="202" t="s">
        <v>369</v>
      </c>
      <c r="D70" s="202"/>
      <c r="E70" s="145">
        <f t="shared" ref="E70:E74" si="9">+E58</f>
        <v>124952482.51000004</v>
      </c>
    </row>
    <row r="71" spans="1:11" x14ac:dyDescent="0.25">
      <c r="C71" s="202" t="s">
        <v>370</v>
      </c>
      <c r="D71" s="202"/>
      <c r="E71" s="145">
        <f t="shared" si="9"/>
        <v>137608127.32647371</v>
      </c>
    </row>
    <row r="72" spans="1:11" x14ac:dyDescent="0.25">
      <c r="C72" s="202" t="s">
        <v>371</v>
      </c>
      <c r="D72" s="202"/>
      <c r="E72" s="145">
        <f t="shared" si="9"/>
        <v>130796427.92938648</v>
      </c>
    </row>
    <row r="73" spans="1:11" x14ac:dyDescent="0.25">
      <c r="C73" s="202" t="s">
        <v>372</v>
      </c>
      <c r="D73" s="202"/>
      <c r="E73" s="145">
        <f t="shared" si="9"/>
        <v>140138023.24815863</v>
      </c>
      <c r="G73" s="113"/>
    </row>
    <row r="74" spans="1:11" x14ac:dyDescent="0.25">
      <c r="C74" s="202" t="s">
        <v>373</v>
      </c>
      <c r="D74" s="202"/>
      <c r="E74" s="145">
        <f t="shared" si="9"/>
        <v>148009298.64268965</v>
      </c>
      <c r="G74" s="113"/>
    </row>
    <row r="75" spans="1:11" x14ac:dyDescent="0.25">
      <c r="C75" s="204" t="s">
        <v>375</v>
      </c>
      <c r="D75" s="204"/>
      <c r="E75" s="141">
        <f>IRR(E69:E74)</f>
        <v>0.1051112952893678</v>
      </c>
      <c r="F75" s="113" t="s">
        <v>361</v>
      </c>
    </row>
    <row r="76" spans="1:11" x14ac:dyDescent="0.25">
      <c r="F76" s="125"/>
    </row>
    <row r="77" spans="1:11" x14ac:dyDescent="0.25">
      <c r="E77" s="113"/>
      <c r="F77" s="113"/>
    </row>
    <row r="78" spans="1:11" ht="14.4" x14ac:dyDescent="0.3">
      <c r="H78" s="126"/>
    </row>
    <row r="79" spans="1:11" x14ac:dyDescent="0.25">
      <c r="A79" s="113" t="s">
        <v>355</v>
      </c>
      <c r="B79" s="113">
        <v>39</v>
      </c>
      <c r="C79" s="206" t="s">
        <v>376</v>
      </c>
      <c r="D79" s="206"/>
      <c r="E79" s="206"/>
      <c r="F79" s="206"/>
      <c r="G79" s="206"/>
      <c r="H79" s="206"/>
      <c r="I79" s="206"/>
    </row>
    <row r="80" spans="1:11" ht="12.75" customHeight="1" x14ac:dyDescent="0.25">
      <c r="J80" s="156"/>
      <c r="K80" s="156"/>
    </row>
    <row r="81" spans="1:11" ht="14.4" x14ac:dyDescent="0.3">
      <c r="C81" s="154" t="s">
        <v>377</v>
      </c>
      <c r="D81" s="155" t="s">
        <v>378</v>
      </c>
      <c r="E81" s="155" t="s">
        <v>379</v>
      </c>
      <c r="F81" s="155" t="s">
        <v>380</v>
      </c>
      <c r="G81" s="155" t="s">
        <v>381</v>
      </c>
      <c r="H81" s="155" t="s">
        <v>168</v>
      </c>
      <c r="J81" s="156"/>
      <c r="K81" s="156"/>
    </row>
    <row r="82" spans="1:11" ht="12.75" customHeight="1" x14ac:dyDescent="0.25">
      <c r="C82" s="148" t="s">
        <v>368</v>
      </c>
      <c r="D82" s="149">
        <f>E69</f>
        <v>-506410002.745</v>
      </c>
      <c r="E82" s="149"/>
      <c r="F82" s="149">
        <f>E69</f>
        <v>-506410002.745</v>
      </c>
      <c r="G82" s="119">
        <v>3</v>
      </c>
      <c r="H82" s="150">
        <f>-(F85/E86)</f>
        <v>0.80672584327055752</v>
      </c>
      <c r="I82" s="128"/>
      <c r="J82" s="156"/>
      <c r="K82" s="156"/>
    </row>
    <row r="83" spans="1:11" ht="14.4" x14ac:dyDescent="0.3">
      <c r="C83" s="148" t="s">
        <v>369</v>
      </c>
      <c r="D83" s="149"/>
      <c r="E83" s="151">
        <f>E70</f>
        <v>124952482.51000004</v>
      </c>
      <c r="F83" s="149">
        <f>F82+E83</f>
        <v>-381457520.23499995</v>
      </c>
      <c r="G83" s="152">
        <f>G82</f>
        <v>3</v>
      </c>
      <c r="H83" s="153">
        <f>H82*12</f>
        <v>9.6807101192466902</v>
      </c>
      <c r="I83" s="128"/>
      <c r="J83" s="156"/>
      <c r="K83" s="156"/>
    </row>
    <row r="84" spans="1:11" ht="14.4" x14ac:dyDescent="0.25">
      <c r="C84" s="148" t="s">
        <v>370</v>
      </c>
      <c r="D84" s="149"/>
      <c r="E84" s="151">
        <f>E71</f>
        <v>137608127.32647371</v>
      </c>
      <c r="F84" s="149">
        <f>E84+F83</f>
        <v>-243849392.90852624</v>
      </c>
      <c r="G84" s="117"/>
      <c r="H84" s="117"/>
      <c r="I84" s="128"/>
    </row>
    <row r="85" spans="1:11" ht="14.4" x14ac:dyDescent="0.25">
      <c r="C85" s="148" t="s">
        <v>382</v>
      </c>
      <c r="D85" s="149"/>
      <c r="E85" s="151">
        <f>E72</f>
        <v>130796427.92938648</v>
      </c>
      <c r="F85" s="149">
        <f>E85+F84</f>
        <v>-113052964.97913976</v>
      </c>
      <c r="G85" s="149"/>
      <c r="H85" s="117"/>
      <c r="I85" s="128"/>
      <c r="J85" s="127"/>
    </row>
    <row r="86" spans="1:11" ht="14.4" x14ac:dyDescent="0.25">
      <c r="C86" s="148" t="s">
        <v>372</v>
      </c>
      <c r="D86" s="149"/>
      <c r="E86" s="151">
        <f>E73</f>
        <v>140138023.24815863</v>
      </c>
      <c r="F86" s="149">
        <f t="shared" ref="F86" si="10">E86+F85</f>
        <v>27085058.269018874</v>
      </c>
      <c r="G86" s="117"/>
      <c r="H86" s="149"/>
      <c r="I86" s="128"/>
      <c r="J86" s="127"/>
    </row>
    <row r="87" spans="1:11" ht="14.4" x14ac:dyDescent="0.25">
      <c r="C87" s="148" t="s">
        <v>373</v>
      </c>
      <c r="D87" s="149"/>
      <c r="E87" s="151">
        <f>E74</f>
        <v>148009298.64268965</v>
      </c>
      <c r="F87" s="149">
        <f>E87+F86</f>
        <v>175094356.91170853</v>
      </c>
      <c r="G87" s="117"/>
      <c r="H87" s="149"/>
      <c r="I87" s="128"/>
      <c r="J87" s="127"/>
    </row>
    <row r="88" spans="1:11" x14ac:dyDescent="0.25">
      <c r="F88" s="121"/>
      <c r="G88" s="114" t="s">
        <v>381</v>
      </c>
      <c r="H88" s="114" t="s">
        <v>168</v>
      </c>
    </row>
    <row r="89" spans="1:11" x14ac:dyDescent="0.25">
      <c r="C89" s="111"/>
      <c r="F89" s="139" t="s">
        <v>383</v>
      </c>
      <c r="G89" s="139">
        <f>G83</f>
        <v>3</v>
      </c>
      <c r="H89" s="140">
        <f>H83</f>
        <v>9.6807101192466902</v>
      </c>
      <c r="J89" s="129"/>
    </row>
    <row r="90" spans="1:11" x14ac:dyDescent="0.25">
      <c r="J90" s="129"/>
    </row>
    <row r="93" spans="1:11" x14ac:dyDescent="0.25">
      <c r="A93" s="113" t="s">
        <v>355</v>
      </c>
      <c r="B93" s="113">
        <v>40</v>
      </c>
      <c r="C93" s="204" t="s">
        <v>384</v>
      </c>
      <c r="D93" s="204"/>
      <c r="E93" s="204"/>
      <c r="F93" s="204"/>
      <c r="G93" s="204"/>
      <c r="H93" s="204"/>
      <c r="I93" s="204"/>
    </row>
    <row r="95" spans="1:11" x14ac:dyDescent="0.25">
      <c r="C95" s="204" t="s">
        <v>385</v>
      </c>
      <c r="D95" s="204"/>
    </row>
    <row r="96" spans="1:11" x14ac:dyDescent="0.25">
      <c r="C96" s="117" t="s">
        <v>228</v>
      </c>
      <c r="D96" s="149">
        <f>+'COSTOS RESUMEN'!B34</f>
        <v>108575357.49000001</v>
      </c>
    </row>
    <row r="97" spans="3:11" x14ac:dyDescent="0.25">
      <c r="C97" s="117" t="s">
        <v>386</v>
      </c>
      <c r="D97" s="149">
        <f>+INGRESOS!C21</f>
        <v>3514162.5</v>
      </c>
    </row>
    <row r="98" spans="3:11" x14ac:dyDescent="0.25">
      <c r="C98" s="117" t="s">
        <v>387</v>
      </c>
      <c r="D98" s="149">
        <f>+'COSTOS RESUMEN'!C35</f>
        <v>2668107.6923076925</v>
      </c>
    </row>
    <row r="99" spans="3:11" ht="12.75" customHeight="1" x14ac:dyDescent="0.25">
      <c r="C99" s="139" t="s">
        <v>388</v>
      </c>
      <c r="D99" s="138">
        <f>ROUNDUP(D96/(D97-D98),)</f>
        <v>129</v>
      </c>
      <c r="E99" s="203" t="s">
        <v>389</v>
      </c>
      <c r="F99" s="203"/>
      <c r="G99" s="203"/>
      <c r="H99" s="203"/>
    </row>
    <row r="100" spans="3:11" x14ac:dyDescent="0.25">
      <c r="E100" s="203"/>
      <c r="F100" s="203"/>
      <c r="G100" s="203"/>
      <c r="H100" s="203"/>
    </row>
    <row r="101" spans="3:11" x14ac:dyDescent="0.25">
      <c r="E101" s="203"/>
      <c r="F101" s="203"/>
      <c r="G101" s="203"/>
      <c r="H101" s="203"/>
    </row>
    <row r="102" spans="3:11" x14ac:dyDescent="0.25">
      <c r="E102" s="203"/>
      <c r="F102" s="203"/>
      <c r="G102" s="203"/>
      <c r="H102" s="203"/>
    </row>
    <row r="103" spans="3:11" x14ac:dyDescent="0.25">
      <c r="E103" s="203"/>
      <c r="F103" s="203"/>
      <c r="G103" s="203"/>
      <c r="H103" s="203"/>
    </row>
    <row r="104" spans="3:11" x14ac:dyDescent="0.25">
      <c r="E104" s="203"/>
      <c r="F104" s="203"/>
      <c r="G104" s="203"/>
      <c r="H104" s="203"/>
    </row>
    <row r="106" spans="3:11" x14ac:dyDescent="0.25">
      <c r="E106" s="130"/>
      <c r="F106" s="130"/>
      <c r="G106" s="130"/>
      <c r="H106" s="130"/>
      <c r="I106" s="130"/>
      <c r="J106" s="130"/>
      <c r="K106" s="130"/>
    </row>
    <row r="107" spans="3:11" x14ac:dyDescent="0.25">
      <c r="E107" s="130"/>
      <c r="F107" s="130"/>
      <c r="G107" s="130"/>
      <c r="H107" s="130"/>
      <c r="I107" s="130"/>
      <c r="J107" s="130"/>
      <c r="K107" s="130"/>
    </row>
    <row r="108" spans="3:11" x14ac:dyDescent="0.25">
      <c r="E108" s="130"/>
      <c r="F108" s="130"/>
      <c r="G108" s="130"/>
      <c r="H108" s="130"/>
      <c r="I108" s="130"/>
      <c r="J108" s="130"/>
      <c r="K108" s="130"/>
    </row>
    <row r="109" spans="3:11" x14ac:dyDescent="0.25">
      <c r="E109" s="130"/>
      <c r="F109" s="130"/>
      <c r="G109" s="130"/>
      <c r="H109" s="130"/>
      <c r="I109" s="130"/>
      <c r="J109" s="130"/>
      <c r="K109" s="130"/>
    </row>
    <row r="110" spans="3:11" x14ac:dyDescent="0.25">
      <c r="E110" s="130"/>
      <c r="F110" s="130"/>
      <c r="G110" s="130"/>
      <c r="H110" s="130"/>
      <c r="I110" s="130"/>
      <c r="J110" s="130"/>
      <c r="K110" s="130"/>
    </row>
    <row r="111" spans="3:11" x14ac:dyDescent="0.25">
      <c r="E111" s="130"/>
      <c r="F111" s="130"/>
      <c r="G111" s="130"/>
      <c r="H111" s="130"/>
      <c r="I111" s="130"/>
      <c r="J111" s="130"/>
      <c r="K111" s="130"/>
    </row>
    <row r="112" spans="3:11" x14ac:dyDescent="0.25">
      <c r="E112" s="130"/>
      <c r="F112" s="130"/>
      <c r="G112" s="130"/>
      <c r="H112" s="130"/>
      <c r="I112" s="130"/>
      <c r="J112" s="130"/>
      <c r="K112" s="130"/>
    </row>
    <row r="113" spans="5:11" x14ac:dyDescent="0.25">
      <c r="E113" s="130"/>
      <c r="F113" s="130"/>
      <c r="G113" s="130"/>
      <c r="H113" s="130"/>
      <c r="I113" s="130"/>
      <c r="J113" s="130"/>
      <c r="K113" s="130"/>
    </row>
    <row r="114" spans="5:11" x14ac:dyDescent="0.25">
      <c r="E114" s="130"/>
      <c r="F114" s="130"/>
      <c r="G114" s="130"/>
      <c r="H114" s="130"/>
      <c r="I114" s="130"/>
      <c r="J114" s="130"/>
      <c r="K114" s="130"/>
    </row>
  </sheetData>
  <mergeCells count="27">
    <mergeCell ref="C67:I67"/>
    <mergeCell ref="C79:I79"/>
    <mergeCell ref="C93:I93"/>
    <mergeCell ref="C7:E7"/>
    <mergeCell ref="C8:E8"/>
    <mergeCell ref="C9:E9"/>
    <mergeCell ref="C55:D56"/>
    <mergeCell ref="C53:I53"/>
    <mergeCell ref="F55:F56"/>
    <mergeCell ref="G55:G56"/>
    <mergeCell ref="H55:H56"/>
    <mergeCell ref="C63:G63"/>
    <mergeCell ref="E55:E56"/>
    <mergeCell ref="C72:D72"/>
    <mergeCell ref="C69:D69"/>
    <mergeCell ref="C70:D70"/>
    <mergeCell ref="C4:K4"/>
    <mergeCell ref="C42:F42"/>
    <mergeCell ref="C30:E30"/>
    <mergeCell ref="C36:E36"/>
    <mergeCell ref="C49:D49"/>
    <mergeCell ref="C71:D71"/>
    <mergeCell ref="E99:H104"/>
    <mergeCell ref="C73:D73"/>
    <mergeCell ref="C74:D74"/>
    <mergeCell ref="C75:D75"/>
    <mergeCell ref="C95:D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ESTRUCTURA SALARIAL</vt:lpstr>
      <vt:lpstr>INVERSIONES</vt:lpstr>
      <vt:lpstr>COSTOS Y GASTOS</vt:lpstr>
      <vt:lpstr>COSTOS RESUMEN</vt:lpstr>
      <vt:lpstr>INGRESOS</vt:lpstr>
      <vt:lpstr>CREDITO</vt:lpstr>
      <vt:lpstr>PROYECCIONES</vt:lpstr>
      <vt:lpstr>EVALUACION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DURAN</dc:creator>
  <cp:lastModifiedBy>DANILO DURAN</cp:lastModifiedBy>
  <dcterms:created xsi:type="dcterms:W3CDTF">2025-01-18T21:50:08Z</dcterms:created>
  <dcterms:modified xsi:type="dcterms:W3CDTF">2025-02-07T05:24:14Z</dcterms:modified>
</cp:coreProperties>
</file>