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ari\Documents\REPOSITORIO UNIVERISAD\"/>
    </mc:Choice>
  </mc:AlternateContent>
  <xr:revisionPtr revIDLastSave="0" documentId="13_ncr:1_{B9026000-D037-44CF-AAE7-F7725E4574AD}" xr6:coauthVersionLast="47" xr6:coauthVersionMax="47" xr10:uidLastSave="{00000000-0000-0000-0000-000000000000}"/>
  <bookViews>
    <workbookView xWindow="-113" yWindow="-113" windowWidth="24267" windowHeight="13023" tabRatio="887" xr2:uid="{00000000-000D-0000-FFFF-FFFF00000000}"/>
  </bookViews>
  <sheets>
    <sheet name="Portada" sheetId="38" r:id="rId1"/>
    <sheet name="1-Bordillos " sheetId="20" r:id="rId2"/>
    <sheet name="2-Bebedero de agua" sheetId="96" r:id="rId3"/>
    <sheet name="3-Banca corrida SIN ESPALDAR" sheetId="95" r:id="rId4"/>
    <sheet name="4-Banca corrida CON ESPALDAR" sheetId="118" r:id="rId5"/>
    <sheet name="5-Contenedor Raiz Circular" sheetId="94" r:id="rId6"/>
    <sheet name="6-Contenedores Raiz LONG" sheetId="115" r:id="rId7"/>
    <sheet name="7-Estructura CERRAMIENTO" sheetId="119" r:id="rId8"/>
    <sheet name="8-Cerramiento CANCHAS" sheetId="103" r:id="rId9"/>
    <sheet name="9-Dados Cancha Multiple" sheetId="104" r:id="rId10"/>
    <sheet name="10-Dados Cancha BALONCESTO" sheetId="120" r:id="rId11"/>
    <sheet name="11-Dados Cancha MICROFUTBOL" sheetId="121" r:id="rId12"/>
    <sheet name="12-Dados Cancha VOLEYBOL" sheetId="122" r:id="rId13"/>
    <sheet name="13-Dados Cancha TENIS TOUCH" sheetId="123" r:id="rId14"/>
    <sheet name="14-Escaleras sobre TERRENO" sheetId="124" r:id="rId15"/>
    <sheet name="15-Tarima en MADERA BODEGA" sheetId="125" r:id="rId16"/>
    <sheet name="16-Piso Deck MADERA CAFETERIA" sheetId="138" r:id="rId17"/>
    <sheet name="17-Deck MADERA EDF PROM SOCIAL" sheetId="139" r:id="rId18"/>
    <sheet name="18-Barandilla METALICA" sheetId="126" r:id="rId19"/>
    <sheet name="19-Topellantas en CONCRETO" sheetId="127" r:id="rId20"/>
    <sheet name="20-Muro contencion HMAX 1.00m" sheetId="128" r:id="rId21"/>
    <sheet name="21-Graderia Canchas " sheetId="130" r:id="rId22"/>
    <sheet name="22-Graderia Cancha VOLEYBOL" sheetId="135" r:id="rId23"/>
    <sheet name="23-Graderia Cancha ATLETISMO" sheetId="134" r:id="rId24"/>
    <sheet name="24-Graderia Canchas TENIS TOUCH" sheetId="131" r:id="rId25"/>
    <sheet name="25-Graderia Cancha MICROFUTBOL" sheetId="132" r:id="rId26"/>
    <sheet name="26-RAMPA METALICA" sheetId="137" r:id="rId27"/>
    <sheet name="Datos entrada" sheetId="32" r:id="rId28"/>
    <sheet name="Traslapos" sheetId="21" r:id="rId29"/>
    <sheet name="PESOS" sheetId="2" r:id="rId30"/>
    <sheet name="MALLAS" sheetId="13" r:id="rId31"/>
  </sheets>
  <externalReferences>
    <externalReference r:id="rId32"/>
  </externalReferences>
  <definedNames>
    <definedName name="_xlnm.Print_Area" localSheetId="10">'10-Dados Cancha BALONCESTO'!$A$1:$G$14</definedName>
    <definedName name="_xlnm.Print_Area" localSheetId="11">'11-Dados Cancha MICROFUTBOL'!$A$1:$G$14</definedName>
    <definedName name="_xlnm.Print_Area" localSheetId="12">'12-Dados Cancha VOLEYBOL'!$A$1:$G$14</definedName>
    <definedName name="_xlnm.Print_Area" localSheetId="13">'13-Dados Cancha TENIS TOUCH'!$A$1:$G$14</definedName>
    <definedName name="_xlnm.Print_Area" localSheetId="14">'14-Escaleras sobre TERRENO'!$A$1:$G$31</definedName>
    <definedName name="_xlnm.Print_Area" localSheetId="15">'15-Tarima en MADERA BODEGA'!$A$1:$G$33</definedName>
    <definedName name="_xlnm.Print_Area" localSheetId="16">'16-Piso Deck MADERA CAFETERIA'!$A$1:$G$17</definedName>
    <definedName name="_xlnm.Print_Area" localSheetId="17">'17-Deck MADERA EDF PROM SOCIAL'!$A$1:$G$19</definedName>
    <definedName name="_xlnm.Print_Area" localSheetId="18">'18-Barandilla METALICA'!$A$1:$G$27</definedName>
    <definedName name="_xlnm.Print_Area" localSheetId="19">'19-Topellantas en CONCRETO'!$A$1:$F$15</definedName>
    <definedName name="_xlnm.Print_Area" localSheetId="1">'1-Bordillos '!$A$1:$F$16</definedName>
    <definedName name="_xlnm.Print_Area" localSheetId="20">'20-Muro contencion HMAX 1.00m'!$A$1:$G$27</definedName>
    <definedName name="_xlnm.Print_Area" localSheetId="21">'21-Graderia Canchas '!$A$1:$G$53</definedName>
    <definedName name="_xlnm.Print_Area" localSheetId="22">'22-Graderia Cancha VOLEYBOL'!$A$1:$G$81</definedName>
    <definedName name="_xlnm.Print_Area" localSheetId="23">'23-Graderia Cancha ATLETISMO'!$A$1:$G$35</definedName>
    <definedName name="_xlnm.Print_Area" localSheetId="24">'24-Graderia Canchas TENIS TOUCH'!$A$1:$G$35</definedName>
    <definedName name="_xlnm.Print_Area" localSheetId="25">'25-Graderia Cancha MICROFUTBOL'!$A$1:$G$34</definedName>
    <definedName name="_xlnm.Print_Area" localSheetId="26">'26-RAMPA METALICA'!$A$1:$F$31</definedName>
    <definedName name="_xlnm.Print_Area" localSheetId="2">'2-Bebedero de agua'!$A$1:$F$26</definedName>
    <definedName name="_xlnm.Print_Area" localSheetId="3">'3-Banca corrida SIN ESPALDAR'!$A$1:$G$33</definedName>
    <definedName name="_xlnm.Print_Area" localSheetId="4">'4-Banca corrida CON ESPALDAR'!$A$1:$G$33</definedName>
    <definedName name="_xlnm.Print_Area" localSheetId="5">'5-Contenedor Raiz Circular'!$A$1:$G$20</definedName>
    <definedName name="_xlnm.Print_Area" localSheetId="6">'6-Contenedores Raiz LONG'!$A$1:$G$21</definedName>
    <definedName name="_xlnm.Print_Area" localSheetId="7">'7-Estructura CERRAMIENTO'!$A$1:$F$33</definedName>
    <definedName name="_xlnm.Print_Area" localSheetId="8">'8-Cerramiento CANCHAS'!$A$1:$F$24</definedName>
    <definedName name="_xlnm.Print_Area" localSheetId="9">'9-Dados Cancha Multiple'!$A$1:$G$14</definedName>
    <definedName name="_xlnm.Print_Area" localSheetId="30">MALLAS!$D$2:$K$41</definedName>
    <definedName name="_xlnm.Print_Area" localSheetId="0">Portada!$A$1:$G$43</definedName>
    <definedName name="fccal">[1]ANALISIS!$C$3</definedName>
    <definedName name="fycal">[1]ANALISIS!$C$2</definedName>
    <definedName name="_xlnm.Print_Titles" localSheetId="10">'10-Dados Cancha BALONCESTO'!$1:$5</definedName>
    <definedName name="_xlnm.Print_Titles" localSheetId="11">'11-Dados Cancha MICROFUTBOL'!$1:$5</definedName>
    <definedName name="_xlnm.Print_Titles" localSheetId="12">'12-Dados Cancha VOLEYBOL'!$1:$5</definedName>
    <definedName name="_xlnm.Print_Titles" localSheetId="13">'13-Dados Cancha TENIS TOUCH'!$1:$5</definedName>
    <definedName name="_xlnm.Print_Titles" localSheetId="14">'14-Escaleras sobre TERRENO'!$1:$11</definedName>
    <definedName name="_xlnm.Print_Titles" localSheetId="15">'15-Tarima en MADERA BODEGA'!$1:$16</definedName>
    <definedName name="_xlnm.Print_Titles" localSheetId="16">'16-Piso Deck MADERA CAFETERIA'!$1:$8</definedName>
    <definedName name="_xlnm.Print_Titles" localSheetId="17">'17-Deck MADERA EDF PROM SOCIAL'!$1:$9</definedName>
    <definedName name="_xlnm.Print_Titles" localSheetId="18">'18-Barandilla METALICA'!$1:$8</definedName>
    <definedName name="_xlnm.Print_Titles" localSheetId="19">'19-Topellantas en CONCRETO'!$1:$10</definedName>
    <definedName name="_xlnm.Print_Titles" localSheetId="1">'1-Bordillos '!$1:$10</definedName>
    <definedName name="_xlnm.Print_Titles" localSheetId="20">'20-Muro contencion HMAX 1.00m'!$1:$13</definedName>
    <definedName name="_xlnm.Print_Titles" localSheetId="21">'21-Graderia Canchas '!$1:$15</definedName>
    <definedName name="_xlnm.Print_Titles" localSheetId="22">'22-Graderia Cancha VOLEYBOL'!$1:$20</definedName>
    <definedName name="_xlnm.Print_Titles" localSheetId="23">'23-Graderia Cancha ATLETISMO'!$1:$13</definedName>
    <definedName name="_xlnm.Print_Titles" localSheetId="24">'24-Graderia Canchas TENIS TOUCH'!$1:$13</definedName>
    <definedName name="_xlnm.Print_Titles" localSheetId="25">'25-Graderia Cancha MICROFUTBOL'!$1:$14</definedName>
    <definedName name="_xlnm.Print_Titles" localSheetId="26">'26-RAMPA METALICA'!$1:$5</definedName>
    <definedName name="_xlnm.Print_Titles" localSheetId="2">'2-Bebedero de agua'!$1:$16</definedName>
    <definedName name="_xlnm.Print_Titles" localSheetId="3">'3-Banca corrida SIN ESPALDAR'!$1:$12</definedName>
    <definedName name="_xlnm.Print_Titles" localSheetId="4">'4-Banca corrida CON ESPALDAR'!$1:$12</definedName>
    <definedName name="_xlnm.Print_Titles" localSheetId="5">'5-Contenedor Raiz Circular'!$1:$2</definedName>
    <definedName name="_xlnm.Print_Titles" localSheetId="6">'6-Contenedores Raiz LONG'!$1:$10</definedName>
    <definedName name="_xlnm.Print_Titles" localSheetId="7">'7-Estructura CERRAMIENTO'!$1:$5</definedName>
    <definedName name="_xlnm.Print_Titles" localSheetId="8">'8-Cerramiento CANCHAS'!$1:$16</definedName>
    <definedName name="_xlnm.Print_Titles" localSheetId="9">'9-Dados Cancha Multiple'!$1:$5</definedName>
    <definedName name="_xlnm.Print_Titles" localSheetId="30">MALLAS!$1:$2</definedName>
    <definedName name="_xlnm.Print_Titles" localSheetId="0">Portada!$1:$21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27" l="1"/>
  <c r="F18" i="139"/>
  <c r="F16" i="139"/>
  <c r="E7" i="139"/>
  <c r="F15" i="139"/>
  <c r="E6" i="139"/>
  <c r="E9" i="139" s="1"/>
  <c r="F14" i="138"/>
  <c r="F16" i="138" s="1"/>
  <c r="E6" i="138"/>
  <c r="E8" i="138" s="1"/>
  <c r="B19" i="137"/>
  <c r="D19" i="137" s="1"/>
  <c r="A28" i="137"/>
  <c r="D20" i="137"/>
  <c r="D21" i="137"/>
  <c r="B12" i="137"/>
  <c r="E5" i="137"/>
  <c r="E24" i="137" l="1"/>
  <c r="E8" i="137"/>
  <c r="B78" i="135"/>
  <c r="B77" i="135"/>
  <c r="B76" i="135"/>
  <c r="B75" i="135"/>
  <c r="B74" i="135"/>
  <c r="B73" i="135"/>
  <c r="B72" i="135"/>
  <c r="B68" i="135"/>
  <c r="B67" i="135"/>
  <c r="B66" i="135"/>
  <c r="B60" i="135"/>
  <c r="B59" i="135"/>
  <c r="B44" i="135"/>
  <c r="B54" i="135"/>
  <c r="B53" i="135"/>
  <c r="B52" i="135"/>
  <c r="B37" i="135"/>
  <c r="B32" i="135"/>
  <c r="B30" i="135"/>
  <c r="B28" i="135"/>
  <c r="B27" i="135"/>
  <c r="B26" i="135"/>
  <c r="B24" i="135"/>
  <c r="B25" i="135"/>
  <c r="E7" i="135"/>
  <c r="B30" i="134"/>
  <c r="B23" i="134"/>
  <c r="B18" i="134"/>
  <c r="B17" i="134"/>
  <c r="B31" i="132"/>
  <c r="B30" i="132"/>
  <c r="B29" i="132"/>
  <c r="B20" i="132"/>
  <c r="B18" i="132"/>
  <c r="B32" i="131"/>
  <c r="B30" i="131"/>
  <c r="B31" i="131"/>
  <c r="B26" i="131"/>
  <c r="B17" i="131"/>
  <c r="B50" i="130"/>
  <c r="B34" i="130"/>
  <c r="B28" i="130"/>
  <c r="B27" i="130"/>
  <c r="B21" i="130"/>
  <c r="B19" i="130"/>
  <c r="B24" i="128"/>
  <c r="B18" i="128"/>
  <c r="B20" i="126" l="1"/>
  <c r="B24" i="126" s="1"/>
  <c r="F24" i="126" s="1"/>
  <c r="E28" i="124" l="1"/>
  <c r="B27" i="124"/>
  <c r="B26" i="124"/>
  <c r="B25" i="124"/>
  <c r="E24" i="124"/>
  <c r="B23" i="124"/>
  <c r="B22" i="124"/>
  <c r="B21" i="124"/>
  <c r="E20" i="124"/>
  <c r="B19" i="124"/>
  <c r="B18" i="124"/>
  <c r="B17" i="124"/>
  <c r="B15" i="119" l="1"/>
  <c r="B25" i="95"/>
  <c r="B29" i="95"/>
  <c r="B26" i="125" l="1"/>
  <c r="B25" i="125"/>
  <c r="E6" i="125"/>
  <c r="C20" i="126"/>
  <c r="B14" i="126"/>
  <c r="B13" i="126"/>
  <c r="E8" i="126"/>
  <c r="D5" i="127"/>
  <c r="D7" i="127" s="1"/>
  <c r="B23" i="128"/>
  <c r="B22" i="128"/>
  <c r="B17" i="128"/>
  <c r="B40" i="135"/>
  <c r="B39" i="135"/>
  <c r="B38" i="135"/>
  <c r="B31" i="135"/>
  <c r="B33" i="135"/>
  <c r="B29" i="135"/>
  <c r="E18" i="135"/>
  <c r="B32" i="134"/>
  <c r="B31" i="134"/>
  <c r="E7" i="134"/>
  <c r="E13" i="134" s="1"/>
  <c r="E11" i="134"/>
  <c r="B21" i="132"/>
  <c r="B19" i="132"/>
  <c r="B22" i="131"/>
  <c r="B18" i="131"/>
  <c r="B49" i="130"/>
  <c r="B48" i="130"/>
  <c r="B36" i="130"/>
  <c r="B35" i="130"/>
  <c r="B31" i="130"/>
  <c r="B30" i="130"/>
  <c r="B29" i="130"/>
  <c r="B20" i="130"/>
  <c r="B65" i="135"/>
  <c r="B64" i="135"/>
  <c r="B63" i="135"/>
  <c r="B62" i="135"/>
  <c r="B58" i="135"/>
  <c r="B61" i="135"/>
  <c r="B51" i="135"/>
  <c r="B50" i="135"/>
  <c r="B49" i="135"/>
  <c r="B48" i="135"/>
  <c r="B47" i="135"/>
  <c r="B46" i="135"/>
  <c r="B45" i="135"/>
  <c r="E15" i="135"/>
  <c r="E16" i="135"/>
  <c r="E17" i="135"/>
  <c r="E11" i="135"/>
  <c r="E8" i="135"/>
  <c r="E9" i="135"/>
  <c r="E10" i="135"/>
  <c r="B29" i="134"/>
  <c r="B28" i="134"/>
  <c r="B27" i="134"/>
  <c r="B26" i="134"/>
  <c r="B24" i="134"/>
  <c r="B22" i="134"/>
  <c r="B25" i="134"/>
  <c r="E12" i="132"/>
  <c r="E8" i="132"/>
  <c r="E7" i="132"/>
  <c r="B28" i="132"/>
  <c r="B27" i="132"/>
  <c r="B26" i="132"/>
  <c r="B25" i="132"/>
  <c r="B29" i="131"/>
  <c r="B28" i="131"/>
  <c r="B27" i="131"/>
  <c r="B25" i="131"/>
  <c r="B24" i="131"/>
  <c r="B23" i="131"/>
  <c r="E7" i="131"/>
  <c r="E11" i="131"/>
  <c r="B22" i="130"/>
  <c r="B47" i="130"/>
  <c r="B46" i="130"/>
  <c r="B45" i="130"/>
  <c r="B44" i="130"/>
  <c r="B43" i="130"/>
  <c r="B42" i="130"/>
  <c r="B41" i="130"/>
  <c r="B40" i="130"/>
  <c r="B33" i="130"/>
  <c r="B32" i="130"/>
  <c r="B26" i="130"/>
  <c r="E13" i="130"/>
  <c r="E12" i="130"/>
  <c r="E7" i="130"/>
  <c r="E8" i="130"/>
  <c r="E7" i="128"/>
  <c r="E11" i="128"/>
  <c r="E6" i="126"/>
  <c r="E20" i="135" l="1"/>
  <c r="E14" i="132"/>
  <c r="E13" i="131"/>
  <c r="E15" i="130"/>
  <c r="E13" i="128"/>
  <c r="B21" i="125" l="1"/>
  <c r="B22" i="125"/>
  <c r="E14" i="125"/>
  <c r="E10" i="125"/>
  <c r="E16" i="125" s="1"/>
  <c r="E8" i="124"/>
  <c r="E7" i="124"/>
  <c r="B28" i="124"/>
  <c r="E27" i="124"/>
  <c r="E25" i="124"/>
  <c r="B24" i="124"/>
  <c r="E23" i="124"/>
  <c r="E21" i="124"/>
  <c r="B20" i="124"/>
  <c r="E19" i="124"/>
  <c r="E17" i="124"/>
  <c r="E9" i="124" l="1"/>
  <c r="C11" i="120"/>
  <c r="E5" i="120"/>
  <c r="D7" i="103"/>
  <c r="D6" i="103"/>
  <c r="A29" i="119"/>
  <c r="C29" i="119" s="1"/>
  <c r="E32" i="119" s="1"/>
  <c r="B21" i="119"/>
  <c r="B20" i="119"/>
  <c r="E9" i="119"/>
  <c r="B16" i="119"/>
  <c r="E7" i="115"/>
  <c r="E9" i="115" s="1"/>
  <c r="B13" i="94"/>
  <c r="E7" i="118"/>
  <c r="E10" i="118"/>
  <c r="E10" i="95"/>
  <c r="E7" i="95"/>
  <c r="C11" i="123"/>
  <c r="E5" i="123"/>
  <c r="E7" i="123" s="1"/>
  <c r="C11" i="122"/>
  <c r="E5" i="122"/>
  <c r="E7" i="122" s="1"/>
  <c r="E5" i="121"/>
  <c r="E7" i="121" s="1"/>
  <c r="C11" i="121"/>
  <c r="E7" i="120"/>
  <c r="C11" i="104"/>
  <c r="E5" i="119"/>
  <c r="E11" i="119" l="1"/>
  <c r="D11" i="124"/>
  <c r="B21" i="103"/>
  <c r="B20" i="103"/>
  <c r="B19" i="103"/>
  <c r="B18" i="103"/>
  <c r="D8" i="103"/>
  <c r="B18" i="115"/>
  <c r="B17" i="115"/>
  <c r="C17" i="115" s="1"/>
  <c r="B13" i="115"/>
  <c r="E13" i="94"/>
  <c r="B17" i="94"/>
  <c r="B30" i="118"/>
  <c r="B29" i="118"/>
  <c r="B25" i="118"/>
  <c r="B23" i="118"/>
  <c r="B22" i="118"/>
  <c r="B18" i="118"/>
  <c r="B17" i="118"/>
  <c r="B24" i="118"/>
  <c r="B30" i="95"/>
  <c r="B24" i="95"/>
  <c r="B23" i="95"/>
  <c r="B22" i="95"/>
  <c r="B18" i="95"/>
  <c r="B17" i="95"/>
  <c r="B12" i="20"/>
  <c r="B11" i="20"/>
  <c r="D12" i="95"/>
  <c r="E13" i="115"/>
  <c r="D12" i="118" l="1"/>
  <c r="E5" i="104" l="1"/>
  <c r="E7" i="104" s="1"/>
  <c r="E13" i="103"/>
  <c r="D13" i="103" s="1"/>
  <c r="D14" i="103" s="1"/>
  <c r="D7" i="96" l="1"/>
  <c r="D18" i="96"/>
  <c r="B18" i="96"/>
  <c r="D17" i="96"/>
  <c r="B17" i="96"/>
  <c r="B11" i="96"/>
  <c r="B23" i="96" s="1"/>
  <c r="E17" i="94"/>
  <c r="E7" i="94"/>
  <c r="D9" i="94" s="1"/>
  <c r="D11" i="96" l="1"/>
  <c r="D13" i="96" s="1"/>
  <c r="B22" i="96"/>
  <c r="D5" i="20" l="1"/>
  <c r="D7" i="20" s="1"/>
  <c r="A17" i="2" l="1"/>
  <c r="A16" i="2"/>
  <c r="C4" i="32" l="1"/>
  <c r="C7" i="32" l="1"/>
  <c r="C6" i="32"/>
  <c r="C5" i="32"/>
  <c r="C12" i="32"/>
  <c r="B93" i="32" l="1"/>
  <c r="B64" i="32" l="1"/>
  <c r="B62" i="32"/>
  <c r="B63" i="32"/>
  <c r="B61" i="32"/>
  <c r="B60" i="32"/>
  <c r="B59" i="32"/>
  <c r="B58" i="32"/>
  <c r="B56" i="32"/>
  <c r="B55" i="32"/>
  <c r="B54" i="32"/>
  <c r="B48" i="32"/>
  <c r="B7" i="32"/>
  <c r="B6" i="32"/>
  <c r="B5" i="32"/>
  <c r="B4" i="32"/>
  <c r="B65" i="32" l="1"/>
  <c r="C48" i="32"/>
  <c r="C8" i="32" l="1"/>
  <c r="B8" i="32" l="1"/>
  <c r="G8" i="21" l="1"/>
  <c r="G9" i="21"/>
  <c r="G10" i="21"/>
  <c r="G11" i="21"/>
  <c r="G12" i="21"/>
  <c r="G13" i="21"/>
  <c r="G14" i="21"/>
  <c r="O15" i="2" l="1"/>
  <c r="O16" i="2"/>
  <c r="O17" i="2"/>
  <c r="O18" i="2"/>
  <c r="O19" i="2"/>
  <c r="O20" i="2"/>
  <c r="O21" i="2"/>
  <c r="O22" i="2"/>
  <c r="O23" i="2"/>
  <c r="O24" i="2"/>
  <c r="O25" i="2"/>
  <c r="O26" i="2"/>
  <c r="M15" i="2"/>
  <c r="M16" i="2"/>
  <c r="M17" i="2"/>
  <c r="M18" i="2"/>
  <c r="M19" i="2"/>
  <c r="M20" i="2"/>
  <c r="M21" i="2"/>
  <c r="M22" i="2"/>
  <c r="M23" i="2"/>
  <c r="M24" i="2"/>
  <c r="M25" i="2"/>
  <c r="M26" i="2"/>
  <c r="J22" i="2"/>
  <c r="J23" i="2"/>
  <c r="J24" i="2"/>
  <c r="J25" i="2"/>
  <c r="J26" i="2"/>
  <c r="J21" i="2"/>
  <c r="J20" i="2"/>
  <c r="J19" i="2"/>
  <c r="J18" i="2"/>
  <c r="J17" i="2"/>
  <c r="J16" i="2"/>
  <c r="J15" i="2"/>
  <c r="K15" i="2"/>
  <c r="K16" i="2"/>
  <c r="K17" i="2"/>
  <c r="K18" i="2"/>
  <c r="K19" i="2"/>
  <c r="K20" i="2"/>
  <c r="K21" i="2"/>
  <c r="K22" i="2"/>
  <c r="K23" i="2"/>
  <c r="K24" i="2"/>
  <c r="K25" i="2"/>
  <c r="K26" i="2"/>
  <c r="I15" i="2"/>
  <c r="I16" i="2"/>
  <c r="I17" i="2"/>
  <c r="I18" i="2"/>
  <c r="I19" i="2"/>
  <c r="I20" i="2"/>
  <c r="I21" i="2"/>
  <c r="I22" i="2"/>
  <c r="I23" i="2"/>
  <c r="I24" i="2"/>
  <c r="I25" i="2"/>
  <c r="I26" i="2"/>
  <c r="H15" i="2"/>
  <c r="H16" i="2"/>
  <c r="H17" i="2"/>
  <c r="H18" i="2"/>
  <c r="H19" i="2"/>
  <c r="H20" i="2"/>
  <c r="H21" i="2"/>
  <c r="H22" i="2"/>
  <c r="H23" i="2"/>
  <c r="H24" i="2"/>
  <c r="H25" i="2"/>
  <c r="H26" i="2"/>
  <c r="G35" i="13"/>
  <c r="H35" i="13"/>
  <c r="G30" i="13"/>
  <c r="H30" i="13"/>
  <c r="G27" i="13"/>
  <c r="H27" i="13"/>
  <c r="G26" i="13"/>
  <c r="H26" i="13"/>
  <c r="G25" i="13"/>
  <c r="H25" i="13"/>
  <c r="H34" i="13"/>
  <c r="G34" i="13"/>
  <c r="H33" i="13"/>
  <c r="G33" i="13"/>
  <c r="H32" i="13"/>
  <c r="G32" i="13"/>
  <c r="H31" i="13"/>
  <c r="G31" i="13"/>
  <c r="H29" i="13"/>
  <c r="G29" i="13"/>
  <c r="H28" i="13"/>
  <c r="G28" i="13"/>
  <c r="H24" i="13"/>
  <c r="G24" i="13"/>
  <c r="H23" i="13"/>
  <c r="G23" i="13"/>
  <c r="H22" i="13"/>
  <c r="G22" i="13"/>
  <c r="D22" i="2"/>
  <c r="F22" i="2" s="1"/>
  <c r="D24" i="2"/>
  <c r="F24" i="2" s="1"/>
  <c r="D21" i="2"/>
  <c r="I28" i="13" s="1"/>
  <c r="D23" i="2"/>
  <c r="F23" i="2" s="1"/>
  <c r="D19" i="2"/>
  <c r="F19" i="2" s="1"/>
  <c r="D25" i="2"/>
  <c r="F25" i="2" s="1"/>
  <c r="D18" i="2"/>
  <c r="F18" i="2" s="1"/>
  <c r="C4" i="2"/>
  <c r="D4" i="2" s="1"/>
  <c r="F4" i="2" s="1"/>
  <c r="C6" i="2"/>
  <c r="D6" i="2" s="1"/>
  <c r="F6" i="2" s="1"/>
  <c r="C8" i="2"/>
  <c r="D8" i="2" s="1"/>
  <c r="F8" i="2" s="1"/>
  <c r="C7" i="2"/>
  <c r="D7" i="2" s="1"/>
  <c r="F7" i="2" s="1"/>
  <c r="C9" i="2"/>
  <c r="D9" i="2" s="1"/>
  <c r="F9" i="2" s="1"/>
  <c r="C5" i="2"/>
  <c r="D5" i="2" s="1"/>
  <c r="F5" i="2" s="1"/>
  <c r="D17" i="2"/>
  <c r="I7" i="13" s="1"/>
  <c r="D20" i="2"/>
  <c r="F20" i="2" s="1"/>
  <c r="E20" i="2"/>
  <c r="E18" i="2"/>
  <c r="E15" i="2"/>
  <c r="C11" i="2"/>
  <c r="D11" i="2" s="1"/>
  <c r="F11" i="2" s="1"/>
  <c r="C3" i="2"/>
  <c r="E3" i="2" s="1"/>
  <c r="C10" i="2"/>
  <c r="M10" i="2" s="1"/>
  <c r="C12" i="2"/>
  <c r="D12" i="2" s="1"/>
  <c r="F12" i="2" s="1"/>
  <c r="C13" i="2"/>
  <c r="E13" i="2" s="1"/>
  <c r="C14" i="2"/>
  <c r="D14" i="2" s="1"/>
  <c r="F14" i="2" s="1"/>
  <c r="D15" i="2"/>
  <c r="I22" i="13" s="1"/>
  <c r="D16" i="2"/>
  <c r="F16" i="2" s="1"/>
  <c r="D26" i="2"/>
  <c r="F26" i="2" s="1"/>
  <c r="E16" i="2"/>
  <c r="E17" i="2"/>
  <c r="E19" i="2"/>
  <c r="E21" i="2"/>
  <c r="E22" i="2"/>
  <c r="E23" i="2"/>
  <c r="E24" i="2"/>
  <c r="E25" i="2"/>
  <c r="E26" i="2"/>
  <c r="M8" i="2"/>
  <c r="I4" i="13"/>
  <c r="I34" i="13"/>
  <c r="I31" i="13"/>
  <c r="I19" i="13"/>
  <c r="I15" i="13"/>
  <c r="I14" i="13"/>
  <c r="I9" i="13"/>
  <c r="I8" i="13"/>
  <c r="J16" i="13"/>
  <c r="I25" i="13"/>
  <c r="I30" i="13"/>
  <c r="H8" i="2"/>
  <c r="I7" i="2" l="1"/>
  <c r="E12" i="137"/>
  <c r="E14" i="137" s="1"/>
  <c r="D28" i="137"/>
  <c r="E30" i="137" s="1"/>
  <c r="F25" i="135"/>
  <c r="F31" i="130"/>
  <c r="F32" i="131"/>
  <c r="F29" i="134"/>
  <c r="F68" i="135"/>
  <c r="F18" i="128"/>
  <c r="F54" i="135"/>
  <c r="F50" i="135"/>
  <c r="F63" i="135"/>
  <c r="F22" i="128"/>
  <c r="F33" i="135"/>
  <c r="F17" i="128"/>
  <c r="F47" i="130"/>
  <c r="F27" i="135"/>
  <c r="F51" i="135"/>
  <c r="F31" i="135"/>
  <c r="F32" i="134"/>
  <c r="F29" i="135"/>
  <c r="F18" i="134"/>
  <c r="F27" i="131"/>
  <c r="F50" i="130"/>
  <c r="F64" i="135"/>
  <c r="F22" i="130"/>
  <c r="F18" i="131"/>
  <c r="F29" i="131"/>
  <c r="F65" i="135"/>
  <c r="F20" i="126"/>
  <c r="F26" i="126" s="1"/>
  <c r="F33" i="130"/>
  <c r="F36" i="130"/>
  <c r="F28" i="131"/>
  <c r="F28" i="134"/>
  <c r="F27" i="134"/>
  <c r="F19" i="132"/>
  <c r="F20" i="130"/>
  <c r="F32" i="130"/>
  <c r="F45" i="130"/>
  <c r="F46" i="130"/>
  <c r="F49" i="135"/>
  <c r="F21" i="132"/>
  <c r="F13" i="126"/>
  <c r="F21" i="125"/>
  <c r="F22" i="118"/>
  <c r="F24" i="118"/>
  <c r="F27" i="124"/>
  <c r="F24" i="124"/>
  <c r="F28" i="124"/>
  <c r="F23" i="124"/>
  <c r="F20" i="124"/>
  <c r="F19" i="124"/>
  <c r="F13" i="94"/>
  <c r="F17" i="115"/>
  <c r="F13" i="115"/>
  <c r="F18" i="95"/>
  <c r="F17" i="95"/>
  <c r="F17" i="94"/>
  <c r="E20" i="119"/>
  <c r="E15" i="119"/>
  <c r="E20" i="103"/>
  <c r="F11" i="120"/>
  <c r="F13" i="120" s="1"/>
  <c r="F11" i="104"/>
  <c r="F13" i="104" s="1"/>
  <c r="F11" i="121"/>
  <c r="F13" i="121" s="1"/>
  <c r="F11" i="122"/>
  <c r="F13" i="122" s="1"/>
  <c r="F11" i="123"/>
  <c r="F13" i="123" s="1"/>
  <c r="E18" i="103"/>
  <c r="E19" i="103"/>
  <c r="I40" i="13"/>
  <c r="F30" i="131"/>
  <c r="F75" i="135"/>
  <c r="F60" i="135"/>
  <c r="F17" i="134"/>
  <c r="F20" i="132"/>
  <c r="F34" i="130"/>
  <c r="F24" i="134"/>
  <c r="F31" i="131"/>
  <c r="F30" i="134"/>
  <c r="F48" i="130"/>
  <c r="F29" i="130"/>
  <c r="F74" i="135"/>
  <c r="F59" i="135"/>
  <c r="F40" i="135"/>
  <c r="F24" i="135"/>
  <c r="F53" i="135"/>
  <c r="F45" i="135"/>
  <c r="F31" i="132"/>
  <c r="F28" i="130"/>
  <c r="F24" i="128"/>
  <c r="E11" i="127"/>
  <c r="F29" i="132"/>
  <c r="F48" i="135"/>
  <c r="F26" i="131"/>
  <c r="F30" i="130"/>
  <c r="F18" i="132"/>
  <c r="F25" i="131"/>
  <c r="F73" i="135"/>
  <c r="F52" i="135"/>
  <c r="F44" i="135"/>
  <c r="F26" i="134"/>
  <c r="F22" i="131"/>
  <c r="F27" i="130"/>
  <c r="F19" i="130"/>
  <c r="F23" i="128"/>
  <c r="F28" i="135"/>
  <c r="F30" i="132"/>
  <c r="F17" i="131"/>
  <c r="F72" i="135"/>
  <c r="F67" i="135"/>
  <c r="F32" i="135"/>
  <c r="F26" i="135"/>
  <c r="F66" i="135"/>
  <c r="F21" i="130"/>
  <c r="F22" i="134"/>
  <c r="F78" i="135"/>
  <c r="F30" i="135"/>
  <c r="F37" i="135"/>
  <c r="F23" i="134"/>
  <c r="F77" i="135"/>
  <c r="F76" i="135"/>
  <c r="F47" i="135"/>
  <c r="F23" i="131"/>
  <c r="F25" i="132"/>
  <c r="F35" i="130"/>
  <c r="F61" i="135"/>
  <c r="F14" i="126"/>
  <c r="F38" i="135"/>
  <c r="F27" i="132"/>
  <c r="F26" i="132"/>
  <c r="F26" i="130"/>
  <c r="F44" i="130"/>
  <c r="F58" i="135"/>
  <c r="F25" i="134"/>
  <c r="F49" i="130"/>
  <c r="F40" i="130"/>
  <c r="F31" i="134"/>
  <c r="F41" i="130"/>
  <c r="F39" i="135"/>
  <c r="F26" i="125"/>
  <c r="F43" i="130"/>
  <c r="F62" i="135"/>
  <c r="F46" i="135"/>
  <c r="F24" i="131"/>
  <c r="F28" i="132"/>
  <c r="F42" i="130"/>
  <c r="F26" i="124"/>
  <c r="F21" i="124"/>
  <c r="F22" i="124"/>
  <c r="F25" i="125"/>
  <c r="F17" i="124"/>
  <c r="F25" i="124"/>
  <c r="F22" i="125"/>
  <c r="F18" i="124"/>
  <c r="F25" i="118"/>
  <c r="E16" i="119"/>
  <c r="F29" i="118"/>
  <c r="F23" i="118"/>
  <c r="E21" i="119"/>
  <c r="F18" i="115"/>
  <c r="F17" i="118"/>
  <c r="F30" i="118"/>
  <c r="F18" i="118"/>
  <c r="E21" i="103"/>
  <c r="F29" i="95"/>
  <c r="F22" i="95"/>
  <c r="F25" i="95"/>
  <c r="F24" i="95"/>
  <c r="F23" i="95"/>
  <c r="E17" i="96"/>
  <c r="E18" i="96"/>
  <c r="I33" i="13"/>
  <c r="F30" i="95"/>
  <c r="E23" i="96"/>
  <c r="E22" i="96"/>
  <c r="E11" i="20"/>
  <c r="E12" i="20"/>
  <c r="J34" i="13"/>
  <c r="I12" i="13"/>
  <c r="K13" i="2"/>
  <c r="H10" i="2"/>
  <c r="J10" i="2"/>
  <c r="J8" i="13"/>
  <c r="J10" i="13"/>
  <c r="J9" i="13"/>
  <c r="J15" i="13"/>
  <c r="I6" i="13"/>
  <c r="J19" i="13"/>
  <c r="J39" i="13"/>
  <c r="J4" i="13"/>
  <c r="I5" i="13"/>
  <c r="I11" i="13"/>
  <c r="E10" i="2"/>
  <c r="E6" i="2"/>
  <c r="H9" i="2"/>
  <c r="H11" i="2"/>
  <c r="I27" i="13"/>
  <c r="O10" i="2"/>
  <c r="J11" i="2"/>
  <c r="J17" i="13"/>
  <c r="F21" i="2"/>
  <c r="K28" i="13" s="1"/>
  <c r="I36" i="13"/>
  <c r="F17" i="2"/>
  <c r="K10" i="13" s="1"/>
  <c r="O4" i="2"/>
  <c r="J6" i="13"/>
  <c r="F15" i="2"/>
  <c r="I37" i="13"/>
  <c r="I26" i="13"/>
  <c r="J18" i="13"/>
  <c r="I38" i="13"/>
  <c r="J23" i="13"/>
  <c r="K14" i="2"/>
  <c r="K27" i="13"/>
  <c r="J37" i="13"/>
  <c r="J38" i="13"/>
  <c r="I10" i="13"/>
  <c r="I6" i="2"/>
  <c r="J27" i="13"/>
  <c r="H14" i="2"/>
  <c r="J14" i="13"/>
  <c r="I11" i="2"/>
  <c r="K11" i="2"/>
  <c r="M11" i="2"/>
  <c r="O11" i="2"/>
  <c r="I39" i="13"/>
  <c r="I10" i="2"/>
  <c r="J35" i="13"/>
  <c r="E11" i="2"/>
  <c r="J22" i="13"/>
  <c r="J11" i="13"/>
  <c r="H3" i="2"/>
  <c r="J28" i="13"/>
  <c r="J41" i="13"/>
  <c r="O6" i="2"/>
  <c r="H5" i="2"/>
  <c r="M3" i="2"/>
  <c r="I13" i="13"/>
  <c r="J5" i="13"/>
  <c r="H7" i="2"/>
  <c r="I35" i="13"/>
  <c r="J7" i="13"/>
  <c r="J33" i="13"/>
  <c r="I4" i="2"/>
  <c r="M5" i="2"/>
  <c r="E7" i="2"/>
  <c r="J30" i="13"/>
  <c r="J36" i="13"/>
  <c r="I29" i="13"/>
  <c r="I41" i="13"/>
  <c r="H6" i="2"/>
  <c r="K7" i="2"/>
  <c r="D3" i="2"/>
  <c r="F3" i="2" s="1"/>
  <c r="J7" i="2"/>
  <c r="J20" i="13"/>
  <c r="I24" i="13"/>
  <c r="J12" i="13"/>
  <c r="J21" i="13"/>
  <c r="J6" i="2"/>
  <c r="O7" i="2"/>
  <c r="M14" i="2"/>
  <c r="J24" i="13"/>
  <c r="I18" i="13"/>
  <c r="K6" i="2"/>
  <c r="M7" i="2"/>
  <c r="H12" i="2"/>
  <c r="I23" i="13"/>
  <c r="J13" i="13"/>
  <c r="J40" i="13"/>
  <c r="I21" i="13"/>
  <c r="M6" i="2"/>
  <c r="K9" i="2"/>
  <c r="K3" i="2"/>
  <c r="J32" i="13"/>
  <c r="M13" i="2"/>
  <c r="I16" i="13"/>
  <c r="H13" i="2"/>
  <c r="I17" i="13"/>
  <c r="I32" i="13"/>
  <c r="D13" i="2"/>
  <c r="F13" i="2" s="1"/>
  <c r="J31" i="13"/>
  <c r="I20" i="13"/>
  <c r="K12" i="2"/>
  <c r="D10" i="2"/>
  <c r="F10" i="2" s="1"/>
  <c r="M12" i="2"/>
  <c r="K16" i="13"/>
  <c r="J4" i="2"/>
  <c r="K8" i="2"/>
  <c r="M9" i="2"/>
  <c r="K5" i="2"/>
  <c r="K10" i="2"/>
  <c r="I13" i="2"/>
  <c r="J13" i="2"/>
  <c r="O13" i="2"/>
  <c r="E5" i="2"/>
  <c r="K13" i="13"/>
  <c r="K34" i="13"/>
  <c r="K38" i="13"/>
  <c r="K37" i="13"/>
  <c r="K14" i="13"/>
  <c r="K29" i="13"/>
  <c r="J25" i="13"/>
  <c r="J26" i="13"/>
  <c r="H4" i="2"/>
  <c r="K4" i="2"/>
  <c r="M4" i="2"/>
  <c r="I8" i="2"/>
  <c r="J8" i="2"/>
  <c r="O8" i="2"/>
  <c r="I9" i="2"/>
  <c r="J9" i="2"/>
  <c r="O9" i="2"/>
  <c r="I5" i="2"/>
  <c r="J5" i="2"/>
  <c r="O5" i="2"/>
  <c r="I3" i="2"/>
  <c r="J3" i="2"/>
  <c r="O3" i="2"/>
  <c r="I12" i="2"/>
  <c r="J12" i="2"/>
  <c r="O12" i="2"/>
  <c r="I14" i="2"/>
  <c r="J14" i="2"/>
  <c r="O14" i="2"/>
  <c r="E14" i="2"/>
  <c r="E12" i="2"/>
  <c r="E9" i="2"/>
  <c r="E4" i="2"/>
  <c r="K23" i="13"/>
  <c r="E8" i="2"/>
  <c r="K25" i="13"/>
  <c r="K26" i="13"/>
  <c r="J29" i="13"/>
  <c r="F20" i="115" l="1"/>
  <c r="E25" i="96"/>
  <c r="F80" i="135"/>
  <c r="E23" i="119"/>
  <c r="F52" i="130"/>
  <c r="F26" i="128"/>
  <c r="F34" i="131"/>
  <c r="E23" i="103"/>
  <c r="F16" i="126"/>
  <c r="F33" i="132"/>
  <c r="E14" i="127"/>
  <c r="F19" i="94"/>
  <c r="F30" i="124"/>
  <c r="F32" i="118"/>
  <c r="F34" i="134"/>
  <c r="F32" i="95"/>
  <c r="E15" i="20"/>
  <c r="K15" i="13"/>
  <c r="K8" i="13"/>
  <c r="K32" i="13"/>
  <c r="K19" i="13"/>
  <c r="K31" i="13"/>
  <c r="K30" i="13"/>
  <c r="F30" i="125" s="1"/>
  <c r="F32" i="125" s="1"/>
  <c r="K20" i="13"/>
  <c r="K17" i="13"/>
  <c r="K24" i="13"/>
  <c r="K41" i="13"/>
  <c r="K36" i="13"/>
  <c r="K7" i="13"/>
  <c r="K40" i="13"/>
  <c r="K11" i="13"/>
  <c r="K5" i="13"/>
  <c r="K4" i="13"/>
  <c r="K39" i="13"/>
  <c r="K6" i="13"/>
  <c r="K22" i="13"/>
  <c r="K35" i="13"/>
  <c r="K21" i="13"/>
  <c r="K33" i="13"/>
  <c r="K18" i="13"/>
  <c r="K12" i="13"/>
  <c r="K9" i="13"/>
</calcChain>
</file>

<file path=xl/sharedStrings.xml><?xml version="1.0" encoding="utf-8"?>
<sst xmlns="http://schemas.openxmlformats.org/spreadsheetml/2006/main" count="1287" uniqueCount="390">
  <si>
    <t>DIAGRAMA</t>
  </si>
  <si>
    <t>CANTIDAD</t>
  </si>
  <si>
    <t>DIÁMETRO</t>
  </si>
  <si>
    <t>NOTAS</t>
  </si>
  <si>
    <t>Designación de la barra</t>
  </si>
  <si>
    <t>Diámetro</t>
  </si>
  <si>
    <t>Área</t>
  </si>
  <si>
    <t>Perímetro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</si>
  <si>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</si>
  <si>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</si>
  <si>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</si>
  <si>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</si>
  <si>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</si>
  <si>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</si>
  <si>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</si>
  <si>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</si>
  <si>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</si>
  <si>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</si>
  <si>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N14</t>
  </si>
  <si>
    <t>N18</t>
  </si>
  <si>
    <t>3.0M</t>
  </si>
  <si>
    <t>3.5M</t>
  </si>
  <si>
    <t>4.0M</t>
  </si>
  <si>
    <t>4.5M</t>
  </si>
  <si>
    <t>5.0M</t>
  </si>
  <si>
    <t>5.5M</t>
  </si>
  <si>
    <t>6.0M</t>
  </si>
  <si>
    <t>6.5M</t>
  </si>
  <si>
    <t>7.0M</t>
  </si>
  <si>
    <t>7.5M</t>
  </si>
  <si>
    <t>8.0M</t>
  </si>
  <si>
    <t>8.5M</t>
  </si>
  <si>
    <t>Peso</t>
  </si>
  <si>
    <t>[kgf/m]</t>
  </si>
  <si>
    <t>[mm]</t>
  </si>
  <si>
    <r>
      <t>[mm</t>
    </r>
    <r>
      <rPr>
        <sz val="10"/>
        <rFont val="Arial"/>
        <family val="2"/>
      </rPr>
      <t>²</t>
    </r>
    <r>
      <rPr>
        <sz val="10"/>
        <rFont val="Arial"/>
        <family val="2"/>
      </rPr>
      <t>]</t>
    </r>
  </si>
  <si>
    <t>Indice</t>
  </si>
  <si>
    <t>PESO [kg]</t>
  </si>
  <si>
    <t xml:space="preserve"> </t>
  </si>
  <si>
    <t>MALLA</t>
  </si>
  <si>
    <t>L1 [m]</t>
  </si>
  <si>
    <t>L2 [m]</t>
  </si>
  <si>
    <t>Ø</t>
  </si>
  <si>
    <t>Ref. longitudinal</t>
  </si>
  <si>
    <t>Ref. transversal</t>
  </si>
  <si>
    <t>M-295</t>
  </si>
  <si>
    <t>M-188</t>
  </si>
  <si>
    <t>M-221</t>
  </si>
  <si>
    <t>H-257</t>
  </si>
  <si>
    <t>[kg]</t>
  </si>
  <si>
    <t>PESO</t>
  </si>
  <si>
    <t>S.L. [m]</t>
  </si>
  <si>
    <t>S.T. [m]</t>
  </si>
  <si>
    <t>H-335</t>
  </si>
  <si>
    <t>H-050</t>
  </si>
  <si>
    <t>H-071</t>
  </si>
  <si>
    <t>H-084</t>
  </si>
  <si>
    <t>H-106</t>
  </si>
  <si>
    <t>H-106R</t>
  </si>
  <si>
    <t>Transv.</t>
  </si>
  <si>
    <t>Longit.</t>
  </si>
  <si>
    <r>
      <t>Area [mm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/m]</t>
    </r>
  </si>
  <si>
    <t>H-131</t>
  </si>
  <si>
    <t>H-158</t>
  </si>
  <si>
    <t>H-196</t>
  </si>
  <si>
    <t>H-221</t>
  </si>
  <si>
    <t>H-283</t>
  </si>
  <si>
    <t>H-335R</t>
  </si>
  <si>
    <t>H-378</t>
  </si>
  <si>
    <t>H-442R</t>
  </si>
  <si>
    <t>H-503</t>
  </si>
  <si>
    <t>H-567</t>
  </si>
  <si>
    <t>M-024</t>
  </si>
  <si>
    <t>M-064</t>
  </si>
  <si>
    <t>M-084</t>
  </si>
  <si>
    <t>M-106</t>
  </si>
  <si>
    <t>M-131</t>
  </si>
  <si>
    <t>M-158</t>
  </si>
  <si>
    <t>M-335</t>
  </si>
  <si>
    <t>M-378</t>
  </si>
  <si>
    <t>M-442</t>
  </si>
  <si>
    <t>M-567</t>
  </si>
  <si>
    <t>L-084</t>
  </si>
  <si>
    <t>L-098</t>
  </si>
  <si>
    <t>L-131</t>
  </si>
  <si>
    <t>E-047</t>
  </si>
  <si>
    <t>E-050</t>
  </si>
  <si>
    <t>E-101</t>
  </si>
  <si>
    <t>H-047</t>
  </si>
  <si>
    <t>ES</t>
  </si>
  <si>
    <t>Dimensiones</t>
  </si>
  <si>
    <t>180°</t>
  </si>
  <si>
    <t>90°</t>
  </si>
  <si>
    <t>Gancho estandar barras [mm]</t>
  </si>
  <si>
    <t>Gancho estandar estribos [mm]</t>
  </si>
  <si>
    <t>[DES] 135°</t>
  </si>
  <si>
    <t>Ø doblamiento</t>
  </si>
  <si>
    <t>ld tracción</t>
  </si>
  <si>
    <t xml:space="preserve">Base </t>
  </si>
  <si>
    <t xml:space="preserve">Altura </t>
  </si>
  <si>
    <t>Largo</t>
  </si>
  <si>
    <t>Volumen</t>
  </si>
  <si>
    <t>Notas</t>
  </si>
  <si>
    <t xml:space="preserve">LONGITUD </t>
  </si>
  <si>
    <t>Diametro</t>
  </si>
  <si>
    <t>Cantidad</t>
  </si>
  <si>
    <t>Area</t>
  </si>
  <si>
    <t>espesor</t>
  </si>
  <si>
    <t>TOTAL</t>
  </si>
  <si>
    <t xml:space="preserve">BORDILLOS </t>
  </si>
  <si>
    <t>Ref.longitudinal</t>
  </si>
  <si>
    <t>Altura</t>
  </si>
  <si>
    <t xml:space="preserve">PESO </t>
  </si>
  <si>
    <t>Longitud</t>
  </si>
  <si>
    <t>Concreto de 3000psi</t>
  </si>
  <si>
    <t>Barra</t>
  </si>
  <si>
    <t>Tracción</t>
  </si>
  <si>
    <t>N</t>
  </si>
  <si>
    <t>ld</t>
  </si>
  <si>
    <t xml:space="preserve">1.3ld </t>
  </si>
  <si>
    <t>[mm2]</t>
  </si>
  <si>
    <t>Volumen total</t>
  </si>
  <si>
    <t>kilogramos totales</t>
  </si>
  <si>
    <t>Ancho</t>
  </si>
  <si>
    <t>Cantidad de ref</t>
  </si>
  <si>
    <t>PROYECTO :</t>
  </si>
  <si>
    <t>Acero de refuerzo placa de asiento</t>
  </si>
  <si>
    <t>Acero de refuerzo muros de apoyo</t>
  </si>
  <si>
    <t>Referencia</t>
  </si>
  <si>
    <t>Longitud [m]</t>
  </si>
  <si>
    <t>Datos de entrada</t>
  </si>
  <si>
    <t>Largo [m]</t>
  </si>
  <si>
    <t>Esquinas[Un]</t>
  </si>
  <si>
    <t>Estribos</t>
  </si>
  <si>
    <t>Banca en concreto reforzado</t>
  </si>
  <si>
    <t>Ref. Longitudinal</t>
  </si>
  <si>
    <t>Ref longitudinal</t>
  </si>
  <si>
    <t>Ref transversal</t>
  </si>
  <si>
    <t>Contenedores longitudinales y rectangulares</t>
  </si>
  <si>
    <t>Contenedores circulares</t>
  </si>
  <si>
    <t>Cantidad [Un]</t>
  </si>
  <si>
    <t>R1.20</t>
  </si>
  <si>
    <t>Canal en concreto</t>
  </si>
  <si>
    <t>longitud</t>
  </si>
  <si>
    <t>Ref. Estribos</t>
  </si>
  <si>
    <t xml:space="preserve">CANTIDADES DE CONCRETO Y ACERO  </t>
  </si>
  <si>
    <t>Volumen de concreto  de bordillo f'c 3000psi</t>
  </si>
  <si>
    <t xml:space="preserve"> por el ingeniero presupuestador del proyecto</t>
  </si>
  <si>
    <t xml:space="preserve">Las cantidades de concreto y acero deben ser revisadas </t>
  </si>
  <si>
    <t>Kilogramos totales</t>
  </si>
  <si>
    <t>Volumen de concreto  Banca de concreto reforzado f'c 3500psi</t>
  </si>
  <si>
    <t>Dado 20x20cm</t>
  </si>
  <si>
    <t>Volumen de concreto  de Cuerpo Banca f'c 3500psi</t>
  </si>
  <si>
    <t>Tipo Banca</t>
  </si>
  <si>
    <t>Vol.concreto banca con acabado en concreto</t>
  </si>
  <si>
    <t>Acero de refuerzo Viga apoyo</t>
  </si>
  <si>
    <t>Banca kilogramos totales</t>
  </si>
  <si>
    <t>CONTENEDORES CIRCULARES</t>
  </si>
  <si>
    <t xml:space="preserve">Volumen de concreto  contenedores de raíces circulares f'c 3500 psi </t>
  </si>
  <si>
    <t xml:space="preserve">Acero de refuerzo vertical  contendores  de raíces circulares </t>
  </si>
  <si>
    <t xml:space="preserve">Acero de refuerzo horizontal contendores  de raíces circulares </t>
  </si>
  <si>
    <t>C.acero de ref</t>
  </si>
  <si>
    <t>Volumen de concreto  de dados f'c 3500psi</t>
  </si>
  <si>
    <t># refuerzo</t>
  </si>
  <si>
    <t>BANCA CORRIDA SIN ESPALDAR EN CONCRETO REFORZADO</t>
  </si>
  <si>
    <t>PLACA CIMENTACIÓN BEBEDERO DE AGUA</t>
  </si>
  <si>
    <t>Cantidad de Bebederos</t>
  </si>
  <si>
    <t>Volumen de concreto de Placa f'c=3000psi</t>
  </si>
  <si>
    <t>Volumen de concreto de bordillo f'c=3000psi</t>
  </si>
  <si>
    <t xml:space="preserve">TOTAL </t>
  </si>
  <si>
    <t>Acero de refuerzo de placa</t>
  </si>
  <si>
    <t>Refuerzo en sentido largo</t>
  </si>
  <si>
    <t>Refuerzo en sentido ancho</t>
  </si>
  <si>
    <t>Acero de refuerzo de bordillo</t>
  </si>
  <si>
    <t>Refuerzo longitudinal</t>
  </si>
  <si>
    <t>Refuerzo transversal</t>
  </si>
  <si>
    <t>Volumen de concreto de la  cimentacion f'c=3000psi</t>
  </si>
  <si>
    <t xml:space="preserve">Cantidad </t>
  </si>
  <si>
    <t>Concreto ciclópeo f'c=3000psi 65/35%</t>
  </si>
  <si>
    <t xml:space="preserve">ancho </t>
  </si>
  <si>
    <t xml:space="preserve">largo </t>
  </si>
  <si>
    <t xml:space="preserve">espesor </t>
  </si>
  <si>
    <t>Acero de refuerzo de cimentacion</t>
  </si>
  <si>
    <t>CERRAMIENTO CANCHA MULTIPLE</t>
  </si>
  <si>
    <t>Zapatas 70x80x100 cm</t>
  </si>
  <si>
    <t xml:space="preserve">Viga cim 40x40cm </t>
  </si>
  <si>
    <t xml:space="preserve">Zapata Ref 1 </t>
  </si>
  <si>
    <t xml:space="preserve">Zapata Ref 2 </t>
  </si>
  <si>
    <t xml:space="preserve">Anclajes </t>
  </si>
  <si>
    <t>Cantidad dados</t>
  </si>
  <si>
    <t>Volumen de concreto Cimentación f'c 3000 psi</t>
  </si>
  <si>
    <t>DADOS CANCHA MULTIPLE</t>
  </si>
  <si>
    <t>Dado cim 40x40x70cm</t>
  </si>
  <si>
    <t>Acero de refuerzo bordillo 10x30cm</t>
  </si>
  <si>
    <t>Ref longitudinal viga cimentacion</t>
  </si>
  <si>
    <t>Ref transversal viga cimentacion</t>
  </si>
  <si>
    <t>Anclaje Dado cimentacion</t>
  </si>
  <si>
    <t>Espesor</t>
  </si>
  <si>
    <t>CONTENEDORES DE RAICES LONGITUDINALES</t>
  </si>
  <si>
    <t>Volumen de concreto  contenedores de raíces longitudinal f'c 3500psi</t>
  </si>
  <si>
    <t>CANT</t>
  </si>
  <si>
    <t>Longitud Total</t>
  </si>
  <si>
    <t>Contenedor de raices longitudinal</t>
  </si>
  <si>
    <t>Acero de refuerzo vertical  contendores  de raíces longitudinales</t>
  </si>
  <si>
    <t>Acero de refuerzo horizontal contendores  de raíces  longitudinales</t>
  </si>
  <si>
    <t>Total Barras 6m</t>
  </si>
  <si>
    <t>-</t>
  </si>
  <si>
    <t>Ref. Adicional</t>
  </si>
  <si>
    <t>E-6918 - Colegio Inem - Urbanismo General Zona 03</t>
  </si>
  <si>
    <t xml:space="preserve">Ref.Bordillo 10x30cm para pisos </t>
  </si>
  <si>
    <t>BANCA CORRIDA CON ESPALDAR EN CONCRETO REFORZADO</t>
  </si>
  <si>
    <r>
      <t xml:space="preserve">Contenedor circular </t>
    </r>
    <r>
      <rPr>
        <sz val="10"/>
        <rFont val="Calibri"/>
        <family val="2"/>
      </rPr>
      <t>Ф2,40</t>
    </r>
    <r>
      <rPr>
        <sz val="10"/>
        <rFont val="Calibri Light"/>
        <family val="2"/>
      </rPr>
      <t>m</t>
    </r>
  </si>
  <si>
    <t>Cont D:2.40m</t>
  </si>
  <si>
    <t>ESTRUCTURA DE CERRAMIENTO</t>
  </si>
  <si>
    <t>Volumen de concreto viga de cimentación 3000 psi</t>
  </si>
  <si>
    <t>Viga cimentacion 30x40cm</t>
  </si>
  <si>
    <t>Volumen de concreto pilas en cimentacion 3000 psi</t>
  </si>
  <si>
    <t>Pilas circulares D30cm</t>
  </si>
  <si>
    <t>Acero de refuerzo viga de cimentación</t>
  </si>
  <si>
    <t>Can de ref</t>
  </si>
  <si>
    <t>Acero de refuerzo pilas</t>
  </si>
  <si>
    <t>Perfiles de cerramiento</t>
  </si>
  <si>
    <t>Cant perfiles</t>
  </si>
  <si>
    <t>Perfiles de 3,35m</t>
  </si>
  <si>
    <t>PESO [kg/m]</t>
  </si>
  <si>
    <t>PESO Total [kg]</t>
  </si>
  <si>
    <t>Tuberia de cerramiento D:3" e:1.9mm</t>
  </si>
  <si>
    <t>DADOS CANCHA DE BALONCESTO</t>
  </si>
  <si>
    <t>DADOS CANCHA VOLEYBOL</t>
  </si>
  <si>
    <t>DADOS CANCHA TENIS TOUCH</t>
  </si>
  <si>
    <t>Dado cim 40x40x50cm</t>
  </si>
  <si>
    <t>Dado cim 60x60x200cm</t>
  </si>
  <si>
    <t>ESCALERAS SOBRE TERRENO</t>
  </si>
  <si>
    <t>DADOS CANCHA MICROFUTBOL</t>
  </si>
  <si>
    <t>Area Trans</t>
  </si>
  <si>
    <t>Volumen de concreto pasos de la escaleraf'c 3500psi</t>
  </si>
  <si>
    <t>Vol.concreto pasos de la escalera 1</t>
  </si>
  <si>
    <t>Vol.concreto pasos de la escalera 2</t>
  </si>
  <si>
    <t>Vol.concreto pasos de la escalera 3</t>
  </si>
  <si>
    <t>Kilogramos Totales</t>
  </si>
  <si>
    <t>Ref long pasos escalera 1</t>
  </si>
  <si>
    <t>Ref trans pasos escalera 1</t>
  </si>
  <si>
    <t>Ref long placa escalera 1</t>
  </si>
  <si>
    <t>Ref trans placa escalera 1</t>
  </si>
  <si>
    <t>Ref long pasos escalera 2</t>
  </si>
  <si>
    <t>Ref trans pasos escalera 2</t>
  </si>
  <si>
    <t>Ref long placa escalera 2</t>
  </si>
  <si>
    <t>Ref trans placa escalera 2</t>
  </si>
  <si>
    <t>Ref long pasos escalera 3</t>
  </si>
  <si>
    <t>Ref trans pasos escalera 3</t>
  </si>
  <si>
    <t>Ref long placa escalera 3</t>
  </si>
  <si>
    <t>Ref trans placa escalera 3</t>
  </si>
  <si>
    <t>Acero de refuerzo pasos de las escaleras</t>
  </si>
  <si>
    <t>TARIMA EN MADERA</t>
  </si>
  <si>
    <t>Volumen de concreto viga cimentacion 30x30cm f'c 3500psi</t>
  </si>
  <si>
    <t>Volumen de concreto muro perimetral f'c 3500psi</t>
  </si>
  <si>
    <t>Viga cimentacion 30x30cm</t>
  </si>
  <si>
    <t xml:space="preserve">Concreto muros perimetrales tarima </t>
  </si>
  <si>
    <t>Volumen de concreto placa f'c 3500psi</t>
  </si>
  <si>
    <t>Area planta</t>
  </si>
  <si>
    <t xml:space="preserve">Concreto placa en concreto tarima </t>
  </si>
  <si>
    <t>Acero de refuerzo viga 30x30cm</t>
  </si>
  <si>
    <t>Acero de refuerzo muro perimetral</t>
  </si>
  <si>
    <t>M-262</t>
  </si>
  <si>
    <t>7.0mm</t>
  </si>
  <si>
    <t>2,35x6,00</t>
  </si>
  <si>
    <t>Ref. principal</t>
  </si>
  <si>
    <t xml:space="preserve">Acero de refuerzo placa </t>
  </si>
  <si>
    <t>Peso [kg]</t>
  </si>
  <si>
    <t>Dimensiones [m]</t>
  </si>
  <si>
    <t>Cant_Mallas</t>
  </si>
  <si>
    <t>M-Estandar</t>
  </si>
  <si>
    <t>BARANDILLA METALICA</t>
  </si>
  <si>
    <t>Viga cimentacion 25x30cm</t>
  </si>
  <si>
    <t>Acero de refuerzo viga 25x30cm</t>
  </si>
  <si>
    <t>Pernos de fijación</t>
  </si>
  <si>
    <t>TOPELLANTAS EN CONCRETO</t>
  </si>
  <si>
    <t>Area trans</t>
  </si>
  <si>
    <t>Topellantas en concreto</t>
  </si>
  <si>
    <t>MURO DE CONTENCION HMAX: 1.00m</t>
  </si>
  <si>
    <t>Volumen de concreto viga de cimentación f'c 3500psi</t>
  </si>
  <si>
    <t xml:space="preserve">Viga de cimentacion </t>
  </si>
  <si>
    <t>Volumen vastago del muro</t>
  </si>
  <si>
    <t>Acero de refuerzo viga de cimentacion</t>
  </si>
  <si>
    <t xml:space="preserve"> kilogramos totales</t>
  </si>
  <si>
    <t>GRADERIA EN CONCRETO CANCHA MULTIPLE Y BALONCESTO</t>
  </si>
  <si>
    <t>Volumen de concreto graderia cancha multiple y baloncesto f'c 3500psi</t>
  </si>
  <si>
    <t>Ref transversal muro</t>
  </si>
  <si>
    <t>GRADERIA EN CONCRETO CANCHAS TENIS TOUCH</t>
  </si>
  <si>
    <t>Volumen de concreto graderia canchas tenis touch f'c 3500psi</t>
  </si>
  <si>
    <t>GRADERIA EN CONCRETO CANCHA MICROFUTBOL</t>
  </si>
  <si>
    <t>Volumen de concreto graderia cancha microfutbol f'c 3500psi</t>
  </si>
  <si>
    <t>GRADERIA EN CONCRETO CANCHA ATLETISMO</t>
  </si>
  <si>
    <t>Volumen de concreto graderia cancha atletismo f'c 3500psi</t>
  </si>
  <si>
    <t>Volumen de concreto descansos y muro de contencion f'c 3500psi</t>
  </si>
  <si>
    <t>GRADERIA EN CONCRETO CANCHA VOLEYBOL</t>
  </si>
  <si>
    <t>Volumen de concreto graderia cancha voleybol f'c 3500psi</t>
  </si>
  <si>
    <t>Acero de refuerzo vigas de cimentacion</t>
  </si>
  <si>
    <t>Volumen de concreto vigas de cimentación f'c 3500psi</t>
  </si>
  <si>
    <t>Acero de refuerzo vastago</t>
  </si>
  <si>
    <t>L TOTAL</t>
  </si>
  <si>
    <t>Ancho (m)</t>
  </si>
  <si>
    <t>Alto (m)</t>
  </si>
  <si>
    <t>Espesor (mm)</t>
  </si>
  <si>
    <t>Platinas de anclaje</t>
  </si>
  <si>
    <t>Platinas</t>
  </si>
  <si>
    <t>Total</t>
  </si>
  <si>
    <t>Alto</t>
  </si>
  <si>
    <t>Viga de cimentacion graderia 4 niveles G1</t>
  </si>
  <si>
    <t>Viga de cimentacion graderia 4 niveles G2</t>
  </si>
  <si>
    <t>Vol descansos y muro graderia 4 niveles G1</t>
  </si>
  <si>
    <t>Volumen descansos y muro graderia 4 niveles G2</t>
  </si>
  <si>
    <t>Ref transversal Graderia G1</t>
  </si>
  <si>
    <t>Ref longitudinal Graderia G1</t>
  </si>
  <si>
    <t>Ref transversal Graderia G2</t>
  </si>
  <si>
    <t>Ref longitudinal Graderia G2</t>
  </si>
  <si>
    <t>Acero de refuerzo graderias y muros graderia G1</t>
  </si>
  <si>
    <t>Acero de refuerzo graderias y muros graderia G2</t>
  </si>
  <si>
    <t>Ref transversal muro graderia</t>
  </si>
  <si>
    <t>Ref transversal placa asiento</t>
  </si>
  <si>
    <t>Ref transversal zapata muro</t>
  </si>
  <si>
    <t>Ref longitudinal muro y placa de asiento</t>
  </si>
  <si>
    <t>Ref longitudinal zapata muro</t>
  </si>
  <si>
    <t>Ref longitudinal muro e=25cm</t>
  </si>
  <si>
    <t>Viga de cimentacion graderia 3 niveles G8</t>
  </si>
  <si>
    <t>Volumen descansos y muro  graderia 3 niveles G8</t>
  </si>
  <si>
    <t>Ref transversal Graderia G8</t>
  </si>
  <si>
    <t>Ref longitudinal Graderia G8</t>
  </si>
  <si>
    <t>Acero de refuerzo graderias y muros G8</t>
  </si>
  <si>
    <t>Ref longitudinal muro e=20cm</t>
  </si>
  <si>
    <t>Viga de cimentacion 25x25cm graderia 2 niveles G9</t>
  </si>
  <si>
    <t>Viga de cimentacion 30x30cm graderia 2 niveles G9</t>
  </si>
  <si>
    <t>Volumen descansos y muro graderia 2 niveles G9</t>
  </si>
  <si>
    <t>Ref transversal viga 25x25cm graderia G9</t>
  </si>
  <si>
    <t>Ref longitudinal viga 25x25cm graderia G9</t>
  </si>
  <si>
    <t>Ref transversal viga 30x30cm graderia G9</t>
  </si>
  <si>
    <t>Ref longitudinal viga 30x30cm graderia G9</t>
  </si>
  <si>
    <t>Acero de refuerzo graderias y muros G9</t>
  </si>
  <si>
    <t>Viga de cimentacion 25x25cm graderia 4 niveles G7</t>
  </si>
  <si>
    <t>Volumen descansos y muro graderia 4 niveles G7</t>
  </si>
  <si>
    <t>Ref transversal graderia G7</t>
  </si>
  <si>
    <t>Ref longitudinal graderia G7</t>
  </si>
  <si>
    <t>Acero de refuerzo graderias y muros  G7</t>
  </si>
  <si>
    <t>Viga de cimentacion graderia 1 niveles G3</t>
  </si>
  <si>
    <t>Viga de cimentacion graderia 2 niveles G4</t>
  </si>
  <si>
    <t>Viga de cimentacion graderia 3 niveles G5</t>
  </si>
  <si>
    <t>Viga de cimentacion graderia 2 niveles G6</t>
  </si>
  <si>
    <t>Volumen descansos y muro graderia 1 niveles G3</t>
  </si>
  <si>
    <t>Volumen descansos y muro graderia 2 niveles G4</t>
  </si>
  <si>
    <t>Volumen descansos y muro graderia 3 niveles G5</t>
  </si>
  <si>
    <t>Volumen descansos y muro graderia 2 niveles G6</t>
  </si>
  <si>
    <t>Ref transversal graderia G3</t>
  </si>
  <si>
    <t>Ref longitudinal graderia G3</t>
  </si>
  <si>
    <t>Ref transversal graderia G4</t>
  </si>
  <si>
    <t>Ref longitudinal graderia G4</t>
  </si>
  <si>
    <t>Ref transversal graderia G5</t>
  </si>
  <si>
    <t>Ref longitudinal graderia G5</t>
  </si>
  <si>
    <t>Ref transversal graderia G6</t>
  </si>
  <si>
    <t>Ref longitudinal graderia G6</t>
  </si>
  <si>
    <t>Acero de refuerzo graderias y muros graderia G3</t>
  </si>
  <si>
    <t>Ref longitudinal placa de asiento</t>
  </si>
  <si>
    <t>Ref longitudinal muros</t>
  </si>
  <si>
    <t>Acero de refuerzo graderias y muros graderia G4</t>
  </si>
  <si>
    <t>Acero de refuerzo graderias y muros graderia G5</t>
  </si>
  <si>
    <t>Acero de refuerzo graderias y muros graderia G6</t>
  </si>
  <si>
    <t>Volumen de concreto viga cimentacion 25x30cm f'c 3000psi</t>
  </si>
  <si>
    <t>Volumen de concreto  muro contención hmax:1.00m f'c 3000psi</t>
  </si>
  <si>
    <t>Volumen de concreto viga de cimentación f'c 3000psi</t>
  </si>
  <si>
    <t>Volumen de concreto vastago f'c 3000psi</t>
  </si>
  <si>
    <t>RAMPA METALICA</t>
  </si>
  <si>
    <t>Volumen de concreto ZAPATAS 3000 psi</t>
  </si>
  <si>
    <t>Cant.</t>
  </si>
  <si>
    <t>Acero de refuerzo ZAPATAS</t>
  </si>
  <si>
    <t>Perfiles rampa metalica</t>
  </si>
  <si>
    <t>Tipo</t>
  </si>
  <si>
    <t>100x50x3.0mm</t>
  </si>
  <si>
    <t>100x50x2.0mm</t>
  </si>
  <si>
    <t>50x13x1.5mm</t>
  </si>
  <si>
    <t>PERFIL  PTE 13x50x1.50mm</t>
  </si>
  <si>
    <t>Columnas PTE 50x100x3.0mm</t>
  </si>
  <si>
    <t>Vigas PTE 50x100x2.0mm</t>
  </si>
  <si>
    <t>zapatas 50x60x30cm</t>
  </si>
  <si>
    <t>DECK EN MADERA CAFETERIA AUXILIAR</t>
  </si>
  <si>
    <t>DECK EN MADERA EDIFICIO PROMOCION SOCIAL</t>
  </si>
  <si>
    <t>Concreto placa en concreto PISO DECK EN MADERA</t>
  </si>
  <si>
    <t>Concreto placa en concreto piso deck en madera ZONA 2</t>
  </si>
  <si>
    <t>Concreto placa en concreto piso deck en madera ZONA 3</t>
  </si>
  <si>
    <t>Ref. principal ZONA 2</t>
  </si>
  <si>
    <t>Ref. principal ZONA 3</t>
  </si>
  <si>
    <t>Volumen de concreto  de f'c 3500psi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</si>
</sst>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00"/>
    <numFmt numFmtId="165" formatCode="0.0"/>
    <numFmt numFmtId="166" formatCode="#0.00\ &quot;m&quot;"/>
    <numFmt numFmtId="167" formatCode="#0.00\ &quot;m3&quot;"/>
    <numFmt numFmtId="168" formatCode="#0.00\ &quot;kg&quot;"/>
    <numFmt numFmtId="169" formatCode="#0.00\ &quot;m2&quot;"/>
    <numFmt numFmtId="170" formatCode="#0.00\ &quot;cm&quot;"/>
    <numFmt numFmtId="171" formatCode="#0.00\ &quot;kg/m&quot;"/>
    <numFmt numFmtId="172" formatCode="#0.000\ &quot;m2&quot;"/>
    <numFmt numFmtId="173" formatCode="#0.00\ &quot;kg/m2&quot;"/>
    <numFmt numFmtId="174" formatCode="#0\ &quot;kg&quot;"/>
    <numFmt numFmtId="175" formatCode="#0\ &quot;m&quot;"/>
  </numFmts>
  <fonts count="3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55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11"/>
      <name val="Calibri Light"/>
      <family val="2"/>
    </font>
    <font>
      <b/>
      <sz val="11"/>
      <color theme="1"/>
      <name val="Calibri Light"/>
      <family val="2"/>
    </font>
    <font>
      <b/>
      <u/>
      <sz val="11"/>
      <name val="Calibri Light"/>
      <family val="2"/>
    </font>
    <font>
      <sz val="11"/>
      <name val="Arial"/>
      <family val="2"/>
    </font>
    <font>
      <u/>
      <sz val="11"/>
      <name val="Calibri Light"/>
      <family val="2"/>
    </font>
    <font>
      <b/>
      <sz val="11"/>
      <color rgb="FFFF0000"/>
      <name val="Calibri Light"/>
      <family val="2"/>
    </font>
    <font>
      <sz val="10"/>
      <color rgb="FFFF0000"/>
      <name val="Arial"/>
      <family val="2"/>
    </font>
    <font>
      <b/>
      <sz val="10"/>
      <color rgb="FFFF0000"/>
      <name val="Calibri Light"/>
      <family val="2"/>
    </font>
    <font>
      <b/>
      <u/>
      <sz val="10"/>
      <name val="Calibri Light"/>
      <family val="2"/>
    </font>
    <font>
      <sz val="10"/>
      <color theme="0"/>
      <name val="Calibri Light"/>
      <family val="2"/>
    </font>
    <font>
      <b/>
      <sz val="16"/>
      <color theme="0"/>
      <name val="Calibri Light"/>
      <family val="2"/>
    </font>
    <font>
      <b/>
      <sz val="22"/>
      <color theme="8" tint="-0.499984740745262"/>
      <name val="Calibri Light"/>
      <family val="2"/>
    </font>
    <font>
      <b/>
      <sz val="14"/>
      <color rgb="FFFF0000"/>
      <name val="Calibri Light"/>
      <family val="2"/>
    </font>
    <font>
      <b/>
      <sz val="14"/>
      <name val="Calibri Light"/>
      <family val="2"/>
    </font>
    <font>
      <sz val="14"/>
      <name val="Arial"/>
      <family val="2"/>
    </font>
    <font>
      <b/>
      <u/>
      <sz val="14"/>
      <name val="Calibri Light"/>
      <family val="2"/>
    </font>
    <font>
      <sz val="14"/>
      <name val="Calibri Light"/>
      <family val="2"/>
    </font>
    <font>
      <b/>
      <sz val="20"/>
      <color theme="8" tint="-0.499984740745262"/>
      <name val="Calibri Light"/>
      <family val="2"/>
    </font>
    <font>
      <sz val="10"/>
      <name val="Calibri"/>
      <family val="2"/>
    </font>
    <font>
      <u/>
      <sz val="10"/>
      <name val="Calibri Light"/>
      <family val="2"/>
    </font>
    <font>
      <b/>
      <sz val="12"/>
      <color theme="1"/>
      <name val="Calibri Light"/>
      <family val="2"/>
    </font>
    <font>
      <sz val="9"/>
      <name val="Calibri Light"/>
      <family val="2"/>
    </font>
    <font>
      <b/>
      <u/>
      <sz val="12"/>
      <name val="Calibri Light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3">
    <xf numFmtId="0" fontId="0" fillId="0" borderId="0" xfId="0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7" fontId="7" fillId="2" borderId="0" xfId="0" applyNumberFormat="1" applyFont="1" applyFill="1" applyAlignment="1">
      <alignment horizontal="center"/>
    </xf>
    <xf numFmtId="168" fontId="7" fillId="3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8" fontId="7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3" borderId="0" xfId="0" applyFont="1" applyFill="1"/>
    <xf numFmtId="0" fontId="8" fillId="3" borderId="0" xfId="0" applyFont="1" applyFill="1"/>
    <xf numFmtId="2" fontId="9" fillId="3" borderId="0" xfId="0" applyNumberFormat="1" applyFont="1" applyFill="1" applyAlignment="1">
      <alignment horizontal="center"/>
    </xf>
    <xf numFmtId="166" fontId="9" fillId="3" borderId="0" xfId="0" applyNumberFormat="1" applyFont="1" applyFill="1" applyAlignment="1">
      <alignment horizontal="center"/>
    </xf>
    <xf numFmtId="166" fontId="14" fillId="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1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/>
    <xf numFmtId="2" fontId="14" fillId="3" borderId="0" xfId="0" applyNumberFormat="1" applyFont="1" applyFill="1" applyAlignment="1">
      <alignment horizontal="center"/>
    </xf>
    <xf numFmtId="1" fontId="14" fillId="3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168" fontId="19" fillId="4" borderId="0" xfId="0" applyNumberFormat="1" applyFont="1" applyFill="1" applyAlignment="1">
      <alignment horizontal="center"/>
    </xf>
    <xf numFmtId="167" fontId="1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right"/>
    </xf>
    <xf numFmtId="0" fontId="9" fillId="5" borderId="0" xfId="0" applyFont="1" applyFill="1" applyAlignment="1">
      <alignment horizontal="center"/>
    </xf>
    <xf numFmtId="2" fontId="16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6" fontId="14" fillId="6" borderId="0" xfId="0" applyNumberFormat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center"/>
    </xf>
    <xf numFmtId="2" fontId="5" fillId="0" borderId="0" xfId="0" quotePrefix="1" applyNumberFormat="1" applyFont="1" applyAlignment="1">
      <alignment horizontal="center"/>
    </xf>
    <xf numFmtId="0" fontId="6" fillId="0" borderId="0" xfId="0" quotePrefix="1" applyFont="1" applyAlignment="1">
      <alignment horizontal="center"/>
    </xf>
    <xf numFmtId="0" fontId="2" fillId="0" borderId="0" xfId="0" applyFont="1"/>
    <xf numFmtId="0" fontId="8" fillId="2" borderId="0" xfId="0" applyFont="1" applyFill="1" applyAlignment="1">
      <alignment horizontal="center"/>
    </xf>
    <xf numFmtId="0" fontId="11" fillId="0" borderId="0" xfId="0" applyFont="1"/>
    <xf numFmtId="166" fontId="14" fillId="0" borderId="0" xfId="0" applyNumberFormat="1" applyFont="1" applyAlignment="1">
      <alignment horizontal="center"/>
    </xf>
    <xf numFmtId="0" fontId="8" fillId="0" borderId="0" xfId="0" applyFont="1"/>
    <xf numFmtId="1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68" fontId="19" fillId="0" borderId="0" xfId="0" applyNumberFormat="1" applyFont="1" applyAlignment="1">
      <alignment horizontal="center"/>
    </xf>
    <xf numFmtId="1" fontId="6" fillId="0" borderId="0" xfId="0" applyNumberFormat="1" applyFont="1"/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8" fontId="22" fillId="0" borderId="0" xfId="0" applyNumberFormat="1" applyFont="1" applyAlignment="1">
      <alignment horizontal="center"/>
    </xf>
    <xf numFmtId="0" fontId="23" fillId="0" borderId="0" xfId="0" applyFont="1"/>
    <xf numFmtId="0" fontId="22" fillId="0" borderId="0" xfId="0" applyFont="1"/>
    <xf numFmtId="14" fontId="22" fillId="0" borderId="0" xfId="0" applyNumberFormat="1" applyFont="1"/>
    <xf numFmtId="172" fontId="21" fillId="0" borderId="0" xfId="0" applyNumberFormat="1" applyFont="1"/>
    <xf numFmtId="168" fontId="19" fillId="4" borderId="0" xfId="0" applyNumberFormat="1" applyFont="1" applyFill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2" fontId="9" fillId="2" borderId="0" xfId="0" applyNumberFormat="1" applyFont="1" applyFill="1" applyAlignment="1">
      <alignment horizontal="left"/>
    </xf>
    <xf numFmtId="0" fontId="24" fillId="0" borderId="0" xfId="0" applyFont="1" applyAlignment="1">
      <alignment wrapText="1"/>
    </xf>
    <xf numFmtId="2" fontId="9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166" fontId="7" fillId="2" borderId="0" xfId="0" applyNumberFormat="1" applyFont="1" applyFill="1" applyAlignment="1">
      <alignment horizontal="center"/>
    </xf>
    <xf numFmtId="168" fontId="7" fillId="7" borderId="0" xfId="0" applyNumberFormat="1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0" fontId="8" fillId="7" borderId="0" xfId="0" applyFont="1" applyFill="1" applyAlignment="1">
      <alignment horizontal="center"/>
    </xf>
    <xf numFmtId="2" fontId="8" fillId="7" borderId="0" xfId="0" applyNumberFormat="1" applyFont="1" applyFill="1" applyAlignment="1">
      <alignment horizontal="center"/>
    </xf>
    <xf numFmtId="2" fontId="9" fillId="7" borderId="0" xfId="0" applyNumberFormat="1" applyFont="1" applyFill="1" applyAlignment="1">
      <alignment horizontal="center"/>
    </xf>
    <xf numFmtId="1" fontId="9" fillId="7" borderId="0" xfId="0" applyNumberFormat="1" applyFont="1" applyFill="1" applyAlignment="1">
      <alignment horizontal="center"/>
    </xf>
    <xf numFmtId="2" fontId="14" fillId="7" borderId="0" xfId="0" applyNumberFormat="1" applyFont="1" applyFill="1" applyAlignment="1">
      <alignment horizontal="center"/>
    </xf>
    <xf numFmtId="166" fontId="9" fillId="7" borderId="0" xfId="0" applyNumberFormat="1" applyFont="1" applyFill="1" applyAlignment="1">
      <alignment horizontal="center"/>
    </xf>
    <xf numFmtId="2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center"/>
    </xf>
    <xf numFmtId="171" fontId="14" fillId="0" borderId="0" xfId="0" applyNumberFormat="1" applyFont="1" applyAlignment="1">
      <alignment horizontal="center"/>
    </xf>
    <xf numFmtId="172" fontId="9" fillId="0" borderId="0" xfId="0" applyNumberFormat="1" applyFont="1" applyAlignment="1">
      <alignment horizontal="center"/>
    </xf>
    <xf numFmtId="173" fontId="14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9" fontId="14" fillId="2" borderId="0" xfId="0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167" fontId="19" fillId="5" borderId="0" xfId="1" applyNumberFormat="1" applyFont="1" applyFill="1" applyAlignment="1">
      <alignment horizontal="center"/>
    </xf>
    <xf numFmtId="0" fontId="8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11" fillId="0" borderId="0" xfId="0" applyNumberFormat="1" applyFont="1" applyAlignment="1">
      <alignment horizontal="left"/>
    </xf>
    <xf numFmtId="0" fontId="11" fillId="2" borderId="0" xfId="0" applyFont="1" applyFill="1" applyAlignment="1">
      <alignment horizontal="left"/>
    </xf>
    <xf numFmtId="166" fontId="14" fillId="7" borderId="0" xfId="0" applyNumberFormat="1" applyFont="1" applyFill="1" applyAlignment="1">
      <alignment horizontal="center"/>
    </xf>
    <xf numFmtId="174" fontId="19" fillId="8" borderId="0" xfId="0" applyNumberFormat="1" applyFont="1" applyFill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2" fillId="0" borderId="0" xfId="1" applyAlignment="1">
      <alignment horizontal="center"/>
    </xf>
    <xf numFmtId="0" fontId="8" fillId="2" borderId="0" xfId="1" applyFont="1" applyFill="1" applyAlignment="1">
      <alignment horizontal="left"/>
    </xf>
    <xf numFmtId="166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167" fontId="7" fillId="2" borderId="0" xfId="1" applyNumberFormat="1" applyFont="1" applyFill="1" applyAlignment="1">
      <alignment horizontal="center"/>
    </xf>
    <xf numFmtId="2" fontId="5" fillId="0" borderId="0" xfId="1" applyNumberFormat="1" applyFont="1" applyAlignment="1">
      <alignment horizontal="center"/>
    </xf>
    <xf numFmtId="166" fontId="5" fillId="0" borderId="0" xfId="1" applyNumberFormat="1" applyFont="1" applyAlignment="1">
      <alignment horizontal="center"/>
    </xf>
    <xf numFmtId="168" fontId="7" fillId="0" borderId="0" xfId="1" applyNumberFormat="1" applyFont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/>
    </xf>
    <xf numFmtId="1" fontId="9" fillId="3" borderId="0" xfId="1" applyNumberFormat="1" applyFont="1" applyFill="1" applyAlignment="1">
      <alignment horizontal="center"/>
    </xf>
    <xf numFmtId="2" fontId="14" fillId="3" borderId="0" xfId="1" applyNumberFormat="1" applyFont="1" applyFill="1" applyAlignment="1">
      <alignment horizontal="center"/>
    </xf>
    <xf numFmtId="166" fontId="9" fillId="3" borderId="0" xfId="1" applyNumberFormat="1" applyFont="1" applyFill="1" applyAlignment="1">
      <alignment horizontal="center"/>
    </xf>
    <xf numFmtId="168" fontId="7" fillId="3" borderId="0" xfId="1" applyNumberFormat="1" applyFont="1" applyFill="1" applyAlignment="1">
      <alignment horizontal="center"/>
    </xf>
    <xf numFmtId="168" fontId="19" fillId="4" borderId="0" xfId="1" applyNumberFormat="1" applyFont="1" applyFill="1" applyAlignment="1">
      <alignment horizontal="center"/>
    </xf>
    <xf numFmtId="0" fontId="5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166" fontId="14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center"/>
    </xf>
    <xf numFmtId="167" fontId="1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2" fontId="14" fillId="0" borderId="0" xfId="1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75" fontId="9" fillId="0" borderId="0" xfId="1" applyNumberFormat="1" applyFont="1" applyAlignment="1">
      <alignment horizontal="center"/>
    </xf>
    <xf numFmtId="168" fontId="19" fillId="0" borderId="0" xfId="1" applyNumberFormat="1" applyFont="1" applyAlignment="1">
      <alignment horizontal="center"/>
    </xf>
    <xf numFmtId="0" fontId="14" fillId="7" borderId="0" xfId="0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7" fontId="9" fillId="2" borderId="0" xfId="0" applyNumberFormat="1" applyFont="1" applyFill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28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center"/>
    </xf>
    <xf numFmtId="1" fontId="16" fillId="3" borderId="0" xfId="0" applyNumberFormat="1" applyFont="1" applyFill="1" applyAlignment="1">
      <alignment horizontal="center"/>
    </xf>
    <xf numFmtId="2" fontId="16" fillId="3" borderId="0" xfId="0" applyNumberFormat="1" applyFont="1" applyFill="1" applyAlignment="1">
      <alignment horizontal="center"/>
    </xf>
    <xf numFmtId="166" fontId="5" fillId="3" borderId="0" xfId="0" applyNumberFormat="1" applyFont="1" applyFill="1" applyAlignment="1">
      <alignment horizontal="center"/>
    </xf>
    <xf numFmtId="168" fontId="9" fillId="3" borderId="0" xfId="0" applyNumberFormat="1" applyFont="1" applyFill="1" applyAlignment="1">
      <alignment horizontal="center"/>
    </xf>
    <xf numFmtId="1" fontId="5" fillId="4" borderId="0" xfId="0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1" fillId="2" borderId="0" xfId="1" applyFont="1" applyFill="1"/>
    <xf numFmtId="0" fontId="9" fillId="2" borderId="0" xfId="1" applyFont="1" applyFill="1" applyAlignment="1">
      <alignment horizontal="right"/>
    </xf>
    <xf numFmtId="2" fontId="9" fillId="2" borderId="0" xfId="1" applyNumberFormat="1" applyFont="1" applyFill="1" applyAlignment="1">
      <alignment horizontal="center"/>
    </xf>
    <xf numFmtId="166" fontId="14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5" fillId="0" borderId="0" xfId="1" applyFont="1" applyAlignment="1">
      <alignment horizontal="right"/>
    </xf>
    <xf numFmtId="0" fontId="2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right"/>
    </xf>
    <xf numFmtId="0" fontId="6" fillId="2" borderId="0" xfId="1" applyFont="1" applyFill="1" applyAlignment="1">
      <alignment horizontal="center"/>
    </xf>
    <xf numFmtId="166" fontId="9" fillId="2" borderId="0" xfId="1" applyNumberFormat="1" applyFont="1" applyFill="1" applyAlignment="1">
      <alignment horizontal="center"/>
    </xf>
    <xf numFmtId="167" fontId="9" fillId="2" borderId="0" xfId="1" applyNumberFormat="1" applyFont="1" applyFill="1" applyAlignment="1">
      <alignment horizontal="center"/>
    </xf>
    <xf numFmtId="0" fontId="5" fillId="2" borderId="0" xfId="1" applyFont="1" applyFill="1"/>
    <xf numFmtId="167" fontId="8" fillId="0" borderId="0" xfId="1" applyNumberFormat="1" applyFont="1" applyAlignment="1">
      <alignment horizontal="center"/>
    </xf>
    <xf numFmtId="0" fontId="2" fillId="6" borderId="0" xfId="1" applyFill="1" applyAlignment="1">
      <alignment horizontal="center"/>
    </xf>
    <xf numFmtId="0" fontId="5" fillId="6" borderId="0" xfId="1" applyFont="1" applyFill="1" applyAlignment="1">
      <alignment horizontal="center"/>
    </xf>
    <xf numFmtId="0" fontId="5" fillId="6" borderId="0" xfId="1" applyFont="1" applyFill="1" applyAlignment="1">
      <alignment horizontal="right"/>
    </xf>
    <xf numFmtId="0" fontId="8" fillId="6" borderId="0" xfId="1" applyFont="1" applyFill="1" applyAlignment="1">
      <alignment horizontal="center"/>
    </xf>
    <xf numFmtId="167" fontId="8" fillId="6" borderId="0" xfId="1" applyNumberFormat="1" applyFont="1" applyFill="1" applyAlignment="1">
      <alignment horizontal="center"/>
    </xf>
    <xf numFmtId="0" fontId="9" fillId="6" borderId="0" xfId="1" applyFont="1" applyFill="1" applyAlignment="1">
      <alignment horizontal="center"/>
    </xf>
    <xf numFmtId="166" fontId="9" fillId="6" borderId="0" xfId="1" applyNumberFormat="1" applyFont="1" applyFill="1" applyAlignment="1">
      <alignment horizontal="center"/>
    </xf>
    <xf numFmtId="167" fontId="9" fillId="6" borderId="0" xfId="1" applyNumberFormat="1" applyFont="1" applyFill="1" applyAlignment="1">
      <alignment horizontal="center"/>
    </xf>
    <xf numFmtId="0" fontId="5" fillId="6" borderId="0" xfId="1" applyFont="1" applyFill="1" applyAlignment="1">
      <alignment horizontal="left"/>
    </xf>
    <xf numFmtId="2" fontId="2" fillId="0" borderId="0" xfId="1" applyNumberFormat="1" applyAlignment="1">
      <alignment horizontal="center"/>
    </xf>
    <xf numFmtId="0" fontId="17" fillId="3" borderId="0" xfId="1" applyFont="1" applyFill="1" applyAlignment="1">
      <alignment horizontal="left"/>
    </xf>
    <xf numFmtId="0" fontId="28" fillId="3" borderId="0" xfId="1" applyFont="1" applyFill="1" applyAlignment="1">
      <alignment horizontal="left"/>
    </xf>
    <xf numFmtId="0" fontId="5" fillId="3" borderId="0" xfId="1" applyFont="1" applyFill="1" applyAlignment="1">
      <alignment horizontal="center"/>
    </xf>
    <xf numFmtId="0" fontId="5" fillId="3" borderId="0" xfId="1" applyFont="1" applyFill="1" applyAlignment="1">
      <alignment horizontal="right"/>
    </xf>
    <xf numFmtId="2" fontId="5" fillId="3" borderId="0" xfId="1" applyNumberFormat="1" applyFont="1" applyFill="1" applyAlignment="1">
      <alignment horizontal="center"/>
    </xf>
    <xf numFmtId="164" fontId="2" fillId="0" borderId="0" xfId="1" applyNumberFormat="1" applyAlignment="1">
      <alignment horizontal="center"/>
    </xf>
    <xf numFmtId="1" fontId="5" fillId="3" borderId="0" xfId="1" applyNumberFormat="1" applyFont="1" applyFill="1" applyAlignment="1">
      <alignment horizontal="center"/>
    </xf>
    <xf numFmtId="2" fontId="16" fillId="3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168" fontId="9" fillId="3" borderId="0" xfId="1" applyNumberFormat="1" applyFont="1" applyFill="1" applyAlignment="1">
      <alignment horizontal="center"/>
    </xf>
    <xf numFmtId="168" fontId="19" fillId="4" borderId="0" xfId="1" applyNumberFormat="1" applyFont="1" applyFill="1"/>
    <xf numFmtId="0" fontId="19" fillId="4" borderId="0" xfId="1" applyFont="1" applyFill="1"/>
    <xf numFmtId="168" fontId="8" fillId="0" borderId="0" xfId="1" applyNumberFormat="1" applyFont="1" applyAlignment="1">
      <alignment horizontal="center"/>
    </xf>
    <xf numFmtId="170" fontId="5" fillId="0" borderId="9" xfId="1" applyNumberFormat="1" applyFont="1" applyBorder="1" applyAlignment="1">
      <alignment horizontal="center"/>
    </xf>
    <xf numFmtId="0" fontId="18" fillId="9" borderId="0" xfId="1" applyFont="1" applyFill="1" applyAlignment="1">
      <alignment horizontal="center"/>
    </xf>
    <xf numFmtId="168" fontId="19" fillId="9" borderId="0" xfId="1" applyNumberFormat="1" applyFont="1" applyFill="1" applyAlignment="1">
      <alignment horizontal="center"/>
    </xf>
    <xf numFmtId="2" fontId="9" fillId="10" borderId="0" xfId="1" applyNumberFormat="1" applyFont="1" applyFill="1" applyAlignment="1">
      <alignment horizontal="center"/>
    </xf>
    <xf numFmtId="168" fontId="10" fillId="10" borderId="0" xfId="1" applyNumberFormat="1" applyFont="1" applyFill="1" applyAlignment="1">
      <alignment horizontal="center"/>
    </xf>
    <xf numFmtId="0" fontId="5" fillId="10" borderId="0" xfId="1" applyFont="1" applyFill="1" applyAlignment="1">
      <alignment horizontal="center"/>
    </xf>
    <xf numFmtId="0" fontId="9" fillId="10" borderId="0" xfId="1" applyFont="1" applyFill="1"/>
    <xf numFmtId="168" fontId="7" fillId="10" borderId="0" xfId="1" applyNumberFormat="1" applyFont="1" applyFill="1" applyAlignment="1">
      <alignment horizontal="center"/>
    </xf>
    <xf numFmtId="166" fontId="9" fillId="10" borderId="0" xfId="1" applyNumberFormat="1" applyFont="1" applyFill="1" applyAlignment="1">
      <alignment horizontal="center"/>
    </xf>
    <xf numFmtId="2" fontId="14" fillId="10" borderId="0" xfId="1" applyNumberFormat="1" applyFont="1" applyFill="1" applyAlignment="1">
      <alignment horizontal="center"/>
    </xf>
    <xf numFmtId="1" fontId="14" fillId="10" borderId="0" xfId="1" applyNumberFormat="1" applyFont="1" applyFill="1" applyAlignment="1">
      <alignment horizontal="center"/>
    </xf>
    <xf numFmtId="0" fontId="8" fillId="10" borderId="0" xfId="1" applyFont="1" applyFill="1"/>
    <xf numFmtId="0" fontId="11" fillId="10" borderId="0" xfId="1" applyFont="1" applyFill="1"/>
    <xf numFmtId="0" fontId="13" fillId="0" borderId="0" xfId="1" applyFont="1"/>
    <xf numFmtId="0" fontId="9" fillId="5" borderId="0" xfId="1" applyFont="1" applyFill="1" applyAlignment="1">
      <alignment horizontal="right"/>
    </xf>
    <xf numFmtId="0" fontId="9" fillId="5" borderId="0" xfId="1" applyFont="1" applyFill="1" applyAlignment="1">
      <alignment horizontal="center"/>
    </xf>
    <xf numFmtId="167" fontId="19" fillId="5" borderId="0" xfId="1" applyNumberFormat="1" applyFont="1" applyFill="1" applyAlignment="1">
      <alignment horizontal="center" vertical="center"/>
    </xf>
    <xf numFmtId="0" fontId="20" fillId="6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2" fontId="8" fillId="3" borderId="0" xfId="0" applyNumberFormat="1" applyFont="1" applyFill="1" applyAlignment="1">
      <alignment horizontal="center"/>
    </xf>
    <xf numFmtId="1" fontId="9" fillId="3" borderId="0" xfId="0" applyNumberFormat="1" applyFont="1" applyFill="1" applyAlignment="1">
      <alignment horizontal="center"/>
    </xf>
    <xf numFmtId="2" fontId="30" fillId="3" borderId="0" xfId="0" applyNumberFormat="1" applyFont="1" applyFill="1" applyAlignment="1">
      <alignment horizontal="left"/>
    </xf>
    <xf numFmtId="165" fontId="9" fillId="3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19" fillId="0" borderId="0" xfId="0" applyNumberFormat="1" applyFont="1" applyAlignment="1">
      <alignment horizontal="center"/>
    </xf>
    <xf numFmtId="175" fontId="9" fillId="0" borderId="0" xfId="0" applyNumberFormat="1" applyFont="1" applyAlignment="1">
      <alignment horizontal="center"/>
    </xf>
    <xf numFmtId="0" fontId="5" fillId="7" borderId="0" xfId="0" applyFont="1" applyFill="1" applyAlignment="1">
      <alignment horizontal="center"/>
    </xf>
    <xf numFmtId="0" fontId="11" fillId="6" borderId="0" xfId="1" applyFont="1" applyFill="1"/>
    <xf numFmtId="0" fontId="9" fillId="6" borderId="0" xfId="1" applyFont="1" applyFill="1" applyAlignment="1">
      <alignment horizontal="right"/>
    </xf>
    <xf numFmtId="2" fontId="9" fillId="6" borderId="0" xfId="1" applyNumberFormat="1" applyFont="1" applyFill="1" applyAlignment="1">
      <alignment horizontal="center"/>
    </xf>
    <xf numFmtId="166" fontId="14" fillId="6" borderId="0" xfId="1" applyNumberFormat="1" applyFont="1" applyFill="1" applyAlignment="1">
      <alignment horizontal="center"/>
    </xf>
    <xf numFmtId="167" fontId="7" fillId="6" borderId="0" xfId="1" applyNumberFormat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1" fillId="3" borderId="0" xfId="1" applyFont="1" applyFill="1"/>
    <xf numFmtId="0" fontId="8" fillId="3" borderId="0" xfId="1" applyFont="1" applyFill="1"/>
    <xf numFmtId="1" fontId="14" fillId="3" borderId="0" xfId="1" applyNumberFormat="1" applyFont="1" applyFill="1" applyAlignment="1">
      <alignment horizontal="center"/>
    </xf>
    <xf numFmtId="0" fontId="2" fillId="4" borderId="0" xfId="1" applyFill="1" applyAlignment="1">
      <alignment horizontal="center"/>
    </xf>
    <xf numFmtId="0" fontId="31" fillId="10" borderId="0" xfId="0" applyFont="1" applyFill="1"/>
    <xf numFmtId="0" fontId="2" fillId="10" borderId="0" xfId="1" applyFill="1" applyAlignment="1">
      <alignment horizontal="center"/>
    </xf>
    <xf numFmtId="0" fontId="8" fillId="10" borderId="0" xfId="0" applyFont="1" applyFill="1"/>
    <xf numFmtId="2" fontId="9" fillId="10" borderId="0" xfId="0" applyNumberFormat="1" applyFont="1" applyFill="1" applyAlignment="1">
      <alignment horizontal="center"/>
    </xf>
    <xf numFmtId="0" fontId="9" fillId="10" borderId="0" xfId="0" applyFont="1" applyFill="1"/>
    <xf numFmtId="2" fontId="8" fillId="10" borderId="0" xfId="0" applyNumberFormat="1" applyFont="1" applyFill="1" applyAlignment="1">
      <alignment horizontal="center"/>
    </xf>
    <xf numFmtId="2" fontId="8" fillId="10" borderId="0" xfId="0" applyNumberFormat="1" applyFont="1" applyFill="1" applyAlignment="1">
      <alignment horizontal="center" wrapText="1"/>
    </xf>
    <xf numFmtId="0" fontId="0" fillId="10" borderId="0" xfId="0" applyFill="1" applyAlignment="1">
      <alignment horizontal="center"/>
    </xf>
    <xf numFmtId="1" fontId="14" fillId="10" borderId="0" xfId="0" applyNumberFormat="1" applyFont="1" applyFill="1" applyAlignment="1">
      <alignment horizontal="center"/>
    </xf>
    <xf numFmtId="164" fontId="14" fillId="10" borderId="0" xfId="0" applyNumberFormat="1" applyFont="1" applyFill="1" applyAlignment="1">
      <alignment horizontal="center"/>
    </xf>
    <xf numFmtId="168" fontId="7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left"/>
    </xf>
    <xf numFmtId="2" fontId="14" fillId="10" borderId="0" xfId="0" applyNumberFormat="1" applyFont="1" applyFill="1" applyAlignment="1">
      <alignment horizontal="center"/>
    </xf>
    <xf numFmtId="168" fontId="19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center"/>
    </xf>
    <xf numFmtId="1" fontId="14" fillId="7" borderId="0" xfId="0" applyNumberFormat="1" applyFont="1" applyFill="1" applyAlignment="1">
      <alignment horizontal="center"/>
    </xf>
    <xf numFmtId="168" fontId="19" fillId="8" borderId="0" xfId="0" applyNumberFormat="1" applyFont="1" applyFill="1" applyAlignment="1">
      <alignment horizontal="center"/>
    </xf>
    <xf numFmtId="0" fontId="5" fillId="7" borderId="0" xfId="0" applyFont="1" applyFill="1"/>
    <xf numFmtId="0" fontId="32" fillId="7" borderId="0" xfId="0" applyFont="1" applyFill="1" applyAlignment="1">
      <alignment horizontal="center"/>
    </xf>
    <xf numFmtId="0" fontId="11" fillId="7" borderId="0" xfId="1" applyFont="1" applyFill="1"/>
    <xf numFmtId="0" fontId="8" fillId="7" borderId="0" xfId="1" applyFont="1" applyFill="1"/>
    <xf numFmtId="166" fontId="5" fillId="10" borderId="0" xfId="1" applyNumberFormat="1" applyFont="1" applyFill="1" applyAlignment="1">
      <alignment horizontal="center"/>
    </xf>
    <xf numFmtId="1" fontId="5" fillId="10" borderId="0" xfId="1" applyNumberFormat="1" applyFont="1" applyFill="1" applyAlignment="1">
      <alignment horizontal="center"/>
    </xf>
    <xf numFmtId="2" fontId="7" fillId="10" borderId="0" xfId="1" applyNumberFormat="1" applyFont="1" applyFill="1" applyAlignment="1">
      <alignment horizontal="center"/>
    </xf>
    <xf numFmtId="2" fontId="9" fillId="7" borderId="0" xfId="0" applyNumberFormat="1" applyFont="1" applyFill="1" applyAlignment="1">
      <alignment horizontal="left"/>
    </xf>
    <xf numFmtId="1" fontId="8" fillId="10" borderId="0" xfId="0" applyNumberFormat="1" applyFont="1" applyFill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172" fontId="21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9" fillId="5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8" fillId="2" borderId="0" xfId="0" applyFont="1" applyFill="1" applyAlignment="1">
      <alignment horizontal="left"/>
    </xf>
    <xf numFmtId="2" fontId="11" fillId="0" borderId="0" xfId="0" applyNumberFormat="1" applyFont="1" applyAlignment="1">
      <alignment horizontal="left"/>
    </xf>
    <xf numFmtId="0" fontId="5" fillId="7" borderId="0" xfId="0" applyFont="1" applyFill="1" applyAlignment="1">
      <alignment horizontal="center"/>
    </xf>
    <xf numFmtId="2" fontId="11" fillId="7" borderId="0" xfId="0" applyNumberFormat="1" applyFont="1" applyFill="1" applyAlignment="1">
      <alignment horizontal="left"/>
    </xf>
    <xf numFmtId="0" fontId="19" fillId="8" borderId="0" xfId="0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19" fillId="0" borderId="0" xfId="1" applyFont="1" applyAlignment="1">
      <alignment horizontal="center"/>
    </xf>
    <xf numFmtId="0" fontId="20" fillId="6" borderId="0" xfId="1" applyFont="1" applyFill="1" applyAlignment="1">
      <alignment horizontal="center"/>
    </xf>
    <xf numFmtId="0" fontId="11" fillId="2" borderId="0" xfId="1" applyFont="1" applyFill="1" applyAlignment="1">
      <alignment horizontal="left"/>
    </xf>
    <xf numFmtId="0" fontId="9" fillId="2" borderId="0" xfId="1" applyFont="1" applyFill="1" applyAlignment="1">
      <alignment horizontal="center"/>
    </xf>
    <xf numFmtId="0" fontId="19" fillId="5" borderId="0" xfId="1" applyFont="1" applyFill="1" applyAlignment="1">
      <alignment horizontal="center"/>
    </xf>
    <xf numFmtId="2" fontId="11" fillId="3" borderId="0" xfId="1" applyNumberFormat="1" applyFont="1" applyFill="1" applyAlignment="1">
      <alignment horizontal="left"/>
    </xf>
    <xf numFmtId="0" fontId="19" fillId="4" borderId="0" xfId="1" applyFont="1" applyFill="1" applyAlignment="1">
      <alignment horizontal="center"/>
    </xf>
    <xf numFmtId="2" fontId="11" fillId="0" borderId="0" xfId="1" applyNumberFormat="1" applyFont="1" applyAlignment="1">
      <alignment horizontal="left"/>
    </xf>
    <xf numFmtId="2" fontId="11" fillId="3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9" fillId="9" borderId="0" xfId="0" applyFont="1" applyFill="1" applyAlignment="1">
      <alignment horizontal="center"/>
    </xf>
    <xf numFmtId="0" fontId="10" fillId="2" borderId="0" xfId="1" applyFont="1" applyFill="1" applyAlignment="1">
      <alignment horizontal="center" vertical="center"/>
    </xf>
    <xf numFmtId="0" fontId="17" fillId="2" borderId="0" xfId="1" applyFont="1" applyFill="1" applyAlignment="1">
      <alignment horizontal="left"/>
    </xf>
    <xf numFmtId="0" fontId="11" fillId="6" borderId="0" xfId="1" applyFont="1" applyFill="1" applyAlignment="1">
      <alignment horizontal="left"/>
    </xf>
    <xf numFmtId="0" fontId="19" fillId="5" borderId="0" xfId="1" applyFont="1" applyFill="1" applyAlignment="1">
      <alignment horizontal="center" vertical="center"/>
    </xf>
    <xf numFmtId="0" fontId="8" fillId="10" borderId="0" xfId="1" applyFont="1" applyFill="1" applyAlignment="1">
      <alignment horizontal="center"/>
    </xf>
    <xf numFmtId="0" fontId="19" fillId="9" borderId="0" xfId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" fontId="16" fillId="0" borderId="0" xfId="0" applyNumberFormat="1" applyFont="1" applyBorder="1" applyAlignment="1">
      <alignment horizontal="center"/>
    </xf>
    <xf numFmtId="2" fontId="16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" fontId="22" fillId="0" borderId="0" xfId="0" applyNumberFormat="1" applyFont="1" applyBorder="1"/>
    <xf numFmtId="1" fontId="22" fillId="0" borderId="0" xfId="0" applyNumberFormat="1" applyFont="1" applyBorder="1" applyAlignment="1">
      <alignment horizontal="left"/>
    </xf>
    <xf numFmtId="2" fontId="21" fillId="0" borderId="0" xfId="0" applyNumberFormat="1" applyFont="1" applyBorder="1" applyAlignment="1">
      <alignment horizontal="center"/>
    </xf>
    <xf numFmtId="166" fontId="25" fillId="0" borderId="0" xfId="0" applyNumberFormat="1" applyFont="1" applyBorder="1" applyAlignment="1">
      <alignment horizontal="center"/>
    </xf>
    <xf numFmtId="0" fontId="23" fillId="0" borderId="0" xfId="0" applyFont="1" applyBorder="1"/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13137</xdr:colOff>
      <xdr:row>47</xdr:row>
      <xdr:rowOff>98535</xdr:rowOff>
    </xdr:from>
    <xdr:to>
      <xdr:col>14</xdr:col>
      <xdr:colOff>334696</xdr:colOff>
      <xdr:row>74</xdr:row>
      <xdr:rowOff>19708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3223" y="23076776"/>
          <a:ext cx="7954697" cy="4355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170795</xdr:colOff>
      <xdr:row>76</xdr:row>
      <xdr:rowOff>78829</xdr:rowOff>
    </xdr:from>
    <xdr:to>
      <xdr:col>13</xdr:col>
      <xdr:colOff>623564</xdr:colOff>
      <xdr:row>102</xdr:row>
      <xdr:rowOff>59122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881" y="27819570"/>
          <a:ext cx="7323907" cy="4250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ja%20de%20calculo\Diseno%20Flexocompresion%20Muros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VALORES"/>
      <sheetName val="Diagrama"/>
      <sheetName val="BARRAS"/>
      <sheetName val="otros"/>
      <sheetName val="Hoja1"/>
    </sheetNames>
    <sheetDataSet>
      <sheetData sheetId="0">
        <row r="2">
          <cell r="C2">
            <v>420</v>
          </cell>
        </row>
        <row r="3">
          <cell r="C3">
            <v>28</v>
          </cell>
        </row>
      </sheetData>
      <sheetData sheetId="1"/>
      <sheetData sheetId="2" refreshError="1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3">
    <tabColor theme="6" tint="0.39997558519241921"/>
  </sheetPr>
  <dimension ref="A1:I41"/>
  <sheetViews>
    <sheetView tabSelected="1" view="pageBreakPreview" zoomScale="70" zoomScaleNormal="115" zoomScaleSheetLayoutView="70" workbookViewId="0">
      <selection activeCell="K21" sqref="K21"/>
    </sheetView>
  </sheetViews>
  <sheetFormatPr baseColWidth="10" defaultColWidth="11.44140625" defaultRowHeight="12.55" x14ac:dyDescent="0.2"/>
  <cols>
    <col min="1" max="1" width="7.109375" style="1" customWidth="1"/>
    <col min="2" max="2" width="10.88671875" style="1" bestFit="1" customWidth="1"/>
    <col min="3" max="3" width="16.109375" style="1" bestFit="1" customWidth="1"/>
    <col min="4" max="4" width="11.44140625" style="1"/>
    <col min="5" max="5" width="13.44140625" style="1" bestFit="1" customWidth="1"/>
    <col min="6" max="6" width="11.44140625" style="1"/>
    <col min="7" max="7" width="8.109375" style="1" customWidth="1"/>
    <col min="8" max="16384" width="11.44140625" style="1"/>
  </cols>
  <sheetData>
    <row r="1" spans="1:7" ht="18.2" x14ac:dyDescent="0.35">
      <c r="A1" s="278"/>
      <c r="B1" s="278"/>
      <c r="C1" s="278"/>
      <c r="D1" s="278"/>
      <c r="E1" s="278"/>
      <c r="F1" s="278"/>
      <c r="G1" s="278"/>
    </row>
    <row r="2" spans="1:7" ht="13.95" customHeight="1" x14ac:dyDescent="0.25">
      <c r="B2" s="65"/>
      <c r="C2" s="65"/>
      <c r="D2" s="65"/>
      <c r="E2" s="65"/>
      <c r="F2" s="65"/>
      <c r="G2" s="65"/>
    </row>
    <row r="3" spans="1:7" ht="13.95" customHeight="1" x14ac:dyDescent="0.25">
      <c r="B3" s="24"/>
      <c r="C3" s="24"/>
      <c r="D3" s="24"/>
      <c r="E3" s="65"/>
      <c r="F3" s="24"/>
      <c r="G3" s="26"/>
    </row>
    <row r="4" spans="1:7" ht="13.95" customHeight="1" x14ac:dyDescent="0.2"/>
    <row r="5" spans="1:7" ht="13.95" customHeight="1" x14ac:dyDescent="0.35">
      <c r="B5" s="86"/>
      <c r="C5" s="87"/>
      <c r="D5" s="88"/>
      <c r="E5" s="88"/>
      <c r="F5" s="88"/>
      <c r="G5" s="88"/>
    </row>
    <row r="6" spans="1:7" ht="13.95" customHeight="1" x14ac:dyDescent="0.35">
      <c r="B6" s="86"/>
      <c r="C6" s="85"/>
      <c r="D6" s="85"/>
      <c r="E6" s="85"/>
      <c r="F6" s="85"/>
      <c r="G6" s="85"/>
    </row>
    <row r="7" spans="1:7" ht="13.95" customHeight="1" x14ac:dyDescent="0.35">
      <c r="B7" s="277"/>
      <c r="C7" s="277"/>
      <c r="D7" s="277"/>
      <c r="E7" s="277"/>
      <c r="F7" s="277"/>
      <c r="G7" s="277"/>
    </row>
    <row r="8" spans="1:7" ht="13.95" customHeight="1" x14ac:dyDescent="0.35">
      <c r="B8" s="93"/>
      <c r="C8" s="93"/>
      <c r="D8" s="93"/>
      <c r="E8" s="93"/>
      <c r="F8" s="93"/>
      <c r="G8" s="93"/>
    </row>
    <row r="9" spans="1:7" ht="13.95" customHeight="1" x14ac:dyDescent="0.35">
      <c r="B9" s="93"/>
      <c r="C9" s="93"/>
      <c r="D9" s="93"/>
      <c r="E9" s="93"/>
      <c r="F9" s="93"/>
      <c r="G9" s="93"/>
    </row>
    <row r="10" spans="1:7" ht="13.95" customHeight="1" x14ac:dyDescent="0.35">
      <c r="B10" s="93"/>
      <c r="C10" s="93"/>
      <c r="D10" s="93"/>
      <c r="E10" s="93"/>
      <c r="F10" s="93"/>
      <c r="G10" s="93"/>
    </row>
    <row r="11" spans="1:7" ht="13.95" customHeight="1" x14ac:dyDescent="0.35">
      <c r="B11" s="93"/>
      <c r="C11" s="93"/>
      <c r="D11" s="93"/>
      <c r="E11" s="93"/>
      <c r="F11" s="93"/>
      <c r="G11" s="93"/>
    </row>
    <row r="12" spans="1:7" ht="13.95" customHeight="1" x14ac:dyDescent="0.35">
      <c r="B12" s="93"/>
      <c r="C12" s="93"/>
      <c r="D12" s="93"/>
      <c r="E12" s="93"/>
      <c r="F12" s="93"/>
      <c r="G12" s="93"/>
    </row>
    <row r="13" spans="1:7" ht="13.95" customHeight="1" x14ac:dyDescent="0.35">
      <c r="B13" s="93"/>
      <c r="C13" s="93"/>
      <c r="D13" s="93"/>
      <c r="E13" s="93"/>
      <c r="F13" s="93"/>
      <c r="G13" s="93"/>
    </row>
    <row r="14" spans="1:7" ht="13.95" customHeight="1" x14ac:dyDescent="0.35">
      <c r="B14" s="93"/>
      <c r="C14" s="93"/>
      <c r="D14" s="93"/>
      <c r="E14" s="93"/>
      <c r="F14" s="93"/>
      <c r="G14" s="93"/>
    </row>
    <row r="15" spans="1:7" ht="13.95" customHeight="1" x14ac:dyDescent="0.35">
      <c r="A15" s="278" t="s">
        <v>145</v>
      </c>
      <c r="B15" s="278"/>
      <c r="C15" s="278"/>
      <c r="D15" s="278"/>
      <c r="E15" s="278"/>
      <c r="F15" s="278"/>
      <c r="G15" s="278"/>
    </row>
    <row r="16" spans="1:7" ht="13.5" customHeight="1" x14ac:dyDescent="0.25">
      <c r="B16" s="65"/>
      <c r="C16" s="65"/>
      <c r="D16" s="65"/>
      <c r="E16" s="65"/>
      <c r="F16" s="65"/>
      <c r="G16" s="65"/>
    </row>
    <row r="17" spans="2:9" ht="13.95" customHeight="1" x14ac:dyDescent="0.25">
      <c r="B17" s="24"/>
      <c r="C17" s="24"/>
      <c r="D17" s="24"/>
      <c r="E17" s="65"/>
      <c r="F17" s="24"/>
      <c r="G17" s="26"/>
    </row>
    <row r="18" spans="2:9" ht="13.5" customHeight="1" x14ac:dyDescent="0.2"/>
    <row r="19" spans="2:9" ht="13.95" customHeight="1" x14ac:dyDescent="0.35">
      <c r="B19" s="86"/>
      <c r="C19" s="87"/>
      <c r="D19" s="88"/>
      <c r="E19" s="88"/>
      <c r="F19" s="88"/>
      <c r="G19" s="88"/>
    </row>
    <row r="20" spans="2:9" ht="13.95" customHeight="1" x14ac:dyDescent="0.35">
      <c r="B20" s="86" t="s">
        <v>125</v>
      </c>
      <c r="C20" s="85"/>
      <c r="D20" s="85"/>
      <c r="E20" s="85"/>
      <c r="F20" s="85"/>
      <c r="G20" s="85"/>
      <c r="I20" s="45"/>
    </row>
    <row r="21" spans="2:9" ht="13.95" customHeight="1" x14ac:dyDescent="0.35">
      <c r="B21" s="277" t="s">
        <v>208</v>
      </c>
      <c r="C21" s="277"/>
      <c r="D21" s="277"/>
      <c r="E21" s="277"/>
      <c r="F21" s="277"/>
      <c r="G21" s="277"/>
    </row>
    <row r="22" spans="2:9" ht="13.95" customHeight="1" x14ac:dyDescent="0.3">
      <c r="B22" s="31"/>
      <c r="C22" s="66"/>
      <c r="D22" s="57"/>
      <c r="E22" s="32"/>
      <c r="F22" s="58"/>
      <c r="G22" s="31"/>
      <c r="I22" s="47"/>
    </row>
    <row r="23" spans="2:9" ht="13.95" customHeight="1" x14ac:dyDescent="0.3">
      <c r="B23" s="24"/>
      <c r="C23" s="314"/>
      <c r="D23" s="315"/>
      <c r="E23" s="316"/>
      <c r="F23" s="58"/>
      <c r="G23" s="31"/>
    </row>
    <row r="24" spans="2:9" ht="13.95" customHeight="1" x14ac:dyDescent="0.35">
      <c r="B24" s="82"/>
      <c r="C24" s="317"/>
      <c r="D24" s="317"/>
      <c r="E24" s="317"/>
      <c r="F24" s="81"/>
      <c r="G24" s="31"/>
    </row>
    <row r="25" spans="2:9" ht="13.95" customHeight="1" x14ac:dyDescent="0.35">
      <c r="B25" s="83"/>
      <c r="C25" s="318"/>
      <c r="D25" s="319"/>
      <c r="E25" s="320"/>
      <c r="F25" s="58"/>
      <c r="G25" s="31"/>
    </row>
    <row r="26" spans="2:9" ht="13.95" customHeight="1" x14ac:dyDescent="0.3">
      <c r="B26" s="24"/>
      <c r="C26" s="27"/>
      <c r="D26" s="57"/>
      <c r="E26" s="32"/>
      <c r="F26" s="58"/>
      <c r="G26" s="31"/>
    </row>
    <row r="27" spans="2:9" ht="13.95" customHeight="1" x14ac:dyDescent="0.3">
      <c r="B27" s="24"/>
      <c r="C27" s="27"/>
      <c r="D27" s="57"/>
      <c r="E27" s="32"/>
      <c r="F27" s="58"/>
      <c r="G27" s="31"/>
    </row>
    <row r="28" spans="2:9" ht="13.95" customHeight="1" x14ac:dyDescent="0.3">
      <c r="B28" s="24"/>
      <c r="C28" s="27"/>
      <c r="D28" s="57"/>
      <c r="E28" s="32"/>
      <c r="F28" s="58"/>
      <c r="G28" s="31"/>
    </row>
    <row r="29" spans="2:9" ht="13.95" customHeight="1" x14ac:dyDescent="0.3">
      <c r="B29" s="24"/>
      <c r="C29" s="27"/>
      <c r="D29" s="57"/>
      <c r="E29" s="32"/>
      <c r="F29" s="58"/>
      <c r="G29" s="31"/>
    </row>
    <row r="30" spans="2:9" ht="13.95" customHeight="1" x14ac:dyDescent="0.2"/>
    <row r="31" spans="2:9" ht="13.95" customHeight="1" x14ac:dyDescent="0.2"/>
    <row r="32" spans="2:9" ht="13.95" customHeight="1" x14ac:dyDescent="0.2"/>
    <row r="34" spans="2:7" ht="13.15" x14ac:dyDescent="0.25">
      <c r="B34" s="24"/>
      <c r="C34" s="24"/>
      <c r="D34" s="24"/>
      <c r="E34" s="24"/>
      <c r="F34" s="24"/>
      <c r="G34" s="24"/>
    </row>
    <row r="35" spans="2:7" ht="18.2" x14ac:dyDescent="0.35">
      <c r="B35" s="276" t="s">
        <v>148</v>
      </c>
      <c r="C35" s="276"/>
      <c r="D35" s="276"/>
      <c r="E35" s="276"/>
      <c r="F35" s="276"/>
      <c r="G35" s="276"/>
    </row>
    <row r="36" spans="2:7" ht="18.2" x14ac:dyDescent="0.35">
      <c r="B36" s="276" t="s">
        <v>147</v>
      </c>
      <c r="C36" s="276"/>
      <c r="D36" s="276"/>
      <c r="E36" s="276"/>
      <c r="F36" s="276"/>
      <c r="G36" s="276"/>
    </row>
    <row r="37" spans="2:7" ht="18.2" x14ac:dyDescent="0.35">
      <c r="B37" s="82"/>
      <c r="C37" s="82"/>
      <c r="D37" s="82"/>
      <c r="E37" s="82"/>
      <c r="F37" s="84"/>
      <c r="G37" s="83"/>
    </row>
    <row r="38" spans="2:7" ht="17.55" x14ac:dyDescent="0.3">
      <c r="B38" s="321"/>
      <c r="C38" s="321"/>
      <c r="D38" s="321"/>
      <c r="E38" s="321"/>
      <c r="F38" s="321"/>
      <c r="G38" s="85"/>
    </row>
    <row r="39" spans="2:7" x14ac:dyDescent="0.2">
      <c r="B39" s="322"/>
      <c r="C39" s="322"/>
      <c r="D39" s="322"/>
      <c r="E39" s="322"/>
      <c r="F39" s="322"/>
      <c r="G39" s="25"/>
    </row>
    <row r="41" spans="2:7" ht="13.15" x14ac:dyDescent="0.25">
      <c r="C41" s="67"/>
    </row>
  </sheetData>
  <mergeCells count="6">
    <mergeCell ref="B35:G35"/>
    <mergeCell ref="B36:G36"/>
    <mergeCell ref="B7:G7"/>
    <mergeCell ref="A1:G1"/>
    <mergeCell ref="A15:G15"/>
    <mergeCell ref="B21:G21"/>
  </mergeCells>
  <pageMargins left="1.299212598425197" right="0.98425196850393704" top="0.98425196850393704" bottom="0.98425196850393704" header="0.51181102362204722" footer="0.51181102362204722"/>
  <pageSetup paperSize="122" scale="4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C4BC-78C5-46B4-B3B1-6D46D9C83F73}">
  <sheetPr codeName="Hoja10">
    <tabColor rgb="FF00B0F0"/>
  </sheetPr>
  <dimension ref="A1:G13"/>
  <sheetViews>
    <sheetView view="pageBreakPreview" zoomScaleNormal="115" zoomScaleSheetLayoutView="100" workbookViewId="0">
      <selection activeCell="A5" sqref="A5"/>
    </sheetView>
  </sheetViews>
  <sheetFormatPr baseColWidth="10" defaultColWidth="11.44140625" defaultRowHeight="12.55" x14ac:dyDescent="0.2"/>
  <cols>
    <col min="1" max="1" width="13.6640625" style="124" bestFit="1" customWidth="1"/>
    <col min="2" max="2" width="13.88671875" style="124" customWidth="1"/>
    <col min="3" max="3" width="9.44140625" style="124" bestFit="1" customWidth="1"/>
    <col min="4" max="4" width="10.44140625" style="124" bestFit="1" customWidth="1"/>
    <col min="5" max="5" width="12.5546875" style="124" customWidth="1"/>
    <col min="6" max="6" width="14.109375" style="124" customWidth="1"/>
    <col min="7" max="7" width="23.109375" style="124" bestFit="1" customWidth="1"/>
    <col min="8" max="8" width="12" style="124" bestFit="1" customWidth="1"/>
    <col min="9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14"/>
      <c r="G1" s="177"/>
    </row>
    <row r="2" spans="1:7" ht="30.05" customHeight="1" x14ac:dyDescent="0.5">
      <c r="A2" s="294" t="s">
        <v>191</v>
      </c>
      <c r="B2" s="294"/>
      <c r="C2" s="294"/>
      <c r="D2" s="294"/>
      <c r="E2" s="294"/>
      <c r="F2" s="294"/>
      <c r="G2" s="294"/>
    </row>
    <row r="3" spans="1:7" ht="13.95" customHeight="1" x14ac:dyDescent="0.3">
      <c r="A3" s="171"/>
      <c r="B3" s="172" t="s">
        <v>190</v>
      </c>
      <c r="C3" s="172"/>
      <c r="D3" s="155"/>
      <c r="E3" s="155"/>
      <c r="F3" s="155"/>
      <c r="G3" s="173"/>
    </row>
    <row r="4" spans="1:7" ht="13.95" customHeight="1" x14ac:dyDescent="0.3">
      <c r="A4" s="180" t="s">
        <v>189</v>
      </c>
      <c r="B4" s="127" t="s">
        <v>98</v>
      </c>
      <c r="C4" s="127" t="s">
        <v>99</v>
      </c>
      <c r="D4" s="127" t="s">
        <v>100</v>
      </c>
      <c r="E4" s="127" t="s">
        <v>101</v>
      </c>
      <c r="F4" s="155"/>
      <c r="G4" s="174" t="s">
        <v>3</v>
      </c>
    </row>
    <row r="5" spans="1:7" ht="13.95" customHeight="1" x14ac:dyDescent="0.3">
      <c r="A5" s="171">
        <v>4</v>
      </c>
      <c r="B5" s="175">
        <v>0.4</v>
      </c>
      <c r="C5" s="175">
        <v>0.7</v>
      </c>
      <c r="D5" s="175">
        <v>0.4</v>
      </c>
      <c r="E5" s="129">
        <f>+B5*C5*D5*A5</f>
        <v>0.44799999999999995</v>
      </c>
      <c r="F5" s="155"/>
      <c r="G5" s="155" t="s">
        <v>192</v>
      </c>
    </row>
    <row r="6" spans="1:7" ht="13.95" customHeight="1" x14ac:dyDescent="0.3">
      <c r="A6" s="171"/>
      <c r="B6" s="126"/>
      <c r="C6" s="126"/>
      <c r="D6" s="175"/>
      <c r="E6" s="129"/>
      <c r="F6" s="155"/>
      <c r="G6" s="155"/>
    </row>
    <row r="7" spans="1:7" ht="21.3" x14ac:dyDescent="0.3">
      <c r="A7" s="307" t="s">
        <v>121</v>
      </c>
      <c r="B7" s="307"/>
      <c r="C7" s="307"/>
      <c r="D7" s="307"/>
      <c r="E7" s="224">
        <f>+SUM(E5:E5)</f>
        <v>0.44799999999999995</v>
      </c>
      <c r="F7" s="223"/>
      <c r="G7" s="222"/>
    </row>
    <row r="8" spans="1:7" ht="15.05" x14ac:dyDescent="0.3">
      <c r="A8" s="114"/>
      <c r="B8" s="122"/>
      <c r="C8" s="221"/>
      <c r="D8" s="122"/>
      <c r="E8" s="122"/>
      <c r="F8" s="122"/>
      <c r="G8" s="123"/>
    </row>
    <row r="9" spans="1:7" ht="15.05" x14ac:dyDescent="0.3">
      <c r="A9" s="213"/>
      <c r="B9" s="220" t="s">
        <v>188</v>
      </c>
      <c r="C9" s="219"/>
      <c r="D9" s="219"/>
      <c r="E9" s="219"/>
      <c r="F9" s="219"/>
      <c r="G9" s="219"/>
    </row>
    <row r="10" spans="1:7" ht="15.05" x14ac:dyDescent="0.3">
      <c r="A10" s="213"/>
      <c r="B10" s="211" t="s">
        <v>0</v>
      </c>
      <c r="C10" s="211" t="s">
        <v>1</v>
      </c>
      <c r="D10" s="211" t="s">
        <v>2</v>
      </c>
      <c r="E10" s="211" t="s">
        <v>103</v>
      </c>
      <c r="F10" s="211" t="s">
        <v>37</v>
      </c>
      <c r="G10" s="211" t="s">
        <v>3</v>
      </c>
    </row>
    <row r="11" spans="1:7" ht="15.05" x14ac:dyDescent="0.3">
      <c r="A11" s="213"/>
      <c r="B11" s="211"/>
      <c r="C11" s="218">
        <f>4*A5</f>
        <v>16</v>
      </c>
      <c r="D11" s="217" t="s">
        <v>12</v>
      </c>
      <c r="E11" s="216">
        <v>0.3</v>
      </c>
      <c r="F11" s="215">
        <f>C11*VLOOKUP(D11,PESOS!$B$3:$F$26,5,FALSE)*E11</f>
        <v>10.739665019471461</v>
      </c>
      <c r="G11" s="214" t="s">
        <v>196</v>
      </c>
    </row>
    <row r="12" spans="1:7" ht="15.05" x14ac:dyDescent="0.3">
      <c r="A12" s="213"/>
      <c r="B12" s="308"/>
      <c r="C12" s="308"/>
      <c r="D12" s="308"/>
      <c r="E12" s="308"/>
      <c r="F12" s="212"/>
      <c r="G12" s="211"/>
    </row>
    <row r="13" spans="1:7" ht="21.3" x14ac:dyDescent="0.4">
      <c r="A13" s="309" t="s">
        <v>122</v>
      </c>
      <c r="B13" s="309"/>
      <c r="C13" s="309"/>
      <c r="D13" s="309"/>
      <c r="E13" s="309"/>
      <c r="F13" s="210">
        <f>SUM(F11:F12)</f>
        <v>10.739665019471461</v>
      </c>
      <c r="G13" s="209"/>
    </row>
  </sheetData>
  <mergeCells count="4">
    <mergeCell ref="A2:G2"/>
    <mergeCell ref="A7:D7"/>
    <mergeCell ref="B12:E12"/>
    <mergeCell ref="A13:E13"/>
  </mergeCells>
  <pageMargins left="0.74803149606299213" right="0.74803149606299213" top="1.5354330708661419" bottom="0.98425196850393704" header="0" footer="0"/>
  <pageSetup paperSize="153" scale="71" orientation="portrait" horizontalDpi="4294967293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8E3F-81CA-43A5-8D4D-6EAA7E79FD54}">
  <sheetPr codeName="Hoja11">
    <tabColor rgb="FF00B0F0"/>
  </sheetPr>
  <dimension ref="A1:G13"/>
  <sheetViews>
    <sheetView view="pageBreakPreview" zoomScaleNormal="115" zoomScaleSheetLayoutView="100" workbookViewId="0">
      <selection activeCell="F14" sqref="F14"/>
    </sheetView>
  </sheetViews>
  <sheetFormatPr baseColWidth="10" defaultColWidth="11.44140625" defaultRowHeight="12.55" x14ac:dyDescent="0.2"/>
  <cols>
    <col min="1" max="1" width="13.6640625" style="124" bestFit="1" customWidth="1"/>
    <col min="2" max="2" width="13.88671875" style="124" customWidth="1"/>
    <col min="3" max="3" width="9.44140625" style="124" bestFit="1" customWidth="1"/>
    <col min="4" max="4" width="10.44140625" style="124" bestFit="1" customWidth="1"/>
    <col min="5" max="5" width="12.5546875" style="124" customWidth="1"/>
    <col min="6" max="6" width="14.109375" style="124" customWidth="1"/>
    <col min="7" max="7" width="23.109375" style="124" bestFit="1" customWidth="1"/>
    <col min="8" max="8" width="12" style="124" bestFit="1" customWidth="1"/>
    <col min="9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14"/>
      <c r="G1" s="177"/>
    </row>
    <row r="2" spans="1:7" ht="30.05" customHeight="1" x14ac:dyDescent="0.5">
      <c r="A2" s="294" t="s">
        <v>227</v>
      </c>
      <c r="B2" s="294"/>
      <c r="C2" s="294"/>
      <c r="D2" s="294"/>
      <c r="E2" s="294"/>
      <c r="F2" s="294"/>
      <c r="G2" s="294"/>
    </row>
    <row r="3" spans="1:7" ht="13.95" customHeight="1" x14ac:dyDescent="0.3">
      <c r="A3" s="171"/>
      <c r="B3" s="172" t="s">
        <v>190</v>
      </c>
      <c r="C3" s="172"/>
      <c r="D3" s="155"/>
      <c r="E3" s="155"/>
      <c r="F3" s="155"/>
      <c r="G3" s="173"/>
    </row>
    <row r="4" spans="1:7" ht="13.95" customHeight="1" x14ac:dyDescent="0.3">
      <c r="A4" s="180" t="s">
        <v>189</v>
      </c>
      <c r="B4" s="127" t="s">
        <v>98</v>
      </c>
      <c r="C4" s="127" t="s">
        <v>99</v>
      </c>
      <c r="D4" s="127" t="s">
        <v>100</v>
      </c>
      <c r="E4" s="127" t="s">
        <v>101</v>
      </c>
      <c r="F4" s="155"/>
      <c r="G4" s="174" t="s">
        <v>3</v>
      </c>
    </row>
    <row r="5" spans="1:7" ht="13.95" customHeight="1" x14ac:dyDescent="0.3">
      <c r="A5" s="171">
        <v>2</v>
      </c>
      <c r="B5" s="175">
        <v>0.6</v>
      </c>
      <c r="C5" s="175">
        <v>2</v>
      </c>
      <c r="D5" s="175">
        <v>0.6</v>
      </c>
      <c r="E5" s="129">
        <f>+B5*C5*D5*A5</f>
        <v>1.44</v>
      </c>
      <c r="F5" s="155"/>
      <c r="G5" s="155" t="s">
        <v>231</v>
      </c>
    </row>
    <row r="6" spans="1:7" ht="13.95" customHeight="1" x14ac:dyDescent="0.3">
      <c r="A6" s="171"/>
      <c r="B6" s="126"/>
      <c r="C6" s="126"/>
      <c r="D6" s="175"/>
      <c r="E6" s="129"/>
      <c r="F6" s="155"/>
      <c r="G6" s="155"/>
    </row>
    <row r="7" spans="1:7" ht="21.3" x14ac:dyDescent="0.3">
      <c r="A7" s="307" t="s">
        <v>121</v>
      </c>
      <c r="B7" s="307"/>
      <c r="C7" s="307"/>
      <c r="D7" s="307"/>
      <c r="E7" s="224">
        <f>+SUM(E5:E5)</f>
        <v>1.44</v>
      </c>
      <c r="F7" s="223"/>
      <c r="G7" s="222"/>
    </row>
    <row r="8" spans="1:7" ht="15.05" x14ac:dyDescent="0.3">
      <c r="A8" s="114"/>
      <c r="B8" s="122"/>
      <c r="C8" s="221"/>
      <c r="D8" s="122"/>
      <c r="E8" s="122"/>
      <c r="F8" s="122"/>
      <c r="G8" s="123"/>
    </row>
    <row r="9" spans="1:7" ht="15.05" x14ac:dyDescent="0.3">
      <c r="A9" s="213"/>
      <c r="B9" s="220" t="s">
        <v>188</v>
      </c>
      <c r="C9" s="219"/>
      <c r="D9" s="219"/>
      <c r="E9" s="219"/>
      <c r="F9" s="219"/>
      <c r="G9" s="219"/>
    </row>
    <row r="10" spans="1:7" ht="15.05" x14ac:dyDescent="0.3">
      <c r="A10" s="213"/>
      <c r="B10" s="211" t="s">
        <v>0</v>
      </c>
      <c r="C10" s="211" t="s">
        <v>1</v>
      </c>
      <c r="D10" s="211" t="s">
        <v>2</v>
      </c>
      <c r="E10" s="211" t="s">
        <v>103</v>
      </c>
      <c r="F10" s="211" t="s">
        <v>37</v>
      </c>
      <c r="G10" s="211" t="s">
        <v>3</v>
      </c>
    </row>
    <row r="11" spans="1:7" ht="15.05" x14ac:dyDescent="0.3">
      <c r="A11" s="213"/>
      <c r="B11" s="211"/>
      <c r="C11" s="218">
        <f>4*A5</f>
        <v>8</v>
      </c>
      <c r="D11" s="217" t="s">
        <v>12</v>
      </c>
      <c r="E11" s="216">
        <v>0.3</v>
      </c>
      <c r="F11" s="215">
        <f>C11*VLOOKUP(D11,PESOS!$B$3:$F$26,5,FALSE)*E11</f>
        <v>5.3698325097357307</v>
      </c>
      <c r="G11" s="214" t="s">
        <v>196</v>
      </c>
    </row>
    <row r="12" spans="1:7" ht="15.05" x14ac:dyDescent="0.3">
      <c r="A12" s="213"/>
      <c r="B12" s="308"/>
      <c r="C12" s="308"/>
      <c r="D12" s="308"/>
      <c r="E12" s="308"/>
      <c r="F12" s="212"/>
      <c r="G12" s="211"/>
    </row>
    <row r="13" spans="1:7" ht="21.3" x14ac:dyDescent="0.4">
      <c r="A13" s="309" t="s">
        <v>122</v>
      </c>
      <c r="B13" s="309"/>
      <c r="C13" s="309"/>
      <c r="D13" s="309"/>
      <c r="E13" s="309"/>
      <c r="F13" s="210">
        <f>SUM(F11:F12)</f>
        <v>5.3698325097357307</v>
      </c>
      <c r="G13" s="209"/>
    </row>
  </sheetData>
  <mergeCells count="4">
    <mergeCell ref="A2:G2"/>
    <mergeCell ref="A7:D7"/>
    <mergeCell ref="B12:E12"/>
    <mergeCell ref="A13:E13"/>
  </mergeCells>
  <pageMargins left="0.74803149606299213" right="0.74803149606299213" top="1.5354330708661419" bottom="0.98425196850393704" header="0" footer="0"/>
  <pageSetup paperSize="153" scale="71" orientation="portrait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5C9B-7FB5-4832-B361-0BE91C926F5B}">
  <sheetPr codeName="Hoja12">
    <tabColor rgb="FF00B0F0"/>
  </sheetPr>
  <dimension ref="A1:G13"/>
  <sheetViews>
    <sheetView view="pageBreakPreview" zoomScaleNormal="100" zoomScaleSheetLayoutView="100" workbookViewId="0">
      <selection activeCell="A9" sqref="A9:G13"/>
    </sheetView>
  </sheetViews>
  <sheetFormatPr baseColWidth="10" defaultColWidth="11.44140625" defaultRowHeight="12.55" x14ac:dyDescent="0.2"/>
  <cols>
    <col min="1" max="1" width="13.6640625" style="124" bestFit="1" customWidth="1"/>
    <col min="2" max="2" width="13.88671875" style="124" customWidth="1"/>
    <col min="3" max="3" width="9.44140625" style="124" bestFit="1" customWidth="1"/>
    <col min="4" max="4" width="10.44140625" style="124" bestFit="1" customWidth="1"/>
    <col min="5" max="5" width="12.5546875" style="124" customWidth="1"/>
    <col min="6" max="6" width="14.109375" style="124" customWidth="1"/>
    <col min="7" max="7" width="23.109375" style="124" bestFit="1" customWidth="1"/>
    <col min="8" max="8" width="12" style="124" bestFit="1" customWidth="1"/>
    <col min="9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14"/>
      <c r="G1" s="177"/>
    </row>
    <row r="2" spans="1:7" ht="30.05" customHeight="1" x14ac:dyDescent="0.5">
      <c r="A2" s="294" t="s">
        <v>233</v>
      </c>
      <c r="B2" s="294"/>
      <c r="C2" s="294"/>
      <c r="D2" s="294"/>
      <c r="E2" s="294"/>
      <c r="F2" s="294"/>
      <c r="G2" s="294"/>
    </row>
    <row r="3" spans="1:7" ht="13.95" customHeight="1" x14ac:dyDescent="0.3">
      <c r="A3" s="171"/>
      <c r="B3" s="172" t="s">
        <v>190</v>
      </c>
      <c r="C3" s="172"/>
      <c r="D3" s="155"/>
      <c r="E3" s="155"/>
      <c r="F3" s="155"/>
      <c r="G3" s="173"/>
    </row>
    <row r="4" spans="1:7" ht="13.95" customHeight="1" x14ac:dyDescent="0.3">
      <c r="A4" s="180" t="s">
        <v>189</v>
      </c>
      <c r="B4" s="127" t="s">
        <v>98</v>
      </c>
      <c r="C4" s="127" t="s">
        <v>99</v>
      </c>
      <c r="D4" s="127" t="s">
        <v>100</v>
      </c>
      <c r="E4" s="127" t="s">
        <v>101</v>
      </c>
      <c r="F4" s="155"/>
      <c r="G4" s="174" t="s">
        <v>3</v>
      </c>
    </row>
    <row r="5" spans="1:7" ht="13.95" customHeight="1" x14ac:dyDescent="0.3">
      <c r="A5" s="171">
        <v>4</v>
      </c>
      <c r="B5" s="175">
        <v>0.4</v>
      </c>
      <c r="C5" s="175">
        <v>0.7</v>
      </c>
      <c r="D5" s="175">
        <v>0.4</v>
      </c>
      <c r="E5" s="129">
        <f>+B5*C5*D5*A5</f>
        <v>0.44799999999999995</v>
      </c>
      <c r="F5" s="155"/>
      <c r="G5" s="155" t="s">
        <v>192</v>
      </c>
    </row>
    <row r="6" spans="1:7" ht="13.95" customHeight="1" x14ac:dyDescent="0.3">
      <c r="A6" s="171"/>
      <c r="B6" s="126"/>
      <c r="C6" s="126"/>
      <c r="D6" s="175"/>
      <c r="E6" s="129"/>
      <c r="F6" s="155"/>
      <c r="G6" s="155"/>
    </row>
    <row r="7" spans="1:7" ht="21.3" x14ac:dyDescent="0.3">
      <c r="A7" s="307" t="s">
        <v>121</v>
      </c>
      <c r="B7" s="307"/>
      <c r="C7" s="307"/>
      <c r="D7" s="307"/>
      <c r="E7" s="224">
        <f>+SUM(E5:E5)</f>
        <v>0.44799999999999995</v>
      </c>
      <c r="F7" s="223"/>
      <c r="G7" s="222"/>
    </row>
    <row r="8" spans="1:7" ht="15.05" x14ac:dyDescent="0.3">
      <c r="A8" s="114"/>
      <c r="B8" s="122"/>
      <c r="C8" s="221"/>
      <c r="D8" s="122"/>
      <c r="E8" s="122"/>
      <c r="F8" s="122"/>
      <c r="G8" s="123"/>
    </row>
    <row r="9" spans="1:7" ht="15.05" x14ac:dyDescent="0.3">
      <c r="A9" s="213"/>
      <c r="B9" s="220" t="s">
        <v>188</v>
      </c>
      <c r="C9" s="219"/>
      <c r="D9" s="219"/>
      <c r="E9" s="219"/>
      <c r="F9" s="219"/>
      <c r="G9" s="219"/>
    </row>
    <row r="10" spans="1:7" ht="15.05" x14ac:dyDescent="0.3">
      <c r="A10" s="213"/>
      <c r="B10" s="211" t="s">
        <v>0</v>
      </c>
      <c r="C10" s="211" t="s">
        <v>1</v>
      </c>
      <c r="D10" s="211" t="s">
        <v>2</v>
      </c>
      <c r="E10" s="211" t="s">
        <v>103</v>
      </c>
      <c r="F10" s="211" t="s">
        <v>37</v>
      </c>
      <c r="G10" s="211" t="s">
        <v>3</v>
      </c>
    </row>
    <row r="11" spans="1:7" ht="15.05" x14ac:dyDescent="0.3">
      <c r="A11" s="213"/>
      <c r="B11" s="211"/>
      <c r="C11" s="218">
        <f>4*A5</f>
        <v>16</v>
      </c>
      <c r="D11" s="217" t="s">
        <v>12</v>
      </c>
      <c r="E11" s="216">
        <v>0.3</v>
      </c>
      <c r="F11" s="215">
        <f>C11*VLOOKUP(D11,PESOS!$B$3:$F$26,5,FALSE)*E11</f>
        <v>10.739665019471461</v>
      </c>
      <c r="G11" s="214" t="s">
        <v>196</v>
      </c>
    </row>
    <row r="12" spans="1:7" ht="15.05" x14ac:dyDescent="0.3">
      <c r="A12" s="213"/>
      <c r="B12" s="308"/>
      <c r="C12" s="308"/>
      <c r="D12" s="308"/>
      <c r="E12" s="308"/>
      <c r="F12" s="212"/>
      <c r="G12" s="211"/>
    </row>
    <row r="13" spans="1:7" ht="21.3" x14ac:dyDescent="0.4">
      <c r="A13" s="309" t="s">
        <v>122</v>
      </c>
      <c r="B13" s="309"/>
      <c r="C13" s="309"/>
      <c r="D13" s="309"/>
      <c r="E13" s="309"/>
      <c r="F13" s="210">
        <f>SUM(F11:F12)</f>
        <v>10.739665019471461</v>
      </c>
      <c r="G13" s="209"/>
    </row>
  </sheetData>
  <mergeCells count="4">
    <mergeCell ref="A2:G2"/>
    <mergeCell ref="A7:D7"/>
    <mergeCell ref="B12:E12"/>
    <mergeCell ref="A13:E13"/>
  </mergeCells>
  <pageMargins left="0.74803149606299213" right="0.74803149606299213" top="1.5354330708661419" bottom="0.98425196850393704" header="0" footer="0"/>
  <pageSetup paperSize="153" scale="71" orientation="portrait" horizontalDpi="4294967293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EC48-4420-45F8-84C7-57FC4FD07A94}">
  <sheetPr codeName="Hoja13">
    <tabColor rgb="FF00B0F0"/>
  </sheetPr>
  <dimension ref="A1:G13"/>
  <sheetViews>
    <sheetView view="pageBreakPreview" zoomScaleNormal="115" zoomScaleSheetLayoutView="100" workbookViewId="0">
      <selection activeCell="E5" sqref="E5"/>
    </sheetView>
  </sheetViews>
  <sheetFormatPr baseColWidth="10" defaultColWidth="11.44140625" defaultRowHeight="12.55" x14ac:dyDescent="0.2"/>
  <cols>
    <col min="1" max="1" width="13.6640625" style="124" bestFit="1" customWidth="1"/>
    <col min="2" max="2" width="13.88671875" style="124" customWidth="1"/>
    <col min="3" max="3" width="9.44140625" style="124" bestFit="1" customWidth="1"/>
    <col min="4" max="4" width="10.44140625" style="124" bestFit="1" customWidth="1"/>
    <col min="5" max="5" width="12.5546875" style="124" customWidth="1"/>
    <col min="6" max="6" width="14.109375" style="124" customWidth="1"/>
    <col min="7" max="7" width="23.109375" style="124" bestFit="1" customWidth="1"/>
    <col min="8" max="8" width="12" style="124" bestFit="1" customWidth="1"/>
    <col min="9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14"/>
      <c r="G1" s="177"/>
    </row>
    <row r="2" spans="1:7" ht="30.05" customHeight="1" x14ac:dyDescent="0.5">
      <c r="A2" s="294" t="s">
        <v>228</v>
      </c>
      <c r="B2" s="294"/>
      <c r="C2" s="294"/>
      <c r="D2" s="294"/>
      <c r="E2" s="294"/>
      <c r="F2" s="294"/>
      <c r="G2" s="294"/>
    </row>
    <row r="3" spans="1:7" ht="13.95" customHeight="1" x14ac:dyDescent="0.3">
      <c r="A3" s="171"/>
      <c r="B3" s="172" t="s">
        <v>190</v>
      </c>
      <c r="C3" s="172"/>
      <c r="D3" s="155"/>
      <c r="E3" s="155"/>
      <c r="F3" s="155"/>
      <c r="G3" s="173"/>
    </row>
    <row r="4" spans="1:7" ht="13.95" customHeight="1" x14ac:dyDescent="0.3">
      <c r="A4" s="180" t="s">
        <v>189</v>
      </c>
      <c r="B4" s="127" t="s">
        <v>98</v>
      </c>
      <c r="C4" s="127" t="s">
        <v>99</v>
      </c>
      <c r="D4" s="127" t="s">
        <v>100</v>
      </c>
      <c r="E4" s="127" t="s">
        <v>101</v>
      </c>
      <c r="F4" s="155"/>
      <c r="G4" s="174" t="s">
        <v>3</v>
      </c>
    </row>
    <row r="5" spans="1:7" ht="13.95" customHeight="1" x14ac:dyDescent="0.3">
      <c r="A5" s="171">
        <v>4</v>
      </c>
      <c r="B5" s="175">
        <v>0.4</v>
      </c>
      <c r="C5" s="175">
        <v>0.5</v>
      </c>
      <c r="D5" s="175">
        <v>0.4</v>
      </c>
      <c r="E5" s="129">
        <f>+B5*C5*D5*A5</f>
        <v>0.32000000000000006</v>
      </c>
      <c r="F5" s="155"/>
      <c r="G5" s="155" t="s">
        <v>230</v>
      </c>
    </row>
    <row r="6" spans="1:7" ht="13.95" customHeight="1" x14ac:dyDescent="0.3">
      <c r="A6" s="171"/>
      <c r="B6" s="126"/>
      <c r="C6" s="126"/>
      <c r="D6" s="175"/>
      <c r="E6" s="129"/>
      <c r="F6" s="155"/>
      <c r="G6" s="155"/>
    </row>
    <row r="7" spans="1:7" ht="21.3" x14ac:dyDescent="0.3">
      <c r="A7" s="307" t="s">
        <v>121</v>
      </c>
      <c r="B7" s="307"/>
      <c r="C7" s="307"/>
      <c r="D7" s="307"/>
      <c r="E7" s="224">
        <f>+SUM(E5:E5)</f>
        <v>0.32000000000000006</v>
      </c>
      <c r="F7" s="223"/>
      <c r="G7" s="222"/>
    </row>
    <row r="8" spans="1:7" ht="15.05" x14ac:dyDescent="0.3">
      <c r="A8" s="114"/>
      <c r="B8" s="122"/>
      <c r="C8" s="221"/>
      <c r="D8" s="122"/>
      <c r="E8" s="122"/>
      <c r="F8" s="122"/>
      <c r="G8" s="123"/>
    </row>
    <row r="9" spans="1:7" ht="15.05" x14ac:dyDescent="0.3">
      <c r="A9" s="213"/>
      <c r="B9" s="220" t="s">
        <v>188</v>
      </c>
      <c r="C9" s="219"/>
      <c r="D9" s="219"/>
      <c r="E9" s="219"/>
      <c r="F9" s="219"/>
      <c r="G9" s="219"/>
    </row>
    <row r="10" spans="1:7" ht="15.05" x14ac:dyDescent="0.3">
      <c r="A10" s="213"/>
      <c r="B10" s="211" t="s">
        <v>0</v>
      </c>
      <c r="C10" s="211" t="s">
        <v>1</v>
      </c>
      <c r="D10" s="211" t="s">
        <v>2</v>
      </c>
      <c r="E10" s="211" t="s">
        <v>103</v>
      </c>
      <c r="F10" s="211" t="s">
        <v>37</v>
      </c>
      <c r="G10" s="211" t="s">
        <v>3</v>
      </c>
    </row>
    <row r="11" spans="1:7" ht="15.05" x14ac:dyDescent="0.3">
      <c r="A11" s="213"/>
      <c r="B11" s="211"/>
      <c r="C11" s="218">
        <f>4*A5</f>
        <v>16</v>
      </c>
      <c r="D11" s="217" t="s">
        <v>12</v>
      </c>
      <c r="E11" s="216">
        <v>0.3</v>
      </c>
      <c r="F11" s="215">
        <f>C11*VLOOKUP(D11,PESOS!$B$3:$F$26,5,FALSE)*E11</f>
        <v>10.739665019471461</v>
      </c>
      <c r="G11" s="214" t="s">
        <v>196</v>
      </c>
    </row>
    <row r="12" spans="1:7" ht="15.05" x14ac:dyDescent="0.3">
      <c r="A12" s="213"/>
      <c r="B12" s="308"/>
      <c r="C12" s="308"/>
      <c r="D12" s="308"/>
      <c r="E12" s="308"/>
      <c r="F12" s="212"/>
      <c r="G12" s="211"/>
    </row>
    <row r="13" spans="1:7" ht="21.3" x14ac:dyDescent="0.4">
      <c r="A13" s="309" t="s">
        <v>122</v>
      </c>
      <c r="B13" s="309"/>
      <c r="C13" s="309"/>
      <c r="D13" s="309"/>
      <c r="E13" s="309"/>
      <c r="F13" s="210">
        <f>SUM(F11:F12)</f>
        <v>10.739665019471461</v>
      </c>
      <c r="G13" s="209"/>
    </row>
  </sheetData>
  <mergeCells count="4">
    <mergeCell ref="A2:G2"/>
    <mergeCell ref="A7:D7"/>
    <mergeCell ref="B12:E12"/>
    <mergeCell ref="A13:E13"/>
  </mergeCells>
  <pageMargins left="0.74803149606299213" right="0.74803149606299213" top="1.5354330708661419" bottom="0.98425196850393704" header="0" footer="0"/>
  <pageSetup paperSize="153" scale="71" orientation="portrait" horizontalDpi="4294967293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75E6-D172-4A71-A18A-424722BCD541}">
  <sheetPr codeName="Hoja14">
    <tabColor rgb="FF00B0F0"/>
  </sheetPr>
  <dimension ref="A1:G13"/>
  <sheetViews>
    <sheetView view="pageBreakPreview" zoomScaleNormal="115" zoomScaleSheetLayoutView="100" workbookViewId="0">
      <selection activeCell="A9" sqref="A9:G13"/>
    </sheetView>
  </sheetViews>
  <sheetFormatPr baseColWidth="10" defaultColWidth="11.44140625" defaultRowHeight="12.55" x14ac:dyDescent="0.2"/>
  <cols>
    <col min="1" max="1" width="13.6640625" style="124" bestFit="1" customWidth="1"/>
    <col min="2" max="2" width="13.88671875" style="124" customWidth="1"/>
    <col min="3" max="3" width="9.44140625" style="124" bestFit="1" customWidth="1"/>
    <col min="4" max="4" width="10.44140625" style="124" bestFit="1" customWidth="1"/>
    <col min="5" max="5" width="12.5546875" style="124" customWidth="1"/>
    <col min="6" max="6" width="14.109375" style="124" customWidth="1"/>
    <col min="7" max="7" width="23.109375" style="124" bestFit="1" customWidth="1"/>
    <col min="8" max="8" width="12" style="124" bestFit="1" customWidth="1"/>
    <col min="9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14"/>
      <c r="G1" s="177"/>
    </row>
    <row r="2" spans="1:7" ht="30.05" customHeight="1" x14ac:dyDescent="0.5">
      <c r="A2" s="294" t="s">
        <v>229</v>
      </c>
      <c r="B2" s="294"/>
      <c r="C2" s="294"/>
      <c r="D2" s="294"/>
      <c r="E2" s="294"/>
      <c r="F2" s="294"/>
      <c r="G2" s="294"/>
    </row>
    <row r="3" spans="1:7" ht="13.95" customHeight="1" x14ac:dyDescent="0.3">
      <c r="A3" s="171"/>
      <c r="B3" s="172" t="s">
        <v>190</v>
      </c>
      <c r="C3" s="172"/>
      <c r="D3" s="155"/>
      <c r="E3" s="155"/>
      <c r="F3" s="155"/>
      <c r="G3" s="173"/>
    </row>
    <row r="4" spans="1:7" ht="13.95" customHeight="1" x14ac:dyDescent="0.3">
      <c r="A4" s="180" t="s">
        <v>189</v>
      </c>
      <c r="B4" s="127" t="s">
        <v>98</v>
      </c>
      <c r="C4" s="127" t="s">
        <v>99</v>
      </c>
      <c r="D4" s="127" t="s">
        <v>100</v>
      </c>
      <c r="E4" s="127" t="s">
        <v>101</v>
      </c>
      <c r="F4" s="155"/>
      <c r="G4" s="174" t="s">
        <v>3</v>
      </c>
    </row>
    <row r="5" spans="1:7" ht="13.95" customHeight="1" x14ac:dyDescent="0.3">
      <c r="A5" s="171">
        <v>4</v>
      </c>
      <c r="B5" s="175">
        <v>0.4</v>
      </c>
      <c r="C5" s="175">
        <v>0.5</v>
      </c>
      <c r="D5" s="175">
        <v>0.4</v>
      </c>
      <c r="E5" s="129">
        <f>+B5*C5*D5*A5</f>
        <v>0.32000000000000006</v>
      </c>
      <c r="F5" s="155"/>
      <c r="G5" s="155" t="s">
        <v>230</v>
      </c>
    </row>
    <row r="6" spans="1:7" ht="13.95" customHeight="1" x14ac:dyDescent="0.3">
      <c r="A6" s="171"/>
      <c r="B6" s="126"/>
      <c r="C6" s="126"/>
      <c r="D6" s="175"/>
      <c r="E6" s="129"/>
      <c r="F6" s="155"/>
      <c r="G6" s="155"/>
    </row>
    <row r="7" spans="1:7" ht="21.3" x14ac:dyDescent="0.3">
      <c r="A7" s="307" t="s">
        <v>121</v>
      </c>
      <c r="B7" s="307"/>
      <c r="C7" s="307"/>
      <c r="D7" s="307"/>
      <c r="E7" s="224">
        <f>+SUM(E5:E5)</f>
        <v>0.32000000000000006</v>
      </c>
      <c r="F7" s="223"/>
      <c r="G7" s="222"/>
    </row>
    <row r="8" spans="1:7" ht="15.05" x14ac:dyDescent="0.3">
      <c r="A8" s="114"/>
      <c r="B8" s="122"/>
      <c r="C8" s="221"/>
      <c r="D8" s="122"/>
      <c r="E8" s="122"/>
      <c r="F8" s="122"/>
      <c r="G8" s="123"/>
    </row>
    <row r="9" spans="1:7" ht="15.05" x14ac:dyDescent="0.3">
      <c r="A9" s="213"/>
      <c r="B9" s="220" t="s">
        <v>188</v>
      </c>
      <c r="C9" s="219"/>
      <c r="D9" s="219"/>
      <c r="E9" s="219"/>
      <c r="F9" s="219"/>
      <c r="G9" s="219"/>
    </row>
    <row r="10" spans="1:7" ht="15.05" x14ac:dyDescent="0.3">
      <c r="A10" s="213"/>
      <c r="B10" s="211" t="s">
        <v>0</v>
      </c>
      <c r="C10" s="211" t="s">
        <v>1</v>
      </c>
      <c r="D10" s="211" t="s">
        <v>2</v>
      </c>
      <c r="E10" s="211" t="s">
        <v>103</v>
      </c>
      <c r="F10" s="211" t="s">
        <v>37</v>
      </c>
      <c r="G10" s="211" t="s">
        <v>3</v>
      </c>
    </row>
    <row r="11" spans="1:7" ht="15.05" x14ac:dyDescent="0.3">
      <c r="A11" s="213"/>
      <c r="B11" s="211"/>
      <c r="C11" s="218">
        <f>4*A5</f>
        <v>16</v>
      </c>
      <c r="D11" s="217" t="s">
        <v>12</v>
      </c>
      <c r="E11" s="216">
        <v>0.3</v>
      </c>
      <c r="F11" s="215">
        <f>C11*VLOOKUP(D11,PESOS!$B$3:$F$26,5,FALSE)*E11</f>
        <v>10.739665019471461</v>
      </c>
      <c r="G11" s="214" t="s">
        <v>196</v>
      </c>
    </row>
    <row r="12" spans="1:7" ht="15.05" x14ac:dyDescent="0.3">
      <c r="A12" s="213"/>
      <c r="B12" s="308"/>
      <c r="C12" s="308"/>
      <c r="D12" s="308"/>
      <c r="E12" s="308"/>
      <c r="F12" s="212"/>
      <c r="G12" s="211"/>
    </row>
    <row r="13" spans="1:7" ht="21.3" x14ac:dyDescent="0.4">
      <c r="A13" s="309" t="s">
        <v>122</v>
      </c>
      <c r="B13" s="309"/>
      <c r="C13" s="309"/>
      <c r="D13" s="309"/>
      <c r="E13" s="309"/>
      <c r="F13" s="210">
        <f>SUM(F11:F12)</f>
        <v>10.739665019471461</v>
      </c>
      <c r="G13" s="209"/>
    </row>
  </sheetData>
  <mergeCells count="4">
    <mergeCell ref="A2:G2"/>
    <mergeCell ref="A7:D7"/>
    <mergeCell ref="B12:E12"/>
    <mergeCell ref="A13:E13"/>
  </mergeCells>
  <pageMargins left="0.74803149606299213" right="0.74803149606299213" top="1.5354330708661419" bottom="0.98425196850393704" header="0" footer="0"/>
  <pageSetup paperSize="153" scale="71" orientation="portrait" horizontalDpi="4294967293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4AC3-25AD-4ADA-A7D2-786FD9A7F5D9}">
  <sheetPr codeName="Hoja15">
    <tabColor rgb="FFFFC000"/>
  </sheetPr>
  <dimension ref="A1:I39"/>
  <sheetViews>
    <sheetView view="pageBreakPreview" zoomScale="115" zoomScaleNormal="115" zoomScaleSheetLayoutView="115" workbookViewId="0">
      <selection activeCell="E12" sqref="E12"/>
    </sheetView>
  </sheetViews>
  <sheetFormatPr baseColWidth="10" defaultColWidth="11.44140625" defaultRowHeight="12.55" x14ac:dyDescent="0.2"/>
  <cols>
    <col min="1" max="1" width="10.88671875" style="1" bestFit="1" customWidth="1"/>
    <col min="2" max="2" width="19.109375" style="1" customWidth="1"/>
    <col min="3" max="3" width="11.6640625" style="1" bestFit="1" customWidth="1"/>
    <col min="4" max="4" width="15.88671875" style="1" bestFit="1" customWidth="1"/>
    <col min="5" max="5" width="10.88671875" style="1" bestFit="1" customWidth="1"/>
    <col min="6" max="6" width="15.5546875" style="1" customWidth="1"/>
    <col min="7" max="7" width="28.1093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9" ht="15.05" x14ac:dyDescent="0.3">
      <c r="A1" s="38"/>
      <c r="B1" s="38"/>
      <c r="C1" s="38"/>
      <c r="D1" s="38"/>
      <c r="E1" s="38"/>
      <c r="F1" s="38"/>
      <c r="G1" s="39"/>
    </row>
    <row r="2" spans="1:9" ht="26.3" x14ac:dyDescent="0.5">
      <c r="A2" s="290" t="s">
        <v>232</v>
      </c>
      <c r="B2" s="290"/>
      <c r="C2" s="290"/>
      <c r="D2" s="290"/>
      <c r="E2" s="290"/>
      <c r="F2" s="290"/>
      <c r="G2" s="290"/>
    </row>
    <row r="3" spans="1:9" ht="13.95" customHeight="1" x14ac:dyDescent="0.3">
      <c r="A3" s="119"/>
      <c r="B3" s="119"/>
      <c r="C3" s="119"/>
      <c r="D3" s="119"/>
      <c r="E3" s="119"/>
      <c r="F3" s="119"/>
      <c r="G3" s="119"/>
    </row>
    <row r="4" spans="1:9" ht="13.95" customHeight="1" x14ac:dyDescent="0.3">
      <c r="A4" s="48"/>
      <c r="B4" s="44"/>
      <c r="C4" s="44"/>
      <c r="D4" s="44"/>
      <c r="E4" s="29"/>
      <c r="F4" s="48"/>
      <c r="G4" s="119"/>
    </row>
    <row r="5" spans="1:9" ht="13.95" customHeight="1" x14ac:dyDescent="0.3">
      <c r="A5" s="49" t="s">
        <v>235</v>
      </c>
      <c r="B5" s="96"/>
      <c r="C5" s="49"/>
      <c r="D5" s="96"/>
      <c r="E5" s="96"/>
      <c r="F5" s="96"/>
      <c r="G5" s="96"/>
    </row>
    <row r="6" spans="1:9" ht="13.95" customHeight="1" x14ac:dyDescent="0.3">
      <c r="A6" s="71"/>
      <c r="B6" s="71" t="s">
        <v>105</v>
      </c>
      <c r="C6" s="71" t="s">
        <v>234</v>
      </c>
      <c r="D6" s="71" t="s">
        <v>143</v>
      </c>
      <c r="E6" s="71" t="s">
        <v>101</v>
      </c>
      <c r="F6" s="310" t="s">
        <v>102</v>
      </c>
      <c r="G6" s="310"/>
    </row>
    <row r="7" spans="1:9" ht="13.95" customHeight="1" x14ac:dyDescent="0.3">
      <c r="A7" s="44"/>
      <c r="B7" s="95">
        <v>1</v>
      </c>
      <c r="C7" s="113">
        <v>0.9274</v>
      </c>
      <c r="D7" s="44">
        <v>3.15</v>
      </c>
      <c r="E7" s="29">
        <f>B7*C7*D7</f>
        <v>2.9213100000000001</v>
      </c>
      <c r="F7" s="292" t="s">
        <v>236</v>
      </c>
      <c r="G7" s="292"/>
    </row>
    <row r="8" spans="1:9" ht="13.95" customHeight="1" x14ac:dyDescent="0.3">
      <c r="A8" s="44"/>
      <c r="B8" s="95">
        <v>1</v>
      </c>
      <c r="C8" s="113">
        <v>0.98760000000000003</v>
      </c>
      <c r="D8" s="44">
        <v>5.12</v>
      </c>
      <c r="E8" s="29">
        <f>B8*C8*D8</f>
        <v>5.0565120000000006</v>
      </c>
      <c r="F8" s="292" t="s">
        <v>237</v>
      </c>
      <c r="G8" s="292"/>
    </row>
    <row r="9" spans="1:9" ht="13.95" customHeight="1" x14ac:dyDescent="0.3">
      <c r="A9" s="44"/>
      <c r="B9" s="95">
        <v>1</v>
      </c>
      <c r="C9" s="113">
        <v>0.74070000000000003</v>
      </c>
      <c r="D9" s="44">
        <v>6.1</v>
      </c>
      <c r="E9" s="29">
        <f>B9*C9*D9</f>
        <v>4.5182700000000002</v>
      </c>
      <c r="F9" s="292" t="s">
        <v>238</v>
      </c>
      <c r="G9" s="292"/>
    </row>
    <row r="10" spans="1:9" ht="13.95" customHeight="1" x14ac:dyDescent="0.3">
      <c r="A10" s="44"/>
      <c r="B10" s="95"/>
      <c r="C10" s="97"/>
      <c r="D10" s="97"/>
      <c r="E10" s="29"/>
      <c r="F10" s="34"/>
      <c r="G10" s="96"/>
    </row>
    <row r="11" spans="1:9" ht="21.3" x14ac:dyDescent="0.4">
      <c r="A11" s="282" t="s">
        <v>121</v>
      </c>
      <c r="B11" s="282"/>
      <c r="C11" s="282"/>
      <c r="D11" s="54">
        <f>SUM(E4:E10)</f>
        <v>12.496092000000001</v>
      </c>
      <c r="E11" s="54"/>
      <c r="F11" s="54"/>
      <c r="G11" s="54"/>
    </row>
    <row r="12" spans="1:9" ht="13.95" customHeight="1" x14ac:dyDescent="0.3">
      <c r="A12" s="31"/>
      <c r="B12" s="27"/>
      <c r="C12" s="31"/>
      <c r="D12" s="32"/>
      <c r="E12" s="33"/>
      <c r="F12" s="33"/>
      <c r="G12" s="31"/>
    </row>
    <row r="13" spans="1:9" s="62" customFormat="1" ht="13.95" customHeight="1" x14ac:dyDescent="0.3">
      <c r="A13" s="24"/>
      <c r="B13" s="27"/>
      <c r="C13" s="31"/>
      <c r="D13" s="32"/>
      <c r="E13" s="33"/>
      <c r="F13" s="33"/>
      <c r="G13" s="31"/>
    </row>
    <row r="14" spans="1:9" s="62" customFormat="1" ht="13.95" customHeight="1" x14ac:dyDescent="0.3">
      <c r="A14" s="102"/>
      <c r="B14" s="265"/>
      <c r="C14" s="104"/>
      <c r="D14" s="105"/>
      <c r="E14" s="98"/>
      <c r="F14" s="102"/>
      <c r="G14" s="99"/>
    </row>
    <row r="15" spans="1:9" s="62" customFormat="1" ht="13.95" customHeight="1" x14ac:dyDescent="0.3">
      <c r="A15" s="288" t="s">
        <v>252</v>
      </c>
      <c r="B15" s="288"/>
      <c r="C15" s="288"/>
      <c r="D15" s="288"/>
      <c r="E15" s="288"/>
      <c r="F15" s="288"/>
      <c r="G15" s="288"/>
    </row>
    <row r="16" spans="1:9" s="62" customFormat="1" ht="13.95" customHeight="1" x14ac:dyDescent="0.3">
      <c r="A16" s="100"/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2"/>
      <c r="H16" s="63"/>
      <c r="I16" s="63"/>
    </row>
    <row r="17" spans="1:9" s="62" customFormat="1" ht="13.95" customHeight="1" x14ac:dyDescent="0.3">
      <c r="A17" s="154"/>
      <c r="B17" s="103">
        <f>15*B7</f>
        <v>15</v>
      </c>
      <c r="C17" s="103"/>
      <c r="D17" s="104" t="s">
        <v>9</v>
      </c>
      <c r="E17" s="105">
        <f>D7</f>
        <v>3.15</v>
      </c>
      <c r="F17" s="98">
        <f>+VLOOKUP(D17,PESOS!$B$3:$F$25,5,FALSE)*B17*E17</f>
        <v>26.429644383855546</v>
      </c>
      <c r="G17" s="102" t="s">
        <v>240</v>
      </c>
      <c r="H17" s="63"/>
      <c r="I17" s="63"/>
    </row>
    <row r="18" spans="1:9" s="62" customFormat="1" ht="13.95" customHeight="1" x14ac:dyDescent="0.3">
      <c r="A18" s="154"/>
      <c r="B18" s="103">
        <f>B7*15*ROUNDUP((D7/0.2),0)+2</f>
        <v>242</v>
      </c>
      <c r="C18" s="103"/>
      <c r="D18" s="104" t="s">
        <v>9</v>
      </c>
      <c r="E18" s="105">
        <v>0.5</v>
      </c>
      <c r="F18" s="98">
        <f>+VLOOKUP(D18,PESOS!$B$3:$F$25,5,FALSE)*B18*E18</f>
        <v>67.6822639247941</v>
      </c>
      <c r="G18" s="102" t="s">
        <v>241</v>
      </c>
      <c r="H18" s="63"/>
      <c r="I18" s="63"/>
    </row>
    <row r="19" spans="1:9" s="62" customFormat="1" ht="13.95" customHeight="1" x14ac:dyDescent="0.3">
      <c r="A19" s="154"/>
      <c r="B19" s="103">
        <f>(17+20)*B7</f>
        <v>37</v>
      </c>
      <c r="C19" s="103"/>
      <c r="D19" s="104" t="s">
        <v>28</v>
      </c>
      <c r="E19" s="105">
        <f>D7</f>
        <v>3.15</v>
      </c>
      <c r="F19" s="98">
        <f>+VLOOKUP(D19,PESOS!$B$3:$F$25,5,FALSE)*B19*E19</f>
        <v>35.210151683849048</v>
      </c>
      <c r="G19" s="102" t="s">
        <v>242</v>
      </c>
      <c r="H19" s="63"/>
      <c r="I19" s="63"/>
    </row>
    <row r="20" spans="1:9" s="62" customFormat="1" ht="13.95" customHeight="1" x14ac:dyDescent="0.3">
      <c r="A20" s="120"/>
      <c r="B20" s="103">
        <f>B7*ROUNDUP((D7/0.15),0)+1</f>
        <v>22</v>
      </c>
      <c r="C20" s="103"/>
      <c r="D20" s="104" t="s">
        <v>28</v>
      </c>
      <c r="E20" s="105">
        <f>2.5+2.9</f>
        <v>5.4</v>
      </c>
      <c r="F20" s="98">
        <f>+VLOOKUP(D20,PESOS!$B$3:$F$25,5,FALSE)*B20*E20</f>
        <v>35.889884341838417</v>
      </c>
      <c r="G20" s="102" t="s">
        <v>243</v>
      </c>
    </row>
    <row r="21" spans="1:9" s="62" customFormat="1" ht="13.95" customHeight="1" x14ac:dyDescent="0.3">
      <c r="A21" s="120"/>
      <c r="B21" s="103">
        <f>16*B8</f>
        <v>16</v>
      </c>
      <c r="C21" s="103"/>
      <c r="D21" s="104" t="s">
        <v>9</v>
      </c>
      <c r="E21" s="105">
        <f>D8</f>
        <v>5.12</v>
      </c>
      <c r="F21" s="98">
        <f>+VLOOKUP(D21,PESOS!$B$3:$F$25,5,FALSE)*B21*E21</f>
        <v>45.822570749744898</v>
      </c>
      <c r="G21" s="102" t="s">
        <v>244</v>
      </c>
    </row>
    <row r="22" spans="1:9" s="62" customFormat="1" ht="13.95" customHeight="1" x14ac:dyDescent="0.3">
      <c r="A22" s="120"/>
      <c r="B22" s="103">
        <f>B8*16*ROUNDUP((D8/0.2),0)+2</f>
        <v>418</v>
      </c>
      <c r="C22" s="103"/>
      <c r="D22" s="104" t="s">
        <v>9</v>
      </c>
      <c r="E22" s="105">
        <v>0.5</v>
      </c>
      <c r="F22" s="98">
        <f>+VLOOKUP(D22,PESOS!$B$3:$F$25,5,FALSE)*B22*E22</f>
        <v>116.90572859737163</v>
      </c>
      <c r="G22" s="102" t="s">
        <v>245</v>
      </c>
    </row>
    <row r="23" spans="1:9" s="62" customFormat="1" ht="13.95" customHeight="1" x14ac:dyDescent="0.3">
      <c r="A23" s="120"/>
      <c r="B23" s="103">
        <f>38*B8</f>
        <v>38</v>
      </c>
      <c r="C23" s="103"/>
      <c r="D23" s="104" t="s">
        <v>28</v>
      </c>
      <c r="E23" s="105">
        <f>D8</f>
        <v>5.12</v>
      </c>
      <c r="F23" s="98">
        <f>+VLOOKUP(D23,PESOS!$B$3:$F$25,5,FALSE)*B23*E23</f>
        <v>58.777238194849183</v>
      </c>
      <c r="G23" s="102" t="s">
        <v>246</v>
      </c>
    </row>
    <row r="24" spans="1:9" s="62" customFormat="1" ht="13.95" customHeight="1" x14ac:dyDescent="0.3">
      <c r="A24" s="120"/>
      <c r="B24" s="103">
        <f>B8*ROUNDUP((D8/0.15),0)+1</f>
        <v>36</v>
      </c>
      <c r="C24" s="103"/>
      <c r="D24" s="104" t="s">
        <v>28</v>
      </c>
      <c r="E24" s="105">
        <f>2.85+2.85</f>
        <v>5.7</v>
      </c>
      <c r="F24" s="98">
        <f>+VLOOKUP(D24,PESOS!$B$3:$F$25,5,FALSE)*B24*E24</f>
        <v>61.991618408629996</v>
      </c>
      <c r="G24" s="102" t="s">
        <v>247</v>
      </c>
    </row>
    <row r="25" spans="1:9" s="62" customFormat="1" ht="13.95" customHeight="1" x14ac:dyDescent="0.3">
      <c r="A25" s="120"/>
      <c r="B25" s="103">
        <f>(6+6)*B9</f>
        <v>12</v>
      </c>
      <c r="C25" s="103"/>
      <c r="D25" s="104" t="s">
        <v>9</v>
      </c>
      <c r="E25" s="105">
        <f>D9</f>
        <v>6.1</v>
      </c>
      <c r="F25" s="98">
        <f>+VLOOKUP(D25,PESOS!$B$3:$F$25,5,FALSE)*B25*E25</f>
        <v>40.944972886734945</v>
      </c>
      <c r="G25" s="102" t="s">
        <v>248</v>
      </c>
    </row>
    <row r="26" spans="1:9" s="62" customFormat="1" ht="13.95" customHeight="1" x14ac:dyDescent="0.3">
      <c r="A26" s="120"/>
      <c r="B26" s="103">
        <f>B9*12*ROUNDUP((D9/0.2),0)+2</f>
        <v>374</v>
      </c>
      <c r="C26" s="103"/>
      <c r="D26" s="104" t="s">
        <v>9</v>
      </c>
      <c r="E26" s="105">
        <v>0.5</v>
      </c>
      <c r="F26" s="98">
        <f>+VLOOKUP(D26,PESOS!$B$3:$F$25,5,FALSE)*B26*E26</f>
        <v>104.59986242922724</v>
      </c>
      <c r="G26" s="102" t="s">
        <v>249</v>
      </c>
    </row>
    <row r="27" spans="1:9" s="62" customFormat="1" ht="13.95" customHeight="1" x14ac:dyDescent="0.3">
      <c r="A27" s="267"/>
      <c r="B27" s="103">
        <f>(15+15)*B9</f>
        <v>30</v>
      </c>
      <c r="C27" s="103"/>
      <c r="D27" s="104" t="s">
        <v>28</v>
      </c>
      <c r="E27" s="105">
        <f>D9</f>
        <v>6.1</v>
      </c>
      <c r="F27" s="98">
        <f>+VLOOKUP(D27,PESOS!$B$3:$F$25,5,FALSE)*B27*E27</f>
        <v>55.284922849801603</v>
      </c>
      <c r="G27" s="102" t="s">
        <v>250</v>
      </c>
    </row>
    <row r="28" spans="1:9" s="62" customFormat="1" ht="13.95" customHeight="1" x14ac:dyDescent="0.3">
      <c r="A28" s="239"/>
      <c r="B28" s="103">
        <f>B9*ROUNDUP((D9/0.15),0)+1</f>
        <v>42</v>
      </c>
      <c r="C28" s="103"/>
      <c r="D28" s="104" t="s">
        <v>28</v>
      </c>
      <c r="E28" s="105">
        <f>2.15+2.15</f>
        <v>4.3</v>
      </c>
      <c r="F28" s="98">
        <f>+VLOOKUP(D28,PESOS!$B$3:$F$25,5,FALSE)*B28*E28</f>
        <v>54.559874681279616</v>
      </c>
      <c r="G28" s="102" t="s">
        <v>251</v>
      </c>
    </row>
    <row r="29" spans="1:9" s="62" customFormat="1" ht="13.95" customHeight="1" x14ac:dyDescent="0.3">
      <c r="A29" s="239"/>
      <c r="B29" s="239"/>
      <c r="C29" s="239"/>
      <c r="D29" s="239"/>
      <c r="E29" s="98"/>
      <c r="F29" s="98"/>
      <c r="G29" s="99"/>
    </row>
    <row r="30" spans="1:9" ht="21.3" x14ac:dyDescent="0.4">
      <c r="A30" s="289" t="s">
        <v>239</v>
      </c>
      <c r="B30" s="289"/>
      <c r="C30" s="289"/>
      <c r="D30" s="289"/>
      <c r="E30" s="289"/>
      <c r="F30" s="266">
        <f>SUM(F14:F29)</f>
        <v>704.09873313197625</v>
      </c>
      <c r="G30" s="64"/>
    </row>
    <row r="31" spans="1:9" ht="13.15" x14ac:dyDescent="0.25">
      <c r="A31" s="24"/>
      <c r="B31" s="24"/>
      <c r="C31" s="24"/>
      <c r="D31" s="24"/>
      <c r="E31" s="24"/>
      <c r="F31" s="24"/>
      <c r="G31" s="24"/>
    </row>
    <row r="32" spans="1:9" ht="15.05" x14ac:dyDescent="0.3">
      <c r="A32" s="286"/>
      <c r="B32" s="286"/>
      <c r="C32" s="286"/>
      <c r="D32" s="286"/>
      <c r="E32" s="286"/>
      <c r="F32" s="286"/>
      <c r="G32" s="286"/>
    </row>
    <row r="33" spans="1:7" ht="15.05" x14ac:dyDescent="0.3">
      <c r="A33" s="118"/>
      <c r="B33" s="118"/>
      <c r="C33" s="106"/>
      <c r="D33" s="106"/>
      <c r="E33" s="107"/>
      <c r="F33" s="118"/>
      <c r="G33" s="118"/>
    </row>
    <row r="34" spans="1:7" ht="15.05" x14ac:dyDescent="0.3">
      <c r="A34" s="118"/>
      <c r="B34" s="118"/>
      <c r="C34" s="118"/>
      <c r="D34" s="118"/>
      <c r="E34" s="118"/>
      <c r="F34" s="118"/>
      <c r="G34" s="118"/>
    </row>
    <row r="35" spans="1:7" ht="15.05" x14ac:dyDescent="0.3">
      <c r="A35" s="108"/>
      <c r="B35" s="108"/>
      <c r="C35" s="108"/>
      <c r="D35" s="108"/>
      <c r="E35" s="108"/>
      <c r="F35" s="108"/>
      <c r="G35" s="59"/>
    </row>
    <row r="36" spans="1:7" ht="15.05" x14ac:dyDescent="0.3">
      <c r="A36" s="59"/>
      <c r="B36" s="78"/>
      <c r="C36" s="78"/>
      <c r="D36" s="109"/>
      <c r="E36" s="77"/>
      <c r="F36" s="33"/>
      <c r="G36" s="59"/>
    </row>
    <row r="37" spans="1:7" ht="15.05" x14ac:dyDescent="0.3">
      <c r="A37" s="59"/>
      <c r="B37" s="78"/>
      <c r="C37" s="110"/>
      <c r="D37" s="111"/>
      <c r="E37" s="77"/>
      <c r="F37" s="33"/>
      <c r="G37" s="59"/>
    </row>
    <row r="38" spans="1:7" ht="21.3" x14ac:dyDescent="0.4">
      <c r="A38" s="279"/>
      <c r="B38" s="279"/>
      <c r="C38" s="279"/>
      <c r="D38" s="279"/>
      <c r="E38" s="279"/>
      <c r="F38" s="112"/>
      <c r="G38" s="24"/>
    </row>
    <row r="39" spans="1:7" ht="13.15" x14ac:dyDescent="0.25">
      <c r="A39" s="24"/>
      <c r="B39" s="24"/>
      <c r="C39" s="24"/>
      <c r="D39" s="24"/>
      <c r="E39" s="24"/>
      <c r="F39" s="24"/>
      <c r="G39" s="24"/>
    </row>
  </sheetData>
  <mergeCells count="10">
    <mergeCell ref="A2:G2"/>
    <mergeCell ref="F7:G7"/>
    <mergeCell ref="A11:C11"/>
    <mergeCell ref="F6:G6"/>
    <mergeCell ref="A38:E38"/>
    <mergeCell ref="A15:G15"/>
    <mergeCell ref="A30:E30"/>
    <mergeCell ref="A32:G32"/>
    <mergeCell ref="F8:G8"/>
    <mergeCell ref="F9:G9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AE56-1229-4D42-9DDC-5C7E8BDF11F8}">
  <sheetPr codeName="Hoja16">
    <tabColor theme="7" tint="0.39997558519241921"/>
  </sheetPr>
  <dimension ref="A1:K41"/>
  <sheetViews>
    <sheetView view="pageBreakPreview" zoomScale="85" zoomScaleNormal="115" zoomScaleSheetLayoutView="85" workbookViewId="0">
      <selection activeCell="K17" sqref="K17"/>
    </sheetView>
  </sheetViews>
  <sheetFormatPr baseColWidth="10" defaultColWidth="11.44140625" defaultRowHeight="12.55" x14ac:dyDescent="0.2"/>
  <cols>
    <col min="1" max="1" width="13" style="1" customWidth="1"/>
    <col min="2" max="2" width="16.5546875" style="1" bestFit="1" customWidth="1"/>
    <col min="3" max="3" width="13.88671875" style="1" bestFit="1" customWidth="1"/>
    <col min="4" max="4" width="12.6640625" style="1" bestFit="1" customWidth="1"/>
    <col min="5" max="5" width="17" style="1" bestFit="1" customWidth="1"/>
    <col min="6" max="6" width="15.5546875" style="1" customWidth="1"/>
    <col min="7" max="7" width="28.1093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7" ht="15.05" x14ac:dyDescent="0.3">
      <c r="A1" s="38"/>
      <c r="B1" s="38"/>
      <c r="C1" s="38"/>
      <c r="D1" s="38"/>
      <c r="E1" s="38"/>
      <c r="F1" s="38"/>
      <c r="G1" s="39"/>
    </row>
    <row r="2" spans="1:7" ht="26.3" x14ac:dyDescent="0.5">
      <c r="A2" s="290" t="s">
        <v>253</v>
      </c>
      <c r="B2" s="290"/>
      <c r="C2" s="290"/>
      <c r="D2" s="290"/>
      <c r="E2" s="290"/>
      <c r="F2" s="290"/>
      <c r="G2" s="290"/>
    </row>
    <row r="3" spans="1:7" ht="13.95" customHeight="1" x14ac:dyDescent="0.3">
      <c r="A3" s="119"/>
      <c r="B3" s="119"/>
      <c r="C3" s="119"/>
      <c r="D3" s="119"/>
      <c r="E3" s="119"/>
      <c r="F3" s="119"/>
      <c r="G3" s="119"/>
    </row>
    <row r="4" spans="1:7" ht="13.95" customHeight="1" x14ac:dyDescent="0.3">
      <c r="A4" s="49" t="s">
        <v>254</v>
      </c>
      <c r="B4" s="49"/>
      <c r="C4" s="34"/>
      <c r="D4" s="34"/>
      <c r="E4" s="35"/>
      <c r="F4" s="35"/>
      <c r="G4" s="119"/>
    </row>
    <row r="5" spans="1:7" ht="13.95" customHeight="1" x14ac:dyDescent="0.3">
      <c r="A5" s="156" t="s">
        <v>105</v>
      </c>
      <c r="B5" s="71" t="s">
        <v>123</v>
      </c>
      <c r="C5" s="71" t="s">
        <v>111</v>
      </c>
      <c r="D5" s="71" t="s">
        <v>100</v>
      </c>
      <c r="E5" s="71" t="s">
        <v>101</v>
      </c>
      <c r="F5" s="311" t="s">
        <v>3</v>
      </c>
      <c r="G5" s="311"/>
    </row>
    <row r="6" spans="1:7" ht="13.95" customHeight="1" x14ac:dyDescent="0.3">
      <c r="A6" s="48">
        <v>1</v>
      </c>
      <c r="B6" s="44">
        <v>0.3</v>
      </c>
      <c r="C6" s="44">
        <v>0.3</v>
      </c>
      <c r="D6" s="44">
        <v>29.5</v>
      </c>
      <c r="E6" s="29">
        <f>+B6*C6*D6*A6</f>
        <v>2.6549999999999998</v>
      </c>
      <c r="F6" s="292" t="s">
        <v>256</v>
      </c>
      <c r="G6" s="292"/>
    </row>
    <row r="7" spans="1:7" ht="13.95" customHeight="1" x14ac:dyDescent="0.3">
      <c r="A7" s="48"/>
      <c r="B7" s="44"/>
      <c r="C7" s="44"/>
      <c r="D7" s="44"/>
      <c r="E7" s="29"/>
      <c r="F7" s="48"/>
      <c r="G7" s="119"/>
    </row>
    <row r="8" spans="1:7" ht="13.95" customHeight="1" x14ac:dyDescent="0.3">
      <c r="A8" s="49" t="s">
        <v>255</v>
      </c>
      <c r="B8" s="96"/>
      <c r="C8" s="49"/>
      <c r="D8" s="96"/>
      <c r="E8" s="96"/>
      <c r="F8" s="96"/>
      <c r="G8" s="96"/>
    </row>
    <row r="9" spans="1:7" ht="13.95" customHeight="1" x14ac:dyDescent="0.3">
      <c r="A9" s="71"/>
      <c r="B9" s="71" t="s">
        <v>105</v>
      </c>
      <c r="C9" s="71" t="s">
        <v>234</v>
      </c>
      <c r="D9" s="71" t="s">
        <v>143</v>
      </c>
      <c r="E9" s="71" t="s">
        <v>101</v>
      </c>
      <c r="F9" s="310" t="s">
        <v>102</v>
      </c>
      <c r="G9" s="310"/>
    </row>
    <row r="10" spans="1:7" ht="13.95" customHeight="1" x14ac:dyDescent="0.3">
      <c r="A10" s="48"/>
      <c r="B10" s="95">
        <v>1</v>
      </c>
      <c r="C10" s="113">
        <v>4.4900000000000002E-2</v>
      </c>
      <c r="D10" s="44">
        <v>29.5</v>
      </c>
      <c r="E10" s="29">
        <f>B10*C10*D10</f>
        <v>1.3245500000000001</v>
      </c>
      <c r="F10" s="292" t="s">
        <v>257</v>
      </c>
      <c r="G10" s="292"/>
    </row>
    <row r="11" spans="1:7" ht="13.95" customHeight="1" x14ac:dyDescent="0.3">
      <c r="A11" s="48"/>
      <c r="B11" s="95"/>
      <c r="C11" s="113"/>
      <c r="D11" s="44"/>
      <c r="E11" s="29"/>
      <c r="F11" s="48"/>
      <c r="G11" s="48"/>
    </row>
    <row r="12" spans="1:7" ht="13.95" customHeight="1" x14ac:dyDescent="0.3">
      <c r="A12" s="49" t="s">
        <v>258</v>
      </c>
      <c r="B12" s="96"/>
      <c r="C12" s="49"/>
      <c r="D12" s="96"/>
      <c r="E12" s="96"/>
      <c r="F12" s="96"/>
      <c r="G12" s="96"/>
    </row>
    <row r="13" spans="1:7" ht="13.95" customHeight="1" x14ac:dyDescent="0.3">
      <c r="A13" s="71"/>
      <c r="B13" s="71" t="s">
        <v>105</v>
      </c>
      <c r="C13" s="71" t="s">
        <v>259</v>
      </c>
      <c r="D13" s="71" t="s">
        <v>197</v>
      </c>
      <c r="E13" s="71" t="s">
        <v>101</v>
      </c>
      <c r="F13" s="310" t="s">
        <v>102</v>
      </c>
      <c r="G13" s="310"/>
    </row>
    <row r="14" spans="1:7" ht="13.95" customHeight="1" x14ac:dyDescent="0.3">
      <c r="A14" s="48"/>
      <c r="B14" s="95">
        <v>1</v>
      </c>
      <c r="C14" s="113">
        <v>35.200000000000003</v>
      </c>
      <c r="D14" s="44">
        <v>0.1</v>
      </c>
      <c r="E14" s="29">
        <f>B14*C14*D14</f>
        <v>3.5200000000000005</v>
      </c>
      <c r="F14" s="292" t="s">
        <v>260</v>
      </c>
      <c r="G14" s="292"/>
    </row>
    <row r="15" spans="1:7" ht="13.95" customHeight="1" x14ac:dyDescent="0.3">
      <c r="A15" s="44"/>
      <c r="B15" s="95"/>
      <c r="C15" s="97"/>
      <c r="D15" s="97"/>
      <c r="E15" s="29"/>
      <c r="F15" s="34"/>
      <c r="G15" s="96"/>
    </row>
    <row r="16" spans="1:7" ht="21.3" x14ac:dyDescent="0.4">
      <c r="A16" s="282" t="s">
        <v>121</v>
      </c>
      <c r="B16" s="282"/>
      <c r="C16" s="282"/>
      <c r="D16" s="282"/>
      <c r="E16" s="54">
        <f>SUM(E5:E15)</f>
        <v>7.4995500000000002</v>
      </c>
      <c r="F16" s="54"/>
      <c r="G16" s="54"/>
    </row>
    <row r="17" spans="1:11" ht="13.95" customHeight="1" x14ac:dyDescent="0.3">
      <c r="A17" s="31"/>
      <c r="B17" s="27"/>
      <c r="C17" s="31"/>
      <c r="D17" s="32"/>
      <c r="E17" s="33"/>
      <c r="F17" s="33"/>
      <c r="G17" s="31"/>
    </row>
    <row r="18" spans="1:11" s="62" customFormat="1" ht="13.95" customHeight="1" x14ac:dyDescent="0.3">
      <c r="A18" s="24"/>
      <c r="B18" s="27"/>
      <c r="C18" s="31"/>
      <c r="D18" s="32"/>
      <c r="E18" s="33"/>
      <c r="F18" s="33"/>
      <c r="G18" s="31"/>
    </row>
    <row r="19" spans="1:11" s="62" customFormat="1" ht="13.95" customHeight="1" x14ac:dyDescent="0.3">
      <c r="A19" s="288" t="s">
        <v>261</v>
      </c>
      <c r="B19" s="288"/>
      <c r="C19" s="288"/>
      <c r="D19" s="288"/>
      <c r="E19" s="288"/>
      <c r="F19" s="288"/>
      <c r="G19" s="288"/>
    </row>
    <row r="20" spans="1:11" s="62" customFormat="1" ht="13.95" customHeight="1" x14ac:dyDescent="0.3">
      <c r="A20" s="102"/>
      <c r="B20" s="101" t="s">
        <v>124</v>
      </c>
      <c r="C20" s="268"/>
      <c r="D20" s="101" t="s">
        <v>104</v>
      </c>
      <c r="E20" s="101" t="s">
        <v>113</v>
      </c>
      <c r="F20" s="101" t="s">
        <v>268</v>
      </c>
      <c r="G20" s="102" t="s">
        <v>3</v>
      </c>
      <c r="H20" s="63"/>
      <c r="K20" s="102"/>
    </row>
    <row r="21" spans="1:11" s="62" customFormat="1" ht="13.95" customHeight="1" x14ac:dyDescent="0.3">
      <c r="A21" s="102"/>
      <c r="B21" s="265">
        <f>4*ROUNDUP(((D6/(6-0.6))),0)+1</f>
        <v>25</v>
      </c>
      <c r="D21" s="104" t="s">
        <v>10</v>
      </c>
      <c r="E21" s="105">
        <v>6</v>
      </c>
      <c r="F21" s="98">
        <f>B21*VLOOKUP(D21,PESOS!$B$3:$F$26,5,FALSE)*E21</f>
        <v>149.16201415932591</v>
      </c>
      <c r="G21" s="102" t="s">
        <v>110</v>
      </c>
      <c r="H21" s="63"/>
      <c r="K21" s="102"/>
    </row>
    <row r="22" spans="1:11" s="62" customFormat="1" ht="13.95" customHeight="1" x14ac:dyDescent="0.3">
      <c r="A22" s="102"/>
      <c r="B22" s="265">
        <f>ROUNDUP(((D6/0.2)+2),0)</f>
        <v>150</v>
      </c>
      <c r="D22" s="104" t="s">
        <v>9</v>
      </c>
      <c r="E22" s="105">
        <v>1.08</v>
      </c>
      <c r="F22" s="98">
        <f>B22*VLOOKUP(D22,PESOS!$B$3:$F$26,5,FALSE)*E22</f>
        <v>90.615923601790456</v>
      </c>
      <c r="G22" s="102" t="s">
        <v>144</v>
      </c>
    </row>
    <row r="23" spans="1:11" s="62" customFormat="1" ht="13.95" customHeight="1" x14ac:dyDescent="0.3">
      <c r="A23" s="288" t="s">
        <v>262</v>
      </c>
      <c r="B23" s="288"/>
      <c r="C23" s="288"/>
      <c r="D23" s="288"/>
      <c r="E23" s="288"/>
      <c r="F23" s="288"/>
      <c r="G23" s="288"/>
    </row>
    <row r="24" spans="1:11" s="62" customFormat="1" ht="13.95" customHeight="1" x14ac:dyDescent="0.3">
      <c r="A24" s="100"/>
      <c r="B24" s="101" t="s">
        <v>124</v>
      </c>
      <c r="C24" s="101"/>
      <c r="D24" s="101" t="s">
        <v>104</v>
      </c>
      <c r="E24" s="101" t="s">
        <v>113</v>
      </c>
      <c r="F24" s="101" t="s">
        <v>268</v>
      </c>
      <c r="G24" s="102" t="s">
        <v>3</v>
      </c>
      <c r="H24" s="63"/>
      <c r="I24" s="63"/>
    </row>
    <row r="25" spans="1:11" s="62" customFormat="1" ht="13.95" customHeight="1" x14ac:dyDescent="0.3">
      <c r="A25" s="154"/>
      <c r="B25" s="265">
        <f>5*ROUNDUP(((D10/(6-0.6))),0)+1</f>
        <v>31</v>
      </c>
      <c r="C25" s="103"/>
      <c r="D25" s="104" t="s">
        <v>9</v>
      </c>
      <c r="E25" s="105">
        <v>6</v>
      </c>
      <c r="F25" s="98">
        <f>+VLOOKUP(D25,PESOS!$B$3:$F$25,5,FALSE)*B25*E25</f>
        <v>104.04050487612979</v>
      </c>
      <c r="G25" s="102" t="s">
        <v>136</v>
      </c>
      <c r="H25" s="63"/>
      <c r="I25" s="63"/>
    </row>
    <row r="26" spans="1:11" s="62" customFormat="1" ht="13.95" customHeight="1" x14ac:dyDescent="0.3">
      <c r="A26" s="154"/>
      <c r="B26" s="265">
        <f>ROUNDUP(((D10/0.1)+2),0)</f>
        <v>297</v>
      </c>
      <c r="C26" s="103"/>
      <c r="D26" s="104" t="s">
        <v>9</v>
      </c>
      <c r="E26" s="105">
        <v>0.95</v>
      </c>
      <c r="F26" s="98">
        <f>+VLOOKUP(D26,PESOS!$B$3:$F$25,5,FALSE)*B26*E26</f>
        <v>157.82273360645169</v>
      </c>
      <c r="G26" s="102" t="s">
        <v>137</v>
      </c>
      <c r="H26" s="63"/>
      <c r="I26" s="63"/>
    </row>
    <row r="27" spans="1:11" s="62" customFormat="1" ht="13.95" customHeight="1" x14ac:dyDescent="0.3">
      <c r="A27" s="154"/>
      <c r="B27" s="265"/>
      <c r="C27" s="103"/>
      <c r="D27" s="104"/>
      <c r="E27" s="105"/>
      <c r="F27" s="98"/>
      <c r="G27" s="102"/>
      <c r="H27" s="63"/>
      <c r="I27" s="63"/>
    </row>
    <row r="28" spans="1:11" s="62" customFormat="1" ht="13.95" customHeight="1" x14ac:dyDescent="0.3">
      <c r="A28" s="269" t="s">
        <v>267</v>
      </c>
      <c r="B28" s="270"/>
      <c r="C28" s="270"/>
      <c r="D28" s="270"/>
      <c r="E28" s="270"/>
      <c r="F28" s="270"/>
      <c r="G28" s="102"/>
      <c r="H28" s="63"/>
      <c r="I28" s="63"/>
    </row>
    <row r="29" spans="1:11" s="62" customFormat="1" ht="13.95" customHeight="1" x14ac:dyDescent="0.3">
      <c r="B29" s="100" t="s">
        <v>271</v>
      </c>
      <c r="C29" s="101" t="s">
        <v>270</v>
      </c>
      <c r="D29" s="101" t="s">
        <v>104</v>
      </c>
      <c r="E29" s="101" t="s">
        <v>269</v>
      </c>
      <c r="F29" s="101" t="s">
        <v>268</v>
      </c>
      <c r="G29" s="63" t="s">
        <v>3</v>
      </c>
      <c r="H29" s="63"/>
      <c r="I29" s="63"/>
    </row>
    <row r="30" spans="1:11" s="62" customFormat="1" ht="13.95" customHeight="1" x14ac:dyDescent="0.3">
      <c r="B30" s="104" t="s">
        <v>263</v>
      </c>
      <c r="C30" s="265">
        <v>5</v>
      </c>
      <c r="D30" s="104" t="s">
        <v>264</v>
      </c>
      <c r="E30" s="105" t="s">
        <v>265</v>
      </c>
      <c r="F30" s="98">
        <f>VLOOKUP(B30,MALLAS!$D$4:$K$41,8,FALSE)*C30</f>
        <v>286.99823337328701</v>
      </c>
      <c r="G30" s="102" t="s">
        <v>266</v>
      </c>
      <c r="H30" s="63"/>
      <c r="I30" s="63"/>
    </row>
    <row r="31" spans="1:11" s="62" customFormat="1" ht="13.95" customHeight="1" x14ac:dyDescent="0.3">
      <c r="A31" s="239"/>
      <c r="B31" s="239"/>
      <c r="C31" s="239"/>
      <c r="D31" s="239"/>
      <c r="E31" s="98"/>
      <c r="F31" s="98"/>
      <c r="G31" s="99"/>
    </row>
    <row r="32" spans="1:11" ht="21.3" x14ac:dyDescent="0.4">
      <c r="A32" s="289" t="s">
        <v>239</v>
      </c>
      <c r="B32" s="289"/>
      <c r="C32" s="289"/>
      <c r="D32" s="289"/>
      <c r="E32" s="289"/>
      <c r="F32" s="266">
        <f>SUM(F20:F31)</f>
        <v>788.63940961698484</v>
      </c>
      <c r="G32" s="64"/>
    </row>
    <row r="33" spans="1:7" ht="13.15" x14ac:dyDescent="0.25">
      <c r="A33" s="24"/>
      <c r="B33" s="24"/>
      <c r="C33" s="24"/>
      <c r="D33" s="24"/>
      <c r="E33" s="24"/>
      <c r="F33" s="24"/>
      <c r="G33" s="24"/>
    </row>
    <row r="34" spans="1:7" ht="15.05" x14ac:dyDescent="0.3">
      <c r="A34" s="286"/>
      <c r="B34" s="286"/>
      <c r="C34" s="286"/>
      <c r="D34" s="286"/>
      <c r="E34" s="286"/>
      <c r="F34" s="286"/>
      <c r="G34" s="286"/>
    </row>
    <row r="35" spans="1:7" ht="15.05" x14ac:dyDescent="0.3">
      <c r="A35" s="118"/>
      <c r="B35" s="118"/>
      <c r="C35" s="106"/>
      <c r="D35" s="106"/>
      <c r="E35" s="107"/>
      <c r="F35" s="118"/>
      <c r="G35" s="118"/>
    </row>
    <row r="36" spans="1:7" ht="15.05" x14ac:dyDescent="0.3">
      <c r="A36" s="118"/>
      <c r="B36" s="118"/>
      <c r="C36" s="118"/>
      <c r="D36" s="118"/>
      <c r="E36" s="118"/>
      <c r="F36" s="118"/>
      <c r="G36" s="118"/>
    </row>
    <row r="37" spans="1:7" ht="15.05" x14ac:dyDescent="0.3">
      <c r="A37" s="108"/>
      <c r="B37" s="108"/>
      <c r="C37" s="108"/>
      <c r="D37" s="108"/>
      <c r="E37" s="108"/>
      <c r="F37" s="108"/>
      <c r="G37" s="59"/>
    </row>
    <row r="38" spans="1:7" ht="15.05" x14ac:dyDescent="0.3">
      <c r="A38" s="59"/>
      <c r="B38" s="78"/>
      <c r="C38" s="78"/>
      <c r="D38" s="109"/>
      <c r="E38" s="77"/>
      <c r="F38" s="33"/>
      <c r="G38" s="59"/>
    </row>
    <row r="39" spans="1:7" ht="15.05" x14ac:dyDescent="0.3">
      <c r="A39" s="59"/>
      <c r="B39" s="78"/>
      <c r="C39" s="110"/>
      <c r="D39" s="111"/>
      <c r="E39" s="77"/>
      <c r="F39" s="33"/>
      <c r="G39" s="59"/>
    </row>
    <row r="40" spans="1:7" ht="21.3" x14ac:dyDescent="0.4">
      <c r="A40" s="279"/>
      <c r="B40" s="279"/>
      <c r="C40" s="279"/>
      <c r="D40" s="279"/>
      <c r="E40" s="279"/>
      <c r="F40" s="112"/>
      <c r="G40" s="24"/>
    </row>
    <row r="41" spans="1:7" ht="13.15" x14ac:dyDescent="0.25">
      <c r="A41" s="24"/>
      <c r="B41" s="24"/>
      <c r="C41" s="24"/>
      <c r="D41" s="24"/>
      <c r="E41" s="24"/>
      <c r="F41" s="24"/>
      <c r="G41" s="24"/>
    </row>
  </sheetData>
  <mergeCells count="13">
    <mergeCell ref="A32:E32"/>
    <mergeCell ref="A34:G34"/>
    <mergeCell ref="A40:E40"/>
    <mergeCell ref="F13:G13"/>
    <mergeCell ref="F14:G14"/>
    <mergeCell ref="A16:D16"/>
    <mergeCell ref="F10:G10"/>
    <mergeCell ref="A19:G19"/>
    <mergeCell ref="A23:G23"/>
    <mergeCell ref="A2:G2"/>
    <mergeCell ref="F5:G5"/>
    <mergeCell ref="F6:G6"/>
    <mergeCell ref="F9:G9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5473-12FA-4724-8047-522DCC60DB19}">
  <sheetPr>
    <tabColor theme="7" tint="0.39997558519241921"/>
  </sheetPr>
  <dimension ref="A1:I25"/>
  <sheetViews>
    <sheetView view="pageBreakPreview" zoomScale="85" zoomScaleNormal="115" zoomScaleSheetLayoutView="85" workbookViewId="0">
      <selection activeCell="H8" sqref="H8"/>
    </sheetView>
  </sheetViews>
  <sheetFormatPr baseColWidth="10" defaultColWidth="11.44140625" defaultRowHeight="12.55" x14ac:dyDescent="0.2"/>
  <cols>
    <col min="1" max="1" width="13" style="1" customWidth="1"/>
    <col min="2" max="2" width="16.5546875" style="1" bestFit="1" customWidth="1"/>
    <col min="3" max="3" width="13.88671875" style="1" bestFit="1" customWidth="1"/>
    <col min="4" max="4" width="12.6640625" style="1" bestFit="1" customWidth="1"/>
    <col min="5" max="5" width="17" style="1" bestFit="1" customWidth="1"/>
    <col min="6" max="6" width="15.5546875" style="1" customWidth="1"/>
    <col min="7" max="7" width="28.1093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9" ht="15.05" x14ac:dyDescent="0.3">
      <c r="A1" s="38"/>
      <c r="B1" s="38"/>
      <c r="C1" s="38"/>
      <c r="D1" s="38"/>
      <c r="E1" s="38"/>
      <c r="F1" s="38"/>
      <c r="G1" s="39"/>
    </row>
    <row r="2" spans="1:9" ht="26.3" x14ac:dyDescent="0.5">
      <c r="A2" s="290" t="s">
        <v>382</v>
      </c>
      <c r="B2" s="290"/>
      <c r="C2" s="290"/>
      <c r="D2" s="290"/>
      <c r="E2" s="290"/>
      <c r="F2" s="290"/>
      <c r="G2" s="290"/>
    </row>
    <row r="3" spans="1:9" ht="13.95" customHeight="1" x14ac:dyDescent="0.3">
      <c r="A3" s="119"/>
      <c r="B3" s="119"/>
      <c r="C3" s="119"/>
      <c r="D3" s="119"/>
      <c r="E3" s="119"/>
      <c r="F3" s="119"/>
      <c r="G3" s="119"/>
    </row>
    <row r="4" spans="1:9" ht="13.95" customHeight="1" x14ac:dyDescent="0.3">
      <c r="A4" s="49" t="s">
        <v>258</v>
      </c>
      <c r="B4" s="96"/>
      <c r="C4" s="49"/>
      <c r="D4" s="96"/>
      <c r="E4" s="96"/>
      <c r="F4" s="96"/>
      <c r="G4" s="96"/>
    </row>
    <row r="5" spans="1:9" ht="13.95" customHeight="1" x14ac:dyDescent="0.3">
      <c r="A5" s="71"/>
      <c r="B5" s="71" t="s">
        <v>105</v>
      </c>
      <c r="C5" s="71" t="s">
        <v>259</v>
      </c>
      <c r="D5" s="71" t="s">
        <v>197</v>
      </c>
      <c r="E5" s="71" t="s">
        <v>101</v>
      </c>
      <c r="F5" s="310" t="s">
        <v>102</v>
      </c>
      <c r="G5" s="310"/>
    </row>
    <row r="6" spans="1:9" ht="13.95" customHeight="1" x14ac:dyDescent="0.3">
      <c r="A6" s="48"/>
      <c r="B6" s="95">
        <v>1</v>
      </c>
      <c r="C6" s="113">
        <v>79.8</v>
      </c>
      <c r="D6" s="44">
        <v>0.1</v>
      </c>
      <c r="E6" s="29">
        <f>B6*C6*D6</f>
        <v>7.98</v>
      </c>
      <c r="F6" s="292" t="s">
        <v>384</v>
      </c>
      <c r="G6" s="292"/>
    </row>
    <row r="7" spans="1:9" ht="13.95" customHeight="1" x14ac:dyDescent="0.3">
      <c r="A7" s="44"/>
      <c r="B7" s="95"/>
      <c r="C7" s="97"/>
      <c r="D7" s="97"/>
      <c r="E7" s="29"/>
      <c r="F7" s="34"/>
      <c r="G7" s="96"/>
    </row>
    <row r="8" spans="1:9" ht="21.3" x14ac:dyDescent="0.4">
      <c r="A8" s="282" t="s">
        <v>121</v>
      </c>
      <c r="B8" s="282"/>
      <c r="C8" s="282"/>
      <c r="D8" s="282"/>
      <c r="E8" s="54">
        <f>SUM(E4:E7)</f>
        <v>7.98</v>
      </c>
      <c r="F8" s="54"/>
      <c r="G8" s="54"/>
    </row>
    <row r="9" spans="1:9" ht="13.95" customHeight="1" x14ac:dyDescent="0.3">
      <c r="A9" s="31"/>
      <c r="B9" s="27"/>
      <c r="C9" s="31"/>
      <c r="D9" s="32"/>
      <c r="E9" s="33"/>
      <c r="F9" s="33"/>
      <c r="G9" s="31"/>
    </row>
    <row r="10" spans="1:9" s="62" customFormat="1" ht="13.95" customHeight="1" x14ac:dyDescent="0.3">
      <c r="A10" s="24"/>
      <c r="B10" s="27"/>
      <c r="C10" s="31"/>
      <c r="D10" s="32"/>
      <c r="E10" s="33"/>
      <c r="F10" s="33"/>
      <c r="G10" s="31"/>
    </row>
    <row r="11" spans="1:9" s="62" customFormat="1" ht="13.95" customHeight="1" x14ac:dyDescent="0.3">
      <c r="A11" s="154"/>
      <c r="B11" s="265"/>
      <c r="C11" s="103"/>
      <c r="D11" s="104"/>
      <c r="E11" s="105"/>
      <c r="F11" s="98"/>
      <c r="G11" s="102"/>
      <c r="H11" s="63"/>
      <c r="I11" s="63"/>
    </row>
    <row r="12" spans="1:9" s="62" customFormat="1" ht="13.95" customHeight="1" x14ac:dyDescent="0.3">
      <c r="A12" s="269" t="s">
        <v>267</v>
      </c>
      <c r="B12" s="270"/>
      <c r="C12" s="270"/>
      <c r="D12" s="270"/>
      <c r="E12" s="270"/>
      <c r="F12" s="270"/>
      <c r="G12" s="102"/>
      <c r="H12" s="63"/>
      <c r="I12" s="63"/>
    </row>
    <row r="13" spans="1:9" s="62" customFormat="1" ht="13.95" customHeight="1" x14ac:dyDescent="0.3">
      <c r="B13" s="100" t="s">
        <v>271</v>
      </c>
      <c r="C13" s="101" t="s">
        <v>270</v>
      </c>
      <c r="D13" s="101" t="s">
        <v>104</v>
      </c>
      <c r="E13" s="101" t="s">
        <v>269</v>
      </c>
      <c r="F13" s="101" t="s">
        <v>268</v>
      </c>
      <c r="G13" s="63" t="s">
        <v>3</v>
      </c>
      <c r="H13" s="63"/>
      <c r="I13" s="63"/>
    </row>
    <row r="14" spans="1:9" s="62" customFormat="1" ht="13.95" customHeight="1" x14ac:dyDescent="0.3">
      <c r="B14" s="104" t="s">
        <v>263</v>
      </c>
      <c r="C14" s="265">
        <v>8</v>
      </c>
      <c r="D14" s="104" t="s">
        <v>264</v>
      </c>
      <c r="E14" s="105" t="s">
        <v>265</v>
      </c>
      <c r="F14" s="98">
        <f>VLOOKUP(B14,MALLAS!$D$4:$K$41,8,FALSE)*C14</f>
        <v>459.19717339725923</v>
      </c>
      <c r="G14" s="102" t="s">
        <v>266</v>
      </c>
      <c r="H14" s="63"/>
      <c r="I14" s="63"/>
    </row>
    <row r="15" spans="1:9" s="62" customFormat="1" ht="13.95" customHeight="1" x14ac:dyDescent="0.3">
      <c r="A15" s="239"/>
      <c r="B15" s="239"/>
      <c r="C15" s="239"/>
      <c r="D15" s="239"/>
      <c r="E15" s="98"/>
      <c r="F15" s="98"/>
      <c r="G15" s="99"/>
    </row>
    <row r="16" spans="1:9" ht="21.3" x14ac:dyDescent="0.4">
      <c r="A16" s="289" t="s">
        <v>239</v>
      </c>
      <c r="B16" s="289"/>
      <c r="C16" s="289"/>
      <c r="D16" s="289"/>
      <c r="E16" s="289"/>
      <c r="F16" s="266">
        <f>SUM(F11:F15)</f>
        <v>459.19717339725923</v>
      </c>
      <c r="G16" s="64"/>
    </row>
    <row r="17" spans="1:7" ht="13.15" x14ac:dyDescent="0.25">
      <c r="A17" s="24"/>
      <c r="B17" s="24"/>
      <c r="C17" s="24"/>
      <c r="D17" s="24"/>
      <c r="E17" s="24"/>
      <c r="F17" s="24"/>
      <c r="G17" s="24"/>
    </row>
    <row r="18" spans="1:7" ht="15.05" x14ac:dyDescent="0.3">
      <c r="A18" s="286"/>
      <c r="B18" s="286"/>
      <c r="C18" s="286"/>
      <c r="D18" s="286"/>
      <c r="E18" s="286"/>
      <c r="F18" s="286"/>
      <c r="G18" s="286"/>
    </row>
    <row r="19" spans="1:7" ht="15.05" x14ac:dyDescent="0.3">
      <c r="A19" s="118"/>
      <c r="B19" s="118"/>
      <c r="C19" s="106"/>
      <c r="D19" s="106"/>
      <c r="E19" s="107"/>
      <c r="F19" s="118"/>
      <c r="G19" s="118"/>
    </row>
    <row r="20" spans="1:7" ht="15.05" x14ac:dyDescent="0.3">
      <c r="A20" s="118"/>
      <c r="B20" s="118"/>
      <c r="C20" s="118"/>
      <c r="D20" s="118"/>
      <c r="E20" s="118"/>
      <c r="F20" s="118"/>
      <c r="G20" s="118"/>
    </row>
    <row r="21" spans="1:7" ht="15.05" x14ac:dyDescent="0.3">
      <c r="A21" s="108"/>
      <c r="B21" s="108"/>
      <c r="C21" s="108"/>
      <c r="D21" s="108"/>
      <c r="E21" s="108"/>
      <c r="F21" s="108"/>
      <c r="G21" s="59"/>
    </row>
    <row r="22" spans="1:7" ht="15.05" x14ac:dyDescent="0.3">
      <c r="A22" s="59"/>
      <c r="B22" s="78"/>
      <c r="C22" s="78"/>
      <c r="D22" s="109"/>
      <c r="E22" s="77"/>
      <c r="F22" s="33"/>
      <c r="G22" s="59"/>
    </row>
    <row r="23" spans="1:7" ht="15.05" x14ac:dyDescent="0.3">
      <c r="A23" s="59"/>
      <c r="B23" s="78"/>
      <c r="C23" s="110"/>
      <c r="D23" s="111"/>
      <c r="E23" s="77"/>
      <c r="F23" s="33"/>
      <c r="G23" s="59"/>
    </row>
    <row r="24" spans="1:7" ht="21.3" x14ac:dyDescent="0.4">
      <c r="A24" s="279"/>
      <c r="B24" s="279"/>
      <c r="C24" s="279"/>
      <c r="D24" s="279"/>
      <c r="E24" s="279"/>
      <c r="F24" s="112"/>
      <c r="G24" s="24"/>
    </row>
    <row r="25" spans="1:7" ht="13.15" x14ac:dyDescent="0.25">
      <c r="A25" s="24"/>
      <c r="B25" s="24"/>
      <c r="C25" s="24"/>
      <c r="D25" s="24"/>
      <c r="E25" s="24"/>
      <c r="F25" s="24"/>
      <c r="G25" s="24"/>
    </row>
  </sheetData>
  <mergeCells count="7">
    <mergeCell ref="A2:G2"/>
    <mergeCell ref="F5:G5"/>
    <mergeCell ref="A24:E24"/>
    <mergeCell ref="F6:G6"/>
    <mergeCell ref="A8:D8"/>
    <mergeCell ref="A16:E16"/>
    <mergeCell ref="A18:G18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6374-91AB-45DF-B130-F1CAD4D2109F}">
  <sheetPr>
    <tabColor theme="7" tint="0.39997558519241921"/>
  </sheetPr>
  <dimension ref="A1:I27"/>
  <sheetViews>
    <sheetView view="pageBreakPreview" zoomScale="85" zoomScaleNormal="115" zoomScaleSheetLayoutView="85" workbookViewId="0">
      <selection activeCell="K30" sqref="K30"/>
    </sheetView>
  </sheetViews>
  <sheetFormatPr baseColWidth="10" defaultColWidth="11.44140625" defaultRowHeight="12.55" x14ac:dyDescent="0.2"/>
  <cols>
    <col min="1" max="1" width="13" style="1" customWidth="1"/>
    <col min="2" max="2" width="16.5546875" style="1" bestFit="1" customWidth="1"/>
    <col min="3" max="3" width="13.88671875" style="1" bestFit="1" customWidth="1"/>
    <col min="4" max="4" width="12.6640625" style="1" bestFit="1" customWidth="1"/>
    <col min="5" max="5" width="17" style="1" bestFit="1" customWidth="1"/>
    <col min="6" max="6" width="15.5546875" style="1" customWidth="1"/>
    <col min="7" max="7" width="28.1093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9" ht="15.05" x14ac:dyDescent="0.3">
      <c r="A1" s="38"/>
      <c r="B1" s="38"/>
      <c r="C1" s="38"/>
      <c r="D1" s="38"/>
      <c r="E1" s="38"/>
      <c r="F1" s="38"/>
      <c r="G1" s="39"/>
    </row>
    <row r="2" spans="1:9" ht="26.3" x14ac:dyDescent="0.5">
      <c r="A2" s="290" t="s">
        <v>383</v>
      </c>
      <c r="B2" s="290"/>
      <c r="C2" s="290"/>
      <c r="D2" s="290"/>
      <c r="E2" s="290"/>
      <c r="F2" s="290"/>
      <c r="G2" s="290"/>
    </row>
    <row r="3" spans="1:9" ht="13.95" customHeight="1" x14ac:dyDescent="0.3">
      <c r="A3" s="119"/>
      <c r="B3" s="119"/>
      <c r="C3" s="119"/>
      <c r="D3" s="119"/>
      <c r="E3" s="119"/>
      <c r="F3" s="119"/>
      <c r="G3" s="119"/>
    </row>
    <row r="4" spans="1:9" ht="13.95" customHeight="1" x14ac:dyDescent="0.3">
      <c r="A4" s="49" t="s">
        <v>258</v>
      </c>
      <c r="B4" s="96"/>
      <c r="C4" s="49"/>
      <c r="D4" s="96"/>
      <c r="E4" s="96"/>
      <c r="F4" s="96"/>
      <c r="G4" s="96"/>
    </row>
    <row r="5" spans="1:9" ht="13.95" customHeight="1" x14ac:dyDescent="0.3">
      <c r="A5" s="71"/>
      <c r="B5" s="71" t="s">
        <v>105</v>
      </c>
      <c r="C5" s="71" t="s">
        <v>259</v>
      </c>
      <c r="D5" s="71" t="s">
        <v>197</v>
      </c>
      <c r="E5" s="71" t="s">
        <v>101</v>
      </c>
      <c r="F5" s="310" t="s">
        <v>102</v>
      </c>
      <c r="G5" s="310"/>
    </row>
    <row r="6" spans="1:9" ht="13.95" customHeight="1" x14ac:dyDescent="0.3">
      <c r="A6" s="48"/>
      <c r="B6" s="95">
        <v>1</v>
      </c>
      <c r="C6" s="113">
        <v>78.38</v>
      </c>
      <c r="D6" s="44">
        <v>0.1</v>
      </c>
      <c r="E6" s="29">
        <f>B6*C6*D6</f>
        <v>7.8380000000000001</v>
      </c>
      <c r="F6" s="292" t="s">
        <v>385</v>
      </c>
      <c r="G6" s="292"/>
    </row>
    <row r="7" spans="1:9" ht="13.95" customHeight="1" x14ac:dyDescent="0.3">
      <c r="A7" s="48"/>
      <c r="B7" s="95">
        <v>1</v>
      </c>
      <c r="C7" s="113">
        <v>82.63</v>
      </c>
      <c r="D7" s="44">
        <v>0.1</v>
      </c>
      <c r="E7" s="29">
        <f>B7*C7*D7</f>
        <v>8.2629999999999999</v>
      </c>
      <c r="F7" s="292" t="s">
        <v>386</v>
      </c>
      <c r="G7" s="292"/>
    </row>
    <row r="8" spans="1:9" ht="13.95" customHeight="1" x14ac:dyDescent="0.3">
      <c r="A8" s="44"/>
      <c r="B8" s="95"/>
      <c r="C8" s="97"/>
      <c r="D8" s="97"/>
      <c r="E8" s="29"/>
      <c r="F8" s="34"/>
      <c r="G8" s="96"/>
    </row>
    <row r="9" spans="1:9" ht="21.3" x14ac:dyDescent="0.4">
      <c r="A9" s="282" t="s">
        <v>121</v>
      </c>
      <c r="B9" s="282"/>
      <c r="C9" s="282"/>
      <c r="D9" s="282"/>
      <c r="E9" s="54">
        <f>SUM(E4:E8)</f>
        <v>16.100999999999999</v>
      </c>
      <c r="F9" s="54"/>
      <c r="G9" s="54"/>
    </row>
    <row r="10" spans="1:9" ht="13.95" customHeight="1" x14ac:dyDescent="0.3">
      <c r="A10" s="31"/>
      <c r="B10" s="27"/>
      <c r="C10" s="31"/>
      <c r="D10" s="32"/>
      <c r="E10" s="33"/>
      <c r="F10" s="33"/>
      <c r="G10" s="31"/>
    </row>
    <row r="11" spans="1:9" s="62" customFormat="1" ht="13.95" customHeight="1" x14ac:dyDescent="0.3">
      <c r="A11" s="24"/>
      <c r="B11" s="27"/>
      <c r="C11" s="31"/>
      <c r="D11" s="32"/>
      <c r="E11" s="33"/>
      <c r="F11" s="33"/>
      <c r="G11" s="31"/>
    </row>
    <row r="12" spans="1:9" s="62" customFormat="1" ht="13.95" customHeight="1" x14ac:dyDescent="0.3">
      <c r="A12" s="154"/>
      <c r="B12" s="265"/>
      <c r="C12" s="103"/>
      <c r="D12" s="104"/>
      <c r="E12" s="105"/>
      <c r="F12" s="98"/>
      <c r="G12" s="102"/>
      <c r="H12" s="63"/>
      <c r="I12" s="63"/>
    </row>
    <row r="13" spans="1:9" s="62" customFormat="1" ht="13.95" customHeight="1" x14ac:dyDescent="0.3">
      <c r="A13" s="269" t="s">
        <v>267</v>
      </c>
      <c r="B13" s="270"/>
      <c r="C13" s="270"/>
      <c r="D13" s="270"/>
      <c r="E13" s="270"/>
      <c r="F13" s="270"/>
      <c r="G13" s="102"/>
      <c r="H13" s="63"/>
      <c r="I13" s="63"/>
    </row>
    <row r="14" spans="1:9" s="62" customFormat="1" ht="13.95" customHeight="1" x14ac:dyDescent="0.3">
      <c r="B14" s="100" t="s">
        <v>271</v>
      </c>
      <c r="C14" s="101" t="s">
        <v>270</v>
      </c>
      <c r="D14" s="101" t="s">
        <v>104</v>
      </c>
      <c r="E14" s="101" t="s">
        <v>269</v>
      </c>
      <c r="F14" s="101" t="s">
        <v>268</v>
      </c>
      <c r="G14" s="63" t="s">
        <v>3</v>
      </c>
      <c r="H14" s="63"/>
      <c r="I14" s="63"/>
    </row>
    <row r="15" spans="1:9" s="62" customFormat="1" ht="13.95" customHeight="1" x14ac:dyDescent="0.3">
      <c r="B15" s="104" t="s">
        <v>263</v>
      </c>
      <c r="C15" s="265">
        <v>8</v>
      </c>
      <c r="D15" s="104" t="s">
        <v>264</v>
      </c>
      <c r="E15" s="105" t="s">
        <v>265</v>
      </c>
      <c r="F15" s="98">
        <f>VLOOKUP(B15,MALLAS!$D$4:$K$41,8,FALSE)*C15</f>
        <v>459.19717339725923</v>
      </c>
      <c r="G15" s="102" t="s">
        <v>387</v>
      </c>
      <c r="H15" s="63"/>
      <c r="I15" s="63"/>
    </row>
    <row r="16" spans="1:9" s="62" customFormat="1" ht="13.95" customHeight="1" x14ac:dyDescent="0.3">
      <c r="B16" s="104" t="s">
        <v>263</v>
      </c>
      <c r="C16" s="265">
        <v>8</v>
      </c>
      <c r="D16" s="104" t="s">
        <v>264</v>
      </c>
      <c r="E16" s="105" t="s">
        <v>265</v>
      </c>
      <c r="F16" s="98">
        <f>VLOOKUP(B16,MALLAS!$D$4:$K$41,8,FALSE)*C16</f>
        <v>459.19717339725923</v>
      </c>
      <c r="G16" s="102" t="s">
        <v>388</v>
      </c>
      <c r="H16" s="63"/>
      <c r="I16" s="63"/>
    </row>
    <row r="17" spans="1:7" s="62" customFormat="1" ht="13.95" customHeight="1" x14ac:dyDescent="0.3">
      <c r="A17" s="239"/>
      <c r="B17" s="239"/>
      <c r="C17" s="239"/>
      <c r="D17" s="239"/>
      <c r="E17" s="98"/>
      <c r="F17" s="98"/>
      <c r="G17" s="99"/>
    </row>
    <row r="18" spans="1:7" ht="21.3" x14ac:dyDescent="0.4">
      <c r="A18" s="289" t="s">
        <v>239</v>
      </c>
      <c r="B18" s="289"/>
      <c r="C18" s="289"/>
      <c r="D18" s="289"/>
      <c r="E18" s="289"/>
      <c r="F18" s="266">
        <f>SUM(F12:F17)</f>
        <v>918.39434679451847</v>
      </c>
      <c r="G18" s="64"/>
    </row>
    <row r="19" spans="1:7" ht="13.15" x14ac:dyDescent="0.25">
      <c r="A19" s="24"/>
      <c r="B19" s="24"/>
      <c r="C19" s="24"/>
      <c r="D19" s="24"/>
      <c r="E19" s="24"/>
      <c r="F19" s="24"/>
      <c r="G19" s="24"/>
    </row>
    <row r="20" spans="1:7" ht="15.05" x14ac:dyDescent="0.3">
      <c r="A20" s="286"/>
      <c r="B20" s="286"/>
      <c r="C20" s="286"/>
      <c r="D20" s="286"/>
      <c r="E20" s="286"/>
      <c r="F20" s="286"/>
      <c r="G20" s="286"/>
    </row>
    <row r="21" spans="1:7" ht="15.05" x14ac:dyDescent="0.3">
      <c r="A21" s="118"/>
      <c r="B21" s="118"/>
      <c r="C21" s="106"/>
      <c r="D21" s="106"/>
      <c r="E21" s="107"/>
      <c r="F21" s="118"/>
      <c r="G21" s="118"/>
    </row>
    <row r="22" spans="1:7" ht="15.05" x14ac:dyDescent="0.3">
      <c r="A22" s="118"/>
      <c r="B22" s="118"/>
      <c r="C22" s="118"/>
      <c r="D22" s="118"/>
      <c r="E22" s="118"/>
      <c r="F22" s="118"/>
      <c r="G22" s="118"/>
    </row>
    <row r="23" spans="1:7" ht="15.05" x14ac:dyDescent="0.3">
      <c r="A23" s="108"/>
      <c r="B23" s="108"/>
      <c r="C23" s="108"/>
      <c r="D23" s="108"/>
      <c r="E23" s="108"/>
      <c r="F23" s="108"/>
      <c r="G23" s="59"/>
    </row>
    <row r="24" spans="1:7" ht="15.05" x14ac:dyDescent="0.3">
      <c r="A24" s="59"/>
      <c r="B24" s="78"/>
      <c r="C24" s="78"/>
      <c r="D24" s="109"/>
      <c r="E24" s="77"/>
      <c r="F24" s="33"/>
      <c r="G24" s="59"/>
    </row>
    <row r="25" spans="1:7" ht="15.05" x14ac:dyDescent="0.3">
      <c r="A25" s="59"/>
      <c r="B25" s="78"/>
      <c r="C25" s="110"/>
      <c r="D25" s="111"/>
      <c r="E25" s="77"/>
      <c r="F25" s="33"/>
      <c r="G25" s="59"/>
    </row>
    <row r="26" spans="1:7" ht="21.3" x14ac:dyDescent="0.4">
      <c r="A26" s="279"/>
      <c r="B26" s="279"/>
      <c r="C26" s="279"/>
      <c r="D26" s="279"/>
      <c r="E26" s="279"/>
      <c r="F26" s="112"/>
      <c r="G26" s="24"/>
    </row>
    <row r="27" spans="1:7" ht="13.15" x14ac:dyDescent="0.25">
      <c r="A27" s="24"/>
      <c r="B27" s="24"/>
      <c r="C27" s="24"/>
      <c r="D27" s="24"/>
      <c r="E27" s="24"/>
      <c r="F27" s="24"/>
      <c r="G27" s="24"/>
    </row>
  </sheetData>
  <mergeCells count="8">
    <mergeCell ref="A26:E26"/>
    <mergeCell ref="F7:G7"/>
    <mergeCell ref="A2:G2"/>
    <mergeCell ref="F5:G5"/>
    <mergeCell ref="F6:G6"/>
    <mergeCell ref="A9:D9"/>
    <mergeCell ref="A18:E18"/>
    <mergeCell ref="A20:G20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1E89-A356-4D3E-A138-BF85675058E6}">
  <sheetPr codeName="Hoja17">
    <tabColor theme="9" tint="0.39997558519241921"/>
  </sheetPr>
  <dimension ref="A1:K27"/>
  <sheetViews>
    <sheetView view="pageBreakPreview" zoomScale="85" zoomScaleNormal="115" zoomScaleSheetLayoutView="85" workbookViewId="0">
      <selection activeCell="K30" sqref="K30"/>
    </sheetView>
  </sheetViews>
  <sheetFormatPr baseColWidth="10" defaultColWidth="11.44140625" defaultRowHeight="12.55" x14ac:dyDescent="0.2"/>
  <cols>
    <col min="1" max="1" width="13" style="1" customWidth="1"/>
    <col min="2" max="2" width="16.5546875" style="1" bestFit="1" customWidth="1"/>
    <col min="3" max="3" width="13.88671875" style="1" bestFit="1" customWidth="1"/>
    <col min="4" max="4" width="12.6640625" style="1" bestFit="1" customWidth="1"/>
    <col min="5" max="5" width="17" style="1" bestFit="1" customWidth="1"/>
    <col min="6" max="6" width="18.33203125" style="1" customWidth="1"/>
    <col min="7" max="7" width="28.1093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272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119"/>
      <c r="B3" s="119"/>
      <c r="C3" s="119"/>
      <c r="D3" s="119"/>
      <c r="E3" s="119"/>
      <c r="F3" s="119"/>
      <c r="G3" s="119"/>
    </row>
    <row r="4" spans="1:11" ht="13.95" customHeight="1" x14ac:dyDescent="0.3">
      <c r="A4" s="49" t="s">
        <v>365</v>
      </c>
      <c r="B4" s="49"/>
      <c r="C4" s="34"/>
      <c r="D4" s="34"/>
      <c r="E4" s="35"/>
      <c r="F4" s="35"/>
      <c r="G4" s="119"/>
    </row>
    <row r="5" spans="1:11" ht="13.95" customHeight="1" x14ac:dyDescent="0.3">
      <c r="A5" s="156" t="s">
        <v>105</v>
      </c>
      <c r="B5" s="71" t="s">
        <v>123</v>
      </c>
      <c r="C5" s="71" t="s">
        <v>111</v>
      </c>
      <c r="D5" s="71" t="s">
        <v>100</v>
      </c>
      <c r="E5" s="71" t="s">
        <v>101</v>
      </c>
      <c r="F5" s="311" t="s">
        <v>3</v>
      </c>
      <c r="G5" s="311"/>
    </row>
    <row r="6" spans="1:11" ht="13.95" customHeight="1" x14ac:dyDescent="0.3">
      <c r="A6" s="48">
        <v>1</v>
      </c>
      <c r="B6" s="44">
        <v>0.25</v>
      </c>
      <c r="C6" s="44">
        <v>0.3</v>
      </c>
      <c r="D6" s="44">
        <v>97.95</v>
      </c>
      <c r="E6" s="29">
        <f>+B6*C6*D6*A6</f>
        <v>7.3462499999999995</v>
      </c>
      <c r="F6" s="292" t="s">
        <v>273</v>
      </c>
      <c r="G6" s="292"/>
    </row>
    <row r="7" spans="1:11" ht="13.95" customHeight="1" x14ac:dyDescent="0.3">
      <c r="A7" s="48"/>
      <c r="B7" s="44"/>
      <c r="C7" s="44"/>
      <c r="D7" s="44"/>
      <c r="E7" s="29"/>
      <c r="F7" s="48"/>
      <c r="G7" s="119"/>
    </row>
    <row r="8" spans="1:11" ht="21.3" x14ac:dyDescent="0.4">
      <c r="A8" s="282" t="s">
        <v>121</v>
      </c>
      <c r="B8" s="282"/>
      <c r="C8" s="282"/>
      <c r="D8" s="282"/>
      <c r="E8" s="54">
        <f>SUM(E5:E7)</f>
        <v>7.3462499999999995</v>
      </c>
      <c r="F8" s="54"/>
      <c r="G8" s="54"/>
    </row>
    <row r="9" spans="1:11" ht="13.95" customHeight="1" x14ac:dyDescent="0.3">
      <c r="A9" s="31"/>
      <c r="B9" s="27"/>
      <c r="C9" s="31"/>
      <c r="D9" s="32"/>
      <c r="E9" s="33"/>
      <c r="F9" s="33"/>
      <c r="G9" s="31"/>
    </row>
    <row r="10" spans="1:11" s="62" customFormat="1" ht="13.95" customHeight="1" x14ac:dyDescent="0.3">
      <c r="A10" s="24"/>
      <c r="B10" s="27"/>
      <c r="C10" s="31"/>
      <c r="D10" s="32"/>
      <c r="E10" s="33"/>
      <c r="F10" s="33"/>
      <c r="G10" s="31"/>
    </row>
    <row r="11" spans="1:11" s="62" customFormat="1" ht="13.95" customHeight="1" x14ac:dyDescent="0.3">
      <c r="A11" s="288" t="s">
        <v>274</v>
      </c>
      <c r="B11" s="288"/>
      <c r="C11" s="288"/>
      <c r="D11" s="288"/>
      <c r="E11" s="288"/>
      <c r="F11" s="288"/>
      <c r="G11" s="288"/>
    </row>
    <row r="12" spans="1:11" s="62" customFormat="1" ht="13.95" customHeight="1" x14ac:dyDescent="0.3">
      <c r="A12" s="102"/>
      <c r="B12" s="101" t="s">
        <v>124</v>
      </c>
      <c r="C12" s="268"/>
      <c r="D12" s="101" t="s">
        <v>104</v>
      </c>
      <c r="E12" s="101" t="s">
        <v>113</v>
      </c>
      <c r="F12" s="101" t="s">
        <v>268</v>
      </c>
      <c r="G12" s="102" t="s">
        <v>3</v>
      </c>
      <c r="H12" s="63"/>
      <c r="K12" s="102"/>
    </row>
    <row r="13" spans="1:11" s="62" customFormat="1" ht="13.95" customHeight="1" x14ac:dyDescent="0.3">
      <c r="A13" s="102"/>
      <c r="B13" s="265">
        <f>4*ROUNDUP(((D6/(6-0.6))),0)+1</f>
        <v>77</v>
      </c>
      <c r="D13" s="104" t="s">
        <v>10</v>
      </c>
      <c r="E13" s="105">
        <v>6</v>
      </c>
      <c r="F13" s="98">
        <f>B13*VLOOKUP(D13,PESOS!$B$3:$F$26,5,FALSE)*E13</f>
        <v>459.41900361072373</v>
      </c>
      <c r="G13" s="102" t="s">
        <v>110</v>
      </c>
      <c r="H13" s="63"/>
      <c r="K13" s="102"/>
    </row>
    <row r="14" spans="1:11" s="62" customFormat="1" ht="13.95" customHeight="1" x14ac:dyDescent="0.3">
      <c r="A14" s="102"/>
      <c r="B14" s="265">
        <f>ROUNDUP(((D6/0.2)+2),0)</f>
        <v>492</v>
      </c>
      <c r="D14" s="104" t="s">
        <v>9</v>
      </c>
      <c r="E14" s="105">
        <v>0.98</v>
      </c>
      <c r="F14" s="98">
        <f>B14*VLOOKUP(D14,PESOS!$B$3:$F$26,5,FALSE)*E14</f>
        <v>269.69983780147703</v>
      </c>
      <c r="G14" s="102" t="s">
        <v>144</v>
      </c>
    </row>
    <row r="15" spans="1:11" s="62" customFormat="1" ht="13.95" customHeight="1" x14ac:dyDescent="0.3">
      <c r="A15" s="239"/>
      <c r="B15" s="239"/>
      <c r="C15" s="239"/>
      <c r="D15" s="239"/>
      <c r="E15" s="98"/>
      <c r="F15" s="98"/>
      <c r="G15" s="99"/>
    </row>
    <row r="16" spans="1:11" ht="21.3" x14ac:dyDescent="0.4">
      <c r="A16" s="289" t="s">
        <v>239</v>
      </c>
      <c r="B16" s="289"/>
      <c r="C16" s="289"/>
      <c r="D16" s="289"/>
      <c r="E16" s="289"/>
      <c r="F16" s="266">
        <f>SUM(F13:F15)</f>
        <v>729.11884141220071</v>
      </c>
      <c r="G16" s="64"/>
    </row>
    <row r="17" spans="1:7" ht="13.15" x14ac:dyDescent="0.25">
      <c r="A17" s="24"/>
      <c r="B17" s="24"/>
      <c r="C17" s="24"/>
      <c r="D17" s="24"/>
      <c r="E17" s="24"/>
      <c r="F17" s="24"/>
      <c r="G17" s="24"/>
    </row>
    <row r="18" spans="1:7" ht="15.05" x14ac:dyDescent="0.3">
      <c r="A18" s="220" t="s">
        <v>188</v>
      </c>
      <c r="B18" s="220"/>
      <c r="C18" s="219"/>
      <c r="D18" s="219"/>
      <c r="E18" s="219"/>
      <c r="F18" s="219"/>
      <c r="G18" s="219"/>
    </row>
    <row r="19" spans="1:7" ht="15.05" x14ac:dyDescent="0.3">
      <c r="A19" s="211" t="s">
        <v>300</v>
      </c>
      <c r="B19" s="211" t="s">
        <v>306</v>
      </c>
      <c r="C19" s="211" t="s">
        <v>1</v>
      </c>
      <c r="D19" s="211" t="s">
        <v>2</v>
      </c>
      <c r="E19" s="211" t="s">
        <v>103</v>
      </c>
      <c r="F19" s="211" t="s">
        <v>37</v>
      </c>
      <c r="G19" s="211" t="s">
        <v>3</v>
      </c>
    </row>
    <row r="20" spans="1:7" ht="15.05" x14ac:dyDescent="0.3">
      <c r="A20" s="271">
        <v>174.6</v>
      </c>
      <c r="B20" s="213">
        <f>ROUNDUP((A20/0.83),0)+1</f>
        <v>212</v>
      </c>
      <c r="C20" s="218">
        <f>4*B20</f>
        <v>848</v>
      </c>
      <c r="D20" s="217" t="s">
        <v>10</v>
      </c>
      <c r="E20" s="216">
        <v>0.15</v>
      </c>
      <c r="F20" s="215">
        <f>C20*VLOOKUP(D20,PESOS!$B$3:$F$26,5,FALSE)*E20</f>
        <v>126.48938800710835</v>
      </c>
      <c r="G20" s="214" t="s">
        <v>275</v>
      </c>
    </row>
    <row r="21" spans="1:7" ht="15.05" x14ac:dyDescent="0.3">
      <c r="A21" s="271"/>
      <c r="B21" s="213"/>
      <c r="C21" s="218"/>
      <c r="D21" s="217"/>
      <c r="E21" s="216"/>
      <c r="F21" s="215"/>
      <c r="G21" s="214"/>
    </row>
    <row r="22" spans="1:7" ht="15.05" x14ac:dyDescent="0.3">
      <c r="A22" s="220" t="s">
        <v>305</v>
      </c>
      <c r="B22" s="220"/>
      <c r="C22" s="219"/>
      <c r="D22" s="219"/>
      <c r="E22" s="219"/>
      <c r="F22" s="219"/>
      <c r="G22" s="219"/>
    </row>
    <row r="23" spans="1:7" ht="15.05" x14ac:dyDescent="0.3">
      <c r="A23" s="257"/>
      <c r="B23" s="211" t="s">
        <v>105</v>
      </c>
      <c r="C23" s="211" t="s">
        <v>301</v>
      </c>
      <c r="D23" s="211" t="s">
        <v>302</v>
      </c>
      <c r="E23" s="211" t="s">
        <v>303</v>
      </c>
      <c r="F23" s="211" t="s">
        <v>37</v>
      </c>
      <c r="G23" s="211" t="s">
        <v>3</v>
      </c>
    </row>
    <row r="24" spans="1:7" ht="15.05" x14ac:dyDescent="0.3">
      <c r="A24" s="257"/>
      <c r="B24" s="272">
        <f>B20</f>
        <v>212</v>
      </c>
      <c r="C24" s="213">
        <v>0.15</v>
      </c>
      <c r="D24" s="273">
        <v>0.15</v>
      </c>
      <c r="E24" s="273">
        <v>9.5</v>
      </c>
      <c r="F24" s="215">
        <f>B24*C24*D24*(E24*1/1000)*7800</f>
        <v>353.45699999999994</v>
      </c>
      <c r="G24" s="214" t="s">
        <v>304</v>
      </c>
    </row>
    <row r="25" spans="1:7" ht="15.05" x14ac:dyDescent="0.3">
      <c r="A25" s="213"/>
      <c r="B25" s="308"/>
      <c r="C25" s="308"/>
      <c r="D25" s="308"/>
      <c r="E25" s="308"/>
      <c r="F25" s="212"/>
      <c r="G25" s="211"/>
    </row>
    <row r="26" spans="1:7" ht="21.3" x14ac:dyDescent="0.4">
      <c r="A26" s="309" t="s">
        <v>149</v>
      </c>
      <c r="B26" s="309"/>
      <c r="C26" s="309"/>
      <c r="D26" s="309"/>
      <c r="E26" s="309"/>
      <c r="F26" s="210">
        <f>SUM(F20:F25)</f>
        <v>479.94638800710828</v>
      </c>
      <c r="G26" s="209"/>
    </row>
    <row r="27" spans="1:7" ht="13.15" x14ac:dyDescent="0.25">
      <c r="A27" s="24"/>
      <c r="B27" s="24"/>
      <c r="C27" s="24"/>
      <c r="D27" s="24"/>
      <c r="E27" s="24"/>
      <c r="F27" s="24"/>
      <c r="G27" s="24"/>
    </row>
  </sheetData>
  <mergeCells count="8">
    <mergeCell ref="A2:G2"/>
    <mergeCell ref="F5:G5"/>
    <mergeCell ref="F6:G6"/>
    <mergeCell ref="B25:E25"/>
    <mergeCell ref="A26:E26"/>
    <mergeCell ref="A8:D8"/>
    <mergeCell ref="A11:G11"/>
    <mergeCell ref="A16:E16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9" tint="-0.249977111117893"/>
  </sheetPr>
  <dimension ref="A1:G23"/>
  <sheetViews>
    <sheetView view="pageBreakPreview" zoomScale="85" zoomScaleNormal="115" zoomScaleSheetLayoutView="85" workbookViewId="0">
      <selection activeCell="C6" sqref="C6"/>
    </sheetView>
  </sheetViews>
  <sheetFormatPr baseColWidth="10" defaultColWidth="11.44140625" defaultRowHeight="12.55" x14ac:dyDescent="0.2"/>
  <cols>
    <col min="1" max="1" width="18.109375" style="1" customWidth="1"/>
    <col min="2" max="2" width="9.6640625" style="1" bestFit="1" customWidth="1"/>
    <col min="3" max="3" width="14.5546875" style="1" customWidth="1"/>
    <col min="4" max="4" width="16.109375" style="1" customWidth="1"/>
    <col min="5" max="5" width="18.6640625" style="1" customWidth="1"/>
    <col min="6" max="6" width="21.6640625" style="1" customWidth="1"/>
    <col min="7" max="7" width="12" style="1" bestFit="1" customWidth="1"/>
    <col min="8" max="16384" width="11.44140625" style="1"/>
  </cols>
  <sheetData>
    <row r="1" spans="1:7" ht="13.15" x14ac:dyDescent="0.25">
      <c r="A1" s="24"/>
      <c r="B1" s="24"/>
      <c r="C1" s="24"/>
      <c r="D1" s="24"/>
      <c r="E1" s="24"/>
      <c r="F1" s="26"/>
    </row>
    <row r="2" spans="1:7" ht="30.05" customHeight="1" x14ac:dyDescent="0.5">
      <c r="A2" s="280" t="s">
        <v>109</v>
      </c>
      <c r="B2" s="280"/>
      <c r="C2" s="280"/>
      <c r="D2" s="280"/>
      <c r="E2" s="280"/>
      <c r="F2" s="280"/>
    </row>
    <row r="3" spans="1:7" ht="13.95" customHeight="1" x14ac:dyDescent="0.3">
      <c r="A3" s="49" t="s">
        <v>146</v>
      </c>
      <c r="B3" s="49"/>
      <c r="C3" s="34"/>
      <c r="D3" s="34"/>
      <c r="E3" s="34"/>
      <c r="F3" s="35"/>
    </row>
    <row r="4" spans="1:7" ht="13.95" customHeight="1" x14ac:dyDescent="0.3">
      <c r="A4" s="34" t="s">
        <v>98</v>
      </c>
      <c r="B4" s="34" t="s">
        <v>99</v>
      </c>
      <c r="C4" s="34" t="s">
        <v>100</v>
      </c>
      <c r="D4" s="71" t="s">
        <v>101</v>
      </c>
      <c r="E4" s="34"/>
      <c r="F4" s="92" t="s">
        <v>3</v>
      </c>
    </row>
    <row r="5" spans="1:7" ht="13.95" customHeight="1" x14ac:dyDescent="0.3">
      <c r="A5" s="44">
        <v>0.1</v>
      </c>
      <c r="B5" s="44">
        <v>0.3</v>
      </c>
      <c r="C5" s="44">
        <v>779.65</v>
      </c>
      <c r="D5" s="29">
        <f>+A5*B5*C5</f>
        <v>23.389499999999998</v>
      </c>
      <c r="E5" s="90" t="s">
        <v>209</v>
      </c>
      <c r="F5" s="91"/>
    </row>
    <row r="6" spans="1:7" ht="13.95" customHeight="1" x14ac:dyDescent="0.3">
      <c r="A6" s="44"/>
      <c r="B6" s="44"/>
      <c r="C6" s="60"/>
      <c r="D6" s="29"/>
      <c r="E6" s="90"/>
      <c r="F6" s="91"/>
    </row>
    <row r="7" spans="1:7" ht="22.4" customHeight="1" x14ac:dyDescent="0.4">
      <c r="A7" s="282" t="s">
        <v>121</v>
      </c>
      <c r="B7" s="282"/>
      <c r="C7" s="282"/>
      <c r="D7" s="54">
        <f>+SUM(D5:D6)</f>
        <v>23.389499999999998</v>
      </c>
      <c r="E7" s="56"/>
      <c r="F7" s="55"/>
    </row>
    <row r="8" spans="1:7" ht="13.95" customHeight="1" x14ac:dyDescent="0.3">
      <c r="A8" s="36"/>
      <c r="B8" s="37"/>
      <c r="C8" s="38"/>
      <c r="D8" s="38"/>
      <c r="E8" s="38"/>
      <c r="F8" s="39"/>
    </row>
    <row r="9" spans="1:7" ht="13.95" customHeight="1" x14ac:dyDescent="0.3">
      <c r="A9" s="40" t="s">
        <v>193</v>
      </c>
      <c r="B9" s="41"/>
      <c r="C9" s="41"/>
      <c r="D9" s="41"/>
      <c r="E9" s="41"/>
      <c r="F9" s="41"/>
    </row>
    <row r="10" spans="1:7" ht="13.95" customHeight="1" x14ac:dyDescent="0.3">
      <c r="A10" s="42" t="s">
        <v>0</v>
      </c>
      <c r="B10" s="42" t="s">
        <v>1</v>
      </c>
      <c r="C10" s="42" t="s">
        <v>2</v>
      </c>
      <c r="D10" s="42" t="s">
        <v>103</v>
      </c>
      <c r="E10" s="42" t="s">
        <v>37</v>
      </c>
      <c r="F10" s="42" t="s">
        <v>3</v>
      </c>
    </row>
    <row r="11" spans="1:7" ht="13.95" customHeight="1" x14ac:dyDescent="0.3">
      <c r="A11" s="42"/>
      <c r="B11" s="51">
        <f>2*ROUNDUP(((C5/(6-0.6))+1),0)</f>
        <v>292</v>
      </c>
      <c r="C11" s="50" t="s">
        <v>9</v>
      </c>
      <c r="D11" s="43">
        <v>6</v>
      </c>
      <c r="E11" s="30">
        <f>B11*VLOOKUP(C11,PESOS!$B$3:$F$26,5,FALSE)*D11</f>
        <v>979.99443302677082</v>
      </c>
      <c r="F11" s="42" t="s">
        <v>110</v>
      </c>
    </row>
    <row r="12" spans="1:7" ht="13.5" customHeight="1" x14ac:dyDescent="0.3">
      <c r="A12" s="42"/>
      <c r="B12" s="51">
        <f>ROUNDUP(((C5/0.2)+2),0)</f>
        <v>3901</v>
      </c>
      <c r="C12" s="50" t="s">
        <v>9</v>
      </c>
      <c r="D12" s="43">
        <v>0.44</v>
      </c>
      <c r="E12" s="30">
        <f>B12*VLOOKUP(C12,PESOS!$B$3:$F$26,5,FALSE)*D12</f>
        <v>960.10367843862468</v>
      </c>
      <c r="F12" s="42" t="s">
        <v>144</v>
      </c>
    </row>
    <row r="13" spans="1:7" ht="13.95" customHeight="1" x14ac:dyDescent="0.3">
      <c r="A13" s="42"/>
      <c r="B13" s="51"/>
      <c r="C13" s="50"/>
      <c r="D13" s="43"/>
      <c r="E13" s="30"/>
      <c r="F13" s="42"/>
    </row>
    <row r="14" spans="1:7" ht="14.4" x14ac:dyDescent="0.25">
      <c r="A14" s="36"/>
      <c r="B14" s="36"/>
      <c r="C14" s="36"/>
      <c r="D14" s="36"/>
      <c r="E14" s="36"/>
      <c r="F14" s="36"/>
    </row>
    <row r="15" spans="1:7" ht="21.3" x14ac:dyDescent="0.4">
      <c r="A15" s="283" t="s">
        <v>122</v>
      </c>
      <c r="B15" s="283"/>
      <c r="C15" s="283"/>
      <c r="D15" s="283"/>
      <c r="E15" s="89">
        <f>SUM(E11:E13)</f>
        <v>1940.0981114653955</v>
      </c>
      <c r="F15" s="53"/>
      <c r="G15" s="52"/>
    </row>
    <row r="17" spans="1:6" ht="15.05" x14ac:dyDescent="0.3">
      <c r="A17" s="72"/>
      <c r="B17" s="74"/>
      <c r="C17" s="74"/>
      <c r="D17" s="74"/>
      <c r="E17" s="74"/>
      <c r="F17" s="74"/>
    </row>
    <row r="18" spans="1:6" ht="15.05" x14ac:dyDescent="0.3">
      <c r="A18" s="59"/>
      <c r="B18" s="59"/>
      <c r="C18" s="59"/>
      <c r="D18" s="59"/>
      <c r="E18" s="59"/>
      <c r="F18" s="59"/>
    </row>
    <row r="19" spans="1:6" ht="15.05" x14ac:dyDescent="0.3">
      <c r="A19" s="59"/>
      <c r="B19" s="75"/>
      <c r="C19" s="76"/>
      <c r="D19" s="77"/>
      <c r="E19" s="33"/>
      <c r="F19" s="59"/>
    </row>
    <row r="20" spans="1:6" ht="15.05" x14ac:dyDescent="0.3">
      <c r="A20" s="38"/>
      <c r="B20" s="78"/>
      <c r="C20" s="76"/>
      <c r="D20" s="73"/>
      <c r="E20" s="33"/>
      <c r="F20" s="59"/>
    </row>
    <row r="21" spans="1:6" ht="15.05" x14ac:dyDescent="0.3">
      <c r="A21" s="281"/>
      <c r="B21" s="281"/>
      <c r="C21" s="281"/>
      <c r="D21" s="281"/>
      <c r="E21" s="79"/>
      <c r="F21" s="59"/>
    </row>
    <row r="22" spans="1:6" ht="14.4" x14ac:dyDescent="0.25">
      <c r="A22" s="36"/>
      <c r="B22" s="36"/>
      <c r="C22" s="36"/>
      <c r="D22" s="36"/>
      <c r="E22" s="36"/>
      <c r="F22" s="36"/>
    </row>
    <row r="23" spans="1:6" ht="21.3" x14ac:dyDescent="0.4">
      <c r="A23" s="279"/>
      <c r="B23" s="279"/>
      <c r="C23" s="279"/>
      <c r="D23" s="279"/>
      <c r="E23" s="279"/>
      <c r="F23" s="80"/>
    </row>
  </sheetData>
  <mergeCells count="5">
    <mergeCell ref="A23:E23"/>
    <mergeCell ref="A2:F2"/>
    <mergeCell ref="A21:D21"/>
    <mergeCell ref="A7:C7"/>
    <mergeCell ref="A15:D15"/>
  </mergeCells>
  <pageMargins left="0.70866141732283472" right="0.70866141732283472" top="0.74803149606299213" bottom="0.74803149606299213" header="0.31496062992125984" footer="0.31496062992125984"/>
  <pageSetup paperSize="122" scale="4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607D-C86E-48A7-A7DE-C5A5DCA12400}">
  <sheetPr codeName="Hoja21">
    <tabColor theme="3" tint="0.39997558519241921"/>
  </sheetPr>
  <dimension ref="A1:G22"/>
  <sheetViews>
    <sheetView view="pageBreakPreview" zoomScale="115" zoomScaleNormal="115" zoomScaleSheetLayoutView="115" workbookViewId="0">
      <selection activeCell="J16" sqref="J16"/>
    </sheetView>
  </sheetViews>
  <sheetFormatPr baseColWidth="10" defaultColWidth="11.44140625" defaultRowHeight="12.55" x14ac:dyDescent="0.2"/>
  <cols>
    <col min="1" max="1" width="18.109375" style="1" customWidth="1"/>
    <col min="2" max="2" width="9.6640625" style="1" bestFit="1" customWidth="1"/>
    <col min="3" max="3" width="14.5546875" style="1" customWidth="1"/>
    <col min="4" max="4" width="16.109375" style="1" customWidth="1"/>
    <col min="5" max="5" width="18.6640625" style="1" customWidth="1"/>
    <col min="6" max="6" width="21.6640625" style="1" customWidth="1"/>
    <col min="7" max="7" width="12" style="1" bestFit="1" customWidth="1"/>
    <col min="8" max="16384" width="11.44140625" style="1"/>
  </cols>
  <sheetData>
    <row r="1" spans="1:7" ht="13.15" x14ac:dyDescent="0.25">
      <c r="A1" s="24"/>
      <c r="B1" s="24"/>
      <c r="C1" s="24"/>
      <c r="D1" s="24"/>
      <c r="E1" s="24"/>
      <c r="F1" s="26"/>
    </row>
    <row r="2" spans="1:7" ht="30.05" customHeight="1" x14ac:dyDescent="0.5">
      <c r="A2" s="280" t="s">
        <v>276</v>
      </c>
      <c r="B2" s="280"/>
      <c r="C2" s="280"/>
      <c r="D2" s="280"/>
      <c r="E2" s="280"/>
      <c r="F2" s="280"/>
    </row>
    <row r="3" spans="1:7" ht="13.95" customHeight="1" x14ac:dyDescent="0.3">
      <c r="A3" s="49" t="s">
        <v>389</v>
      </c>
      <c r="B3" s="49"/>
      <c r="C3" s="34"/>
      <c r="D3" s="34"/>
      <c r="E3" s="34"/>
      <c r="F3" s="35"/>
    </row>
    <row r="4" spans="1:7" ht="13.95" customHeight="1" x14ac:dyDescent="0.3">
      <c r="A4" s="34" t="s">
        <v>105</v>
      </c>
      <c r="B4" s="34" t="s">
        <v>277</v>
      </c>
      <c r="C4" s="34" t="s">
        <v>100</v>
      </c>
      <c r="D4" s="71" t="s">
        <v>101</v>
      </c>
      <c r="E4" s="34"/>
      <c r="F4" s="92" t="s">
        <v>3</v>
      </c>
    </row>
    <row r="5" spans="1:7" ht="13.95" customHeight="1" x14ac:dyDescent="0.3">
      <c r="A5" s="95">
        <v>40</v>
      </c>
      <c r="B5" s="113">
        <v>1.4500000000000001E-2</v>
      </c>
      <c r="C5" s="44">
        <v>0.5</v>
      </c>
      <c r="D5" s="29">
        <f>+A5*B5*C5</f>
        <v>0.29000000000000004</v>
      </c>
      <c r="E5" s="292" t="s">
        <v>278</v>
      </c>
      <c r="F5" s="292"/>
    </row>
    <row r="6" spans="1:7" ht="13.95" customHeight="1" x14ac:dyDescent="0.3">
      <c r="A6" s="44"/>
      <c r="B6" s="44"/>
      <c r="C6" s="60"/>
      <c r="D6" s="29"/>
      <c r="E6" s="90"/>
      <c r="F6" s="91"/>
    </row>
    <row r="7" spans="1:7" ht="22.4" customHeight="1" x14ac:dyDescent="0.4">
      <c r="A7" s="282" t="s">
        <v>121</v>
      </c>
      <c r="B7" s="282"/>
      <c r="C7" s="282"/>
      <c r="D7" s="54">
        <f>+SUM(D5:D6)</f>
        <v>0.29000000000000004</v>
      </c>
      <c r="E7" s="56"/>
      <c r="F7" s="55"/>
    </row>
    <row r="8" spans="1:7" ht="13.95" customHeight="1" x14ac:dyDescent="0.3">
      <c r="A8" s="36"/>
      <c r="B8" s="37"/>
      <c r="C8" s="38"/>
      <c r="D8" s="38"/>
      <c r="E8" s="38"/>
      <c r="F8" s="39"/>
    </row>
    <row r="9" spans="1:7" ht="13.95" customHeight="1" x14ac:dyDescent="0.3">
      <c r="A9" s="40" t="s">
        <v>193</v>
      </c>
      <c r="B9" s="41"/>
      <c r="C9" s="41"/>
      <c r="D9" s="41"/>
      <c r="E9" s="41"/>
      <c r="F9" s="41"/>
    </row>
    <row r="10" spans="1:7" ht="13.95" customHeight="1" x14ac:dyDescent="0.3">
      <c r="A10" s="42" t="s">
        <v>0</v>
      </c>
      <c r="B10" s="42" t="s">
        <v>1</v>
      </c>
      <c r="C10" s="42" t="s">
        <v>2</v>
      </c>
      <c r="D10" s="42" t="s">
        <v>103</v>
      </c>
      <c r="E10" s="42" t="s">
        <v>37</v>
      </c>
      <c r="F10" s="42" t="s">
        <v>3</v>
      </c>
    </row>
    <row r="11" spans="1:7" ht="13.95" customHeight="1" x14ac:dyDescent="0.3">
      <c r="A11" s="42"/>
      <c r="B11" s="51">
        <f>2*A5</f>
        <v>80</v>
      </c>
      <c r="C11" s="50" t="s">
        <v>9</v>
      </c>
      <c r="D11" s="43">
        <v>0.15</v>
      </c>
      <c r="E11" s="30">
        <f>B11*VLOOKUP(C11,PESOS!$B$3:$F$26,5,FALSE)*D11</f>
        <v>6.7122906371696631</v>
      </c>
      <c r="F11" s="42" t="s">
        <v>110</v>
      </c>
    </row>
    <row r="12" spans="1:7" ht="13.5" customHeight="1" x14ac:dyDescent="0.3">
      <c r="A12" s="42"/>
      <c r="B12" s="51"/>
      <c r="C12" s="50"/>
      <c r="D12" s="43"/>
      <c r="E12" s="30"/>
      <c r="F12" s="42"/>
    </row>
    <row r="13" spans="1:7" ht="13.95" customHeight="1" x14ac:dyDescent="0.3">
      <c r="A13" s="42"/>
      <c r="B13" s="51"/>
      <c r="C13" s="50"/>
      <c r="D13" s="43"/>
      <c r="E13" s="30"/>
      <c r="F13" s="42"/>
    </row>
    <row r="14" spans="1:7" ht="21.3" x14ac:dyDescent="0.4">
      <c r="A14" s="283" t="s">
        <v>122</v>
      </c>
      <c r="B14" s="283"/>
      <c r="C14" s="283"/>
      <c r="D14" s="283"/>
      <c r="E14" s="89">
        <f>SUM(E11:E13)</f>
        <v>6.7122906371696631</v>
      </c>
      <c r="F14" s="53"/>
      <c r="G14" s="52"/>
    </row>
    <row r="16" spans="1:7" ht="15.05" x14ac:dyDescent="0.3">
      <c r="A16" s="72"/>
      <c r="B16" s="74"/>
      <c r="C16" s="74"/>
      <c r="D16" s="74"/>
      <c r="E16" s="74"/>
      <c r="F16" s="74"/>
    </row>
    <row r="17" spans="1:6" ht="15.05" x14ac:dyDescent="0.3">
      <c r="A17" s="59"/>
      <c r="B17" s="59"/>
      <c r="C17" s="59"/>
      <c r="D17" s="59"/>
      <c r="E17" s="59"/>
      <c r="F17" s="59"/>
    </row>
    <row r="18" spans="1:6" ht="15.05" x14ac:dyDescent="0.3">
      <c r="A18" s="59"/>
      <c r="B18" s="75"/>
      <c r="C18" s="76"/>
      <c r="D18" s="77"/>
      <c r="E18" s="33"/>
      <c r="F18" s="59"/>
    </row>
    <row r="19" spans="1:6" ht="15.05" x14ac:dyDescent="0.3">
      <c r="A19" s="38"/>
      <c r="B19" s="78"/>
      <c r="C19" s="76"/>
      <c r="D19" s="73"/>
      <c r="E19" s="33"/>
      <c r="F19" s="59"/>
    </row>
    <row r="20" spans="1:6" ht="15.05" x14ac:dyDescent="0.3">
      <c r="A20" s="281"/>
      <c r="B20" s="281"/>
      <c r="C20" s="281"/>
      <c r="D20" s="281"/>
      <c r="E20" s="79"/>
      <c r="F20" s="59"/>
    </row>
    <row r="21" spans="1:6" ht="14.4" x14ac:dyDescent="0.25">
      <c r="A21" s="36"/>
      <c r="B21" s="36"/>
      <c r="C21" s="36"/>
      <c r="D21" s="36"/>
      <c r="E21" s="36"/>
      <c r="F21" s="36"/>
    </row>
    <row r="22" spans="1:6" ht="21.3" x14ac:dyDescent="0.4">
      <c r="A22" s="279"/>
      <c r="B22" s="279"/>
      <c r="C22" s="279"/>
      <c r="D22" s="279"/>
      <c r="E22" s="279"/>
      <c r="F22" s="80"/>
    </row>
  </sheetData>
  <mergeCells count="6">
    <mergeCell ref="A2:F2"/>
    <mergeCell ref="A7:C7"/>
    <mergeCell ref="A14:D14"/>
    <mergeCell ref="A20:D20"/>
    <mergeCell ref="A22:E22"/>
    <mergeCell ref="E5:F5"/>
  </mergeCells>
  <pageMargins left="0.70866141732283472" right="0.70866141732283472" top="0.74803149606299213" bottom="0.74803149606299213" header="0.31496062992125984" footer="0.31496062992125984"/>
  <pageSetup paperSize="122" scale="4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14EE-23E4-4CFC-9921-C1E9BEE02B90}">
  <sheetPr codeName="Hoja22">
    <tabColor theme="6"/>
  </sheetPr>
  <dimension ref="A1:K35"/>
  <sheetViews>
    <sheetView view="pageBreakPreview" topLeftCell="A10" zoomScale="90" zoomScaleNormal="115" zoomScaleSheetLayoutView="90" workbookViewId="0">
      <selection activeCell="K42" sqref="K42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0.44140625" style="1" bestFit="1" customWidth="1"/>
    <col min="5" max="5" width="14.44140625" style="1" bestFit="1" customWidth="1"/>
    <col min="6" max="6" width="24.44140625" style="1" customWidth="1"/>
    <col min="7" max="7" width="16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279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291" t="s">
        <v>366</v>
      </c>
      <c r="B3" s="291"/>
      <c r="C3" s="291"/>
      <c r="D3" s="291"/>
      <c r="E3" s="291"/>
      <c r="F3" s="291"/>
      <c r="G3" s="291"/>
    </row>
    <row r="4" spans="1:11" ht="13.95" customHeight="1" x14ac:dyDescent="0.3">
      <c r="A4" s="119"/>
      <c r="B4" s="119"/>
      <c r="C4" s="119"/>
      <c r="D4" s="119"/>
      <c r="E4" s="119"/>
      <c r="F4" s="119"/>
      <c r="G4" s="119"/>
    </row>
    <row r="5" spans="1:11" ht="13.95" customHeight="1" x14ac:dyDescent="0.3">
      <c r="A5" s="49" t="s">
        <v>367</v>
      </c>
      <c r="B5" s="49"/>
      <c r="C5" s="49"/>
      <c r="D5" s="34"/>
      <c r="E5" s="34"/>
      <c r="F5" s="35"/>
      <c r="G5" s="119"/>
    </row>
    <row r="6" spans="1:11" ht="13.95" customHeight="1" x14ac:dyDescent="0.3">
      <c r="A6" s="71" t="s">
        <v>123</v>
      </c>
      <c r="B6" s="71" t="s">
        <v>307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11" ht="13.95" customHeight="1" x14ac:dyDescent="0.3">
      <c r="A7" s="44">
        <v>1</v>
      </c>
      <c r="B7" s="44">
        <v>0.25</v>
      </c>
      <c r="C7" s="44">
        <v>152.94999999999999</v>
      </c>
      <c r="D7" s="34"/>
      <c r="E7" s="29">
        <f>+A7*C7*B7</f>
        <v>38.237499999999997</v>
      </c>
      <c r="F7" s="292" t="s">
        <v>281</v>
      </c>
      <c r="G7" s="292"/>
    </row>
    <row r="8" spans="1:11" ht="13.95" customHeight="1" x14ac:dyDescent="0.3">
      <c r="A8" s="44"/>
      <c r="B8" s="44"/>
      <c r="C8" s="44"/>
      <c r="D8" s="34"/>
      <c r="E8" s="29"/>
      <c r="F8" s="48"/>
      <c r="G8" s="119"/>
    </row>
    <row r="9" spans="1:11" ht="13.95" customHeight="1" x14ac:dyDescent="0.3">
      <c r="A9" s="49" t="s">
        <v>368</v>
      </c>
      <c r="B9" s="49"/>
      <c r="C9" s="49"/>
      <c r="D9" s="96"/>
      <c r="E9" s="96"/>
      <c r="F9" s="96"/>
      <c r="G9" s="96"/>
    </row>
    <row r="10" spans="1:11" ht="13.95" customHeight="1" x14ac:dyDescent="0.3">
      <c r="A10" s="71" t="s">
        <v>123</v>
      </c>
      <c r="B10" s="71" t="s">
        <v>111</v>
      </c>
      <c r="C10" s="71" t="s">
        <v>143</v>
      </c>
      <c r="D10" s="34"/>
      <c r="E10" s="71" t="s">
        <v>101</v>
      </c>
      <c r="F10" s="310" t="s">
        <v>102</v>
      </c>
      <c r="G10" s="310"/>
    </row>
    <row r="11" spans="1:11" ht="13.95" customHeight="1" x14ac:dyDescent="0.3">
      <c r="A11" s="44">
        <v>0.2</v>
      </c>
      <c r="B11" s="44">
        <v>1</v>
      </c>
      <c r="C11" s="44">
        <v>152.94999999999999</v>
      </c>
      <c r="D11" s="34"/>
      <c r="E11" s="29">
        <f>A11*B11*C11</f>
        <v>30.59</v>
      </c>
      <c r="F11" s="292" t="s">
        <v>282</v>
      </c>
      <c r="G11" s="292"/>
    </row>
    <row r="12" spans="1:11" ht="13.95" customHeight="1" x14ac:dyDescent="0.3">
      <c r="A12" s="44"/>
      <c r="B12" s="95"/>
      <c r="C12" s="97"/>
      <c r="D12" s="97"/>
      <c r="E12" s="29"/>
      <c r="F12" s="34"/>
      <c r="G12" s="96"/>
    </row>
    <row r="13" spans="1:11" ht="21.3" x14ac:dyDescent="0.4">
      <c r="A13" s="282" t="s">
        <v>121</v>
      </c>
      <c r="B13" s="282"/>
      <c r="C13" s="282"/>
      <c r="D13" s="282"/>
      <c r="E13" s="54">
        <f>E7+SUM(E11)</f>
        <v>68.827500000000001</v>
      </c>
      <c r="F13" s="54"/>
      <c r="G13" s="54"/>
    </row>
    <row r="14" spans="1:11" ht="13.95" customHeight="1" x14ac:dyDescent="0.3">
      <c r="A14" s="31"/>
      <c r="B14" s="27"/>
      <c r="C14" s="31"/>
      <c r="D14" s="32"/>
      <c r="E14" s="33"/>
      <c r="F14" s="33"/>
      <c r="G14" s="31"/>
    </row>
    <row r="15" spans="1:11" s="62" customFormat="1" ht="13.95" customHeight="1" x14ac:dyDescent="0.3">
      <c r="A15" s="288" t="s">
        <v>283</v>
      </c>
      <c r="B15" s="288"/>
      <c r="C15" s="288"/>
      <c r="D15" s="288"/>
      <c r="E15" s="288"/>
      <c r="F15" s="288"/>
      <c r="G15" s="288"/>
    </row>
    <row r="16" spans="1:11" s="62" customFormat="1" ht="13.95" customHeight="1" x14ac:dyDescent="0.3">
      <c r="A16" s="100" t="s">
        <v>163</v>
      </c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2"/>
      <c r="H16" s="63"/>
      <c r="K16" s="102"/>
    </row>
    <row r="17" spans="1:11" s="62" customFormat="1" ht="13.95" customHeight="1" x14ac:dyDescent="0.3">
      <c r="A17" s="154"/>
      <c r="B17" s="103">
        <f>((C7/0.2)+1)*2</f>
        <v>1531.4999999999998</v>
      </c>
      <c r="C17" s="103"/>
      <c r="D17" s="104" t="s">
        <v>10</v>
      </c>
      <c r="E17" s="105">
        <v>1.2</v>
      </c>
      <c r="F17" s="98">
        <f>+VLOOKUP(D17,PESOS!$B$3:$F$25,5,FALSE)*B17*E17</f>
        <v>1827.5329974800604</v>
      </c>
      <c r="G17" s="102" t="s">
        <v>137</v>
      </c>
      <c r="H17" s="63"/>
      <c r="K17" s="102"/>
    </row>
    <row r="18" spans="1:11" s="62" customFormat="1" ht="13.95" customHeight="1" x14ac:dyDescent="0.3">
      <c r="A18" s="120"/>
      <c r="B18" s="103">
        <f>10*ROUNDUP(((C7)/(6-0.7)),0)+2</f>
        <v>292</v>
      </c>
      <c r="C18" s="103"/>
      <c r="D18" s="104" t="s">
        <v>10</v>
      </c>
      <c r="E18" s="105">
        <v>6</v>
      </c>
      <c r="F18" s="98">
        <f>+VLOOKUP(D18,PESOS!$B$3:$F$25,5,FALSE)*B18*E18</f>
        <v>1742.2123253809264</v>
      </c>
      <c r="G18" s="102" t="s">
        <v>136</v>
      </c>
    </row>
    <row r="19" spans="1:11" s="62" customFormat="1" ht="13.95" customHeight="1" x14ac:dyDescent="0.3">
      <c r="A19" s="287"/>
      <c r="B19" s="287"/>
      <c r="C19" s="287"/>
      <c r="D19" s="287"/>
      <c r="E19" s="98"/>
      <c r="F19" s="98"/>
      <c r="G19" s="99"/>
    </row>
    <row r="20" spans="1:11" s="62" customFormat="1" ht="13.95" customHeight="1" x14ac:dyDescent="0.3">
      <c r="A20" s="288" t="s">
        <v>299</v>
      </c>
      <c r="B20" s="288"/>
      <c r="C20" s="288"/>
      <c r="D20" s="288"/>
      <c r="E20" s="288"/>
      <c r="F20" s="288"/>
      <c r="G20" s="288"/>
    </row>
    <row r="21" spans="1:11" s="62" customFormat="1" ht="13.95" customHeight="1" x14ac:dyDescent="0.3">
      <c r="A21" s="100" t="s">
        <v>163</v>
      </c>
      <c r="B21" s="101" t="s">
        <v>124</v>
      </c>
      <c r="C21" s="101"/>
      <c r="D21" s="101" t="s">
        <v>104</v>
      </c>
      <c r="E21" s="101" t="s">
        <v>113</v>
      </c>
      <c r="F21" s="101" t="s">
        <v>112</v>
      </c>
      <c r="G21" s="102"/>
      <c r="H21" s="63"/>
      <c r="I21" s="63"/>
    </row>
    <row r="22" spans="1:11" s="62" customFormat="1" ht="13.95" customHeight="1" x14ac:dyDescent="0.3">
      <c r="A22" s="154">
        <v>1</v>
      </c>
      <c r="B22" s="103">
        <f>ROUNDUP((((C11)/0.15)),0)+1</f>
        <v>1021</v>
      </c>
      <c r="C22" s="103"/>
      <c r="D22" s="104" t="s">
        <v>10</v>
      </c>
      <c r="E22" s="105">
        <v>1.55</v>
      </c>
      <c r="F22" s="98">
        <f>+VLOOKUP(D22,PESOS!$B$3:$F$25,5,FALSE)*B22*E22</f>
        <v>1573.7089700522745</v>
      </c>
      <c r="G22" s="274" t="s">
        <v>137</v>
      </c>
      <c r="H22" s="63"/>
      <c r="I22" s="63"/>
    </row>
    <row r="23" spans="1:11" s="62" customFormat="1" ht="13.95" customHeight="1" x14ac:dyDescent="0.3">
      <c r="A23" s="154">
        <v>2</v>
      </c>
      <c r="B23" s="103">
        <f>ROUNDUP(((C11)/0.2),0)+1</f>
        <v>766</v>
      </c>
      <c r="C23" s="103"/>
      <c r="D23" s="104" t="s">
        <v>9</v>
      </c>
      <c r="E23" s="105">
        <v>1.45</v>
      </c>
      <c r="F23" s="98">
        <f>+VLOOKUP(D23,PESOS!$B$3:$F$25,5,FALSE)*B23*E23</f>
        <v>621.27843422536205</v>
      </c>
      <c r="G23" s="274" t="s">
        <v>137</v>
      </c>
      <c r="H23" s="63"/>
      <c r="I23" s="63"/>
    </row>
    <row r="24" spans="1:11" s="62" customFormat="1" ht="13.95" customHeight="1" x14ac:dyDescent="0.3">
      <c r="A24" s="120"/>
      <c r="B24" s="103">
        <f>10*ROUNDUP(((C11)/(6-0.6)),0)+2</f>
        <v>292</v>
      </c>
      <c r="C24" s="103"/>
      <c r="D24" s="104" t="s">
        <v>9</v>
      </c>
      <c r="E24" s="105">
        <v>6</v>
      </c>
      <c r="F24" s="98">
        <f>+VLOOKUP(D24,PESOS!$B$3:$F$25,5,FALSE)*B24*E24</f>
        <v>979.99443302677082</v>
      </c>
      <c r="G24" s="274" t="s">
        <v>136</v>
      </c>
    </row>
    <row r="25" spans="1:11" s="62" customFormat="1" ht="13.95" customHeight="1" x14ac:dyDescent="0.3">
      <c r="A25" s="287"/>
      <c r="B25" s="287"/>
      <c r="C25" s="287"/>
      <c r="D25" s="287"/>
      <c r="E25" s="98"/>
      <c r="F25" s="98"/>
      <c r="G25" s="99"/>
    </row>
    <row r="26" spans="1:11" ht="21.3" x14ac:dyDescent="0.4">
      <c r="A26" s="289" t="s">
        <v>284</v>
      </c>
      <c r="B26" s="289"/>
      <c r="C26" s="289"/>
      <c r="D26" s="289"/>
      <c r="E26" s="289"/>
      <c r="F26" s="266">
        <f>SUM(F17:F18)+SUM(F22:F24)</f>
        <v>6744.7271601653938</v>
      </c>
      <c r="G26" s="64"/>
    </row>
    <row r="27" spans="1:11" ht="13.15" x14ac:dyDescent="0.25">
      <c r="A27" s="24"/>
      <c r="B27" s="24"/>
      <c r="C27" s="24"/>
      <c r="D27" s="24"/>
      <c r="E27" s="24"/>
      <c r="F27" s="24"/>
      <c r="G27" s="24"/>
    </row>
    <row r="28" spans="1:11" ht="15.05" x14ac:dyDescent="0.3">
      <c r="A28" s="286"/>
      <c r="B28" s="286"/>
      <c r="C28" s="286"/>
      <c r="D28" s="286"/>
      <c r="E28" s="286"/>
      <c r="F28" s="286"/>
      <c r="G28" s="286"/>
    </row>
    <row r="29" spans="1:11" ht="15.05" x14ac:dyDescent="0.3">
      <c r="A29" s="118"/>
      <c r="B29" s="118"/>
      <c r="C29" s="106"/>
      <c r="D29" s="106"/>
      <c r="E29" s="107"/>
      <c r="F29" s="118"/>
      <c r="G29" s="118"/>
    </row>
    <row r="30" spans="1:11" ht="15.05" x14ac:dyDescent="0.3">
      <c r="A30" s="118"/>
      <c r="B30" s="118"/>
      <c r="C30" s="118"/>
      <c r="D30" s="118"/>
      <c r="E30" s="118"/>
      <c r="F30" s="118"/>
      <c r="G30" s="118"/>
    </row>
    <row r="31" spans="1:11" ht="15.05" x14ac:dyDescent="0.3">
      <c r="A31" s="108"/>
      <c r="B31" s="108"/>
      <c r="C31" s="108"/>
      <c r="D31" s="108"/>
      <c r="E31" s="108"/>
      <c r="F31" s="108"/>
      <c r="G31" s="59"/>
    </row>
    <row r="32" spans="1:11" ht="15.05" x14ac:dyDescent="0.3">
      <c r="A32" s="59"/>
      <c r="B32" s="78"/>
      <c r="C32" s="78"/>
      <c r="D32" s="109"/>
      <c r="E32" s="77"/>
      <c r="F32" s="33"/>
      <c r="G32" s="59"/>
    </row>
    <row r="33" spans="1:7" ht="15.05" x14ac:dyDescent="0.3">
      <c r="A33" s="59"/>
      <c r="B33" s="78"/>
      <c r="C33" s="110"/>
      <c r="D33" s="111"/>
      <c r="E33" s="77"/>
      <c r="F33" s="33"/>
      <c r="G33" s="59"/>
    </row>
    <row r="34" spans="1:7" ht="21.3" x14ac:dyDescent="0.4">
      <c r="A34" s="279"/>
      <c r="B34" s="279"/>
      <c r="C34" s="279"/>
      <c r="D34" s="279"/>
      <c r="E34" s="279"/>
      <c r="F34" s="112"/>
      <c r="G34" s="24"/>
    </row>
    <row r="35" spans="1:7" ht="13.15" x14ac:dyDescent="0.25">
      <c r="A35" s="24"/>
      <c r="B35" s="24"/>
      <c r="C35" s="24"/>
      <c r="D35" s="24"/>
      <c r="E35" s="24"/>
      <c r="F35" s="24"/>
      <c r="G35" s="24"/>
    </row>
  </sheetData>
  <mergeCells count="14">
    <mergeCell ref="A34:E34"/>
    <mergeCell ref="A13:D13"/>
    <mergeCell ref="F10:G10"/>
    <mergeCell ref="F6:G6"/>
    <mergeCell ref="F7:G7"/>
    <mergeCell ref="A20:G20"/>
    <mergeCell ref="A25:D25"/>
    <mergeCell ref="A26:E26"/>
    <mergeCell ref="A28:G28"/>
    <mergeCell ref="A2:G2"/>
    <mergeCell ref="A3:G3"/>
    <mergeCell ref="F11:G11"/>
    <mergeCell ref="A15:G15"/>
    <mergeCell ref="A19:D19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7FA8-2538-4A7F-95FD-764C21CEC245}">
  <sheetPr codeName="Hoja25">
    <tabColor theme="5" tint="-0.249977111117893"/>
  </sheetPr>
  <dimension ref="A1:K61"/>
  <sheetViews>
    <sheetView view="pageBreakPreview" zoomScaleNormal="115" zoomScaleSheetLayoutView="100" workbookViewId="0">
      <selection activeCell="K27" sqref="K27"/>
    </sheetView>
  </sheetViews>
  <sheetFormatPr baseColWidth="10" defaultColWidth="11.44140625" defaultRowHeight="12.55" x14ac:dyDescent="0.2"/>
  <cols>
    <col min="1" max="1" width="10.88671875" style="1" bestFit="1" customWidth="1"/>
    <col min="2" max="2" width="17.44140625" style="1" bestFit="1" customWidth="1"/>
    <col min="3" max="3" width="10.88671875" style="1" bestFit="1" customWidth="1"/>
    <col min="4" max="4" width="10.44140625" style="1" bestFit="1" customWidth="1"/>
    <col min="5" max="5" width="16.5546875" style="1" bestFit="1" customWidth="1"/>
    <col min="6" max="6" width="19.33203125" style="1" bestFit="1" customWidth="1"/>
    <col min="7" max="7" width="35.4414062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7" ht="15.05" x14ac:dyDescent="0.3">
      <c r="A1" s="38"/>
      <c r="B1" s="38"/>
      <c r="C1" s="38"/>
      <c r="D1" s="38"/>
      <c r="E1" s="38"/>
      <c r="F1" s="38"/>
      <c r="G1" s="39"/>
    </row>
    <row r="2" spans="1:7" ht="26.3" x14ac:dyDescent="0.5">
      <c r="A2" s="290" t="s">
        <v>285</v>
      </c>
      <c r="B2" s="290"/>
      <c r="C2" s="290"/>
      <c r="D2" s="290"/>
      <c r="E2" s="290"/>
      <c r="F2" s="290"/>
      <c r="G2" s="290"/>
    </row>
    <row r="3" spans="1:7" ht="13.95" customHeight="1" x14ac:dyDescent="0.3">
      <c r="A3" s="291" t="s">
        <v>286</v>
      </c>
      <c r="B3" s="291"/>
      <c r="C3" s="291"/>
      <c r="D3" s="291"/>
      <c r="E3" s="291"/>
      <c r="F3" s="291"/>
      <c r="G3" s="291"/>
    </row>
    <row r="4" spans="1:7" ht="13.95" customHeight="1" x14ac:dyDescent="0.3">
      <c r="A4" s="119"/>
      <c r="B4" s="119"/>
      <c r="C4" s="119"/>
      <c r="D4" s="119"/>
      <c r="E4" s="119"/>
      <c r="F4" s="119"/>
      <c r="G4" s="119"/>
    </row>
    <row r="5" spans="1:7" ht="13.95" customHeight="1" x14ac:dyDescent="0.3">
      <c r="A5" s="49" t="s">
        <v>280</v>
      </c>
      <c r="B5" s="49"/>
      <c r="C5" s="49"/>
      <c r="D5" s="34"/>
      <c r="E5" s="34"/>
      <c r="F5" s="35"/>
      <c r="G5" s="119"/>
    </row>
    <row r="6" spans="1:7" ht="13.95" customHeight="1" x14ac:dyDescent="0.3">
      <c r="A6" s="71" t="s">
        <v>123</v>
      </c>
      <c r="B6" s="71" t="s">
        <v>111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7" ht="13.95" customHeight="1" x14ac:dyDescent="0.3">
      <c r="A7" s="44">
        <v>0.25</v>
      </c>
      <c r="B7" s="44">
        <v>0.25</v>
      </c>
      <c r="C7" s="44">
        <v>59.05</v>
      </c>
      <c r="D7" s="34"/>
      <c r="E7" s="29">
        <f>+A7*C7*B7</f>
        <v>3.6906249999999998</v>
      </c>
      <c r="F7" s="312" t="s">
        <v>308</v>
      </c>
      <c r="G7" s="312"/>
    </row>
    <row r="8" spans="1:7" ht="13.95" customHeight="1" x14ac:dyDescent="0.3">
      <c r="A8" s="44">
        <v>0.25</v>
      </c>
      <c r="B8" s="44">
        <v>0.25</v>
      </c>
      <c r="C8" s="44">
        <v>18.100000000000001</v>
      </c>
      <c r="D8" s="34"/>
      <c r="E8" s="29">
        <f>+A8*C8*B8</f>
        <v>1.1312500000000001</v>
      </c>
      <c r="F8" s="312" t="s">
        <v>309</v>
      </c>
      <c r="G8" s="312"/>
    </row>
    <row r="9" spans="1:7" ht="13.95" customHeight="1" x14ac:dyDescent="0.3">
      <c r="A9" s="44"/>
      <c r="B9" s="44"/>
      <c r="C9" s="44"/>
      <c r="D9" s="34"/>
      <c r="E9" s="29"/>
      <c r="F9" s="48"/>
      <c r="G9" s="119"/>
    </row>
    <row r="10" spans="1:7" ht="13.95" customHeight="1" x14ac:dyDescent="0.3">
      <c r="A10" s="49" t="s">
        <v>294</v>
      </c>
      <c r="B10" s="49"/>
      <c r="C10" s="49"/>
      <c r="D10" s="96"/>
      <c r="E10" s="96"/>
      <c r="F10" s="96"/>
      <c r="G10" s="96"/>
    </row>
    <row r="11" spans="1:7" ht="13.95" customHeight="1" x14ac:dyDescent="0.3">
      <c r="A11" s="71"/>
      <c r="B11" s="71" t="s">
        <v>234</v>
      </c>
      <c r="C11" s="71" t="s">
        <v>143</v>
      </c>
      <c r="D11" s="34"/>
      <c r="E11" s="71" t="s">
        <v>101</v>
      </c>
      <c r="F11" s="310" t="s">
        <v>102</v>
      </c>
      <c r="G11" s="310"/>
    </row>
    <row r="12" spans="1:7" ht="13.95" customHeight="1" x14ac:dyDescent="0.3">
      <c r="A12" s="44"/>
      <c r="B12" s="113">
        <v>1.6543000000000001</v>
      </c>
      <c r="C12" s="44">
        <v>59.05</v>
      </c>
      <c r="D12" s="34"/>
      <c r="E12" s="29">
        <f>B12*C12</f>
        <v>97.686414999999997</v>
      </c>
      <c r="F12" s="312" t="s">
        <v>310</v>
      </c>
      <c r="G12" s="312"/>
    </row>
    <row r="13" spans="1:7" ht="13.95" customHeight="1" x14ac:dyDescent="0.3">
      <c r="A13" s="44"/>
      <c r="B13" s="113">
        <v>1.3785000000000001</v>
      </c>
      <c r="C13" s="44">
        <v>18.100000000000001</v>
      </c>
      <c r="D13" s="34"/>
      <c r="E13" s="29">
        <f>B13*C13</f>
        <v>24.950850000000003</v>
      </c>
      <c r="F13" s="312" t="s">
        <v>311</v>
      </c>
      <c r="G13" s="312"/>
    </row>
    <row r="14" spans="1:7" ht="13.95" customHeight="1" x14ac:dyDescent="0.3">
      <c r="A14" s="44"/>
      <c r="B14" s="95"/>
      <c r="C14" s="97"/>
      <c r="D14" s="97"/>
      <c r="E14" s="29"/>
      <c r="F14" s="34"/>
      <c r="G14" s="96"/>
    </row>
    <row r="15" spans="1:7" ht="21.3" x14ac:dyDescent="0.4">
      <c r="A15" s="282" t="s">
        <v>121</v>
      </c>
      <c r="B15" s="282"/>
      <c r="C15" s="282"/>
      <c r="D15" s="282"/>
      <c r="E15" s="54">
        <f>SUM(E7:E14)</f>
        <v>127.45914</v>
      </c>
      <c r="F15" s="54"/>
      <c r="G15" s="54"/>
    </row>
    <row r="16" spans="1:7" ht="13.95" customHeight="1" x14ac:dyDescent="0.3">
      <c r="A16" s="31"/>
      <c r="B16" s="27"/>
      <c r="C16" s="31"/>
      <c r="D16" s="32"/>
      <c r="E16" s="33"/>
      <c r="F16" s="33"/>
      <c r="G16" s="31"/>
    </row>
    <row r="17" spans="1:11" s="62" customFormat="1" ht="13.95" customHeight="1" x14ac:dyDescent="0.3">
      <c r="A17" s="288" t="s">
        <v>283</v>
      </c>
      <c r="B17" s="288"/>
      <c r="C17" s="288"/>
      <c r="D17" s="288"/>
      <c r="E17" s="288"/>
      <c r="F17" s="288"/>
      <c r="G17" s="288"/>
    </row>
    <row r="18" spans="1:11" s="62" customFormat="1" ht="13.95" customHeight="1" x14ac:dyDescent="0.3">
      <c r="A18" s="100" t="s">
        <v>163</v>
      </c>
      <c r="B18" s="101" t="s">
        <v>124</v>
      </c>
      <c r="C18" s="101"/>
      <c r="D18" s="101" t="s">
        <v>104</v>
      </c>
      <c r="E18" s="101" t="s">
        <v>113</v>
      </c>
      <c r="F18" s="101" t="s">
        <v>112</v>
      </c>
      <c r="G18" s="101" t="s">
        <v>102</v>
      </c>
      <c r="H18" s="63"/>
      <c r="K18" s="102"/>
    </row>
    <row r="19" spans="1:11" s="62" customFormat="1" ht="13.95" customHeight="1" x14ac:dyDescent="0.3">
      <c r="A19" s="154"/>
      <c r="B19" s="103">
        <f>ROUNDUP((C7/0.2),0)+2</f>
        <v>298</v>
      </c>
      <c r="C19" s="103"/>
      <c r="D19" s="104" t="s">
        <v>9</v>
      </c>
      <c r="E19" s="105">
        <v>0.88</v>
      </c>
      <c r="F19" s="98">
        <f>+VLOOKUP(D19,PESOS!$B$3:$F$25,5,FALSE)*B19*E19</f>
        <v>146.68592472428102</v>
      </c>
      <c r="G19" s="274" t="s">
        <v>312</v>
      </c>
      <c r="H19" s="63"/>
      <c r="K19" s="102"/>
    </row>
    <row r="20" spans="1:11" s="62" customFormat="1" ht="13.95" customHeight="1" x14ac:dyDescent="0.3">
      <c r="A20" s="120"/>
      <c r="B20" s="103">
        <f>4*ROUNDUP(((C7)/(6-0.6)),0)+1</f>
        <v>45</v>
      </c>
      <c r="C20" s="103"/>
      <c r="D20" s="104" t="s">
        <v>10</v>
      </c>
      <c r="E20" s="105">
        <v>6</v>
      </c>
      <c r="F20" s="98">
        <f>+VLOOKUP(D20,PESOS!$B$3:$F$25,5,FALSE)*B20*E20</f>
        <v>268.49162548678657</v>
      </c>
      <c r="G20" s="274" t="s">
        <v>313</v>
      </c>
    </row>
    <row r="21" spans="1:11" s="62" customFormat="1" ht="13.95" customHeight="1" x14ac:dyDescent="0.3">
      <c r="A21" s="267"/>
      <c r="B21" s="103">
        <f>ROUNDUP((C8/0.2),0)+2</f>
        <v>93</v>
      </c>
      <c r="C21" s="103"/>
      <c r="D21" s="104" t="s">
        <v>9</v>
      </c>
      <c r="E21" s="105">
        <v>0.88</v>
      </c>
      <c r="F21" s="98">
        <f>+VLOOKUP(D21,PESOS!$B$3:$F$25,5,FALSE)*B21*E21</f>
        <v>45.777822145497097</v>
      </c>
      <c r="G21" s="274" t="s">
        <v>314</v>
      </c>
    </row>
    <row r="22" spans="1:11" s="62" customFormat="1" ht="13.95" customHeight="1" x14ac:dyDescent="0.3">
      <c r="A22" s="239"/>
      <c r="B22" s="103">
        <f>4*ROUNDUP(((C8)/(6-0.6)),0)+1</f>
        <v>17</v>
      </c>
      <c r="C22" s="103"/>
      <c r="D22" s="104" t="s">
        <v>10</v>
      </c>
      <c r="E22" s="105">
        <v>6</v>
      </c>
      <c r="F22" s="98">
        <f>+VLOOKUP(D22,PESOS!$B$3:$F$25,5,FALSE)*B22*E22</f>
        <v>101.43016962834162</v>
      </c>
      <c r="G22" s="274" t="s">
        <v>315</v>
      </c>
    </row>
    <row r="23" spans="1:11" s="62" customFormat="1" ht="13.95" customHeight="1" x14ac:dyDescent="0.3">
      <c r="A23" s="239"/>
      <c r="B23" s="239"/>
      <c r="C23" s="239"/>
      <c r="D23" s="239"/>
      <c r="E23" s="98"/>
      <c r="F23" s="98"/>
      <c r="G23" s="99"/>
    </row>
    <row r="24" spans="1:11" s="62" customFormat="1" ht="13.95" customHeight="1" x14ac:dyDescent="0.3">
      <c r="A24" s="288" t="s">
        <v>316</v>
      </c>
      <c r="B24" s="288"/>
      <c r="C24" s="288"/>
      <c r="D24" s="288"/>
      <c r="E24" s="288"/>
      <c r="F24" s="288"/>
      <c r="G24" s="288"/>
    </row>
    <row r="25" spans="1:11" s="62" customFormat="1" ht="13.95" customHeight="1" x14ac:dyDescent="0.3">
      <c r="A25" s="100" t="s">
        <v>163</v>
      </c>
      <c r="B25" s="101" t="s">
        <v>124</v>
      </c>
      <c r="C25" s="101"/>
      <c r="D25" s="101" t="s">
        <v>104</v>
      </c>
      <c r="E25" s="101" t="s">
        <v>113</v>
      </c>
      <c r="F25" s="101" t="s">
        <v>112</v>
      </c>
      <c r="G25" s="101" t="s">
        <v>102</v>
      </c>
      <c r="H25" s="63"/>
      <c r="I25" s="63"/>
    </row>
    <row r="26" spans="1:11" s="62" customFormat="1" ht="13.95" customHeight="1" x14ac:dyDescent="0.3">
      <c r="A26" s="154">
        <v>1</v>
      </c>
      <c r="B26" s="103">
        <f>ROUNDUP((((C12)/0.1)),0)+1</f>
        <v>592</v>
      </c>
      <c r="C26" s="103"/>
      <c r="D26" s="104" t="s">
        <v>9</v>
      </c>
      <c r="E26" s="105">
        <v>0.85</v>
      </c>
      <c r="F26" s="98">
        <f>+VLOOKUP(D26,PESOS!$B$3:$F$25,5,FALSE)*B26*E26</f>
        <v>281.46872071864783</v>
      </c>
      <c r="G26" s="274" t="s">
        <v>318</v>
      </c>
      <c r="H26" s="63"/>
      <c r="I26" s="63"/>
    </row>
    <row r="27" spans="1:11" s="62" customFormat="1" ht="13.95" customHeight="1" x14ac:dyDescent="0.3">
      <c r="A27" s="154">
        <v>2</v>
      </c>
      <c r="B27" s="103">
        <f>3*(ROUNDUP(((C12)/0.1),0)+1)</f>
        <v>1776</v>
      </c>
      <c r="C27" s="103"/>
      <c r="D27" s="104" t="s">
        <v>9</v>
      </c>
      <c r="E27" s="105">
        <v>1.1499999999999999</v>
      </c>
      <c r="F27" s="98">
        <f>+VLOOKUP(D27,PESOS!$B$3:$F$25,5,FALSE)*B27*E27</f>
        <v>1142.4318664462764</v>
      </c>
      <c r="G27" s="274" t="s">
        <v>319</v>
      </c>
      <c r="H27" s="63"/>
      <c r="I27" s="63"/>
    </row>
    <row r="28" spans="1:11" s="62" customFormat="1" ht="13.95" customHeight="1" x14ac:dyDescent="0.3">
      <c r="A28" s="154">
        <v>3</v>
      </c>
      <c r="B28" s="103">
        <f>3*(ROUNDUP(((C12)/0.1),0)+1)</f>
        <v>1776</v>
      </c>
      <c r="C28" s="103"/>
      <c r="D28" s="104" t="s">
        <v>9</v>
      </c>
      <c r="E28" s="105">
        <v>0.7</v>
      </c>
      <c r="F28" s="98">
        <f>+VLOOKUP(D28,PESOS!$B$3:$F$25,5,FALSE)*B28*E28</f>
        <v>695.39331001077699</v>
      </c>
      <c r="G28" s="274" t="s">
        <v>318</v>
      </c>
      <c r="H28" s="63"/>
      <c r="I28" s="63"/>
    </row>
    <row r="29" spans="1:11" s="62" customFormat="1" ht="13.95" customHeight="1" x14ac:dyDescent="0.3">
      <c r="A29" s="154">
        <v>4</v>
      </c>
      <c r="B29" s="103">
        <f>ROUNDUP(((C12)/0.1),0)+1</f>
        <v>592</v>
      </c>
      <c r="C29" s="103"/>
      <c r="D29" s="104" t="s">
        <v>9</v>
      </c>
      <c r="E29" s="105">
        <v>1.1000000000000001</v>
      </c>
      <c r="F29" s="98">
        <f>+VLOOKUP(D29,PESOS!$B$3:$F$25,5,FALSE)*B29*E29</f>
        <v>364.25363857707373</v>
      </c>
      <c r="G29" s="274" t="s">
        <v>319</v>
      </c>
      <c r="H29" s="63"/>
      <c r="I29" s="63"/>
    </row>
    <row r="30" spans="1:11" s="62" customFormat="1" ht="13.95" customHeight="1" x14ac:dyDescent="0.3">
      <c r="A30" s="154">
        <v>5</v>
      </c>
      <c r="B30" s="103">
        <f>ROUNDUP(((C12)/0.2),0)+1</f>
        <v>297</v>
      </c>
      <c r="C30" s="103"/>
      <c r="D30" s="104" t="s">
        <v>9</v>
      </c>
      <c r="E30" s="105">
        <v>3.35</v>
      </c>
      <c r="F30" s="98">
        <f>+VLOOKUP(D30,PESOS!$B$3:$F$25,5,FALSE)*B30*E30</f>
        <v>556.53279745432974</v>
      </c>
      <c r="G30" s="274" t="s">
        <v>287</v>
      </c>
      <c r="H30" s="63"/>
      <c r="I30" s="63"/>
    </row>
    <row r="31" spans="1:11" s="62" customFormat="1" ht="13.95" customHeight="1" x14ac:dyDescent="0.3">
      <c r="A31" s="154">
        <v>6</v>
      </c>
      <c r="B31" s="103">
        <f>ROUNDUP(((C12)/0.15),0)+1</f>
        <v>395</v>
      </c>
      <c r="C31" s="103"/>
      <c r="D31" s="104" t="s">
        <v>10</v>
      </c>
      <c r="E31" s="105">
        <v>3.45</v>
      </c>
      <c r="F31" s="98">
        <f>+VLOOKUP(D31,PESOS!$B$3:$F$25,5,FALSE)*B31*E31</f>
        <v>1355.1368986374757</v>
      </c>
      <c r="G31" s="274" t="s">
        <v>287</v>
      </c>
      <c r="H31" s="63"/>
      <c r="I31" s="63"/>
    </row>
    <row r="32" spans="1:11" s="62" customFormat="1" ht="13.95" customHeight="1" x14ac:dyDescent="0.3">
      <c r="A32" s="154">
        <v>7</v>
      </c>
      <c r="B32" s="103">
        <f>ROUNDUP(((C12)/0.2),0)+1</f>
        <v>297</v>
      </c>
      <c r="C32" s="103"/>
      <c r="D32" s="104" t="s">
        <v>10</v>
      </c>
      <c r="E32" s="105">
        <v>1.6</v>
      </c>
      <c r="F32" s="98">
        <f>+VLOOKUP(D32,PESOS!$B$3:$F$25,5,FALSE)*B32*E32</f>
        <v>472.54526085674445</v>
      </c>
      <c r="G32" s="274" t="s">
        <v>320</v>
      </c>
      <c r="H32" s="63"/>
      <c r="I32" s="63"/>
    </row>
    <row r="33" spans="1:9" s="62" customFormat="1" ht="13.95" customHeight="1" x14ac:dyDescent="0.3">
      <c r="A33" s="154">
        <v>8</v>
      </c>
      <c r="B33" s="103">
        <f>ROUNDUP(((C12)/0.2),0)+1</f>
        <v>297</v>
      </c>
      <c r="C33" s="103"/>
      <c r="D33" s="104" t="s">
        <v>10</v>
      </c>
      <c r="E33" s="105">
        <v>1.6</v>
      </c>
      <c r="F33" s="98">
        <f>+VLOOKUP(D33,PESOS!$B$3:$F$25,5,FALSE)*B33*E33</f>
        <v>472.54526085674445</v>
      </c>
      <c r="G33" s="274" t="s">
        <v>320</v>
      </c>
      <c r="H33" s="63"/>
      <c r="I33" s="63"/>
    </row>
    <row r="34" spans="1:9" s="62" customFormat="1" ht="13.95" customHeight="1" x14ac:dyDescent="0.3">
      <c r="A34" s="120"/>
      <c r="B34" s="103">
        <f>53*(ROUNDUP(((C12)/(6-0.6)),0))</f>
        <v>583</v>
      </c>
      <c r="C34" s="103"/>
      <c r="D34" s="104" t="s">
        <v>9</v>
      </c>
      <c r="E34" s="105">
        <v>6</v>
      </c>
      <c r="F34" s="98">
        <f>+VLOOKUP(D34,PESOS!$B$3:$F$25,5,FALSE)*B34*E34</f>
        <v>1956.6327207349568</v>
      </c>
      <c r="G34" s="274" t="s">
        <v>321</v>
      </c>
    </row>
    <row r="35" spans="1:9" s="62" customFormat="1" ht="13.95" customHeight="1" x14ac:dyDescent="0.3">
      <c r="A35" s="120"/>
      <c r="B35" s="103">
        <f>24*ROUNDUP(((C12)/(6-0.6)),0)+1</f>
        <v>265</v>
      </c>
      <c r="C35" s="103"/>
      <c r="D35" s="104" t="s">
        <v>9</v>
      </c>
      <c r="E35" s="105">
        <v>6</v>
      </c>
      <c r="F35" s="98">
        <f>+VLOOKUP(D35,PESOS!$B$3:$F$25,5,FALSE)*B35*E35</f>
        <v>889.37850942498028</v>
      </c>
      <c r="G35" s="274" t="s">
        <v>323</v>
      </c>
    </row>
    <row r="36" spans="1:9" s="62" customFormat="1" ht="13.95" customHeight="1" x14ac:dyDescent="0.3">
      <c r="A36" s="267"/>
      <c r="B36" s="103">
        <f>14*ROUNDUP(((C12)/(6-0.7)),0)+1</f>
        <v>169</v>
      </c>
      <c r="C36" s="103"/>
      <c r="D36" s="104" t="s">
        <v>10</v>
      </c>
      <c r="E36" s="105">
        <v>6</v>
      </c>
      <c r="F36" s="98">
        <f>+VLOOKUP(D36,PESOS!$B$3:$F$25,5,FALSE)*B36*E36</f>
        <v>1008.335215717043</v>
      </c>
      <c r="G36" s="274" t="s">
        <v>322</v>
      </c>
    </row>
    <row r="37" spans="1:9" s="62" customFormat="1" ht="13.95" customHeight="1" x14ac:dyDescent="0.3">
      <c r="A37" s="267"/>
      <c r="B37" s="103"/>
      <c r="C37" s="103"/>
      <c r="D37" s="104"/>
      <c r="E37" s="105"/>
      <c r="F37" s="98"/>
      <c r="G37" s="102"/>
    </row>
    <row r="38" spans="1:9" s="62" customFormat="1" ht="13.95" customHeight="1" x14ac:dyDescent="0.3">
      <c r="A38" s="288" t="s">
        <v>317</v>
      </c>
      <c r="B38" s="288"/>
      <c r="C38" s="288"/>
      <c r="D38" s="288"/>
      <c r="E38" s="288"/>
      <c r="F38" s="288"/>
      <c r="G38" s="288"/>
    </row>
    <row r="39" spans="1:9" s="62" customFormat="1" ht="13.95" customHeight="1" x14ac:dyDescent="0.3">
      <c r="A39" s="100" t="s">
        <v>163</v>
      </c>
      <c r="B39" s="101" t="s">
        <v>124</v>
      </c>
      <c r="C39" s="101"/>
      <c r="D39" s="101" t="s">
        <v>104</v>
      </c>
      <c r="E39" s="101" t="s">
        <v>113</v>
      </c>
      <c r="F39" s="101" t="s">
        <v>112</v>
      </c>
      <c r="G39" s="101" t="s">
        <v>102</v>
      </c>
    </row>
    <row r="40" spans="1:9" s="62" customFormat="1" ht="13.95" customHeight="1" x14ac:dyDescent="0.3">
      <c r="A40" s="154">
        <v>1</v>
      </c>
      <c r="B40" s="103">
        <f>ROUNDUP((((C13)/0.1)),0)+1</f>
        <v>182</v>
      </c>
      <c r="C40" s="103"/>
      <c r="D40" s="104" t="s">
        <v>9</v>
      </c>
      <c r="E40" s="105">
        <v>0.85</v>
      </c>
      <c r="F40" s="98">
        <f>+VLOOKUP(D40,PESOS!$B$3:$F$25,5,FALSE)*B40*E40</f>
        <v>86.532613464178908</v>
      </c>
      <c r="G40" s="274" t="s">
        <v>318</v>
      </c>
    </row>
    <row r="41" spans="1:9" s="62" customFormat="1" ht="13.95" customHeight="1" x14ac:dyDescent="0.3">
      <c r="A41" s="154">
        <v>2</v>
      </c>
      <c r="B41" s="103">
        <f>3*ROUNDUP(((C13)/0.1),0)+1</f>
        <v>544</v>
      </c>
      <c r="C41" s="103"/>
      <c r="D41" s="104" t="s">
        <v>9</v>
      </c>
      <c r="E41" s="105">
        <v>1.1499999999999999</v>
      </c>
      <c r="F41" s="98">
        <f>+VLOOKUP(D41,PESOS!$B$3:$F$25,5,FALSE)*B41*E41</f>
        <v>349.93408521777843</v>
      </c>
      <c r="G41" s="274" t="s">
        <v>319</v>
      </c>
    </row>
    <row r="42" spans="1:9" s="62" customFormat="1" ht="13.95" customHeight="1" x14ac:dyDescent="0.3">
      <c r="A42" s="154">
        <v>3</v>
      </c>
      <c r="B42" s="103">
        <f>3*ROUNDUP(((C13)/0.1),0)+1</f>
        <v>544</v>
      </c>
      <c r="C42" s="103"/>
      <c r="D42" s="104" t="s">
        <v>9</v>
      </c>
      <c r="E42" s="105">
        <v>0.7</v>
      </c>
      <c r="F42" s="98">
        <f>+VLOOKUP(D42,PESOS!$B$3:$F$25,5,FALSE)*B42*E42</f>
        <v>213.00335621951731</v>
      </c>
      <c r="G42" s="274" t="s">
        <v>318</v>
      </c>
    </row>
    <row r="43" spans="1:9" s="62" customFormat="1" ht="13.95" customHeight="1" x14ac:dyDescent="0.3">
      <c r="A43" s="154">
        <v>4</v>
      </c>
      <c r="B43" s="103">
        <f>ROUNDUP(((C13)/0.1),0)+1</f>
        <v>182</v>
      </c>
      <c r="C43" s="103"/>
      <c r="D43" s="104" t="s">
        <v>9</v>
      </c>
      <c r="E43" s="105">
        <v>1.05</v>
      </c>
      <c r="F43" s="98">
        <f>+VLOOKUP(D43,PESOS!$B$3:$F$25,5,FALSE)*B43*E43</f>
        <v>106.89322839692689</v>
      </c>
      <c r="G43" s="274" t="s">
        <v>319</v>
      </c>
    </row>
    <row r="44" spans="1:9" s="62" customFormat="1" ht="13.95" customHeight="1" x14ac:dyDescent="0.3">
      <c r="A44" s="154">
        <v>5</v>
      </c>
      <c r="B44" s="103">
        <f>ROUNDUP(((C13)/0.2),0)+1</f>
        <v>92</v>
      </c>
      <c r="C44" s="103"/>
      <c r="D44" s="104" t="s">
        <v>9</v>
      </c>
      <c r="E44" s="105">
        <v>2.5</v>
      </c>
      <c r="F44" s="98">
        <f>+VLOOKUP(D44,PESOS!$B$3:$F$25,5,FALSE)*B44*E44</f>
        <v>128.65223721241853</v>
      </c>
      <c r="G44" s="274" t="s">
        <v>287</v>
      </c>
    </row>
    <row r="45" spans="1:9" s="62" customFormat="1" ht="13.95" customHeight="1" x14ac:dyDescent="0.3">
      <c r="A45" s="154">
        <v>6</v>
      </c>
      <c r="B45" s="103">
        <f>ROUNDUP(((C13)/0.15),0)+1</f>
        <v>122</v>
      </c>
      <c r="C45" s="103"/>
      <c r="D45" s="104" t="s">
        <v>10</v>
      </c>
      <c r="E45" s="105">
        <v>2.6</v>
      </c>
      <c r="F45" s="98">
        <f>+VLOOKUP(D45,PESOS!$B$3:$F$25,5,FALSE)*B45*E45</f>
        <v>315.42793927558779</v>
      </c>
      <c r="G45" s="274" t="s">
        <v>287</v>
      </c>
    </row>
    <row r="46" spans="1:9" s="62" customFormat="1" ht="13.95" customHeight="1" x14ac:dyDescent="0.3">
      <c r="A46" s="154">
        <v>7</v>
      </c>
      <c r="B46" s="103">
        <f>ROUNDUP(((C13)/0.2),0)+1</f>
        <v>92</v>
      </c>
      <c r="C46" s="103"/>
      <c r="D46" s="104" t="s">
        <v>10</v>
      </c>
      <c r="E46" s="105">
        <v>1.5</v>
      </c>
      <c r="F46" s="98">
        <f>+VLOOKUP(D46,PESOS!$B$3:$F$25,5,FALSE)*B46*E46</f>
        <v>137.22905302657981</v>
      </c>
      <c r="G46" s="274" t="s">
        <v>320</v>
      </c>
    </row>
    <row r="47" spans="1:9" s="62" customFormat="1" ht="13.95" customHeight="1" x14ac:dyDescent="0.3">
      <c r="A47" s="154">
        <v>8</v>
      </c>
      <c r="B47" s="103">
        <f>ROUNDUP(((C13)/0.2),0)+1</f>
        <v>92</v>
      </c>
      <c r="C47" s="103"/>
      <c r="D47" s="104" t="s">
        <v>10</v>
      </c>
      <c r="E47" s="105">
        <v>1.5</v>
      </c>
      <c r="F47" s="98">
        <f>+VLOOKUP(D47,PESOS!$B$3:$F$25,5,FALSE)*B47*E47</f>
        <v>137.22905302657981</v>
      </c>
      <c r="G47" s="274" t="s">
        <v>320</v>
      </c>
    </row>
    <row r="48" spans="1:9" s="62" customFormat="1" ht="13.95" customHeight="1" x14ac:dyDescent="0.3">
      <c r="A48" s="120"/>
      <c r="B48" s="103">
        <f>53*ROUNDUP(((C13)/(6-0.6)),0)+1</f>
        <v>213</v>
      </c>
      <c r="C48" s="103"/>
      <c r="D48" s="104" t="s">
        <v>9</v>
      </c>
      <c r="E48" s="105">
        <v>6</v>
      </c>
      <c r="F48" s="98">
        <f>+VLOOKUP(D48,PESOS!$B$3:$F$25,5,FALSE)*B48*E48</f>
        <v>714.85895285856907</v>
      </c>
      <c r="G48" s="274" t="s">
        <v>321</v>
      </c>
    </row>
    <row r="49" spans="1:7" s="62" customFormat="1" ht="13.95" customHeight="1" x14ac:dyDescent="0.3">
      <c r="A49" s="120"/>
      <c r="B49" s="103">
        <f>18*ROUNDUP(((C13)/(6-0.6)),0)+1</f>
        <v>73</v>
      </c>
      <c r="C49" s="103"/>
      <c r="D49" s="104" t="s">
        <v>9</v>
      </c>
      <c r="E49" s="105">
        <v>6</v>
      </c>
      <c r="F49" s="98">
        <f>+VLOOKUP(D49,PESOS!$B$3:$F$25,5,FALSE)*B49*E49</f>
        <v>244.99860825669271</v>
      </c>
      <c r="G49" s="274" t="s">
        <v>323</v>
      </c>
    </row>
    <row r="50" spans="1:7" s="62" customFormat="1" ht="13.95" customHeight="1" x14ac:dyDescent="0.3">
      <c r="A50" s="267"/>
      <c r="B50" s="103">
        <f>14*ROUNDUP(((C13)/(6-0.7)),0)+1</f>
        <v>57</v>
      </c>
      <c r="C50" s="103"/>
      <c r="D50" s="104" t="s">
        <v>10</v>
      </c>
      <c r="E50" s="105">
        <v>6</v>
      </c>
      <c r="F50" s="98">
        <f>+VLOOKUP(D50,PESOS!$B$3:$F$25,5,FALSE)*B50*E50</f>
        <v>340.08939228326301</v>
      </c>
      <c r="G50" s="274" t="s">
        <v>322</v>
      </c>
    </row>
    <row r="51" spans="1:7" s="62" customFormat="1" ht="13.95" customHeight="1" x14ac:dyDescent="0.3">
      <c r="A51" s="239"/>
      <c r="B51" s="239"/>
      <c r="C51" s="239"/>
      <c r="D51" s="239"/>
      <c r="E51" s="98"/>
      <c r="F51" s="98"/>
      <c r="G51" s="99"/>
    </row>
    <row r="52" spans="1:7" ht="21.3" x14ac:dyDescent="0.4">
      <c r="A52" s="289" t="s">
        <v>284</v>
      </c>
      <c r="B52" s="289"/>
      <c r="C52" s="289"/>
      <c r="D52" s="289"/>
      <c r="E52" s="289"/>
      <c r="F52" s="266">
        <f>SUM(F19:F22)+SUM(F26:F36)+SUM(F40:F50)</f>
        <v>12531.888260658048</v>
      </c>
      <c r="G52" s="64"/>
    </row>
    <row r="53" spans="1:7" ht="13.15" x14ac:dyDescent="0.25">
      <c r="A53" s="24"/>
      <c r="B53" s="24"/>
      <c r="C53" s="24"/>
      <c r="D53" s="24"/>
      <c r="E53" s="24"/>
      <c r="F53" s="24"/>
      <c r="G53" s="24"/>
    </row>
    <row r="54" spans="1:7" ht="15.05" x14ac:dyDescent="0.3">
      <c r="A54" s="286"/>
      <c r="B54" s="286"/>
      <c r="C54" s="286"/>
      <c r="D54" s="286"/>
      <c r="E54" s="286"/>
      <c r="F54" s="286"/>
      <c r="G54" s="286"/>
    </row>
    <row r="55" spans="1:7" ht="15.05" x14ac:dyDescent="0.3">
      <c r="A55" s="118"/>
      <c r="B55" s="118"/>
      <c r="C55" s="106"/>
      <c r="D55" s="106"/>
      <c r="E55" s="107"/>
      <c r="F55" s="118"/>
      <c r="G55" s="118"/>
    </row>
    <row r="56" spans="1:7" ht="15.05" x14ac:dyDescent="0.3">
      <c r="A56" s="118"/>
      <c r="B56" s="118"/>
      <c r="C56" s="118"/>
      <c r="D56" s="118"/>
      <c r="E56" s="118"/>
      <c r="F56" s="118"/>
      <c r="G56" s="118"/>
    </row>
    <row r="57" spans="1:7" ht="15.05" x14ac:dyDescent="0.3">
      <c r="A57" s="108"/>
      <c r="B57" s="108"/>
      <c r="C57" s="108"/>
      <c r="D57" s="108"/>
      <c r="E57" s="108"/>
      <c r="F57" s="108"/>
      <c r="G57" s="59"/>
    </row>
    <row r="58" spans="1:7" ht="15.05" x14ac:dyDescent="0.3">
      <c r="A58" s="59"/>
      <c r="B58" s="78"/>
      <c r="C58" s="78"/>
      <c r="D58" s="109"/>
      <c r="E58" s="77"/>
      <c r="F58" s="33"/>
      <c r="G58" s="59"/>
    </row>
    <row r="59" spans="1:7" ht="15.05" x14ac:dyDescent="0.3">
      <c r="A59" s="59"/>
      <c r="B59" s="78"/>
      <c r="C59" s="110"/>
      <c r="D59" s="111"/>
      <c r="E59" s="77"/>
      <c r="F59" s="33"/>
      <c r="G59" s="59"/>
    </row>
    <row r="60" spans="1:7" ht="21.3" x14ac:dyDescent="0.4">
      <c r="A60" s="279"/>
      <c r="B60" s="279"/>
      <c r="C60" s="279"/>
      <c r="D60" s="279"/>
      <c r="E60" s="279"/>
      <c r="F60" s="112"/>
      <c r="G60" s="24"/>
    </row>
    <row r="61" spans="1:7" ht="13.15" x14ac:dyDescent="0.25">
      <c r="A61" s="24"/>
      <c r="B61" s="24"/>
      <c r="C61" s="24"/>
      <c r="D61" s="24"/>
      <c r="E61" s="24"/>
      <c r="F61" s="24"/>
      <c r="G61" s="24"/>
    </row>
  </sheetData>
  <mergeCells count="15">
    <mergeCell ref="A52:E52"/>
    <mergeCell ref="A54:G54"/>
    <mergeCell ref="A60:E60"/>
    <mergeCell ref="F8:G8"/>
    <mergeCell ref="A38:G38"/>
    <mergeCell ref="F13:G13"/>
    <mergeCell ref="A15:D15"/>
    <mergeCell ref="A17:G17"/>
    <mergeCell ref="A24:G24"/>
    <mergeCell ref="F12:G12"/>
    <mergeCell ref="A2:G2"/>
    <mergeCell ref="A3:G3"/>
    <mergeCell ref="F6:G6"/>
    <mergeCell ref="F7:G7"/>
    <mergeCell ref="F11:G11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417D-5994-4726-8D33-9205152A1A4B}">
  <sheetPr codeName="Hoja29">
    <tabColor theme="5" tint="-0.249977111117893"/>
  </sheetPr>
  <dimension ref="A1:K89"/>
  <sheetViews>
    <sheetView view="pageBreakPreview" topLeftCell="A61" zoomScaleNormal="90" zoomScaleSheetLayoutView="100" workbookViewId="0">
      <selection activeCell="B79" sqref="B79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0.44140625" style="1" bestFit="1" customWidth="1"/>
    <col min="5" max="5" width="16.5546875" style="1" bestFit="1" customWidth="1"/>
    <col min="6" max="6" width="19.33203125" style="1" bestFit="1" customWidth="1"/>
    <col min="7" max="7" width="35.55468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7" ht="15.05" x14ac:dyDescent="0.3">
      <c r="A1" s="38"/>
      <c r="B1" s="38"/>
      <c r="C1" s="38"/>
      <c r="D1" s="38"/>
      <c r="E1" s="38"/>
      <c r="F1" s="38"/>
      <c r="G1" s="39"/>
    </row>
    <row r="2" spans="1:7" ht="26.3" x14ac:dyDescent="0.5">
      <c r="A2" s="290" t="s">
        <v>295</v>
      </c>
      <c r="B2" s="290"/>
      <c r="C2" s="290"/>
      <c r="D2" s="290"/>
      <c r="E2" s="290"/>
      <c r="F2" s="290"/>
      <c r="G2" s="290"/>
    </row>
    <row r="3" spans="1:7" ht="13.95" customHeight="1" x14ac:dyDescent="0.3">
      <c r="A3" s="291" t="s">
        <v>296</v>
      </c>
      <c r="B3" s="291"/>
      <c r="C3" s="291"/>
      <c r="D3" s="291"/>
      <c r="E3" s="291"/>
      <c r="F3" s="291"/>
      <c r="G3" s="291"/>
    </row>
    <row r="4" spans="1:7" ht="13.95" customHeight="1" x14ac:dyDescent="0.3">
      <c r="A4" s="119"/>
      <c r="B4" s="119"/>
      <c r="C4" s="119"/>
      <c r="D4" s="119"/>
      <c r="E4" s="119"/>
      <c r="F4" s="119"/>
      <c r="G4" s="119"/>
    </row>
    <row r="5" spans="1:7" ht="13.95" customHeight="1" x14ac:dyDescent="0.3">
      <c r="A5" s="49" t="s">
        <v>298</v>
      </c>
      <c r="B5" s="49"/>
      <c r="C5" s="49"/>
      <c r="D5" s="34"/>
      <c r="E5" s="34"/>
      <c r="F5" s="35"/>
      <c r="G5" s="119"/>
    </row>
    <row r="6" spans="1:7" ht="13.95" customHeight="1" x14ac:dyDescent="0.3">
      <c r="A6" s="71" t="s">
        <v>123</v>
      </c>
      <c r="B6" s="71" t="s">
        <v>111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7" ht="13.95" customHeight="1" x14ac:dyDescent="0.3">
      <c r="A7" s="44">
        <v>0.25</v>
      </c>
      <c r="B7" s="44">
        <v>0.25</v>
      </c>
      <c r="C7" s="44">
        <v>13.95</v>
      </c>
      <c r="D7" s="34"/>
      <c r="E7" s="29">
        <f>+A7*C7*B7*2</f>
        <v>1.7437499999999999</v>
      </c>
      <c r="F7" s="312" t="s">
        <v>343</v>
      </c>
      <c r="G7" s="312"/>
    </row>
    <row r="8" spans="1:7" ht="13.95" customHeight="1" x14ac:dyDescent="0.3">
      <c r="A8" s="44">
        <v>0.25</v>
      </c>
      <c r="B8" s="44">
        <v>0.25</v>
      </c>
      <c r="C8" s="44">
        <v>15.05</v>
      </c>
      <c r="D8" s="34"/>
      <c r="E8" s="29">
        <f>+A8*C8*B8</f>
        <v>0.94062500000000004</v>
      </c>
      <c r="F8" s="312" t="s">
        <v>344</v>
      </c>
      <c r="G8" s="312"/>
    </row>
    <row r="9" spans="1:7" ht="13.95" customHeight="1" x14ac:dyDescent="0.3">
      <c r="A9" s="44">
        <v>0.25</v>
      </c>
      <c r="B9" s="44">
        <v>0.25</v>
      </c>
      <c r="C9" s="44">
        <v>15.5</v>
      </c>
      <c r="D9" s="34"/>
      <c r="E9" s="29">
        <f>+A9*C9*B9</f>
        <v>0.96875</v>
      </c>
      <c r="F9" s="312" t="s">
        <v>345</v>
      </c>
      <c r="G9" s="312"/>
    </row>
    <row r="10" spans="1:7" ht="13.95" customHeight="1" x14ac:dyDescent="0.3">
      <c r="A10" s="44">
        <v>0.25</v>
      </c>
      <c r="B10" s="44">
        <v>0.25</v>
      </c>
      <c r="C10" s="44">
        <v>11.6</v>
      </c>
      <c r="D10" s="34"/>
      <c r="E10" s="29">
        <f>+A10*C10*B10</f>
        <v>0.72499999999999998</v>
      </c>
      <c r="F10" s="312" t="s">
        <v>346</v>
      </c>
      <c r="G10" s="312"/>
    </row>
    <row r="11" spans="1:7" ht="13.95" customHeight="1" x14ac:dyDescent="0.3">
      <c r="A11" s="44">
        <v>0.3</v>
      </c>
      <c r="B11" s="44">
        <v>0.3</v>
      </c>
      <c r="C11" s="44">
        <v>11.6</v>
      </c>
      <c r="D11" s="34"/>
      <c r="E11" s="29">
        <f>+A11*C11*B11</f>
        <v>1.044</v>
      </c>
      <c r="F11" s="312" t="s">
        <v>346</v>
      </c>
      <c r="G11" s="312"/>
    </row>
    <row r="12" spans="1:7" ht="13.95" customHeight="1" x14ac:dyDescent="0.3">
      <c r="A12" s="44"/>
      <c r="B12" s="44"/>
      <c r="C12" s="44"/>
      <c r="D12" s="34"/>
      <c r="E12" s="29"/>
      <c r="F12" s="48"/>
      <c r="G12" s="119"/>
    </row>
    <row r="13" spans="1:7" ht="13.95" customHeight="1" x14ac:dyDescent="0.3">
      <c r="A13" s="49" t="s">
        <v>294</v>
      </c>
      <c r="B13" s="49"/>
      <c r="C13" s="49"/>
      <c r="D13" s="96"/>
      <c r="E13" s="96"/>
      <c r="F13" s="96"/>
      <c r="G13" s="96"/>
    </row>
    <row r="14" spans="1:7" ht="13.95" customHeight="1" x14ac:dyDescent="0.3">
      <c r="A14" s="71"/>
      <c r="B14" s="71" t="s">
        <v>234</v>
      </c>
      <c r="C14" s="71" t="s">
        <v>143</v>
      </c>
      <c r="D14" s="34"/>
      <c r="E14" s="71" t="s">
        <v>101</v>
      </c>
      <c r="F14" s="310" t="s">
        <v>102</v>
      </c>
      <c r="G14" s="310"/>
    </row>
    <row r="15" spans="1:7" ht="13.95" customHeight="1" x14ac:dyDescent="0.3">
      <c r="A15" s="44"/>
      <c r="B15" s="113">
        <v>0.18</v>
      </c>
      <c r="C15" s="44">
        <v>13.95</v>
      </c>
      <c r="D15" s="34"/>
      <c r="E15" s="29">
        <f>B15*C15</f>
        <v>2.5109999999999997</v>
      </c>
      <c r="F15" s="312" t="s">
        <v>347</v>
      </c>
      <c r="G15" s="312"/>
    </row>
    <row r="16" spans="1:7" ht="13.95" customHeight="1" x14ac:dyDescent="0.3">
      <c r="A16" s="44"/>
      <c r="B16" s="113">
        <v>0.98750000000000004</v>
      </c>
      <c r="C16" s="44">
        <v>15.1</v>
      </c>
      <c r="D16" s="34"/>
      <c r="E16" s="29">
        <f>B16*C16</f>
        <v>14.911250000000001</v>
      </c>
      <c r="F16" s="312" t="s">
        <v>348</v>
      </c>
      <c r="G16" s="312"/>
    </row>
    <row r="17" spans="1:11" ht="13.95" customHeight="1" x14ac:dyDescent="0.3">
      <c r="A17" s="44"/>
      <c r="B17" s="113">
        <v>1.1274999999999999</v>
      </c>
      <c r="C17" s="44">
        <v>15.5</v>
      </c>
      <c r="D17" s="34"/>
      <c r="E17" s="29">
        <f>B17*C17</f>
        <v>17.47625</v>
      </c>
      <c r="F17" s="312" t="s">
        <v>349</v>
      </c>
      <c r="G17" s="312"/>
    </row>
    <row r="18" spans="1:11" ht="13.95" customHeight="1" x14ac:dyDescent="0.3">
      <c r="A18" s="44"/>
      <c r="B18" s="113">
        <v>0.495</v>
      </c>
      <c r="C18" s="44">
        <v>11.6</v>
      </c>
      <c r="D18" s="34"/>
      <c r="E18" s="29">
        <f>B18*C18</f>
        <v>5.742</v>
      </c>
      <c r="F18" s="312" t="s">
        <v>350</v>
      </c>
      <c r="G18" s="312"/>
    </row>
    <row r="19" spans="1:11" ht="13.95" customHeight="1" x14ac:dyDescent="0.3">
      <c r="A19" s="44"/>
      <c r="B19" s="95"/>
      <c r="C19" s="97"/>
      <c r="D19" s="97"/>
      <c r="E19" s="29"/>
      <c r="F19" s="34"/>
      <c r="G19" s="96"/>
    </row>
    <row r="20" spans="1:11" ht="21.3" x14ac:dyDescent="0.4">
      <c r="A20" s="282" t="s">
        <v>121</v>
      </c>
      <c r="B20" s="282"/>
      <c r="C20" s="282"/>
      <c r="D20" s="282"/>
      <c r="E20" s="54">
        <f>SUM(E7:E19)</f>
        <v>46.062624999999997</v>
      </c>
      <c r="F20" s="54"/>
      <c r="G20" s="54"/>
    </row>
    <row r="21" spans="1:11" ht="13.95" customHeight="1" x14ac:dyDescent="0.3">
      <c r="A21" s="31"/>
      <c r="B21" s="27"/>
      <c r="C21" s="31"/>
      <c r="D21" s="32"/>
      <c r="E21" s="33"/>
      <c r="F21" s="33"/>
      <c r="G21" s="31"/>
    </row>
    <row r="22" spans="1:11" s="62" customFormat="1" ht="13.95" customHeight="1" x14ac:dyDescent="0.3">
      <c r="A22" s="288" t="s">
        <v>297</v>
      </c>
      <c r="B22" s="288"/>
      <c r="C22" s="288"/>
      <c r="D22" s="288"/>
      <c r="E22" s="288"/>
      <c r="F22" s="288"/>
      <c r="G22" s="288"/>
    </row>
    <row r="23" spans="1:11" s="62" customFormat="1" ht="13.95" customHeight="1" x14ac:dyDescent="0.3">
      <c r="A23" s="100" t="s">
        <v>163</v>
      </c>
      <c r="B23" s="101" t="s">
        <v>124</v>
      </c>
      <c r="C23" s="101"/>
      <c r="D23" s="101" t="s">
        <v>104</v>
      </c>
      <c r="E23" s="101" t="s">
        <v>113</v>
      </c>
      <c r="F23" s="101" t="s">
        <v>112</v>
      </c>
      <c r="G23" s="102"/>
      <c r="H23" s="63"/>
      <c r="K23" s="102"/>
    </row>
    <row r="24" spans="1:11" s="62" customFormat="1" ht="13.95" customHeight="1" x14ac:dyDescent="0.3">
      <c r="A24" s="154"/>
      <c r="B24" s="103">
        <f>((C7/0.2)+1)*2</f>
        <v>141.49999999999997</v>
      </c>
      <c r="C24" s="103"/>
      <c r="D24" s="104" t="s">
        <v>9</v>
      </c>
      <c r="E24" s="105">
        <v>0.88</v>
      </c>
      <c r="F24" s="98">
        <f>+VLOOKUP(D24,PESOS!$B$3:$F$25,5,FALSE)*B24*E24</f>
        <v>69.651202511697193</v>
      </c>
      <c r="G24" s="274" t="s">
        <v>351</v>
      </c>
      <c r="H24" s="63"/>
      <c r="K24" s="102"/>
    </row>
    <row r="25" spans="1:11" s="62" customFormat="1" ht="13.95" customHeight="1" x14ac:dyDescent="0.3">
      <c r="A25" s="120"/>
      <c r="B25" s="103">
        <f>4*ROUNDUP(((C7)/(6-0.6)),0)</f>
        <v>12</v>
      </c>
      <c r="C25" s="103"/>
      <c r="D25" s="104" t="s">
        <v>10</v>
      </c>
      <c r="E25" s="105">
        <v>6</v>
      </c>
      <c r="F25" s="98">
        <f>+VLOOKUP(D25,PESOS!$B$3:$F$25,5,FALSE)*B25*E25</f>
        <v>71.597766796476421</v>
      </c>
      <c r="G25" s="274" t="s">
        <v>352</v>
      </c>
    </row>
    <row r="26" spans="1:11" s="62" customFormat="1" ht="13.95" customHeight="1" x14ac:dyDescent="0.3">
      <c r="A26" s="267"/>
      <c r="B26" s="103">
        <f>((C8/0.2)+1)</f>
        <v>76.25</v>
      </c>
      <c r="C26" s="103"/>
      <c r="D26" s="104" t="s">
        <v>9</v>
      </c>
      <c r="E26" s="105">
        <v>0.88</v>
      </c>
      <c r="F26" s="98">
        <f>+VLOOKUP(D26,PESOS!$B$3:$F$25,5,FALSE)*B26*E26</f>
        <v>37.532891812840369</v>
      </c>
      <c r="G26" s="274" t="s">
        <v>353</v>
      </c>
    </row>
    <row r="27" spans="1:11" s="62" customFormat="1" ht="13.95" customHeight="1" x14ac:dyDescent="0.3">
      <c r="A27" s="239"/>
      <c r="B27" s="103">
        <f>4*ROUNDUP(((C8)/(6-0.6)),0)</f>
        <v>12</v>
      </c>
      <c r="C27" s="103"/>
      <c r="D27" s="104" t="s">
        <v>10</v>
      </c>
      <c r="E27" s="105">
        <v>6</v>
      </c>
      <c r="F27" s="98">
        <f>+VLOOKUP(D27,PESOS!$B$3:$F$25,5,FALSE)*B27*E27</f>
        <v>71.597766796476421</v>
      </c>
      <c r="G27" s="274" t="s">
        <v>354</v>
      </c>
    </row>
    <row r="28" spans="1:11" s="62" customFormat="1" ht="13.95" customHeight="1" x14ac:dyDescent="0.3">
      <c r="A28" s="239"/>
      <c r="B28" s="103">
        <f>((C9/0.2)+1)</f>
        <v>78.5</v>
      </c>
      <c r="C28" s="103"/>
      <c r="D28" s="104" t="s">
        <v>9</v>
      </c>
      <c r="E28" s="105">
        <v>0.88</v>
      </c>
      <c r="F28" s="98">
        <f>+VLOOKUP(D28,PESOS!$B$3:$F$25,5,FALSE)*B28*E28</f>
        <v>38.640419767973363</v>
      </c>
      <c r="G28" s="274" t="s">
        <v>355</v>
      </c>
    </row>
    <row r="29" spans="1:11" s="62" customFormat="1" ht="13.95" customHeight="1" x14ac:dyDescent="0.3">
      <c r="A29" s="239"/>
      <c r="B29" s="103">
        <f>4*ROUNDUP(((C9)/(6-0.6)),0)+1</f>
        <v>13</v>
      </c>
      <c r="C29" s="103"/>
      <c r="D29" s="104" t="s">
        <v>10</v>
      </c>
      <c r="E29" s="105">
        <v>6</v>
      </c>
      <c r="F29" s="98">
        <f>+VLOOKUP(D29,PESOS!$B$3:$F$25,5,FALSE)*B29*E29</f>
        <v>77.564247362849457</v>
      </c>
      <c r="G29" s="274" t="s">
        <v>356</v>
      </c>
    </row>
    <row r="30" spans="1:11" s="62" customFormat="1" ht="13.95" customHeight="1" x14ac:dyDescent="0.3">
      <c r="A30" s="239"/>
      <c r="B30" s="103">
        <f>((C10/0.2)+1)</f>
        <v>58.999999999999993</v>
      </c>
      <c r="C30" s="103"/>
      <c r="D30" s="104" t="s">
        <v>9</v>
      </c>
      <c r="E30" s="105">
        <v>0.88</v>
      </c>
      <c r="F30" s="98">
        <f>+VLOOKUP(D30,PESOS!$B$3:$F$25,5,FALSE)*B30*E30</f>
        <v>29.041844156820737</v>
      </c>
      <c r="G30" s="274" t="s">
        <v>357</v>
      </c>
    </row>
    <row r="31" spans="1:11" s="62" customFormat="1" ht="13.95" customHeight="1" x14ac:dyDescent="0.3">
      <c r="A31" s="239"/>
      <c r="B31" s="103">
        <f>4*ROUNDUP(((C10)/(6-0.6)),0)+1</f>
        <v>13</v>
      </c>
      <c r="C31" s="103"/>
      <c r="D31" s="104" t="s">
        <v>10</v>
      </c>
      <c r="E31" s="105">
        <v>6</v>
      </c>
      <c r="F31" s="98">
        <f>+VLOOKUP(D31,PESOS!$B$3:$F$25,5,FALSE)*B31*E31</f>
        <v>77.564247362849457</v>
      </c>
      <c r="G31" s="274" t="s">
        <v>358</v>
      </c>
    </row>
    <row r="32" spans="1:11" s="62" customFormat="1" ht="13.95" customHeight="1" x14ac:dyDescent="0.3">
      <c r="A32" s="239"/>
      <c r="B32" s="103">
        <f>((C11/0.2)+1)</f>
        <v>58.999999999999993</v>
      </c>
      <c r="C32" s="103"/>
      <c r="D32" s="104" t="s">
        <v>9</v>
      </c>
      <c r="E32" s="105">
        <v>1.08</v>
      </c>
      <c r="F32" s="98">
        <f>+VLOOKUP(D32,PESOS!$B$3:$F$25,5,FALSE)*B32*E32</f>
        <v>35.642263283370909</v>
      </c>
      <c r="G32" s="274" t="s">
        <v>357</v>
      </c>
    </row>
    <row r="33" spans="1:9" s="62" customFormat="1" ht="13.95" customHeight="1" x14ac:dyDescent="0.3">
      <c r="A33" s="239"/>
      <c r="B33" s="103">
        <f>4*ROUNDUP(((C11)/(6-0.6)),0)+1</f>
        <v>13</v>
      </c>
      <c r="C33" s="103"/>
      <c r="D33" s="104" t="s">
        <v>10</v>
      </c>
      <c r="E33" s="105">
        <v>6</v>
      </c>
      <c r="F33" s="98">
        <f>+VLOOKUP(D33,PESOS!$B$3:$F$25,5,FALSE)*B33*E33</f>
        <v>77.564247362849457</v>
      </c>
      <c r="G33" s="274" t="s">
        <v>358</v>
      </c>
    </row>
    <row r="34" spans="1:9" s="62" customFormat="1" ht="13.95" customHeight="1" x14ac:dyDescent="0.3">
      <c r="A34" s="239"/>
      <c r="B34" s="239"/>
      <c r="C34" s="239"/>
      <c r="D34" s="239"/>
      <c r="E34" s="98"/>
      <c r="F34" s="98"/>
      <c r="G34" s="99"/>
    </row>
    <row r="35" spans="1:9" s="62" customFormat="1" ht="13.95" customHeight="1" x14ac:dyDescent="0.3">
      <c r="A35" s="288" t="s">
        <v>359</v>
      </c>
      <c r="B35" s="288"/>
      <c r="C35" s="288"/>
      <c r="D35" s="288"/>
      <c r="E35" s="288"/>
      <c r="F35" s="288"/>
      <c r="G35" s="288"/>
    </row>
    <row r="36" spans="1:9" s="62" customFormat="1" ht="13.95" customHeight="1" x14ac:dyDescent="0.3">
      <c r="A36" s="100" t="s">
        <v>163</v>
      </c>
      <c r="B36" s="101" t="s">
        <v>124</v>
      </c>
      <c r="C36" s="101"/>
      <c r="D36" s="101" t="s">
        <v>104</v>
      </c>
      <c r="E36" s="101" t="s">
        <v>113</v>
      </c>
      <c r="F36" s="101" t="s">
        <v>112</v>
      </c>
      <c r="G36" s="102"/>
      <c r="H36" s="63"/>
      <c r="I36" s="63"/>
    </row>
    <row r="37" spans="1:9" s="62" customFormat="1" ht="13.95" customHeight="1" x14ac:dyDescent="0.3">
      <c r="A37" s="154">
        <v>1</v>
      </c>
      <c r="B37" s="103">
        <f>2*ROUNDUP((((C15)/0.1)),0)+2</f>
        <v>282</v>
      </c>
      <c r="C37" s="103"/>
      <c r="D37" s="104" t="s">
        <v>9</v>
      </c>
      <c r="E37" s="105">
        <v>0.95</v>
      </c>
      <c r="F37" s="98">
        <f>+VLOOKUP(D37,PESOS!$B$3:$F$25,5,FALSE)*B37*E37</f>
        <v>149.85188847481271</v>
      </c>
      <c r="G37" s="274" t="s">
        <v>318</v>
      </c>
      <c r="H37" s="63"/>
      <c r="I37" s="63"/>
    </row>
    <row r="38" spans="1:9" s="62" customFormat="1" ht="13.95" customHeight="1" x14ac:dyDescent="0.3">
      <c r="A38" s="154">
        <v>2</v>
      </c>
      <c r="B38" s="103">
        <f>ROUNDUP(((C15)/0.1),0)+1</f>
        <v>141</v>
      </c>
      <c r="C38" s="103"/>
      <c r="D38" s="104" t="s">
        <v>9</v>
      </c>
      <c r="E38" s="105">
        <v>1.05</v>
      </c>
      <c r="F38" s="98">
        <f>+VLOOKUP(D38,PESOS!$B$3:$F$25,5,FALSE)*B38*E38</f>
        <v>82.812885736080716</v>
      </c>
      <c r="G38" s="274" t="s">
        <v>319</v>
      </c>
      <c r="H38" s="63"/>
      <c r="I38" s="63"/>
    </row>
    <row r="39" spans="1:9" s="62" customFormat="1" ht="13.95" customHeight="1" x14ac:dyDescent="0.3">
      <c r="A39" s="120"/>
      <c r="B39" s="103">
        <f>9*ROUNDUP(((C15)/(6-0.6)),0)+1</f>
        <v>28</v>
      </c>
      <c r="C39" s="103"/>
      <c r="D39" s="104" t="s">
        <v>9</v>
      </c>
      <c r="E39" s="105">
        <v>6</v>
      </c>
      <c r="F39" s="98">
        <f>+VLOOKUP(D39,PESOS!$B$3:$F$25,5,FALSE)*B39*E39</f>
        <v>93.972068920375278</v>
      </c>
      <c r="G39" s="274" t="s">
        <v>360</v>
      </c>
    </row>
    <row r="40" spans="1:9" s="62" customFormat="1" ht="13.95" customHeight="1" x14ac:dyDescent="0.3">
      <c r="A40" s="267"/>
      <c r="B40" s="103">
        <f>10*ROUNDUP(((C15)/(6-0.6)),0)+1</f>
        <v>31</v>
      </c>
      <c r="C40" s="103"/>
      <c r="D40" s="104" t="s">
        <v>9</v>
      </c>
      <c r="E40" s="105">
        <v>6</v>
      </c>
      <c r="F40" s="98">
        <f>+VLOOKUP(D40,PESOS!$B$3:$F$25,5,FALSE)*B40*E40</f>
        <v>104.04050487612979</v>
      </c>
      <c r="G40" s="274" t="s">
        <v>361</v>
      </c>
    </row>
    <row r="41" spans="1:9" s="62" customFormat="1" ht="13.95" customHeight="1" x14ac:dyDescent="0.3">
      <c r="A41" s="267"/>
      <c r="B41" s="103"/>
      <c r="C41" s="103"/>
      <c r="D41" s="104"/>
      <c r="E41" s="105"/>
      <c r="F41" s="98"/>
      <c r="G41" s="102"/>
    </row>
    <row r="42" spans="1:9" s="62" customFormat="1" ht="13.95" customHeight="1" x14ac:dyDescent="0.3">
      <c r="A42" s="288" t="s">
        <v>362</v>
      </c>
      <c r="B42" s="288"/>
      <c r="C42" s="288"/>
      <c r="D42" s="288"/>
      <c r="E42" s="288"/>
      <c r="F42" s="288"/>
      <c r="G42" s="288"/>
    </row>
    <row r="43" spans="1:9" s="62" customFormat="1" ht="13.95" customHeight="1" x14ac:dyDescent="0.3">
      <c r="A43" s="100" t="s">
        <v>163</v>
      </c>
      <c r="B43" s="101" t="s">
        <v>124</v>
      </c>
      <c r="C43" s="101"/>
      <c r="D43" s="101" t="s">
        <v>104</v>
      </c>
      <c r="E43" s="101" t="s">
        <v>113</v>
      </c>
      <c r="F43" s="101" t="s">
        <v>112</v>
      </c>
      <c r="G43" s="102"/>
    </row>
    <row r="44" spans="1:9" s="62" customFormat="1" ht="13.95" customHeight="1" x14ac:dyDescent="0.3">
      <c r="A44" s="154">
        <v>1</v>
      </c>
      <c r="B44" s="103">
        <f>ROUNDUP((((C16)/0.1)),0)+1</f>
        <v>152</v>
      </c>
      <c r="C44" s="103"/>
      <c r="D44" s="104" t="s">
        <v>9</v>
      </c>
      <c r="E44" s="105">
        <v>0.95</v>
      </c>
      <c r="F44" s="98">
        <f>+VLOOKUP(D44,PESOS!$B$3:$F$25,5,FALSE)*B44*E44</f>
        <v>80.771230667274949</v>
      </c>
      <c r="G44" s="274" t="s">
        <v>318</v>
      </c>
    </row>
    <row r="45" spans="1:9" s="62" customFormat="1" ht="13.95" customHeight="1" x14ac:dyDescent="0.3">
      <c r="A45" s="154">
        <v>2</v>
      </c>
      <c r="B45" s="103">
        <f>ROUNDUP(((C16)/0.1),0)+1</f>
        <v>152</v>
      </c>
      <c r="C45" s="103"/>
      <c r="D45" s="104" t="s">
        <v>9</v>
      </c>
      <c r="E45" s="105">
        <v>1.1499999999999999</v>
      </c>
      <c r="F45" s="98">
        <f>+VLOOKUP(D45,PESOS!$B$3:$F$25,5,FALSE)*B45*E45</f>
        <v>97.775700281438091</v>
      </c>
      <c r="G45" s="274" t="s">
        <v>319</v>
      </c>
    </row>
    <row r="46" spans="1:9" s="62" customFormat="1" ht="13.95" customHeight="1" x14ac:dyDescent="0.3">
      <c r="A46" s="154">
        <v>3</v>
      </c>
      <c r="B46" s="103">
        <f>ROUNDUP(((C16)/0.1),0)+1</f>
        <v>152</v>
      </c>
      <c r="C46" s="103"/>
      <c r="D46" s="104" t="s">
        <v>9</v>
      </c>
      <c r="E46" s="105">
        <v>0.8</v>
      </c>
      <c r="F46" s="98">
        <f>+VLOOKUP(D46,PESOS!$B$3:$F$25,5,FALSE)*B46*E46</f>
        <v>68.017878456652596</v>
      </c>
      <c r="G46" s="274" t="s">
        <v>318</v>
      </c>
    </row>
    <row r="47" spans="1:9" s="62" customFormat="1" ht="13.95" customHeight="1" x14ac:dyDescent="0.3">
      <c r="A47" s="154">
        <v>4</v>
      </c>
      <c r="B47" s="103">
        <f>ROUNDUP(((C16)/0.1),0)+1</f>
        <v>152</v>
      </c>
      <c r="C47" s="103"/>
      <c r="D47" s="104" t="s">
        <v>9</v>
      </c>
      <c r="E47" s="105">
        <v>1.35</v>
      </c>
      <c r="F47" s="98">
        <f>+VLOOKUP(D47,PESOS!$B$3:$F$25,5,FALSE)*B47*E47</f>
        <v>114.78016989560125</v>
      </c>
      <c r="G47" s="274" t="s">
        <v>319</v>
      </c>
    </row>
    <row r="48" spans="1:9" s="62" customFormat="1" ht="13.95" customHeight="1" x14ac:dyDescent="0.3">
      <c r="A48" s="154">
        <v>5</v>
      </c>
      <c r="B48" s="103">
        <f>ROUNDUP(((C16)/0.3),0)+1</f>
        <v>52</v>
      </c>
      <c r="C48" s="103"/>
      <c r="D48" s="104" t="s">
        <v>9</v>
      </c>
      <c r="E48" s="105">
        <v>2.0499999999999998</v>
      </c>
      <c r="F48" s="98">
        <f>+VLOOKUP(D48,PESOS!$B$3:$F$25,5,FALSE)*B48*E48</f>
        <v>59.627515160190505</v>
      </c>
      <c r="G48" s="274" t="s">
        <v>287</v>
      </c>
    </row>
    <row r="49" spans="1:7" s="62" customFormat="1" ht="13.95" customHeight="1" x14ac:dyDescent="0.3">
      <c r="A49" s="154">
        <v>6</v>
      </c>
      <c r="B49" s="103">
        <f>ROUNDUP(((C16)/0.15),0)+1</f>
        <v>102</v>
      </c>
      <c r="C49" s="103"/>
      <c r="D49" s="104" t="s">
        <v>10</v>
      </c>
      <c r="E49" s="105">
        <v>2.15</v>
      </c>
      <c r="F49" s="98">
        <f>+VLOOKUP(D49,PESOS!$B$3:$F$25,5,FALSE)*B49*E49</f>
        <v>218.07486470093443</v>
      </c>
      <c r="G49" s="274" t="s">
        <v>287</v>
      </c>
    </row>
    <row r="50" spans="1:7" s="62" customFormat="1" ht="13.95" customHeight="1" x14ac:dyDescent="0.3">
      <c r="A50" s="154">
        <v>7</v>
      </c>
      <c r="B50" s="103">
        <f>ROUNDUP(((C16)/0.2),0)+1</f>
        <v>77</v>
      </c>
      <c r="C50" s="103"/>
      <c r="D50" s="104" t="s">
        <v>10</v>
      </c>
      <c r="E50" s="105">
        <v>1.3</v>
      </c>
      <c r="F50" s="98">
        <f>+VLOOKUP(D50,PESOS!$B$3:$F$25,5,FALSE)*B50*E50</f>
        <v>99.54078411565682</v>
      </c>
      <c r="G50" s="274" t="s">
        <v>320</v>
      </c>
    </row>
    <row r="51" spans="1:7" s="62" customFormat="1" ht="13.95" customHeight="1" x14ac:dyDescent="0.3">
      <c r="A51" s="154">
        <v>8</v>
      </c>
      <c r="B51" s="103">
        <f>ROUNDUP(((C16)/0.2),0)+1</f>
        <v>77</v>
      </c>
      <c r="C51" s="103"/>
      <c r="D51" s="104" t="s">
        <v>10</v>
      </c>
      <c r="E51" s="105">
        <v>1.3</v>
      </c>
      <c r="F51" s="98">
        <f>+VLOOKUP(D51,PESOS!$B$3:$F$25,5,FALSE)*B51*E51</f>
        <v>99.54078411565682</v>
      </c>
      <c r="G51" s="274" t="s">
        <v>320</v>
      </c>
    </row>
    <row r="52" spans="1:7" s="62" customFormat="1" ht="13.95" customHeight="1" x14ac:dyDescent="0.3">
      <c r="A52" s="120"/>
      <c r="B52" s="103">
        <f>30*ROUNDUP(((C16)/(6-0.6)),0)</f>
        <v>90</v>
      </c>
      <c r="C52" s="103"/>
      <c r="D52" s="104" t="s">
        <v>9</v>
      </c>
      <c r="E52" s="105">
        <v>6</v>
      </c>
      <c r="F52" s="98">
        <f>+VLOOKUP(D52,PESOS!$B$3:$F$25,5,FALSE)*B52*E52</f>
        <v>302.05307867263485</v>
      </c>
      <c r="G52" s="274" t="s">
        <v>321</v>
      </c>
    </row>
    <row r="53" spans="1:7" s="62" customFormat="1" ht="13.95" customHeight="1" x14ac:dyDescent="0.3">
      <c r="A53" s="120"/>
      <c r="B53" s="103">
        <f>14*ROUNDUP(((C16)/(6-0.6)),0)</f>
        <v>42</v>
      </c>
      <c r="C53" s="103"/>
      <c r="D53" s="104" t="s">
        <v>9</v>
      </c>
      <c r="E53" s="105">
        <v>6</v>
      </c>
      <c r="F53" s="98">
        <f>+VLOOKUP(D53,PESOS!$B$3:$F$25,5,FALSE)*B53*E53</f>
        <v>140.95810338056293</v>
      </c>
      <c r="G53" s="274" t="s">
        <v>323</v>
      </c>
    </row>
    <row r="54" spans="1:7" s="62" customFormat="1" ht="13.95" customHeight="1" x14ac:dyDescent="0.3">
      <c r="A54" s="267"/>
      <c r="B54" s="103">
        <f>12*ROUNDUP(((C16)/(6-0.7)),0)</f>
        <v>36</v>
      </c>
      <c r="C54" s="103"/>
      <c r="D54" s="104" t="s">
        <v>10</v>
      </c>
      <c r="E54" s="105">
        <v>6</v>
      </c>
      <c r="F54" s="98">
        <f>+VLOOKUP(D54,PESOS!$B$3:$F$25,5,FALSE)*B54*E54</f>
        <v>214.79330038942925</v>
      </c>
      <c r="G54" s="274" t="s">
        <v>322</v>
      </c>
    </row>
    <row r="55" spans="1:7" s="62" customFormat="1" ht="13.95" customHeight="1" x14ac:dyDescent="0.3">
      <c r="A55" s="267"/>
      <c r="B55" s="103"/>
      <c r="C55" s="103"/>
      <c r="D55" s="104"/>
      <c r="E55" s="105"/>
      <c r="F55" s="98"/>
      <c r="G55" s="102"/>
    </row>
    <row r="56" spans="1:7" s="62" customFormat="1" ht="13.95" customHeight="1" x14ac:dyDescent="0.3">
      <c r="A56" s="288" t="s">
        <v>363</v>
      </c>
      <c r="B56" s="288"/>
      <c r="C56" s="288"/>
      <c r="D56" s="288"/>
      <c r="E56" s="288"/>
      <c r="F56" s="288"/>
      <c r="G56" s="288"/>
    </row>
    <row r="57" spans="1:7" s="62" customFormat="1" ht="13.95" customHeight="1" x14ac:dyDescent="0.3">
      <c r="A57" s="100" t="s">
        <v>163</v>
      </c>
      <c r="B57" s="101" t="s">
        <v>124</v>
      </c>
      <c r="C57" s="101"/>
      <c r="D57" s="101" t="s">
        <v>104</v>
      </c>
      <c r="E57" s="101" t="s">
        <v>113</v>
      </c>
      <c r="F57" s="101" t="s">
        <v>112</v>
      </c>
      <c r="G57" s="102"/>
    </row>
    <row r="58" spans="1:7" s="62" customFormat="1" ht="13.95" customHeight="1" x14ac:dyDescent="0.3">
      <c r="A58" s="154">
        <v>1</v>
      </c>
      <c r="B58" s="103">
        <f>ROUNDUP((((C17)/0.1)),0)+1</f>
        <v>156</v>
      </c>
      <c r="C58" s="103"/>
      <c r="D58" s="104" t="s">
        <v>9</v>
      </c>
      <c r="E58" s="105">
        <v>0.95</v>
      </c>
      <c r="F58" s="98">
        <f>+VLOOKUP(D58,PESOS!$B$3:$F$25,5,FALSE)*B58*E58</f>
        <v>82.896789369045337</v>
      </c>
      <c r="G58" s="274" t="s">
        <v>318</v>
      </c>
    </row>
    <row r="59" spans="1:7" s="62" customFormat="1" ht="13.95" customHeight="1" x14ac:dyDescent="0.3">
      <c r="A59" s="154">
        <v>2</v>
      </c>
      <c r="B59" s="103">
        <f>2*ROUNDUP(((C17)/0.1),0)+2</f>
        <v>312</v>
      </c>
      <c r="C59" s="103"/>
      <c r="D59" s="104" t="s">
        <v>9</v>
      </c>
      <c r="E59" s="105">
        <v>1.1499999999999999</v>
      </c>
      <c r="F59" s="98">
        <f>+VLOOKUP(D59,PESOS!$B$3:$F$25,5,FALSE)*B59*E59</f>
        <v>200.69749005137291</v>
      </c>
      <c r="G59" s="274" t="s">
        <v>319</v>
      </c>
    </row>
    <row r="60" spans="1:7" s="62" customFormat="1" ht="13.95" customHeight="1" x14ac:dyDescent="0.3">
      <c r="A60" s="154">
        <v>3</v>
      </c>
      <c r="B60" s="103">
        <f>2*ROUNDUP(((C17)/0.1),0)+2</f>
        <v>312</v>
      </c>
      <c r="C60" s="103"/>
      <c r="D60" s="104" t="s">
        <v>9</v>
      </c>
      <c r="E60" s="105">
        <v>0.8</v>
      </c>
      <c r="F60" s="98">
        <f>+VLOOKUP(D60,PESOS!$B$3:$F$25,5,FALSE)*B60*E60</f>
        <v>139.615645253129</v>
      </c>
      <c r="G60" s="274" t="s">
        <v>318</v>
      </c>
    </row>
    <row r="61" spans="1:7" s="62" customFormat="1" ht="13.95" customHeight="1" x14ac:dyDescent="0.3">
      <c r="A61" s="154">
        <v>4</v>
      </c>
      <c r="B61" s="103">
        <f>ROUNDUP(((C17)/0.1),0)+1</f>
        <v>156</v>
      </c>
      <c r="C61" s="103"/>
      <c r="D61" s="104" t="s">
        <v>9</v>
      </c>
      <c r="E61" s="105">
        <v>1.05</v>
      </c>
      <c r="F61" s="98">
        <f>+VLOOKUP(D61,PESOS!$B$3:$F$25,5,FALSE)*B61*E61</f>
        <v>91.622767197365903</v>
      </c>
      <c r="G61" s="274" t="s">
        <v>319</v>
      </c>
    </row>
    <row r="62" spans="1:7" s="62" customFormat="1" ht="13.95" customHeight="1" x14ac:dyDescent="0.3">
      <c r="A62" s="154">
        <v>5</v>
      </c>
      <c r="B62" s="103">
        <f>ROUNDUP(((C17)/0.3),0)+1</f>
        <v>53</v>
      </c>
      <c r="C62" s="103"/>
      <c r="D62" s="104" t="s">
        <v>9</v>
      </c>
      <c r="E62" s="105">
        <v>2.15</v>
      </c>
      <c r="F62" s="98">
        <f>+VLOOKUP(D62,PESOS!$B$3:$F$25,5,FALSE)*B62*E62</f>
        <v>63.738793175456919</v>
      </c>
      <c r="G62" s="274" t="s">
        <v>287</v>
      </c>
    </row>
    <row r="63" spans="1:7" s="62" customFormat="1" ht="13.95" customHeight="1" x14ac:dyDescent="0.3">
      <c r="A63" s="154">
        <v>6</v>
      </c>
      <c r="B63" s="103">
        <f>ROUNDUP(((C17)/0.15),0)+1</f>
        <v>105</v>
      </c>
      <c r="C63" s="103"/>
      <c r="D63" s="104" t="s">
        <v>10</v>
      </c>
      <c r="E63" s="105">
        <v>2.25</v>
      </c>
      <c r="F63" s="98">
        <f>+VLOOKUP(D63,PESOS!$B$3:$F$25,5,FALSE)*B63*E63</f>
        <v>234.93017230093827</v>
      </c>
      <c r="G63" s="274" t="s">
        <v>287</v>
      </c>
    </row>
    <row r="64" spans="1:7" s="62" customFormat="1" ht="13.95" customHeight="1" x14ac:dyDescent="0.3">
      <c r="A64" s="154">
        <v>7</v>
      </c>
      <c r="B64" s="103">
        <f>ROUNDUP(((C17)/0.2),0)+1</f>
        <v>79</v>
      </c>
      <c r="C64" s="103"/>
      <c r="D64" s="104" t="s">
        <v>10</v>
      </c>
      <c r="E64" s="105">
        <v>1.3</v>
      </c>
      <c r="F64" s="98">
        <f>+VLOOKUP(D64,PESOS!$B$3:$F$25,5,FALSE)*B64*E64</f>
        <v>102.1262590277518</v>
      </c>
      <c r="G64" s="274" t="s">
        <v>320</v>
      </c>
    </row>
    <row r="65" spans="1:7" s="62" customFormat="1" ht="13.95" customHeight="1" x14ac:dyDescent="0.3">
      <c r="A65" s="154">
        <v>8</v>
      </c>
      <c r="B65" s="103">
        <f>ROUNDUP(((C17)/0.2),0)+1</f>
        <v>79</v>
      </c>
      <c r="C65" s="103"/>
      <c r="D65" s="104" t="s">
        <v>10</v>
      </c>
      <c r="E65" s="105">
        <v>1.3</v>
      </c>
      <c r="F65" s="98">
        <f>+VLOOKUP(D65,PESOS!$B$3:$F$25,5,FALSE)*B65*E65</f>
        <v>102.1262590277518</v>
      </c>
      <c r="G65" s="274" t="s">
        <v>320</v>
      </c>
    </row>
    <row r="66" spans="1:7" s="62" customFormat="1" ht="13.95" customHeight="1" x14ac:dyDescent="0.3">
      <c r="A66" s="120"/>
      <c r="B66" s="103">
        <f>44*ROUNDUP(((C17)/(6-0.6)),0)</f>
        <v>132</v>
      </c>
      <c r="C66" s="103"/>
      <c r="D66" s="104" t="s">
        <v>9</v>
      </c>
      <c r="E66" s="105">
        <v>6</v>
      </c>
      <c r="F66" s="98">
        <f>+VLOOKUP(D66,PESOS!$B$3:$F$25,5,FALSE)*B66*E66</f>
        <v>443.01118205319773</v>
      </c>
      <c r="G66" s="274" t="s">
        <v>321</v>
      </c>
    </row>
    <row r="67" spans="1:7" s="62" customFormat="1" ht="13.95" customHeight="1" x14ac:dyDescent="0.3">
      <c r="A67" s="120"/>
      <c r="B67" s="103">
        <f>14*ROUNDUP(((C17)/(6-0.6)),0)</f>
        <v>42</v>
      </c>
      <c r="C67" s="103"/>
      <c r="D67" s="104" t="s">
        <v>9</v>
      </c>
      <c r="E67" s="105">
        <v>6</v>
      </c>
      <c r="F67" s="98">
        <f>+VLOOKUP(D67,PESOS!$B$3:$F$25,5,FALSE)*B67*E67</f>
        <v>140.95810338056293</v>
      </c>
      <c r="G67" s="274" t="s">
        <v>323</v>
      </c>
    </row>
    <row r="68" spans="1:7" s="62" customFormat="1" ht="13.95" customHeight="1" x14ac:dyDescent="0.3">
      <c r="A68" s="267"/>
      <c r="B68" s="103">
        <f>12*ROUNDUP(((C17)/(6-0.7)),0)</f>
        <v>36</v>
      </c>
      <c r="C68" s="103"/>
      <c r="D68" s="104" t="s">
        <v>10</v>
      </c>
      <c r="E68" s="105">
        <v>6</v>
      </c>
      <c r="F68" s="98">
        <f>+VLOOKUP(D68,PESOS!$B$3:$F$25,5,FALSE)*B68*E68</f>
        <v>214.79330038942925</v>
      </c>
      <c r="G68" s="274" t="s">
        <v>322</v>
      </c>
    </row>
    <row r="69" spans="1:7" s="62" customFormat="1" ht="13.95" customHeight="1" x14ac:dyDescent="0.3">
      <c r="A69" s="267"/>
      <c r="B69" s="103"/>
      <c r="C69" s="103"/>
      <c r="D69" s="104"/>
      <c r="E69" s="105"/>
      <c r="F69" s="98"/>
      <c r="G69" s="102"/>
    </row>
    <row r="70" spans="1:7" s="62" customFormat="1" ht="13.95" customHeight="1" x14ac:dyDescent="0.3">
      <c r="A70" s="288" t="s">
        <v>364</v>
      </c>
      <c r="B70" s="288"/>
      <c r="C70" s="288"/>
      <c r="D70" s="288"/>
      <c r="E70" s="288"/>
      <c r="F70" s="288"/>
      <c r="G70" s="288"/>
    </row>
    <row r="71" spans="1:7" s="62" customFormat="1" ht="13.95" customHeight="1" x14ac:dyDescent="0.3">
      <c r="A71" s="100" t="s">
        <v>163</v>
      </c>
      <c r="B71" s="101" t="s">
        <v>124</v>
      </c>
      <c r="C71" s="101"/>
      <c r="D71" s="101" t="s">
        <v>104</v>
      </c>
      <c r="E71" s="101" t="s">
        <v>113</v>
      </c>
      <c r="F71" s="101" t="s">
        <v>112</v>
      </c>
      <c r="G71" s="102"/>
    </row>
    <row r="72" spans="1:7" s="62" customFormat="1" ht="13.95" customHeight="1" x14ac:dyDescent="0.3">
      <c r="A72" s="154">
        <v>1</v>
      </c>
      <c r="B72" s="103">
        <f>ROUNDUP((((C18)/0.1)),0)+2</f>
        <v>118</v>
      </c>
      <c r="C72" s="103"/>
      <c r="D72" s="104" t="s">
        <v>9</v>
      </c>
      <c r="E72" s="105">
        <v>0.95</v>
      </c>
      <c r="F72" s="98">
        <f>+VLOOKUP(D72,PESOS!$B$3:$F$25,5,FALSE)*B72*E72</f>
        <v>62.703981702226599</v>
      </c>
      <c r="G72" s="274" t="s">
        <v>318</v>
      </c>
    </row>
    <row r="73" spans="1:7" s="62" customFormat="1" ht="13.95" customHeight="1" x14ac:dyDescent="0.3">
      <c r="A73" s="154">
        <v>2</v>
      </c>
      <c r="B73" s="103">
        <f>ROUNDUP(((C18)/0.1),0)+2</f>
        <v>118</v>
      </c>
      <c r="C73" s="103"/>
      <c r="D73" s="104" t="s">
        <v>9</v>
      </c>
      <c r="E73" s="105">
        <v>1.1499999999999999</v>
      </c>
      <c r="F73" s="98">
        <f>+VLOOKUP(D73,PESOS!$B$3:$F$25,5,FALSE)*B73*E73</f>
        <v>75.904819955326943</v>
      </c>
      <c r="G73" s="274" t="s">
        <v>319</v>
      </c>
    </row>
    <row r="74" spans="1:7" s="62" customFormat="1" ht="13.95" customHeight="1" x14ac:dyDescent="0.3">
      <c r="A74" s="154">
        <v>3</v>
      </c>
      <c r="B74" s="103">
        <f>ROUNDUP(((C18)/0.1),0)+2</f>
        <v>118</v>
      </c>
      <c r="C74" s="103"/>
      <c r="D74" s="104" t="s">
        <v>9</v>
      </c>
      <c r="E74" s="105">
        <v>0.8</v>
      </c>
      <c r="F74" s="98">
        <f>+VLOOKUP(D74,PESOS!$B$3:$F$25,5,FALSE)*B74*E74</f>
        <v>52.803353012401352</v>
      </c>
      <c r="G74" s="274" t="s">
        <v>318</v>
      </c>
    </row>
    <row r="75" spans="1:7" s="62" customFormat="1" ht="13.95" customHeight="1" x14ac:dyDescent="0.3">
      <c r="A75" s="154">
        <v>4</v>
      </c>
      <c r="B75" s="103">
        <f>ROUNDUP(((C18)/0.1),0)+2</f>
        <v>118</v>
      </c>
      <c r="C75" s="103"/>
      <c r="D75" s="104" t="s">
        <v>9</v>
      </c>
      <c r="E75" s="105">
        <v>1.2</v>
      </c>
      <c r="F75" s="98">
        <f>+VLOOKUP(D75,PESOS!$B$3:$F$25,5,FALSE)*B75*E75</f>
        <v>79.205029518602018</v>
      </c>
      <c r="G75" s="274" t="s">
        <v>319</v>
      </c>
    </row>
    <row r="76" spans="1:7" s="62" customFormat="1" ht="13.95" customHeight="1" x14ac:dyDescent="0.3">
      <c r="A76" s="154">
        <v>5</v>
      </c>
      <c r="B76" s="103">
        <f>2*ROUNDUP(((C18)/0.15),0)+2</f>
        <v>158</v>
      </c>
      <c r="C76" s="103"/>
      <c r="D76" s="104" t="s">
        <v>9</v>
      </c>
      <c r="E76" s="105">
        <v>1.6</v>
      </c>
      <c r="F76" s="98">
        <f>+VLOOKUP(D76,PESOS!$B$3:$F$25,5,FALSE)*B76*E76</f>
        <v>141.40558942304091</v>
      </c>
      <c r="G76" s="274" t="s">
        <v>287</v>
      </c>
    </row>
    <row r="77" spans="1:7" s="62" customFormat="1" ht="13.95" customHeight="1" x14ac:dyDescent="0.3">
      <c r="A77" s="120"/>
      <c r="B77" s="103">
        <f>29*ROUNDUP(((C18)/(6-0.6)),0)</f>
        <v>87</v>
      </c>
      <c r="C77" s="103"/>
      <c r="D77" s="104" t="s">
        <v>9</v>
      </c>
      <c r="E77" s="105">
        <v>6</v>
      </c>
      <c r="F77" s="98">
        <f>+VLOOKUP(D77,PESOS!$B$3:$F$25,5,FALSE)*B77*E77</f>
        <v>291.98464271688033</v>
      </c>
      <c r="G77" s="274" t="s">
        <v>321</v>
      </c>
    </row>
    <row r="78" spans="1:7" s="62" customFormat="1" ht="13.95" customHeight="1" x14ac:dyDescent="0.3">
      <c r="A78" s="120"/>
      <c r="B78" s="103">
        <f>16*ROUNDUP(((C18)/(6-0.6)),0)</f>
        <v>48</v>
      </c>
      <c r="C78" s="103"/>
      <c r="D78" s="104" t="s">
        <v>9</v>
      </c>
      <c r="E78" s="105">
        <v>6</v>
      </c>
      <c r="F78" s="98">
        <f>+VLOOKUP(D78,PESOS!$B$3:$F$25,5,FALSE)*B78*E78</f>
        <v>161.09497529207192</v>
      </c>
      <c r="G78" s="274" t="s">
        <v>329</v>
      </c>
    </row>
    <row r="79" spans="1:7" s="62" customFormat="1" ht="13.95" customHeight="1" x14ac:dyDescent="0.3">
      <c r="A79" s="239"/>
      <c r="B79" s="239"/>
      <c r="C79" s="239"/>
      <c r="D79" s="239"/>
      <c r="E79" s="98"/>
      <c r="F79" s="98"/>
      <c r="G79" s="99"/>
    </row>
    <row r="80" spans="1:7" ht="21.3" x14ac:dyDescent="0.4">
      <c r="A80" s="289" t="s">
        <v>284</v>
      </c>
      <c r="B80" s="289"/>
      <c r="C80" s="289"/>
      <c r="D80" s="289"/>
      <c r="E80" s="289"/>
      <c r="F80" s="266">
        <f>SUM(F24:F79)</f>
        <v>5194.6268079041874</v>
      </c>
      <c r="G80" s="64"/>
    </row>
    <row r="81" spans="1:7" ht="13.15" x14ac:dyDescent="0.25">
      <c r="A81" s="24"/>
      <c r="B81" s="24"/>
      <c r="C81" s="24"/>
      <c r="D81" s="24"/>
      <c r="E81" s="24"/>
      <c r="F81" s="24"/>
      <c r="G81" s="24"/>
    </row>
    <row r="82" spans="1:7" ht="15.05" x14ac:dyDescent="0.3">
      <c r="A82" s="286"/>
      <c r="B82" s="286"/>
      <c r="C82" s="286"/>
      <c r="D82" s="286"/>
      <c r="E82" s="286"/>
      <c r="F82" s="286"/>
      <c r="G82" s="286"/>
    </row>
    <row r="83" spans="1:7" ht="15.05" x14ac:dyDescent="0.3">
      <c r="A83" s="118"/>
      <c r="B83" s="118"/>
      <c r="C83" s="106"/>
      <c r="D83" s="106"/>
      <c r="E83" s="107"/>
      <c r="F83" s="118"/>
      <c r="G83" s="118"/>
    </row>
    <row r="84" spans="1:7" ht="15.05" x14ac:dyDescent="0.3">
      <c r="A84" s="118"/>
      <c r="B84" s="118"/>
      <c r="C84" s="118"/>
      <c r="D84" s="118"/>
      <c r="E84" s="118"/>
      <c r="F84" s="118"/>
      <c r="G84" s="118"/>
    </row>
    <row r="85" spans="1:7" ht="15.05" x14ac:dyDescent="0.3">
      <c r="A85" s="108"/>
      <c r="B85" s="108"/>
      <c r="C85" s="108"/>
      <c r="D85" s="108"/>
      <c r="E85" s="108"/>
      <c r="F85" s="108"/>
      <c r="G85" s="59"/>
    </row>
    <row r="86" spans="1:7" ht="15.05" x14ac:dyDescent="0.3">
      <c r="A86" s="59"/>
      <c r="B86" s="78"/>
      <c r="C86" s="78"/>
      <c r="D86" s="109"/>
      <c r="E86" s="77"/>
      <c r="F86" s="33"/>
      <c r="G86" s="59"/>
    </row>
    <row r="87" spans="1:7" ht="15.05" x14ac:dyDescent="0.3">
      <c r="A87" s="59"/>
      <c r="B87" s="78"/>
      <c r="C87" s="110"/>
      <c r="D87" s="111"/>
      <c r="E87" s="77"/>
      <c r="F87" s="33"/>
      <c r="G87" s="59"/>
    </row>
    <row r="88" spans="1:7" ht="21.3" x14ac:dyDescent="0.4">
      <c r="A88" s="279"/>
      <c r="B88" s="279"/>
      <c r="C88" s="279"/>
      <c r="D88" s="279"/>
      <c r="E88" s="279"/>
      <c r="F88" s="112"/>
      <c r="G88" s="24"/>
    </row>
    <row r="89" spans="1:7" ht="13.15" x14ac:dyDescent="0.25">
      <c r="A89" s="24"/>
      <c r="B89" s="24"/>
      <c r="C89" s="24"/>
      <c r="D89" s="24"/>
      <c r="E89" s="24"/>
      <c r="F89" s="24"/>
      <c r="G89" s="24"/>
    </row>
  </sheetData>
  <mergeCells count="22">
    <mergeCell ref="A80:E80"/>
    <mergeCell ref="A82:G82"/>
    <mergeCell ref="A88:E88"/>
    <mergeCell ref="F9:G9"/>
    <mergeCell ref="F10:G10"/>
    <mergeCell ref="F17:G17"/>
    <mergeCell ref="F18:G18"/>
    <mergeCell ref="F11:G11"/>
    <mergeCell ref="A56:G56"/>
    <mergeCell ref="A70:G70"/>
    <mergeCell ref="F15:G15"/>
    <mergeCell ref="F16:G16"/>
    <mergeCell ref="A20:D20"/>
    <mergeCell ref="A22:G22"/>
    <mergeCell ref="A35:G35"/>
    <mergeCell ref="A42:G42"/>
    <mergeCell ref="F14:G14"/>
    <mergeCell ref="A2:G2"/>
    <mergeCell ref="A3:G3"/>
    <mergeCell ref="F6:G6"/>
    <mergeCell ref="F7:G7"/>
    <mergeCell ref="F8:G8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37B3-099D-45B3-9A00-B7088E18FD4B}">
  <sheetPr codeName="Hoja28">
    <tabColor theme="5" tint="-0.249977111117893"/>
  </sheetPr>
  <dimension ref="A1:K43"/>
  <sheetViews>
    <sheetView view="pageBreakPreview" zoomScale="80" zoomScaleNormal="115" zoomScaleSheetLayoutView="80" workbookViewId="0">
      <selection activeCell="I20" sqref="I20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0.44140625" style="1" bestFit="1" customWidth="1"/>
    <col min="5" max="5" width="16.5546875" style="1" bestFit="1" customWidth="1"/>
    <col min="6" max="6" width="19.33203125" style="1" bestFit="1" customWidth="1"/>
    <col min="7" max="7" width="36.664062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292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291" t="s">
        <v>293</v>
      </c>
      <c r="B3" s="291"/>
      <c r="C3" s="291"/>
      <c r="D3" s="291"/>
      <c r="E3" s="291"/>
      <c r="F3" s="291"/>
      <c r="G3" s="291"/>
    </row>
    <row r="4" spans="1:11" ht="13.95" customHeight="1" x14ac:dyDescent="0.3">
      <c r="A4" s="119"/>
      <c r="B4" s="119"/>
      <c r="C4" s="119"/>
      <c r="D4" s="119"/>
      <c r="E4" s="119"/>
      <c r="F4" s="119"/>
      <c r="G4" s="119"/>
    </row>
    <row r="5" spans="1:11" ht="13.95" customHeight="1" x14ac:dyDescent="0.3">
      <c r="A5" s="49" t="s">
        <v>280</v>
      </c>
      <c r="B5" s="49"/>
      <c r="C5" s="49"/>
      <c r="D5" s="34"/>
      <c r="E5" s="34"/>
      <c r="F5" s="35"/>
      <c r="G5" s="119"/>
    </row>
    <row r="6" spans="1:11" ht="13.95" customHeight="1" x14ac:dyDescent="0.3">
      <c r="A6" s="71" t="s">
        <v>123</v>
      </c>
      <c r="B6" s="71" t="s">
        <v>111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11" ht="13.95" customHeight="1" x14ac:dyDescent="0.3">
      <c r="A7" s="44">
        <v>0.25</v>
      </c>
      <c r="B7" s="44">
        <v>0.25</v>
      </c>
      <c r="C7" s="44">
        <v>16.649999999999999</v>
      </c>
      <c r="D7" s="34"/>
      <c r="E7" s="29">
        <f>+A7*C7*B7</f>
        <v>1.0406249999999999</v>
      </c>
      <c r="F7" s="292" t="s">
        <v>338</v>
      </c>
      <c r="G7" s="292"/>
    </row>
    <row r="8" spans="1:11" ht="13.95" customHeight="1" x14ac:dyDescent="0.3">
      <c r="A8" s="44"/>
      <c r="B8" s="44"/>
      <c r="C8" s="44"/>
      <c r="D8" s="34"/>
      <c r="E8" s="29"/>
      <c r="F8" s="48"/>
      <c r="G8" s="119"/>
    </row>
    <row r="9" spans="1:11" ht="13.95" customHeight="1" x14ac:dyDescent="0.3">
      <c r="A9" s="49" t="s">
        <v>294</v>
      </c>
      <c r="B9" s="49"/>
      <c r="C9" s="49"/>
      <c r="D9" s="96"/>
      <c r="E9" s="96"/>
      <c r="F9" s="96"/>
      <c r="G9" s="96"/>
    </row>
    <row r="10" spans="1:11" ht="13.95" customHeight="1" x14ac:dyDescent="0.3">
      <c r="A10" s="71"/>
      <c r="B10" s="71" t="s">
        <v>234</v>
      </c>
      <c r="C10" s="71" t="s">
        <v>143</v>
      </c>
      <c r="D10" s="34"/>
      <c r="E10" s="71" t="s">
        <v>101</v>
      </c>
      <c r="F10" s="310" t="s">
        <v>102</v>
      </c>
      <c r="G10" s="310"/>
    </row>
    <row r="11" spans="1:11" ht="13.95" customHeight="1" x14ac:dyDescent="0.3">
      <c r="A11" s="44"/>
      <c r="B11" s="113">
        <v>1.5149999999999999</v>
      </c>
      <c r="C11" s="44">
        <v>16.649999999999999</v>
      </c>
      <c r="D11" s="34"/>
      <c r="E11" s="29">
        <f>B11*C11</f>
        <v>25.224749999999997</v>
      </c>
      <c r="F11" s="292" t="s">
        <v>339</v>
      </c>
      <c r="G11" s="292"/>
    </row>
    <row r="12" spans="1:11" ht="13.95" customHeight="1" x14ac:dyDescent="0.3">
      <c r="A12" s="44"/>
      <c r="B12" s="95"/>
      <c r="C12" s="97"/>
      <c r="D12" s="97"/>
      <c r="E12" s="29"/>
      <c r="F12" s="34"/>
      <c r="G12" s="96"/>
    </row>
    <row r="13" spans="1:11" ht="21.3" x14ac:dyDescent="0.4">
      <c r="A13" s="282" t="s">
        <v>121</v>
      </c>
      <c r="B13" s="282"/>
      <c r="C13" s="282"/>
      <c r="D13" s="282"/>
      <c r="E13" s="54">
        <f>SUM(E7:E12)</f>
        <v>26.265374999999995</v>
      </c>
      <c r="F13" s="54"/>
      <c r="G13" s="54"/>
    </row>
    <row r="14" spans="1:11" ht="13.95" customHeight="1" x14ac:dyDescent="0.3">
      <c r="A14" s="31"/>
      <c r="B14" s="27"/>
      <c r="C14" s="31"/>
      <c r="D14" s="32"/>
      <c r="E14" s="33"/>
      <c r="F14" s="33"/>
      <c r="G14" s="31"/>
    </row>
    <row r="15" spans="1:11" s="62" customFormat="1" ht="13.95" customHeight="1" x14ac:dyDescent="0.3">
      <c r="A15" s="288" t="s">
        <v>283</v>
      </c>
      <c r="B15" s="288"/>
      <c r="C15" s="288"/>
      <c r="D15" s="288"/>
      <c r="E15" s="288"/>
      <c r="F15" s="288"/>
      <c r="G15" s="288"/>
    </row>
    <row r="16" spans="1:11" s="62" customFormat="1" ht="13.95" customHeight="1" x14ac:dyDescent="0.3">
      <c r="A16" s="100" t="s">
        <v>163</v>
      </c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1" t="s">
        <v>102</v>
      </c>
      <c r="H16" s="63"/>
      <c r="K16" s="102"/>
    </row>
    <row r="17" spans="1:11" s="62" customFormat="1" ht="13.95" customHeight="1" x14ac:dyDescent="0.3">
      <c r="A17" s="154"/>
      <c r="B17" s="103">
        <f>((C7/0.2)+1)</f>
        <v>84.249999999999986</v>
      </c>
      <c r="C17" s="103"/>
      <c r="D17" s="104" t="s">
        <v>9</v>
      </c>
      <c r="E17" s="105">
        <v>0.88</v>
      </c>
      <c r="F17" s="98">
        <f>+VLOOKUP(D17,PESOS!$B$3:$F$25,5,FALSE)*B17*E17</f>
        <v>41.470768986646561</v>
      </c>
      <c r="G17" s="274" t="s">
        <v>340</v>
      </c>
      <c r="H17" s="63"/>
      <c r="K17" s="102"/>
    </row>
    <row r="18" spans="1:11" s="62" customFormat="1" ht="13.95" customHeight="1" x14ac:dyDescent="0.3">
      <c r="A18" s="120"/>
      <c r="B18" s="103">
        <f>4*ROUNDUP(((C7)/(6-0.6)),0)</f>
        <v>16</v>
      </c>
      <c r="C18" s="103"/>
      <c r="D18" s="104" t="s">
        <v>10</v>
      </c>
      <c r="E18" s="105">
        <v>6</v>
      </c>
      <c r="F18" s="98">
        <f>+VLOOKUP(D18,PESOS!$B$3:$F$25,5,FALSE)*B18*E18</f>
        <v>95.463689061968566</v>
      </c>
      <c r="G18" s="274" t="s">
        <v>341</v>
      </c>
    </row>
    <row r="19" spans="1:11" s="62" customFormat="1" ht="13.95" customHeight="1" x14ac:dyDescent="0.3">
      <c r="A19" s="239"/>
      <c r="B19" s="239"/>
      <c r="C19" s="239"/>
      <c r="D19" s="239"/>
      <c r="E19" s="98"/>
      <c r="F19" s="98"/>
      <c r="G19" s="99"/>
    </row>
    <row r="20" spans="1:11" s="62" customFormat="1" ht="13.95" customHeight="1" x14ac:dyDescent="0.3">
      <c r="A20" s="288" t="s">
        <v>342</v>
      </c>
      <c r="B20" s="288"/>
      <c r="C20" s="288"/>
      <c r="D20" s="288"/>
      <c r="E20" s="288"/>
      <c r="F20" s="288"/>
      <c r="G20" s="288"/>
    </row>
    <row r="21" spans="1:11" s="62" customFormat="1" ht="13.95" customHeight="1" x14ac:dyDescent="0.3">
      <c r="A21" s="100" t="s">
        <v>163</v>
      </c>
      <c r="B21" s="101" t="s">
        <v>124</v>
      </c>
      <c r="C21" s="101"/>
      <c r="D21" s="101" t="s">
        <v>104</v>
      </c>
      <c r="E21" s="101">
        <v>1.6</v>
      </c>
      <c r="F21" s="101" t="s">
        <v>112</v>
      </c>
      <c r="G21" s="101" t="s">
        <v>102</v>
      </c>
      <c r="H21" s="63"/>
      <c r="I21" s="63"/>
    </row>
    <row r="22" spans="1:11" s="62" customFormat="1" ht="13.95" customHeight="1" x14ac:dyDescent="0.3">
      <c r="A22" s="154">
        <v>1</v>
      </c>
      <c r="B22" s="103">
        <f>ROUNDUP((((C11)/0.1)),0)+1</f>
        <v>168</v>
      </c>
      <c r="C22" s="103"/>
      <c r="D22" s="104" t="s">
        <v>9</v>
      </c>
      <c r="E22" s="105">
        <v>0.85</v>
      </c>
      <c r="F22" s="98">
        <f>+VLOOKUP(D22,PESOS!$B$3:$F$25,5,FALSE)*B22*E22</f>
        <v>79.876258582318982</v>
      </c>
      <c r="G22" s="274" t="s">
        <v>318</v>
      </c>
      <c r="H22" s="63"/>
      <c r="I22" s="63"/>
    </row>
    <row r="23" spans="1:11" s="62" customFormat="1" ht="13.95" customHeight="1" x14ac:dyDescent="0.3">
      <c r="A23" s="154">
        <v>2</v>
      </c>
      <c r="B23" s="103">
        <f>3*ROUNDUP(((C11)/0.1),0)+1</f>
        <v>502</v>
      </c>
      <c r="C23" s="103"/>
      <c r="D23" s="104" t="s">
        <v>9</v>
      </c>
      <c r="E23" s="105">
        <v>1.1499999999999999</v>
      </c>
      <c r="F23" s="98">
        <f>+VLOOKUP(D23,PESOS!$B$3:$F$25,5,FALSE)*B23*E23</f>
        <v>322.91711540317056</v>
      </c>
      <c r="G23" s="274" t="s">
        <v>319</v>
      </c>
      <c r="H23" s="63"/>
      <c r="I23" s="63"/>
    </row>
    <row r="24" spans="1:11" s="62" customFormat="1" ht="13.95" customHeight="1" x14ac:dyDescent="0.3">
      <c r="A24" s="154">
        <v>3</v>
      </c>
      <c r="B24" s="103">
        <f>3*ROUNDUP(((C11)/0.1),0)+1</f>
        <v>502</v>
      </c>
      <c r="C24" s="103"/>
      <c r="D24" s="104" t="s">
        <v>9</v>
      </c>
      <c r="E24" s="105">
        <v>0.7</v>
      </c>
      <c r="F24" s="98">
        <f>+VLOOKUP(D24,PESOS!$B$3:$F$25,5,FALSE)*B24*E24</f>
        <v>196.55824415845163</v>
      </c>
      <c r="G24" s="274" t="s">
        <v>318</v>
      </c>
      <c r="H24" s="63"/>
      <c r="I24" s="63"/>
    </row>
    <row r="25" spans="1:11" s="62" customFormat="1" ht="13.95" customHeight="1" x14ac:dyDescent="0.3">
      <c r="A25" s="154">
        <v>4</v>
      </c>
      <c r="B25" s="103">
        <f>ROUNDUP(((C11)/0.1),0)+1</f>
        <v>168</v>
      </c>
      <c r="C25" s="103"/>
      <c r="D25" s="104" t="s">
        <v>9</v>
      </c>
      <c r="E25" s="105">
        <v>1.3</v>
      </c>
      <c r="F25" s="98">
        <f>+VLOOKUP(D25,PESOS!$B$3:$F$25,5,FALSE)*B25*E25</f>
        <v>122.16368959648787</v>
      </c>
      <c r="G25" s="274" t="s">
        <v>319</v>
      </c>
      <c r="H25" s="63"/>
      <c r="I25" s="63"/>
    </row>
    <row r="26" spans="1:11" s="62" customFormat="1" ht="13.95" customHeight="1" x14ac:dyDescent="0.3">
      <c r="A26" s="154">
        <v>5</v>
      </c>
      <c r="B26" s="103">
        <f>ROUNDUP(((C11)/0.2),0)+1</f>
        <v>85</v>
      </c>
      <c r="C26" s="103"/>
      <c r="D26" s="104" t="s">
        <v>9</v>
      </c>
      <c r="E26" s="105">
        <v>2.95</v>
      </c>
      <c r="F26" s="98">
        <f>+VLOOKUP(D26,PESOS!$B$3:$F$25,5,FALSE)*B26*E26</f>
        <v>140.25890643919109</v>
      </c>
      <c r="G26" s="274" t="s">
        <v>287</v>
      </c>
      <c r="H26" s="63"/>
      <c r="I26" s="63"/>
    </row>
    <row r="27" spans="1:11" s="62" customFormat="1" ht="13.95" customHeight="1" x14ac:dyDescent="0.3">
      <c r="A27" s="154">
        <v>6</v>
      </c>
      <c r="B27" s="103">
        <f>ROUNDUP(((C11)/0.15),0)+1</f>
        <v>112</v>
      </c>
      <c r="C27" s="103"/>
      <c r="D27" s="104" t="s">
        <v>10</v>
      </c>
      <c r="E27" s="105">
        <v>3.05</v>
      </c>
      <c r="F27" s="98">
        <f>+VLOOKUP(D27,PESOS!$B$3:$F$25,5,FALSE)*B27*E27</f>
        <v>339.6916269121715</v>
      </c>
      <c r="G27" s="274" t="s">
        <v>287</v>
      </c>
      <c r="H27" s="63"/>
      <c r="I27" s="63"/>
    </row>
    <row r="28" spans="1:11" s="62" customFormat="1" ht="13.95" customHeight="1" x14ac:dyDescent="0.3">
      <c r="A28" s="154">
        <v>7</v>
      </c>
      <c r="B28" s="103">
        <f>ROUNDUP(((C11)/0.2),0)+1</f>
        <v>85</v>
      </c>
      <c r="C28" s="103"/>
      <c r="D28" s="104" t="s">
        <v>10</v>
      </c>
      <c r="E28" s="105">
        <v>1.4</v>
      </c>
      <c r="F28" s="98">
        <f>+VLOOKUP(D28,PESOS!$B$3:$F$25,5,FALSE)*B28*E28</f>
        <v>118.33519789973187</v>
      </c>
      <c r="G28" s="274" t="s">
        <v>320</v>
      </c>
      <c r="H28" s="63"/>
      <c r="I28" s="63"/>
    </row>
    <row r="29" spans="1:11" s="62" customFormat="1" ht="13.95" customHeight="1" x14ac:dyDescent="0.3">
      <c r="A29" s="154">
        <v>8</v>
      </c>
      <c r="B29" s="103">
        <f>ROUNDUP(((C11)/0.2),0)+1</f>
        <v>85</v>
      </c>
      <c r="C29" s="103"/>
      <c r="D29" s="104" t="s">
        <v>10</v>
      </c>
      <c r="E29" s="105">
        <v>1.4</v>
      </c>
      <c r="F29" s="98">
        <f>+VLOOKUP(D29,PESOS!$B$3:$F$25,5,FALSE)*B29*E29</f>
        <v>118.33519789973187</v>
      </c>
      <c r="G29" s="274" t="s">
        <v>320</v>
      </c>
      <c r="H29" s="63"/>
      <c r="I29" s="63"/>
    </row>
    <row r="30" spans="1:11" s="62" customFormat="1" ht="13.95" customHeight="1" x14ac:dyDescent="0.3">
      <c r="A30" s="120"/>
      <c r="B30" s="103">
        <f>55*ROUNDUP(((C11)/(6-0.6)),0)+2</f>
        <v>222</v>
      </c>
      <c r="C30" s="103"/>
      <c r="D30" s="104" t="s">
        <v>9</v>
      </c>
      <c r="E30" s="105">
        <v>6</v>
      </c>
      <c r="F30" s="98">
        <f>+VLOOKUP(D30,PESOS!$B$3:$F$25,5,FALSE)*B30*E30</f>
        <v>745.06426072583258</v>
      </c>
      <c r="G30" s="274" t="s">
        <v>321</v>
      </c>
    </row>
    <row r="31" spans="1:11" s="62" customFormat="1" ht="13.95" customHeight="1" x14ac:dyDescent="0.3">
      <c r="A31" s="120"/>
      <c r="B31" s="103">
        <f>22*ROUNDUP(((C11)/(6-0.6)),0)+1</f>
        <v>89</v>
      </c>
      <c r="C31" s="103"/>
      <c r="D31" s="104" t="s">
        <v>9</v>
      </c>
      <c r="E31" s="105">
        <v>6</v>
      </c>
      <c r="F31" s="98">
        <f>+VLOOKUP(D31,PESOS!$B$3:$F$25,5,FALSE)*B31*E31</f>
        <v>298.69693335404997</v>
      </c>
      <c r="G31" s="274" t="s">
        <v>323</v>
      </c>
    </row>
    <row r="32" spans="1:11" s="62" customFormat="1" ht="13.95" customHeight="1" x14ac:dyDescent="0.3">
      <c r="A32" s="267"/>
      <c r="B32" s="103">
        <f>16*ROUNDUP(((C11)/(6-0.7)),0)+1</f>
        <v>65</v>
      </c>
      <c r="C32" s="103"/>
      <c r="D32" s="104" t="s">
        <v>10</v>
      </c>
      <c r="E32" s="105">
        <v>6</v>
      </c>
      <c r="F32" s="98">
        <f>+VLOOKUP(D32,PESOS!$B$3:$F$25,5,FALSE)*B32*E32</f>
        <v>387.8212368142473</v>
      </c>
      <c r="G32" s="274" t="s">
        <v>322</v>
      </c>
    </row>
    <row r="33" spans="1:7" s="62" customFormat="1" ht="13.95" customHeight="1" x14ac:dyDescent="0.3">
      <c r="A33" s="239"/>
      <c r="B33" s="239"/>
      <c r="C33" s="239"/>
      <c r="D33" s="239"/>
      <c r="E33" s="98"/>
      <c r="F33" s="98"/>
      <c r="G33" s="99"/>
    </row>
    <row r="34" spans="1:7" ht="21.3" x14ac:dyDescent="0.4">
      <c r="A34" s="289" t="s">
        <v>284</v>
      </c>
      <c r="B34" s="289"/>
      <c r="C34" s="289"/>
      <c r="D34" s="289"/>
      <c r="E34" s="289"/>
      <c r="F34" s="266">
        <f>SUM(F17:F18)+SUM(F22:F32)</f>
        <v>3006.6531258340005</v>
      </c>
      <c r="G34" s="64"/>
    </row>
    <row r="35" spans="1:7" ht="13.15" x14ac:dyDescent="0.25">
      <c r="A35" s="24"/>
      <c r="B35" s="24"/>
      <c r="C35" s="24"/>
      <c r="D35" s="24"/>
      <c r="E35" s="24"/>
      <c r="F35" s="24"/>
      <c r="G35" s="24"/>
    </row>
    <row r="36" spans="1:7" ht="15.05" x14ac:dyDescent="0.3">
      <c r="A36" s="286"/>
      <c r="B36" s="286"/>
      <c r="C36" s="286"/>
      <c r="D36" s="286"/>
      <c r="E36" s="286"/>
      <c r="F36" s="286"/>
      <c r="G36" s="286"/>
    </row>
    <row r="37" spans="1:7" ht="15.05" x14ac:dyDescent="0.3">
      <c r="A37" s="118"/>
      <c r="B37" s="118"/>
      <c r="C37" s="106"/>
      <c r="D37" s="106"/>
      <c r="E37" s="107"/>
      <c r="F37" s="118"/>
      <c r="G37" s="118"/>
    </row>
    <row r="38" spans="1:7" ht="15.05" x14ac:dyDescent="0.3">
      <c r="A38" s="118"/>
      <c r="B38" s="118"/>
      <c r="C38" s="118"/>
      <c r="D38" s="118"/>
      <c r="E38" s="118"/>
      <c r="F38" s="118"/>
      <c r="G38" s="118"/>
    </row>
    <row r="39" spans="1:7" ht="15.05" x14ac:dyDescent="0.3">
      <c r="A39" s="108"/>
      <c r="B39" s="108"/>
      <c r="C39" s="108"/>
      <c r="D39" s="108"/>
      <c r="E39" s="108"/>
      <c r="F39" s="108"/>
      <c r="G39" s="59"/>
    </row>
    <row r="40" spans="1:7" ht="15.05" x14ac:dyDescent="0.3">
      <c r="A40" s="59"/>
      <c r="B40" s="78"/>
      <c r="C40" s="78"/>
      <c r="D40" s="109"/>
      <c r="E40" s="77"/>
      <c r="F40" s="33"/>
      <c r="G40" s="59"/>
    </row>
    <row r="41" spans="1:7" ht="15.05" x14ac:dyDescent="0.3">
      <c r="A41" s="59"/>
      <c r="B41" s="78"/>
      <c r="C41" s="110"/>
      <c r="D41" s="111"/>
      <c r="E41" s="77"/>
      <c r="F41" s="33"/>
      <c r="G41" s="59"/>
    </row>
    <row r="42" spans="1:7" ht="21.3" x14ac:dyDescent="0.4">
      <c r="A42" s="279"/>
      <c r="B42" s="279"/>
      <c r="C42" s="279"/>
      <c r="D42" s="279"/>
      <c r="E42" s="279"/>
      <c r="F42" s="112"/>
      <c r="G42" s="24"/>
    </row>
    <row r="43" spans="1:7" ht="13.15" x14ac:dyDescent="0.25">
      <c r="A43" s="24"/>
      <c r="B43" s="24"/>
      <c r="C43" s="24"/>
      <c r="D43" s="24"/>
      <c r="E43" s="24"/>
      <c r="F43" s="24"/>
      <c r="G43" s="24"/>
    </row>
  </sheetData>
  <mergeCells count="12">
    <mergeCell ref="A34:E34"/>
    <mergeCell ref="A36:G36"/>
    <mergeCell ref="A42:E42"/>
    <mergeCell ref="F11:G11"/>
    <mergeCell ref="A13:D13"/>
    <mergeCell ref="A15:G15"/>
    <mergeCell ref="A20:G20"/>
    <mergeCell ref="A2:G2"/>
    <mergeCell ref="A3:G3"/>
    <mergeCell ref="F6:G6"/>
    <mergeCell ref="F7:G7"/>
    <mergeCell ref="F10:G10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0198-3A08-4FF0-AD65-F794C323BE86}">
  <sheetPr codeName="Hoja26">
    <tabColor theme="5" tint="-0.249977111117893"/>
  </sheetPr>
  <dimension ref="A1:K43"/>
  <sheetViews>
    <sheetView view="pageBreakPreview" zoomScaleNormal="115" zoomScaleSheetLayoutView="100" workbookViewId="0">
      <selection activeCell="J29" sqref="J29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0.44140625" style="1" bestFit="1" customWidth="1"/>
    <col min="5" max="5" width="16.5546875" style="1" bestFit="1" customWidth="1"/>
    <col min="6" max="6" width="19.33203125" style="1" bestFit="1" customWidth="1"/>
    <col min="7" max="7" width="35.664062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288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291" t="s">
        <v>289</v>
      </c>
      <c r="B3" s="291"/>
      <c r="C3" s="291"/>
      <c r="D3" s="291"/>
      <c r="E3" s="291"/>
      <c r="F3" s="291"/>
      <c r="G3" s="291"/>
    </row>
    <row r="4" spans="1:11" ht="13.95" customHeight="1" x14ac:dyDescent="0.3">
      <c r="A4" s="119"/>
      <c r="B4" s="119"/>
      <c r="C4" s="119"/>
      <c r="D4" s="119"/>
      <c r="E4" s="119"/>
      <c r="F4" s="119"/>
      <c r="G4" s="119"/>
    </row>
    <row r="5" spans="1:11" ht="13.95" customHeight="1" x14ac:dyDescent="0.3">
      <c r="A5" s="49" t="s">
        <v>280</v>
      </c>
      <c r="B5" s="49"/>
      <c r="C5" s="49"/>
      <c r="D5" s="34"/>
      <c r="E5" s="34"/>
      <c r="F5" s="35"/>
      <c r="G5" s="119"/>
    </row>
    <row r="6" spans="1:11" ht="13.95" customHeight="1" x14ac:dyDescent="0.3">
      <c r="A6" s="71" t="s">
        <v>123</v>
      </c>
      <c r="B6" s="71" t="s">
        <v>111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11" ht="13.95" customHeight="1" x14ac:dyDescent="0.3">
      <c r="A7" s="44">
        <v>0.25</v>
      </c>
      <c r="B7" s="44">
        <v>0.25</v>
      </c>
      <c r="C7" s="44">
        <v>16.649999999999999</v>
      </c>
      <c r="D7" s="34"/>
      <c r="E7" s="29">
        <f>+A7*C7*B7</f>
        <v>1.0406249999999999</v>
      </c>
      <c r="F7" s="292" t="s">
        <v>324</v>
      </c>
      <c r="G7" s="292"/>
    </row>
    <row r="8" spans="1:11" ht="13.95" customHeight="1" x14ac:dyDescent="0.3">
      <c r="A8" s="44"/>
      <c r="B8" s="44"/>
      <c r="C8" s="44"/>
      <c r="D8" s="34"/>
      <c r="E8" s="29"/>
      <c r="F8" s="48"/>
      <c r="G8" s="119"/>
    </row>
    <row r="9" spans="1:11" ht="13.95" customHeight="1" x14ac:dyDescent="0.3">
      <c r="A9" s="49" t="s">
        <v>294</v>
      </c>
      <c r="B9" s="49"/>
      <c r="C9" s="49"/>
      <c r="D9" s="96"/>
      <c r="E9" s="96"/>
      <c r="F9" s="96"/>
      <c r="G9" s="96"/>
    </row>
    <row r="10" spans="1:11" ht="13.95" customHeight="1" x14ac:dyDescent="0.3">
      <c r="A10" s="71"/>
      <c r="B10" s="71" t="s">
        <v>234</v>
      </c>
      <c r="C10" s="71" t="s">
        <v>143</v>
      </c>
      <c r="D10" s="34"/>
      <c r="E10" s="71" t="s">
        <v>101</v>
      </c>
      <c r="F10" s="310" t="s">
        <v>102</v>
      </c>
      <c r="G10" s="310"/>
    </row>
    <row r="11" spans="1:11" ht="13.95" customHeight="1" x14ac:dyDescent="0.3">
      <c r="A11" s="44"/>
      <c r="B11" s="113">
        <v>1.2224999999999999</v>
      </c>
      <c r="C11" s="44">
        <v>16.649999999999999</v>
      </c>
      <c r="D11" s="34"/>
      <c r="E11" s="29">
        <f>B11*C11</f>
        <v>20.354624999999999</v>
      </c>
      <c r="F11" s="292" t="s">
        <v>325</v>
      </c>
      <c r="G11" s="292"/>
    </row>
    <row r="12" spans="1:11" ht="13.95" customHeight="1" x14ac:dyDescent="0.3">
      <c r="A12" s="44"/>
      <c r="B12" s="95"/>
      <c r="C12" s="97"/>
      <c r="D12" s="97"/>
      <c r="E12" s="29"/>
      <c r="F12" s="34"/>
      <c r="G12" s="96"/>
    </row>
    <row r="13" spans="1:11" ht="21.3" x14ac:dyDescent="0.4">
      <c r="A13" s="282" t="s">
        <v>121</v>
      </c>
      <c r="B13" s="282"/>
      <c r="C13" s="282"/>
      <c r="D13" s="282"/>
      <c r="E13" s="54">
        <f>SUM(E7:E12)</f>
        <v>21.395249999999997</v>
      </c>
      <c r="F13" s="54"/>
      <c r="G13" s="54"/>
    </row>
    <row r="14" spans="1:11" ht="13.95" customHeight="1" x14ac:dyDescent="0.3">
      <c r="A14" s="31"/>
      <c r="B14" s="27"/>
      <c r="C14" s="31"/>
      <c r="D14" s="32"/>
      <c r="E14" s="33"/>
      <c r="F14" s="33"/>
      <c r="G14" s="31"/>
    </row>
    <row r="15" spans="1:11" s="62" customFormat="1" ht="13.95" customHeight="1" x14ac:dyDescent="0.3">
      <c r="A15" s="288" t="s">
        <v>283</v>
      </c>
      <c r="B15" s="288"/>
      <c r="C15" s="288"/>
      <c r="D15" s="288"/>
      <c r="E15" s="288"/>
      <c r="F15" s="288"/>
      <c r="G15" s="288"/>
    </row>
    <row r="16" spans="1:11" s="62" customFormat="1" ht="13.95" customHeight="1" x14ac:dyDescent="0.3">
      <c r="A16" s="100" t="s">
        <v>163</v>
      </c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1" t="s">
        <v>102</v>
      </c>
      <c r="H16" s="63"/>
      <c r="K16" s="102"/>
    </row>
    <row r="17" spans="1:11" s="62" customFormat="1" ht="13.95" customHeight="1" x14ac:dyDescent="0.3">
      <c r="A17" s="154"/>
      <c r="B17" s="103">
        <f>ROUNDUP((C7/0.2),0)+1</f>
        <v>85</v>
      </c>
      <c r="C17" s="103"/>
      <c r="D17" s="104" t="s">
        <v>9</v>
      </c>
      <c r="E17" s="105">
        <v>0.88</v>
      </c>
      <c r="F17" s="98">
        <f>+VLOOKUP(D17,PESOS!$B$3:$F$25,5,FALSE)*B17*E17</f>
        <v>41.839944971690905</v>
      </c>
      <c r="G17" s="274" t="s">
        <v>326</v>
      </c>
      <c r="H17" s="63"/>
      <c r="K17" s="102"/>
    </row>
    <row r="18" spans="1:11" s="62" customFormat="1" ht="13.95" customHeight="1" x14ac:dyDescent="0.3">
      <c r="A18" s="120"/>
      <c r="B18" s="103">
        <f>4*ROUNDUP(((C7)/(6-0.6)),0)+1</f>
        <v>17</v>
      </c>
      <c r="C18" s="103"/>
      <c r="D18" s="104" t="s">
        <v>10</v>
      </c>
      <c r="E18" s="105">
        <v>6</v>
      </c>
      <c r="F18" s="98">
        <f>+VLOOKUP(D18,PESOS!$B$3:$F$25,5,FALSE)*B18*E18</f>
        <v>101.43016962834162</v>
      </c>
      <c r="G18" s="274" t="s">
        <v>327</v>
      </c>
    </row>
    <row r="19" spans="1:11" s="62" customFormat="1" ht="13.95" customHeight="1" x14ac:dyDescent="0.3">
      <c r="A19" s="239"/>
      <c r="B19" s="239"/>
      <c r="C19" s="239"/>
      <c r="D19" s="239"/>
      <c r="E19" s="98"/>
      <c r="F19" s="98"/>
      <c r="G19" s="99"/>
    </row>
    <row r="20" spans="1:11" s="62" customFormat="1" ht="13.95" customHeight="1" x14ac:dyDescent="0.3">
      <c r="A20" s="288" t="s">
        <v>328</v>
      </c>
      <c r="B20" s="288"/>
      <c r="C20" s="288"/>
      <c r="D20" s="288"/>
      <c r="E20" s="288"/>
      <c r="F20" s="288"/>
      <c r="G20" s="288"/>
    </row>
    <row r="21" spans="1:11" s="62" customFormat="1" ht="13.95" customHeight="1" x14ac:dyDescent="0.3">
      <c r="A21" s="100" t="s">
        <v>163</v>
      </c>
      <c r="B21" s="101" t="s">
        <v>124</v>
      </c>
      <c r="C21" s="101"/>
      <c r="D21" s="101" t="s">
        <v>104</v>
      </c>
      <c r="E21" s="101">
        <v>1.6</v>
      </c>
      <c r="F21" s="101" t="s">
        <v>112</v>
      </c>
      <c r="G21" s="101" t="s">
        <v>102</v>
      </c>
      <c r="H21" s="63"/>
      <c r="I21" s="63"/>
    </row>
    <row r="22" spans="1:11" s="62" customFormat="1" ht="13.95" customHeight="1" x14ac:dyDescent="0.3">
      <c r="A22" s="154">
        <v>1</v>
      </c>
      <c r="B22" s="103">
        <f>ROUNDUP((((C11)/0.1)),0)+1</f>
        <v>168</v>
      </c>
      <c r="C22" s="103"/>
      <c r="D22" s="104" t="s">
        <v>9</v>
      </c>
      <c r="E22" s="105">
        <v>0.85</v>
      </c>
      <c r="F22" s="98">
        <f>+VLOOKUP(D22,PESOS!$B$3:$F$25,5,FALSE)*B22*E22</f>
        <v>79.876258582318982</v>
      </c>
      <c r="G22" s="274" t="s">
        <v>318</v>
      </c>
      <c r="H22" s="63"/>
      <c r="I22" s="63"/>
    </row>
    <row r="23" spans="1:11" s="62" customFormat="1" ht="13.95" customHeight="1" x14ac:dyDescent="0.3">
      <c r="A23" s="154">
        <v>2</v>
      </c>
      <c r="B23" s="103">
        <f>2*ROUNDUP(((C11)/0.1),0)+1</f>
        <v>335</v>
      </c>
      <c r="C23" s="103"/>
      <c r="D23" s="104" t="s">
        <v>9</v>
      </c>
      <c r="E23" s="105">
        <v>1.1499999999999999</v>
      </c>
      <c r="F23" s="98">
        <f>+VLOOKUP(D23,PESOS!$B$3:$F$25,5,FALSE)*B23*E23</f>
        <v>215.49249733080103</v>
      </c>
      <c r="G23" s="274" t="s">
        <v>319</v>
      </c>
      <c r="H23" s="63"/>
      <c r="I23" s="63"/>
    </row>
    <row r="24" spans="1:11" s="62" customFormat="1" ht="13.95" customHeight="1" x14ac:dyDescent="0.3">
      <c r="A24" s="154">
        <v>3</v>
      </c>
      <c r="B24" s="103">
        <f>2*ROUNDUP(((C11)/0.1),0)+1</f>
        <v>335</v>
      </c>
      <c r="C24" s="103"/>
      <c r="D24" s="104" t="s">
        <v>9</v>
      </c>
      <c r="E24" s="105">
        <v>0.7</v>
      </c>
      <c r="F24" s="98">
        <f>+VLOOKUP(D24,PESOS!$B$3:$F$25,5,FALSE)*B24*E24</f>
        <v>131.16934620135714</v>
      </c>
      <c r="G24" s="274" t="s">
        <v>318</v>
      </c>
      <c r="H24" s="63"/>
      <c r="I24" s="63"/>
    </row>
    <row r="25" spans="1:11" s="62" customFormat="1" ht="13.95" customHeight="1" x14ac:dyDescent="0.3">
      <c r="A25" s="154">
        <v>4</v>
      </c>
      <c r="B25" s="103">
        <f>ROUNDUP(((C11)/0.1),0)+1</f>
        <v>168</v>
      </c>
      <c r="C25" s="103"/>
      <c r="D25" s="104" t="s">
        <v>9</v>
      </c>
      <c r="E25" s="105">
        <v>1.3</v>
      </c>
      <c r="F25" s="98">
        <f>+VLOOKUP(D25,PESOS!$B$3:$F$25,5,FALSE)*B25*E25</f>
        <v>122.16368959648787</v>
      </c>
      <c r="G25" s="274" t="s">
        <v>319</v>
      </c>
      <c r="H25" s="63"/>
      <c r="I25" s="63"/>
    </row>
    <row r="26" spans="1:11" s="62" customFormat="1" ht="13.95" customHeight="1" x14ac:dyDescent="0.3">
      <c r="A26" s="154">
        <v>5</v>
      </c>
      <c r="B26" s="103">
        <f>ROUNDUP(((C11)/0.2),0)+1</f>
        <v>85</v>
      </c>
      <c r="C26" s="103"/>
      <c r="D26" s="104" t="s">
        <v>9</v>
      </c>
      <c r="E26" s="105">
        <v>2.5499999999999998</v>
      </c>
      <c r="F26" s="98">
        <f>+VLOOKUP(D26,PESOS!$B$3:$F$25,5,FALSE)*B26*E26</f>
        <v>121.24074963387704</v>
      </c>
      <c r="G26" s="274" t="s">
        <v>287</v>
      </c>
      <c r="H26" s="63"/>
      <c r="I26" s="63"/>
    </row>
    <row r="27" spans="1:11" s="62" customFormat="1" ht="13.95" customHeight="1" x14ac:dyDescent="0.3">
      <c r="A27" s="154">
        <v>6</v>
      </c>
      <c r="B27" s="103">
        <f>ROUNDUP(((C11)/0.15),0)+1</f>
        <v>112</v>
      </c>
      <c r="C27" s="103"/>
      <c r="D27" s="104" t="s">
        <v>10</v>
      </c>
      <c r="E27" s="105">
        <v>2.65</v>
      </c>
      <c r="F27" s="98">
        <f>+VLOOKUP(D27,PESOS!$B$3:$F$25,5,FALSE)*B27*E27</f>
        <v>295.14190534991951</v>
      </c>
      <c r="G27" s="274" t="s">
        <v>287</v>
      </c>
      <c r="H27" s="63"/>
      <c r="I27" s="63"/>
    </row>
    <row r="28" spans="1:11" s="62" customFormat="1" ht="13.95" customHeight="1" x14ac:dyDescent="0.3">
      <c r="A28" s="154">
        <v>7</v>
      </c>
      <c r="B28" s="103">
        <f>ROUNDUP(((C11)/0.25),0)+1</f>
        <v>68</v>
      </c>
      <c r="C28" s="103"/>
      <c r="D28" s="104" t="s">
        <v>10</v>
      </c>
      <c r="E28" s="105">
        <v>1.25</v>
      </c>
      <c r="F28" s="98">
        <f>+VLOOKUP(D28,PESOS!$B$3:$F$25,5,FALSE)*B28*E28</f>
        <v>84.525141356951337</v>
      </c>
      <c r="G28" s="274" t="s">
        <v>320</v>
      </c>
      <c r="H28" s="63"/>
      <c r="I28" s="63"/>
    </row>
    <row r="29" spans="1:11" s="62" customFormat="1" ht="13.95" customHeight="1" x14ac:dyDescent="0.3">
      <c r="A29" s="154">
        <v>8</v>
      </c>
      <c r="B29" s="103">
        <f>ROUNDUP(((C11)/0.25),0)+1</f>
        <v>68</v>
      </c>
      <c r="C29" s="103"/>
      <c r="D29" s="104" t="s">
        <v>10</v>
      </c>
      <c r="E29" s="105">
        <v>1.25</v>
      </c>
      <c r="F29" s="98">
        <f>+VLOOKUP(D29,PESOS!$B$3:$F$25,5,FALSE)*B29*E29</f>
        <v>84.525141356951337</v>
      </c>
      <c r="G29" s="274" t="s">
        <v>320</v>
      </c>
      <c r="H29" s="63"/>
      <c r="I29" s="63"/>
    </row>
    <row r="30" spans="1:11" s="62" customFormat="1" ht="13.95" customHeight="1" x14ac:dyDescent="0.3">
      <c r="A30" s="120"/>
      <c r="B30" s="103">
        <f>41*(ROUNDUP(((C11)/(6-0.6)),0))</f>
        <v>164</v>
      </c>
      <c r="C30" s="103"/>
      <c r="D30" s="104" t="s">
        <v>9</v>
      </c>
      <c r="E30" s="105">
        <v>6</v>
      </c>
      <c r="F30" s="98">
        <f>+VLOOKUP(D30,PESOS!$B$3:$F$25,5,FALSE)*B30*E30</f>
        <v>550.40783224791244</v>
      </c>
      <c r="G30" s="274" t="s">
        <v>321</v>
      </c>
    </row>
    <row r="31" spans="1:11" s="62" customFormat="1" ht="13.95" customHeight="1" x14ac:dyDescent="0.3">
      <c r="A31" s="120"/>
      <c r="B31" s="103">
        <f>20*ROUNDUP(((C11)/(6-0.6)),0)</f>
        <v>80</v>
      </c>
      <c r="C31" s="103"/>
      <c r="D31" s="104" t="s">
        <v>9</v>
      </c>
      <c r="E31" s="105">
        <v>6</v>
      </c>
      <c r="F31" s="98">
        <f>+VLOOKUP(D31,PESOS!$B$3:$F$25,5,FALSE)*B31*E31</f>
        <v>268.49162548678657</v>
      </c>
      <c r="G31" s="274" t="s">
        <v>323</v>
      </c>
    </row>
    <row r="32" spans="1:11" s="62" customFormat="1" ht="13.95" customHeight="1" x14ac:dyDescent="0.3">
      <c r="A32" s="267"/>
      <c r="B32" s="103">
        <f>10*ROUNDUP(((C11)/(6-0.7)),0)</f>
        <v>40</v>
      </c>
      <c r="C32" s="103"/>
      <c r="D32" s="104" t="s">
        <v>10</v>
      </c>
      <c r="E32" s="105">
        <v>6</v>
      </c>
      <c r="F32" s="98">
        <f>+VLOOKUP(D32,PESOS!$B$3:$F$25,5,FALSE)*B32*E32</f>
        <v>238.65922265492139</v>
      </c>
      <c r="G32" s="274" t="s">
        <v>322</v>
      </c>
    </row>
    <row r="33" spans="1:7" s="62" customFormat="1" ht="13.95" customHeight="1" x14ac:dyDescent="0.3">
      <c r="A33" s="239"/>
      <c r="B33" s="239"/>
      <c r="C33" s="239"/>
      <c r="D33" s="239"/>
      <c r="E33" s="98"/>
      <c r="F33" s="98"/>
      <c r="G33" s="99"/>
    </row>
    <row r="34" spans="1:7" ht="21.3" x14ac:dyDescent="0.4">
      <c r="A34" s="289" t="s">
        <v>284</v>
      </c>
      <c r="B34" s="289"/>
      <c r="C34" s="289"/>
      <c r="D34" s="289"/>
      <c r="E34" s="289"/>
      <c r="F34" s="266">
        <f>SUM(F17:F18)+SUM(F22:F32)</f>
        <v>2334.9635243983175</v>
      </c>
      <c r="G34" s="64"/>
    </row>
    <row r="35" spans="1:7" ht="13.15" x14ac:dyDescent="0.25">
      <c r="A35" s="24"/>
      <c r="B35" s="24"/>
      <c r="C35" s="24"/>
      <c r="D35" s="24"/>
      <c r="E35" s="24"/>
      <c r="F35" s="24"/>
      <c r="G35" s="24"/>
    </row>
    <row r="36" spans="1:7" ht="15.05" x14ac:dyDescent="0.3">
      <c r="A36" s="286"/>
      <c r="B36" s="286"/>
      <c r="C36" s="286"/>
      <c r="D36" s="286"/>
      <c r="E36" s="286"/>
      <c r="F36" s="286"/>
      <c r="G36" s="286"/>
    </row>
    <row r="37" spans="1:7" ht="15.05" x14ac:dyDescent="0.3">
      <c r="A37" s="118"/>
      <c r="B37" s="118"/>
      <c r="C37" s="106"/>
      <c r="D37" s="106"/>
      <c r="E37" s="107"/>
      <c r="F37" s="118"/>
      <c r="G37" s="118"/>
    </row>
    <row r="38" spans="1:7" ht="15.05" x14ac:dyDescent="0.3">
      <c r="A38" s="118"/>
      <c r="B38" s="118"/>
      <c r="C38" s="118"/>
      <c r="D38" s="118"/>
      <c r="E38" s="118"/>
      <c r="F38" s="118"/>
      <c r="G38" s="118"/>
    </row>
    <row r="39" spans="1:7" ht="15.05" x14ac:dyDescent="0.3">
      <c r="A39" s="108"/>
      <c r="B39" s="108"/>
      <c r="C39" s="108"/>
      <c r="D39" s="108"/>
      <c r="E39" s="108"/>
      <c r="F39" s="108"/>
      <c r="G39" s="59"/>
    </row>
    <row r="40" spans="1:7" ht="15.05" x14ac:dyDescent="0.3">
      <c r="A40" s="59"/>
      <c r="B40" s="78"/>
      <c r="C40" s="78"/>
      <c r="D40" s="109"/>
      <c r="E40" s="77"/>
      <c r="F40" s="33"/>
      <c r="G40" s="59"/>
    </row>
    <row r="41" spans="1:7" ht="15.05" x14ac:dyDescent="0.3">
      <c r="A41" s="59"/>
      <c r="B41" s="78"/>
      <c r="C41" s="110"/>
      <c r="D41" s="111"/>
      <c r="E41" s="77"/>
      <c r="F41" s="33"/>
      <c r="G41" s="59"/>
    </row>
    <row r="42" spans="1:7" ht="21.3" x14ac:dyDescent="0.4">
      <c r="A42" s="279"/>
      <c r="B42" s="279"/>
      <c r="C42" s="279"/>
      <c r="D42" s="279"/>
      <c r="E42" s="279"/>
      <c r="F42" s="112"/>
      <c r="G42" s="24"/>
    </row>
    <row r="43" spans="1:7" ht="13.15" x14ac:dyDescent="0.25">
      <c r="A43" s="24"/>
      <c r="B43" s="24"/>
      <c r="C43" s="24"/>
      <c r="D43" s="24"/>
      <c r="E43" s="24"/>
      <c r="F43" s="24"/>
      <c r="G43" s="24"/>
    </row>
  </sheetData>
  <mergeCells count="12">
    <mergeCell ref="A34:E34"/>
    <mergeCell ref="A36:G36"/>
    <mergeCell ref="A42:E42"/>
    <mergeCell ref="F11:G11"/>
    <mergeCell ref="A13:D13"/>
    <mergeCell ref="A15:G15"/>
    <mergeCell ref="A20:G20"/>
    <mergeCell ref="A2:G2"/>
    <mergeCell ref="A3:G3"/>
    <mergeCell ref="F6:G6"/>
    <mergeCell ref="F7:G7"/>
    <mergeCell ref="F10:G10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9459-0A59-427B-8EFE-AEA8E48139B0}">
  <sheetPr codeName="Hoja27">
    <tabColor theme="5" tint="-0.249977111117893"/>
  </sheetPr>
  <dimension ref="A1:K42"/>
  <sheetViews>
    <sheetView view="pageBreakPreview" zoomScaleNormal="120" zoomScaleSheetLayoutView="100" workbookViewId="0">
      <selection activeCell="I28" sqref="I28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0.44140625" style="1" bestFit="1" customWidth="1"/>
    <col min="5" max="5" width="16.5546875" style="1" bestFit="1" customWidth="1"/>
    <col min="6" max="6" width="19.33203125" style="1" bestFit="1" customWidth="1"/>
    <col min="7" max="7" width="38.5546875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7" ht="15.05" x14ac:dyDescent="0.3">
      <c r="A1" s="38"/>
      <c r="B1" s="38"/>
      <c r="C1" s="38"/>
      <c r="D1" s="38"/>
      <c r="E1" s="38"/>
      <c r="F1" s="38"/>
      <c r="G1" s="39"/>
    </row>
    <row r="2" spans="1:7" ht="26.3" x14ac:dyDescent="0.5">
      <c r="A2" s="290" t="s">
        <v>290</v>
      </c>
      <c r="B2" s="290"/>
      <c r="C2" s="290"/>
      <c r="D2" s="290"/>
      <c r="E2" s="290"/>
      <c r="F2" s="290"/>
      <c r="G2" s="290"/>
    </row>
    <row r="3" spans="1:7" ht="13.95" customHeight="1" x14ac:dyDescent="0.3">
      <c r="A3" s="291" t="s">
        <v>291</v>
      </c>
      <c r="B3" s="291"/>
      <c r="C3" s="291"/>
      <c r="D3" s="291"/>
      <c r="E3" s="291"/>
      <c r="F3" s="291"/>
      <c r="G3" s="291"/>
    </row>
    <row r="4" spans="1:7" ht="13.95" customHeight="1" x14ac:dyDescent="0.3">
      <c r="A4" s="119"/>
      <c r="B4" s="119"/>
      <c r="C4" s="119"/>
      <c r="D4" s="119"/>
      <c r="E4" s="119"/>
      <c r="F4" s="119"/>
      <c r="G4" s="119"/>
    </row>
    <row r="5" spans="1:7" ht="13.95" customHeight="1" x14ac:dyDescent="0.3">
      <c r="A5" s="49" t="s">
        <v>280</v>
      </c>
      <c r="B5" s="49"/>
      <c r="C5" s="49"/>
      <c r="D5" s="34"/>
      <c r="E5" s="34"/>
      <c r="F5" s="35"/>
      <c r="G5" s="119"/>
    </row>
    <row r="6" spans="1:7" ht="13.95" customHeight="1" x14ac:dyDescent="0.3">
      <c r="A6" s="71" t="s">
        <v>123</v>
      </c>
      <c r="B6" s="71" t="s">
        <v>111</v>
      </c>
      <c r="C6" s="71" t="s">
        <v>113</v>
      </c>
      <c r="D6" s="71"/>
      <c r="E6" s="71" t="s">
        <v>101</v>
      </c>
      <c r="F6" s="310" t="s">
        <v>102</v>
      </c>
      <c r="G6" s="310"/>
    </row>
    <row r="7" spans="1:7" ht="13.95" customHeight="1" x14ac:dyDescent="0.3">
      <c r="A7" s="44">
        <v>0.25</v>
      </c>
      <c r="B7" s="44">
        <v>0.25</v>
      </c>
      <c r="C7" s="44">
        <v>22.95</v>
      </c>
      <c r="D7" s="34"/>
      <c r="E7" s="29">
        <f>+A7*C7*B7</f>
        <v>1.434375</v>
      </c>
      <c r="F7" s="312" t="s">
        <v>330</v>
      </c>
      <c r="G7" s="312"/>
    </row>
    <row r="8" spans="1:7" ht="13.95" customHeight="1" x14ac:dyDescent="0.3">
      <c r="A8" s="44">
        <v>0.3</v>
      </c>
      <c r="B8" s="44">
        <v>0.3</v>
      </c>
      <c r="C8" s="44">
        <v>22.95</v>
      </c>
      <c r="D8" s="34"/>
      <c r="E8" s="29">
        <f>+A8*C8*B8</f>
        <v>2.0654999999999997</v>
      </c>
      <c r="F8" s="312" t="s">
        <v>331</v>
      </c>
      <c r="G8" s="312"/>
    </row>
    <row r="9" spans="1:7" ht="13.95" customHeight="1" x14ac:dyDescent="0.3">
      <c r="A9" s="44"/>
      <c r="B9" s="44"/>
      <c r="C9" s="44"/>
      <c r="D9" s="34"/>
      <c r="E9" s="29"/>
      <c r="F9" s="48"/>
      <c r="G9" s="119"/>
    </row>
    <row r="10" spans="1:7" ht="13.95" customHeight="1" x14ac:dyDescent="0.3">
      <c r="A10" s="49" t="s">
        <v>294</v>
      </c>
      <c r="B10" s="49"/>
      <c r="C10" s="49"/>
      <c r="D10" s="96"/>
      <c r="E10" s="96"/>
      <c r="F10" s="96"/>
      <c r="G10" s="96"/>
    </row>
    <row r="11" spans="1:7" ht="13.95" customHeight="1" x14ac:dyDescent="0.3">
      <c r="A11" s="71"/>
      <c r="B11" s="71" t="s">
        <v>234</v>
      </c>
      <c r="C11" s="71" t="s">
        <v>143</v>
      </c>
      <c r="D11" s="34"/>
      <c r="E11" s="71" t="s">
        <v>101</v>
      </c>
      <c r="F11" s="310" t="s">
        <v>102</v>
      </c>
      <c r="G11" s="310"/>
    </row>
    <row r="12" spans="1:7" ht="13.95" customHeight="1" x14ac:dyDescent="0.3">
      <c r="A12" s="44"/>
      <c r="B12" s="113">
        <v>0.36</v>
      </c>
      <c r="C12" s="44">
        <v>22.95</v>
      </c>
      <c r="D12" s="34"/>
      <c r="E12" s="29">
        <f>B12*C12</f>
        <v>8.2619999999999987</v>
      </c>
      <c r="F12" s="312" t="s">
        <v>332</v>
      </c>
      <c r="G12" s="312"/>
    </row>
    <row r="13" spans="1:7" ht="13.95" customHeight="1" x14ac:dyDescent="0.3">
      <c r="A13" s="44"/>
      <c r="B13" s="95"/>
      <c r="C13" s="97"/>
      <c r="D13" s="97"/>
      <c r="E13" s="29"/>
      <c r="F13" s="34"/>
      <c r="G13" s="96"/>
    </row>
    <row r="14" spans="1:7" ht="21.3" x14ac:dyDescent="0.4">
      <c r="A14" s="282" t="s">
        <v>121</v>
      </c>
      <c r="B14" s="282"/>
      <c r="C14" s="282"/>
      <c r="D14" s="282"/>
      <c r="E14" s="54">
        <f>SUM(E7:E13)</f>
        <v>11.761874999999998</v>
      </c>
      <c r="F14" s="54"/>
      <c r="G14" s="54"/>
    </row>
    <row r="15" spans="1:7" ht="13.95" customHeight="1" x14ac:dyDescent="0.3">
      <c r="A15" s="31"/>
      <c r="B15" s="27"/>
      <c r="C15" s="31"/>
      <c r="D15" s="32"/>
      <c r="E15" s="33"/>
      <c r="F15" s="33"/>
      <c r="G15" s="31"/>
    </row>
    <row r="16" spans="1:7" s="62" customFormat="1" ht="13.95" customHeight="1" x14ac:dyDescent="0.3">
      <c r="A16" s="288" t="s">
        <v>283</v>
      </c>
      <c r="B16" s="288"/>
      <c r="C16" s="288"/>
      <c r="D16" s="288"/>
      <c r="E16" s="288"/>
      <c r="F16" s="288"/>
      <c r="G16" s="288"/>
    </row>
    <row r="17" spans="1:11" s="62" customFormat="1" ht="13.95" customHeight="1" x14ac:dyDescent="0.3">
      <c r="A17" s="100" t="s">
        <v>163</v>
      </c>
      <c r="B17" s="101" t="s">
        <v>124</v>
      </c>
      <c r="C17" s="101"/>
      <c r="D17" s="101" t="s">
        <v>104</v>
      </c>
      <c r="E17" s="101" t="s">
        <v>113</v>
      </c>
      <c r="F17" s="101" t="s">
        <v>112</v>
      </c>
      <c r="G17" s="101" t="s">
        <v>102</v>
      </c>
      <c r="H17" s="63"/>
      <c r="K17" s="102"/>
    </row>
    <row r="18" spans="1:11" s="62" customFormat="1" ht="13.95" customHeight="1" x14ac:dyDescent="0.3">
      <c r="A18" s="154"/>
      <c r="B18" s="103">
        <f>((C7/0.2)+1)</f>
        <v>115.74999999999999</v>
      </c>
      <c r="C18" s="103"/>
      <c r="D18" s="104" t="s">
        <v>9</v>
      </c>
      <c r="E18" s="105">
        <v>0.88</v>
      </c>
      <c r="F18" s="98">
        <f>+VLOOKUP(D18,PESOS!$B$3:$F$25,5,FALSE)*B18*E18</f>
        <v>56.97616035850848</v>
      </c>
      <c r="G18" s="274" t="s">
        <v>333</v>
      </c>
      <c r="H18" s="63"/>
      <c r="K18" s="102"/>
    </row>
    <row r="19" spans="1:11" s="62" customFormat="1" ht="13.95" customHeight="1" x14ac:dyDescent="0.3">
      <c r="A19" s="120"/>
      <c r="B19" s="103">
        <f>4*ROUNDUP(((C7)/(6-0.6)),0)+1</f>
        <v>21</v>
      </c>
      <c r="C19" s="103"/>
      <c r="D19" s="104" t="s">
        <v>10</v>
      </c>
      <c r="E19" s="105">
        <v>6</v>
      </c>
      <c r="F19" s="98">
        <f>+VLOOKUP(D19,PESOS!$B$3:$F$25,5,FALSE)*B19*E19</f>
        <v>125.29609189383373</v>
      </c>
      <c r="G19" s="274" t="s">
        <v>334</v>
      </c>
    </row>
    <row r="20" spans="1:11" s="62" customFormat="1" ht="13.95" customHeight="1" x14ac:dyDescent="0.3">
      <c r="A20" s="120"/>
      <c r="B20" s="103">
        <f>((C8/0.2)+1)</f>
        <v>115.74999999999999</v>
      </c>
      <c r="C20" s="103"/>
      <c r="D20" s="104" t="s">
        <v>9</v>
      </c>
      <c r="E20" s="105">
        <v>1.08</v>
      </c>
      <c r="F20" s="98">
        <f>+VLOOKUP(D20,PESOS!$B$3:$F$25,5,FALSE)*B20*E20</f>
        <v>69.925287712714962</v>
      </c>
      <c r="G20" s="274" t="s">
        <v>335</v>
      </c>
    </row>
    <row r="21" spans="1:11" s="62" customFormat="1" ht="13.95" customHeight="1" x14ac:dyDescent="0.3">
      <c r="A21" s="120"/>
      <c r="B21" s="103">
        <f>4*ROUNDUP(((C8)/(6-0.6)),0)+1</f>
        <v>21</v>
      </c>
      <c r="C21" s="103"/>
      <c r="D21" s="104" t="s">
        <v>10</v>
      </c>
      <c r="E21" s="105">
        <v>6</v>
      </c>
      <c r="F21" s="98">
        <f>+VLOOKUP(D21,PESOS!$B$3:$F$25,5,FALSE)*B21*E21</f>
        <v>125.29609189383373</v>
      </c>
      <c r="G21" s="274" t="s">
        <v>336</v>
      </c>
    </row>
    <row r="22" spans="1:11" s="62" customFormat="1" ht="13.95" customHeight="1" x14ac:dyDescent="0.3">
      <c r="A22" s="239"/>
      <c r="B22" s="239"/>
      <c r="C22" s="239"/>
      <c r="D22" s="239"/>
      <c r="E22" s="98"/>
      <c r="F22" s="98"/>
      <c r="G22" s="99"/>
    </row>
    <row r="23" spans="1:11" s="62" customFormat="1" ht="13.95" customHeight="1" x14ac:dyDescent="0.3">
      <c r="A23" s="288" t="s">
        <v>337</v>
      </c>
      <c r="B23" s="288"/>
      <c r="C23" s="288"/>
      <c r="D23" s="288"/>
      <c r="E23" s="288"/>
      <c r="F23" s="288"/>
      <c r="G23" s="288"/>
    </row>
    <row r="24" spans="1:11" s="62" customFormat="1" ht="13.95" customHeight="1" x14ac:dyDescent="0.3">
      <c r="A24" s="100" t="s">
        <v>163</v>
      </c>
      <c r="B24" s="101" t="s">
        <v>124</v>
      </c>
      <c r="C24" s="101"/>
      <c r="D24" s="101" t="s">
        <v>104</v>
      </c>
      <c r="E24" s="101">
        <v>1.6</v>
      </c>
      <c r="F24" s="101" t="s">
        <v>112</v>
      </c>
      <c r="G24" s="101" t="s">
        <v>102</v>
      </c>
      <c r="H24" s="63"/>
      <c r="I24" s="63"/>
    </row>
    <row r="25" spans="1:11" s="62" customFormat="1" ht="13.95" customHeight="1" x14ac:dyDescent="0.3">
      <c r="A25" s="154">
        <v>1</v>
      </c>
      <c r="B25" s="103">
        <f>ROUNDUP((((C12)/0.1)),0)+1</f>
        <v>231</v>
      </c>
      <c r="C25" s="103"/>
      <c r="D25" s="104" t="s">
        <v>9</v>
      </c>
      <c r="E25" s="105">
        <v>0.85</v>
      </c>
      <c r="F25" s="98">
        <f>+VLOOKUP(D25,PESOS!$B$3:$F$25,5,FALSE)*B25*E25</f>
        <v>109.82985555068862</v>
      </c>
      <c r="G25" s="274" t="s">
        <v>318</v>
      </c>
      <c r="H25" s="63"/>
      <c r="I25" s="63"/>
    </row>
    <row r="26" spans="1:11" s="62" customFormat="1" ht="13.95" customHeight="1" x14ac:dyDescent="0.3">
      <c r="A26" s="154">
        <v>2</v>
      </c>
      <c r="B26" s="103">
        <f>ROUNDUP(((C12)/0.1),0)+1</f>
        <v>231</v>
      </c>
      <c r="C26" s="103"/>
      <c r="D26" s="104" t="s">
        <v>9</v>
      </c>
      <c r="E26" s="105">
        <v>0.85</v>
      </c>
      <c r="F26" s="98">
        <f>+VLOOKUP(D26,PESOS!$B$3:$F$25,5,FALSE)*B26*E26</f>
        <v>109.82985555068862</v>
      </c>
      <c r="G26" s="274" t="s">
        <v>319</v>
      </c>
      <c r="H26" s="63"/>
      <c r="I26" s="63"/>
    </row>
    <row r="27" spans="1:11" s="62" customFormat="1" ht="13.95" customHeight="1" x14ac:dyDescent="0.3">
      <c r="A27" s="154">
        <v>3</v>
      </c>
      <c r="B27" s="103">
        <f>ROUNDUP(((C12)/0.1),0)+1</f>
        <v>231</v>
      </c>
      <c r="C27" s="103"/>
      <c r="D27" s="104" t="s">
        <v>9</v>
      </c>
      <c r="E27" s="105">
        <v>0.7</v>
      </c>
      <c r="F27" s="98">
        <f>+VLOOKUP(D27,PESOS!$B$3:$F$25,5,FALSE)*B27*E27</f>
        <v>90.448116335861215</v>
      </c>
      <c r="G27" s="274" t="s">
        <v>318</v>
      </c>
      <c r="H27" s="63"/>
      <c r="I27" s="63"/>
    </row>
    <row r="28" spans="1:11" s="62" customFormat="1" ht="13.95" customHeight="1" x14ac:dyDescent="0.3">
      <c r="A28" s="154">
        <v>4</v>
      </c>
      <c r="B28" s="103">
        <f>ROUNDUP(((C12)/0.1),0)+1</f>
        <v>231</v>
      </c>
      <c r="C28" s="103"/>
      <c r="D28" s="104" t="s">
        <v>9</v>
      </c>
      <c r="E28" s="105">
        <v>0.75</v>
      </c>
      <c r="F28" s="98">
        <f>+VLOOKUP(D28,PESOS!$B$3:$F$25,5,FALSE)*B28*E28</f>
        <v>96.908696074137026</v>
      </c>
      <c r="G28" s="274" t="s">
        <v>319</v>
      </c>
      <c r="H28" s="63"/>
      <c r="I28" s="63"/>
    </row>
    <row r="29" spans="1:11" s="62" customFormat="1" ht="13.95" customHeight="1" x14ac:dyDescent="0.3">
      <c r="A29" s="154">
        <v>5</v>
      </c>
      <c r="B29" s="103">
        <f>2*ROUNDUP(((C12)/0.15),0)+2</f>
        <v>308</v>
      </c>
      <c r="C29" s="103"/>
      <c r="D29" s="104" t="s">
        <v>9</v>
      </c>
      <c r="E29" s="105">
        <v>1.4</v>
      </c>
      <c r="F29" s="98">
        <f>+VLOOKUP(D29,PESOS!$B$3:$F$25,5,FALSE)*B29*E29</f>
        <v>241.19497689562988</v>
      </c>
      <c r="G29" s="274" t="s">
        <v>287</v>
      </c>
      <c r="H29" s="63"/>
      <c r="I29" s="63"/>
    </row>
    <row r="30" spans="1:11" s="62" customFormat="1" ht="13.95" customHeight="1" x14ac:dyDescent="0.3">
      <c r="A30" s="120"/>
      <c r="B30" s="103">
        <f>19*(ROUNDUP(((C12)/(6-0.6)),0))</f>
        <v>95</v>
      </c>
      <c r="C30" s="103"/>
      <c r="D30" s="104" t="s">
        <v>9</v>
      </c>
      <c r="E30" s="105">
        <v>6</v>
      </c>
      <c r="F30" s="98">
        <f>+VLOOKUP(D30,PESOS!$B$3:$F$25,5,FALSE)*B30*E30</f>
        <v>318.83380526555902</v>
      </c>
      <c r="G30" s="274" t="s">
        <v>321</v>
      </c>
    </row>
    <row r="31" spans="1:11" s="62" customFormat="1" ht="13.95" customHeight="1" x14ac:dyDescent="0.3">
      <c r="A31" s="120"/>
      <c r="B31" s="103">
        <f>12*ROUNDUP(((C12)/(6-0.6)),0)</f>
        <v>60</v>
      </c>
      <c r="C31" s="103"/>
      <c r="D31" s="104" t="s">
        <v>9</v>
      </c>
      <c r="E31" s="105">
        <v>6</v>
      </c>
      <c r="F31" s="98">
        <f>+VLOOKUP(D31,PESOS!$B$3:$F$25,5,FALSE)*B31*E31</f>
        <v>201.3687191150899</v>
      </c>
      <c r="G31" s="274" t="s">
        <v>329</v>
      </c>
    </row>
    <row r="32" spans="1:11" s="62" customFormat="1" ht="13.95" customHeight="1" x14ac:dyDescent="0.3">
      <c r="A32" s="239"/>
      <c r="B32" s="239"/>
      <c r="C32" s="239"/>
      <c r="D32" s="239"/>
      <c r="E32" s="98"/>
      <c r="F32" s="98"/>
      <c r="G32" s="99"/>
    </row>
    <row r="33" spans="1:7" ht="21.3" x14ac:dyDescent="0.4">
      <c r="A33" s="289" t="s">
        <v>284</v>
      </c>
      <c r="B33" s="289"/>
      <c r="C33" s="289"/>
      <c r="D33" s="289"/>
      <c r="E33" s="289"/>
      <c r="F33" s="266">
        <f>SUM(F18:F21)+SUM(F25:F31)</f>
        <v>1545.9076566465453</v>
      </c>
      <c r="G33" s="64"/>
    </row>
    <row r="34" spans="1:7" ht="13.15" x14ac:dyDescent="0.25">
      <c r="A34" s="24"/>
      <c r="B34" s="24"/>
      <c r="C34" s="24"/>
      <c r="D34" s="24"/>
      <c r="E34" s="24"/>
      <c r="F34" s="24"/>
      <c r="G34" s="24"/>
    </row>
    <row r="35" spans="1:7" ht="15.05" x14ac:dyDescent="0.3">
      <c r="A35" s="286"/>
      <c r="B35" s="286"/>
      <c r="C35" s="286"/>
      <c r="D35" s="286"/>
      <c r="E35" s="286"/>
      <c r="F35" s="286"/>
      <c r="G35" s="286"/>
    </row>
    <row r="36" spans="1:7" ht="15.05" x14ac:dyDescent="0.3">
      <c r="A36" s="118"/>
      <c r="B36" s="118"/>
      <c r="C36" s="106"/>
      <c r="D36" s="106"/>
      <c r="E36" s="107"/>
      <c r="F36" s="118"/>
      <c r="G36" s="118"/>
    </row>
    <row r="37" spans="1:7" ht="15.05" x14ac:dyDescent="0.3">
      <c r="A37" s="118"/>
      <c r="B37" s="118"/>
      <c r="C37" s="118"/>
      <c r="D37" s="118"/>
      <c r="E37" s="118"/>
      <c r="F37" s="118"/>
      <c r="G37" s="118"/>
    </row>
    <row r="38" spans="1:7" ht="15.05" x14ac:dyDescent="0.3">
      <c r="A38" s="108"/>
      <c r="B38" s="108"/>
      <c r="C38" s="108"/>
      <c r="D38" s="108"/>
      <c r="E38" s="108"/>
      <c r="F38" s="108"/>
      <c r="G38" s="59"/>
    </row>
    <row r="39" spans="1:7" ht="15.05" x14ac:dyDescent="0.3">
      <c r="A39" s="59"/>
      <c r="B39" s="78"/>
      <c r="C39" s="78"/>
      <c r="D39" s="109"/>
      <c r="E39" s="77"/>
      <c r="F39" s="33"/>
      <c r="G39" s="59"/>
    </row>
    <row r="40" spans="1:7" ht="15.05" x14ac:dyDescent="0.3">
      <c r="A40" s="59"/>
      <c r="B40" s="78"/>
      <c r="C40" s="110"/>
      <c r="D40" s="111"/>
      <c r="E40" s="77"/>
      <c r="F40" s="33"/>
      <c r="G40" s="59"/>
    </row>
    <row r="41" spans="1:7" ht="21.3" x14ac:dyDescent="0.4">
      <c r="A41" s="279"/>
      <c r="B41" s="279"/>
      <c r="C41" s="279"/>
      <c r="D41" s="279"/>
      <c r="E41" s="279"/>
      <c r="F41" s="112"/>
      <c r="G41" s="24"/>
    </row>
    <row r="42" spans="1:7" ht="13.15" x14ac:dyDescent="0.25">
      <c r="A42" s="24"/>
      <c r="B42" s="24"/>
      <c r="C42" s="24"/>
      <c r="D42" s="24"/>
      <c r="E42" s="24"/>
      <c r="F42" s="24"/>
      <c r="G42" s="24"/>
    </row>
  </sheetData>
  <mergeCells count="13">
    <mergeCell ref="A41:E41"/>
    <mergeCell ref="A2:G2"/>
    <mergeCell ref="A3:G3"/>
    <mergeCell ref="F6:G6"/>
    <mergeCell ref="F7:G7"/>
    <mergeCell ref="F11:G11"/>
    <mergeCell ref="F12:G12"/>
    <mergeCell ref="F8:G8"/>
    <mergeCell ref="A14:D14"/>
    <mergeCell ref="A16:G16"/>
    <mergeCell ref="A23:G23"/>
    <mergeCell ref="A33:E33"/>
    <mergeCell ref="A35:G35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AB44-158B-44C3-B407-DFAECC8C0814}">
  <sheetPr>
    <tabColor theme="5" tint="-0.249977111117893"/>
  </sheetPr>
  <dimension ref="A1:G30"/>
  <sheetViews>
    <sheetView view="pageBreakPreview" zoomScale="115" zoomScaleNormal="115" zoomScaleSheetLayoutView="115" workbookViewId="0">
      <selection activeCell="G16" sqref="G16"/>
    </sheetView>
  </sheetViews>
  <sheetFormatPr baseColWidth="10" defaultColWidth="11.44140625" defaultRowHeight="12.55" x14ac:dyDescent="0.2"/>
  <cols>
    <col min="1" max="1" width="18.109375" style="124" customWidth="1"/>
    <col min="2" max="2" width="11.33203125" style="124" bestFit="1" customWidth="1"/>
    <col min="3" max="3" width="12.44140625" style="124" bestFit="1" customWidth="1"/>
    <col min="4" max="4" width="14.109375" style="124" bestFit="1" customWidth="1"/>
    <col min="5" max="5" width="18.5546875" style="124" bestFit="1" customWidth="1"/>
    <col min="6" max="6" width="21.5546875" style="124" bestFit="1" customWidth="1"/>
    <col min="7" max="7" width="12" style="124" bestFit="1" customWidth="1"/>
    <col min="8" max="16384" width="11.44140625" style="124"/>
  </cols>
  <sheetData>
    <row r="1" spans="1:7" ht="13.15" x14ac:dyDescent="0.25">
      <c r="A1" s="114"/>
      <c r="B1" s="114"/>
      <c r="C1" s="114"/>
      <c r="D1" s="114"/>
      <c r="E1" s="114"/>
      <c r="F1" s="177"/>
    </row>
    <row r="2" spans="1:7" ht="30.05" customHeight="1" x14ac:dyDescent="0.5">
      <c r="A2" s="294" t="s">
        <v>369</v>
      </c>
      <c r="B2" s="294"/>
      <c r="C2" s="294"/>
      <c r="D2" s="294"/>
      <c r="E2" s="294"/>
      <c r="F2" s="294"/>
    </row>
    <row r="3" spans="1:7" ht="13.95" customHeight="1" x14ac:dyDescent="0.3">
      <c r="A3" s="240" t="s">
        <v>370</v>
      </c>
      <c r="B3" s="240"/>
      <c r="C3" s="190"/>
      <c r="D3" s="190"/>
      <c r="E3" s="190"/>
      <c r="F3" s="241"/>
    </row>
    <row r="4" spans="1:7" ht="13.95" customHeight="1" x14ac:dyDescent="0.3">
      <c r="A4" s="185" t="s">
        <v>371</v>
      </c>
      <c r="B4" s="190" t="s">
        <v>98</v>
      </c>
      <c r="C4" s="190" t="s">
        <v>99</v>
      </c>
      <c r="D4" s="190" t="s">
        <v>307</v>
      </c>
      <c r="E4" s="188" t="s">
        <v>101</v>
      </c>
      <c r="F4" s="242" t="s">
        <v>3</v>
      </c>
    </row>
    <row r="5" spans="1:7" ht="13.95" customHeight="1" x14ac:dyDescent="0.3">
      <c r="A5" s="185">
        <v>18</v>
      </c>
      <c r="B5" s="243">
        <v>0.5</v>
      </c>
      <c r="C5" s="243">
        <v>0.6</v>
      </c>
      <c r="D5" s="243">
        <v>0.3</v>
      </c>
      <c r="E5" s="244">
        <f>A5*B5*C5*D5</f>
        <v>1.6199999999999999</v>
      </c>
      <c r="F5" s="186" t="s">
        <v>381</v>
      </c>
    </row>
    <row r="6" spans="1:7" ht="13.95" customHeight="1" x14ac:dyDescent="0.3">
      <c r="A6" s="185"/>
      <c r="B6" s="243"/>
      <c r="C6" s="243"/>
      <c r="D6" s="243"/>
      <c r="E6" s="244"/>
      <c r="F6" s="186"/>
    </row>
    <row r="7" spans="1:7" ht="13.95" customHeight="1" x14ac:dyDescent="0.3">
      <c r="A7" s="185"/>
      <c r="B7" s="243"/>
      <c r="C7" s="243"/>
      <c r="D7" s="243"/>
      <c r="E7" s="244"/>
      <c r="F7" s="186"/>
    </row>
    <row r="8" spans="1:7" ht="21.3" x14ac:dyDescent="0.4">
      <c r="A8" s="297" t="s">
        <v>121</v>
      </c>
      <c r="B8" s="297"/>
      <c r="C8" s="297"/>
      <c r="D8" s="297"/>
      <c r="E8" s="115">
        <f>SUM(E5:E7)</f>
        <v>1.6199999999999999</v>
      </c>
      <c r="F8" s="222"/>
    </row>
    <row r="9" spans="1:7" ht="15.05" x14ac:dyDescent="0.3">
      <c r="A9" s="245"/>
      <c r="B9" s="221"/>
      <c r="C9" s="122"/>
      <c r="D9" s="122"/>
      <c r="E9" s="122"/>
      <c r="F9" s="123"/>
    </row>
    <row r="10" spans="1:7" ht="15.05" x14ac:dyDescent="0.3">
      <c r="A10" s="246" t="s">
        <v>372</v>
      </c>
      <c r="B10" s="247"/>
      <c r="C10" s="247"/>
      <c r="D10" s="247"/>
      <c r="E10" s="247"/>
      <c r="F10" s="247"/>
    </row>
    <row r="11" spans="1:7" ht="15.05" x14ac:dyDescent="0.3">
      <c r="A11" s="228"/>
      <c r="B11" s="228" t="s">
        <v>219</v>
      </c>
      <c r="C11" s="228" t="s">
        <v>104</v>
      </c>
      <c r="D11" s="228" t="s">
        <v>113</v>
      </c>
      <c r="E11" s="228" t="s">
        <v>112</v>
      </c>
      <c r="F11" s="42"/>
    </row>
    <row r="12" spans="1:7" ht="15.05" x14ac:dyDescent="0.3">
      <c r="A12" s="229"/>
      <c r="B12" s="229">
        <f>A5*8</f>
        <v>144</v>
      </c>
      <c r="C12" s="50" t="s">
        <v>10</v>
      </c>
      <c r="D12" s="43">
        <v>0.85</v>
      </c>
      <c r="E12" s="30">
        <f>+VLOOKUP(C12,PESOS!$B$3:$F$25,5,FALSE)*B12*D12</f>
        <v>121.71620355400991</v>
      </c>
      <c r="F12" s="42" t="s">
        <v>135</v>
      </c>
    </row>
    <row r="13" spans="1:7" ht="15.05" x14ac:dyDescent="0.3">
      <c r="A13" s="229"/>
      <c r="B13" s="229"/>
      <c r="C13" s="50"/>
      <c r="D13" s="43"/>
      <c r="E13" s="30"/>
      <c r="F13" s="42"/>
    </row>
    <row r="14" spans="1:7" ht="21.3" x14ac:dyDescent="0.4">
      <c r="A14" s="299" t="s">
        <v>122</v>
      </c>
      <c r="B14" s="299"/>
      <c r="C14" s="299"/>
      <c r="D14" s="299"/>
      <c r="E14" s="139">
        <f>SUM(E12:E13)</f>
        <v>121.71620355400991</v>
      </c>
      <c r="F14" s="249"/>
    </row>
    <row r="16" spans="1:7" ht="15.65" x14ac:dyDescent="0.3">
      <c r="A16" s="250" t="s">
        <v>373</v>
      </c>
      <c r="B16" s="251"/>
      <c r="C16" s="252"/>
      <c r="D16" s="252"/>
      <c r="E16" s="252"/>
      <c r="F16" s="252"/>
      <c r="G16" s="253"/>
    </row>
    <row r="17" spans="1:7" ht="15.65" x14ac:dyDescent="0.3">
      <c r="A17" s="250"/>
      <c r="B17" s="251"/>
      <c r="C17" s="252"/>
      <c r="D17" s="252"/>
      <c r="E17" s="252"/>
      <c r="F17" s="252"/>
      <c r="G17" s="253"/>
    </row>
    <row r="18" spans="1:7" ht="30.05" x14ac:dyDescent="0.3">
      <c r="A18" s="275" t="s">
        <v>374</v>
      </c>
      <c r="B18" s="255" t="s">
        <v>113</v>
      </c>
      <c r="C18" s="256" t="s">
        <v>224</v>
      </c>
      <c r="D18" s="256" t="s">
        <v>225</v>
      </c>
      <c r="E18" s="253" t="s">
        <v>3</v>
      </c>
      <c r="F18" s="253"/>
      <c r="G18" s="257"/>
    </row>
    <row r="19" spans="1:7" ht="15.05" x14ac:dyDescent="0.3">
      <c r="A19" s="258" t="s">
        <v>375</v>
      </c>
      <c r="B19" s="262">
        <f>0.15+0.6+0.7+0.78+1+1.25+1.25+1.25+0.75+0.6+0.87+0.95+1+1+1+1+1.1+0.65</f>
        <v>15.899999999999999</v>
      </c>
      <c r="C19" s="262">
        <v>6.6</v>
      </c>
      <c r="D19" s="260">
        <f>B19*C19</f>
        <v>104.93999999999998</v>
      </c>
      <c r="E19" s="254" t="s">
        <v>379</v>
      </c>
      <c r="F19" s="253"/>
    </row>
    <row r="20" spans="1:7" ht="15.05" x14ac:dyDescent="0.3">
      <c r="A20" s="258" t="s">
        <v>376</v>
      </c>
      <c r="B20" s="262">
        <v>157.15</v>
      </c>
      <c r="C20" s="262">
        <v>4.5</v>
      </c>
      <c r="D20" s="260">
        <f t="shared" ref="D20:D21" si="0">B20*C20</f>
        <v>707.17500000000007</v>
      </c>
      <c r="E20" s="254" t="s">
        <v>380</v>
      </c>
      <c r="F20" s="253"/>
    </row>
    <row r="21" spans="1:7" ht="15.05" x14ac:dyDescent="0.3">
      <c r="A21" s="258" t="s">
        <v>377</v>
      </c>
      <c r="B21" s="262">
        <v>152</v>
      </c>
      <c r="C21" s="262">
        <v>1.37</v>
      </c>
      <c r="D21" s="260">
        <f t="shared" si="0"/>
        <v>208.24</v>
      </c>
      <c r="E21" s="254" t="s">
        <v>378</v>
      </c>
      <c r="F21" s="253"/>
    </row>
    <row r="22" spans="1:7" ht="15.05" x14ac:dyDescent="0.3">
      <c r="A22" s="262"/>
      <c r="B22" s="262"/>
      <c r="C22" s="260"/>
      <c r="D22" s="254"/>
      <c r="E22" s="253"/>
      <c r="F22" s="261"/>
    </row>
    <row r="23" spans="1:7" ht="13.15" x14ac:dyDescent="0.25">
      <c r="A23" s="24"/>
      <c r="B23" s="24"/>
      <c r="C23" s="24"/>
      <c r="D23" s="24"/>
      <c r="E23" s="24"/>
      <c r="F23" s="24"/>
      <c r="G23" s="1"/>
    </row>
    <row r="24" spans="1:7" ht="21.3" x14ac:dyDescent="0.4">
      <c r="A24" s="303" t="s">
        <v>122</v>
      </c>
      <c r="B24" s="303"/>
      <c r="C24" s="303"/>
      <c r="D24" s="303"/>
      <c r="E24" s="263">
        <f>SUM(D19:D22)</f>
        <v>1020.355</v>
      </c>
      <c r="F24" s="264"/>
      <c r="G24" s="264"/>
    </row>
    <row r="26" spans="1:7" ht="15.05" x14ac:dyDescent="0.3">
      <c r="A26" s="220" t="s">
        <v>188</v>
      </c>
      <c r="B26" s="219"/>
      <c r="C26" s="219"/>
      <c r="D26" s="219"/>
      <c r="E26" s="219"/>
      <c r="F26" s="219"/>
      <c r="G26" s="219"/>
    </row>
    <row r="27" spans="1:7" ht="15.05" x14ac:dyDescent="0.3">
      <c r="A27" s="211" t="s">
        <v>1</v>
      </c>
      <c r="B27" s="211" t="s">
        <v>2</v>
      </c>
      <c r="C27" s="211" t="s">
        <v>103</v>
      </c>
      <c r="D27" s="211" t="s">
        <v>37</v>
      </c>
      <c r="E27" s="211" t="s">
        <v>3</v>
      </c>
      <c r="F27" s="219"/>
    </row>
    <row r="28" spans="1:7" ht="15.05" x14ac:dyDescent="0.3">
      <c r="A28" s="218">
        <f>4*A5</f>
        <v>72</v>
      </c>
      <c r="B28" s="217" t="s">
        <v>10</v>
      </c>
      <c r="C28" s="216">
        <v>0.17499999999999999</v>
      </c>
      <c r="D28" s="215">
        <f>A28*VLOOKUP(B28,PESOS!$B$3:$F$26,5,FALSE)*C28</f>
        <v>12.529609189383374</v>
      </c>
      <c r="E28" s="214" t="s">
        <v>196</v>
      </c>
      <c r="F28" s="219"/>
    </row>
    <row r="29" spans="1:7" ht="15.05" x14ac:dyDescent="0.3">
      <c r="A29" s="213"/>
      <c r="B29" s="308"/>
      <c r="C29" s="308"/>
      <c r="D29" s="308"/>
      <c r="E29" s="308"/>
      <c r="F29" s="212"/>
      <c r="G29" s="211"/>
    </row>
    <row r="30" spans="1:7" ht="21.3" x14ac:dyDescent="0.4">
      <c r="A30" s="303" t="s">
        <v>122</v>
      </c>
      <c r="B30" s="303"/>
      <c r="C30" s="303"/>
      <c r="D30" s="303"/>
      <c r="E30" s="263">
        <f>D28</f>
        <v>12.529609189383374</v>
      </c>
      <c r="F30" s="210"/>
      <c r="G30" s="209"/>
    </row>
  </sheetData>
  <mergeCells count="6">
    <mergeCell ref="A30:D30"/>
    <mergeCell ref="A2:F2"/>
    <mergeCell ref="A8:D8"/>
    <mergeCell ref="A14:D14"/>
    <mergeCell ref="A24:D24"/>
    <mergeCell ref="B29:E29"/>
  </mergeCells>
  <pageMargins left="0.70866141732283461" right="0.70866141732283461" top="0.74803149606299213" bottom="0.74803149606299213" header="0.31496062992125984" footer="0.31496062992125984"/>
  <pageSetup paperSize="122" scale="4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9"/>
  <dimension ref="A1:F205"/>
  <sheetViews>
    <sheetView zoomScale="145" zoomScaleNormal="145" workbookViewId="0">
      <selection activeCell="B8" sqref="B8"/>
    </sheetView>
  </sheetViews>
  <sheetFormatPr baseColWidth="10" defaultRowHeight="12.55" x14ac:dyDescent="0.2"/>
  <cols>
    <col min="1" max="1" width="15.33203125" style="1" bestFit="1" customWidth="1"/>
    <col min="2" max="2" width="11" style="1" bestFit="1" customWidth="1"/>
    <col min="3" max="3" width="15.88671875" style="1" customWidth="1"/>
    <col min="4" max="6" width="11.5546875" style="1"/>
  </cols>
  <sheetData>
    <row r="1" spans="1:6" ht="13.15" x14ac:dyDescent="0.25">
      <c r="A1" s="61"/>
      <c r="B1" s="61"/>
      <c r="C1" s="61"/>
      <c r="D1" s="24"/>
      <c r="E1" s="24"/>
      <c r="F1" s="31"/>
    </row>
    <row r="2" spans="1:6" ht="13.15" x14ac:dyDescent="0.25">
      <c r="A2" s="25" t="s">
        <v>130</v>
      </c>
      <c r="B2" s="70" t="s">
        <v>138</v>
      </c>
      <c r="C2" s="61"/>
      <c r="D2" s="24"/>
      <c r="E2" s="24"/>
      <c r="F2" s="31"/>
    </row>
    <row r="3" spans="1:6" ht="13.15" x14ac:dyDescent="0.25">
      <c r="A3" s="61" t="s">
        <v>128</v>
      </c>
      <c r="B3" s="61" t="s">
        <v>129</v>
      </c>
      <c r="C3" s="61" t="s">
        <v>132</v>
      </c>
      <c r="D3" s="24"/>
      <c r="E3" s="24"/>
      <c r="F3" s="31"/>
    </row>
    <row r="4" spans="1:6" ht="13.15" x14ac:dyDescent="0.25">
      <c r="A4" s="61">
        <v>1</v>
      </c>
      <c r="B4" s="61">
        <f>15.93+3.17+4.74+10.8+5.5+1.8+7.41+1.49+0.51+0.87</f>
        <v>52.219999999999992</v>
      </c>
      <c r="C4" s="61">
        <f>2*69</f>
        <v>138</v>
      </c>
      <c r="D4" s="24"/>
      <c r="E4" s="24"/>
      <c r="F4" s="31"/>
    </row>
    <row r="5" spans="1:6" ht="13.15" x14ac:dyDescent="0.25">
      <c r="A5" s="61">
        <v>2</v>
      </c>
      <c r="B5" s="61">
        <f>8.84+2.66+6.39+7.51+9.51+3.54+2.7+6.33</f>
        <v>47.48</v>
      </c>
      <c r="C5" s="61">
        <f>3*1</f>
        <v>3</v>
      </c>
      <c r="D5" s="24"/>
      <c r="E5" s="24"/>
      <c r="F5" s="31"/>
    </row>
    <row r="6" spans="1:6" ht="13.15" x14ac:dyDescent="0.25">
      <c r="A6" s="61">
        <v>3</v>
      </c>
      <c r="B6" s="61">
        <f>6.66+0.6+6.68+7.53+7.03+8.02</f>
        <v>36.519999999999996</v>
      </c>
      <c r="C6" s="61">
        <f>2*1</f>
        <v>2</v>
      </c>
      <c r="D6" s="24"/>
      <c r="E6" s="24"/>
      <c r="F6" s="31"/>
    </row>
    <row r="7" spans="1:6" ht="13.15" x14ac:dyDescent="0.25">
      <c r="A7" s="61">
        <v>4</v>
      </c>
      <c r="B7" s="61">
        <f>6.75+12.17+13.04+7.39+20.84</f>
        <v>60.19</v>
      </c>
      <c r="C7" s="61">
        <f>2*2</f>
        <v>4</v>
      </c>
      <c r="D7" s="24"/>
      <c r="E7" s="24"/>
      <c r="F7" s="31"/>
    </row>
    <row r="8" spans="1:6" ht="13.15" x14ac:dyDescent="0.25">
      <c r="A8" s="61"/>
      <c r="B8" s="61">
        <f>+SUM(B4:B7)</f>
        <v>196.40999999999997</v>
      </c>
      <c r="C8" s="61">
        <f>+SUM(C4:C7)</f>
        <v>147</v>
      </c>
      <c r="D8" s="25" t="s">
        <v>108</v>
      </c>
    </row>
    <row r="9" spans="1:6" ht="13.15" x14ac:dyDescent="0.25">
      <c r="A9" s="61"/>
      <c r="B9" s="61"/>
      <c r="C9" s="61"/>
    </row>
    <row r="10" spans="1:6" ht="13.5" customHeight="1" x14ac:dyDescent="0.25">
      <c r="A10" s="25" t="s">
        <v>130</v>
      </c>
      <c r="B10" s="70" t="s">
        <v>139</v>
      </c>
      <c r="C10" s="61"/>
      <c r="D10" s="24"/>
    </row>
    <row r="11" spans="1:6" ht="13.15" x14ac:dyDescent="0.25">
      <c r="A11" s="61" t="s">
        <v>128</v>
      </c>
      <c r="B11" s="25" t="s">
        <v>140</v>
      </c>
      <c r="C11" s="61" t="s">
        <v>129</v>
      </c>
      <c r="D11" s="24"/>
    </row>
    <row r="12" spans="1:6" ht="13.15" x14ac:dyDescent="0.25">
      <c r="A12" s="61" t="s">
        <v>141</v>
      </c>
      <c r="B12" s="61">
        <v>8</v>
      </c>
      <c r="C12" s="61">
        <f>+B12*2*PI()*1.2</f>
        <v>60.318578948924028</v>
      </c>
      <c r="D12" s="24"/>
    </row>
    <row r="13" spans="1:6" ht="13.15" x14ac:dyDescent="0.25">
      <c r="A13" s="61"/>
      <c r="B13" s="61"/>
      <c r="C13" s="61"/>
      <c r="D13" s="24"/>
    </row>
    <row r="14" spans="1:6" ht="13.15" x14ac:dyDescent="0.25">
      <c r="A14" s="61"/>
      <c r="B14" s="61"/>
      <c r="C14" s="61"/>
      <c r="D14" s="24"/>
    </row>
    <row r="15" spans="1:6" ht="13.15" x14ac:dyDescent="0.25">
      <c r="A15" s="61"/>
      <c r="B15" s="61"/>
      <c r="C15" s="61"/>
      <c r="D15" s="24"/>
    </row>
    <row r="16" spans="1:6" ht="13.15" x14ac:dyDescent="0.25">
      <c r="A16" s="61"/>
      <c r="B16" s="61"/>
      <c r="C16" s="61"/>
      <c r="D16" s="24"/>
    </row>
    <row r="17" spans="1:4" ht="13.15" x14ac:dyDescent="0.25">
      <c r="A17" s="61"/>
      <c r="B17" s="61"/>
      <c r="C17" s="61"/>
      <c r="D17" s="24"/>
    </row>
    <row r="18" spans="1:4" ht="13.15" x14ac:dyDescent="0.25">
      <c r="A18" s="61"/>
      <c r="B18" s="61"/>
      <c r="C18" s="61"/>
      <c r="D18" s="24"/>
    </row>
    <row r="19" spans="1:4" ht="13.15" x14ac:dyDescent="0.25">
      <c r="A19" s="61"/>
      <c r="B19" s="61"/>
      <c r="C19" s="61"/>
      <c r="D19" s="24"/>
    </row>
    <row r="20" spans="1:4" ht="11.3" customHeight="1" x14ac:dyDescent="0.25">
      <c r="A20" s="61"/>
      <c r="B20" s="61"/>
      <c r="C20" s="61"/>
    </row>
    <row r="21" spans="1:4" ht="13.15" x14ac:dyDescent="0.25">
      <c r="A21" s="61"/>
      <c r="B21" s="61"/>
      <c r="C21" s="61"/>
    </row>
    <row r="22" spans="1:4" ht="13.15" x14ac:dyDescent="0.25">
      <c r="A22" s="61"/>
      <c r="B22" s="61"/>
      <c r="C22" s="61"/>
    </row>
    <row r="23" spans="1:4" ht="13.15" x14ac:dyDescent="0.25">
      <c r="A23" s="61"/>
      <c r="B23" s="61"/>
      <c r="C23" s="61"/>
    </row>
    <row r="24" spans="1:4" ht="13.15" x14ac:dyDescent="0.25">
      <c r="A24" s="61"/>
      <c r="B24" s="61"/>
      <c r="C24" s="61"/>
    </row>
    <row r="25" spans="1:4" ht="13.15" x14ac:dyDescent="0.25">
      <c r="A25" s="61"/>
      <c r="B25" s="61"/>
      <c r="C25" s="61"/>
      <c r="D25" s="61"/>
    </row>
    <row r="26" spans="1:4" ht="13.15" x14ac:dyDescent="0.25">
      <c r="A26" s="61"/>
      <c r="B26" s="61"/>
      <c r="C26" s="61"/>
    </row>
    <row r="27" spans="1:4" ht="13.15" x14ac:dyDescent="0.25">
      <c r="A27" s="61"/>
      <c r="B27" s="61"/>
      <c r="C27" s="61"/>
    </row>
    <row r="28" spans="1:4" ht="13.15" x14ac:dyDescent="0.25">
      <c r="A28" s="61"/>
      <c r="B28" s="61"/>
      <c r="C28" s="61"/>
    </row>
    <row r="29" spans="1:4" ht="13.15" x14ac:dyDescent="0.25">
      <c r="A29" s="61"/>
      <c r="B29" s="61"/>
      <c r="C29" s="61"/>
      <c r="D29" s="61"/>
    </row>
    <row r="30" spans="1:4" ht="13.15" x14ac:dyDescent="0.25">
      <c r="A30" s="61"/>
      <c r="B30" s="61"/>
      <c r="C30" s="61"/>
      <c r="D30" s="61"/>
    </row>
    <row r="31" spans="1:4" ht="13.15" x14ac:dyDescent="0.25">
      <c r="A31" s="61"/>
      <c r="B31" s="61"/>
      <c r="C31" s="61"/>
      <c r="D31" s="61"/>
    </row>
    <row r="32" spans="1:4" ht="13.15" x14ac:dyDescent="0.25">
      <c r="A32" s="61"/>
      <c r="B32" s="61"/>
      <c r="C32" s="61"/>
      <c r="D32" s="61"/>
    </row>
    <row r="33" spans="1:4" ht="13.15" x14ac:dyDescent="0.25">
      <c r="A33" s="61"/>
      <c r="B33" s="61"/>
      <c r="C33" s="61"/>
      <c r="D33" s="68"/>
    </row>
    <row r="34" spans="1:4" ht="13.15" x14ac:dyDescent="0.25">
      <c r="A34" s="61"/>
      <c r="B34" s="61"/>
      <c r="C34" s="61"/>
      <c r="D34" s="68"/>
    </row>
    <row r="35" spans="1:4" ht="13.15" x14ac:dyDescent="0.25">
      <c r="A35" s="61"/>
      <c r="B35" s="61"/>
      <c r="C35" s="61"/>
      <c r="D35" s="68"/>
    </row>
    <row r="36" spans="1:4" ht="13.15" x14ac:dyDescent="0.25">
      <c r="A36" s="61"/>
      <c r="B36" s="61"/>
      <c r="C36" s="61"/>
      <c r="D36" s="68"/>
    </row>
    <row r="37" spans="1:4" ht="13.15" x14ac:dyDescent="0.25">
      <c r="A37" s="61"/>
      <c r="B37" s="61"/>
      <c r="C37" s="61"/>
      <c r="D37" s="68"/>
    </row>
    <row r="38" spans="1:4" ht="13.15" x14ac:dyDescent="0.25">
      <c r="A38" s="61"/>
      <c r="B38" s="61"/>
      <c r="C38" s="61"/>
    </row>
    <row r="39" spans="1:4" ht="13.15" x14ac:dyDescent="0.25">
      <c r="A39" s="61"/>
      <c r="B39" s="61"/>
      <c r="C39" s="61"/>
    </row>
    <row r="40" spans="1:4" ht="13.15" x14ac:dyDescent="0.25">
      <c r="A40" s="61"/>
      <c r="B40" s="61"/>
      <c r="C40" s="61"/>
    </row>
    <row r="41" spans="1:4" ht="13.15" x14ac:dyDescent="0.25">
      <c r="A41" s="61"/>
      <c r="B41" s="61"/>
      <c r="C41" s="61"/>
    </row>
    <row r="42" spans="1:4" ht="13.15" x14ac:dyDescent="0.25">
      <c r="A42" s="61"/>
      <c r="B42" s="61"/>
      <c r="C42" s="61"/>
    </row>
    <row r="43" spans="1:4" ht="13.15" x14ac:dyDescent="0.25">
      <c r="A43" s="61"/>
    </row>
    <row r="44" spans="1:4" ht="13.15" x14ac:dyDescent="0.25">
      <c r="A44" s="61"/>
    </row>
    <row r="45" spans="1:4" ht="13.15" x14ac:dyDescent="0.25">
      <c r="A45" s="61"/>
    </row>
    <row r="46" spans="1:4" ht="13.15" x14ac:dyDescent="0.25">
      <c r="A46" s="61"/>
    </row>
    <row r="47" spans="1:4" ht="13.15" x14ac:dyDescent="0.25">
      <c r="A47" s="61"/>
    </row>
    <row r="48" spans="1:4" ht="13.15" x14ac:dyDescent="0.25">
      <c r="A48" s="61"/>
      <c r="B48" s="61">
        <f>+SUM(B12:B47)</f>
        <v>8</v>
      </c>
      <c r="C48" s="68">
        <f>+SUM(C12:C47)</f>
        <v>60.318578948924028</v>
      </c>
      <c r="D48" s="25" t="s">
        <v>108</v>
      </c>
    </row>
    <row r="49" spans="1:3" ht="13.15" x14ac:dyDescent="0.25">
      <c r="A49" s="61"/>
      <c r="B49" s="68"/>
      <c r="C49" s="61"/>
    </row>
    <row r="50" spans="1:3" ht="13.15" x14ac:dyDescent="0.25">
      <c r="A50" s="25" t="s">
        <v>130</v>
      </c>
      <c r="B50" s="70" t="s">
        <v>134</v>
      </c>
      <c r="C50" s="61"/>
    </row>
    <row r="51" spans="1:3" ht="13.15" x14ac:dyDescent="0.25">
      <c r="A51" s="61" t="s">
        <v>128</v>
      </c>
      <c r="B51" s="61" t="s">
        <v>131</v>
      </c>
    </row>
    <row r="52" spans="1:3" ht="13.15" x14ac:dyDescent="0.25">
      <c r="A52" s="61">
        <v>1</v>
      </c>
      <c r="B52" s="68">
        <v>11.9</v>
      </c>
    </row>
    <row r="53" spans="1:3" ht="13.15" x14ac:dyDescent="0.25">
      <c r="A53" s="61">
        <v>2</v>
      </c>
      <c r="B53" s="68">
        <v>10.83</v>
      </c>
    </row>
    <row r="54" spans="1:3" ht="13.15" x14ac:dyDescent="0.25">
      <c r="A54" s="61">
        <v>3</v>
      </c>
      <c r="B54" s="68">
        <f>8.89+9.19+0.97</f>
        <v>19.049999999999997</v>
      </c>
    </row>
    <row r="55" spans="1:3" ht="13.15" x14ac:dyDescent="0.25">
      <c r="A55" s="61">
        <v>4</v>
      </c>
      <c r="B55" s="1">
        <f>3.59+6.71+2.44+8.3+6.36</f>
        <v>27.4</v>
      </c>
    </row>
    <row r="56" spans="1:3" ht="13.15" x14ac:dyDescent="0.25">
      <c r="A56" s="61">
        <v>5</v>
      </c>
      <c r="B56" s="1">
        <f>3.33+3.48+2.06+4.13+2.25+2.58+3.28</f>
        <v>21.11</v>
      </c>
    </row>
    <row r="57" spans="1:3" ht="13.15" x14ac:dyDescent="0.25">
      <c r="A57" s="61">
        <v>6</v>
      </c>
      <c r="B57" s="1">
        <v>10.85</v>
      </c>
    </row>
    <row r="58" spans="1:3" ht="13.15" x14ac:dyDescent="0.25">
      <c r="A58" s="61">
        <v>7</v>
      </c>
      <c r="B58" s="1">
        <f>4.02+14.08+0.82</f>
        <v>18.920000000000002</v>
      </c>
    </row>
    <row r="59" spans="1:3" ht="13.15" x14ac:dyDescent="0.25">
      <c r="A59" s="61">
        <v>8</v>
      </c>
      <c r="B59" s="1">
        <f>12.45+12.44+5.62</f>
        <v>30.51</v>
      </c>
    </row>
    <row r="60" spans="1:3" ht="13.15" x14ac:dyDescent="0.25">
      <c r="A60" s="61">
        <v>9</v>
      </c>
      <c r="B60" s="1">
        <f>1.52+4.59+4.82+1.82+6.25+1.97</f>
        <v>20.97</v>
      </c>
    </row>
    <row r="61" spans="1:3" ht="13.15" x14ac:dyDescent="0.25">
      <c r="A61" s="61">
        <v>10</v>
      </c>
      <c r="B61" s="1">
        <f>2*PI()*3.6</f>
        <v>22.61946710584651</v>
      </c>
    </row>
    <row r="62" spans="1:3" ht="13.15" x14ac:dyDescent="0.25">
      <c r="A62" s="61">
        <v>11</v>
      </c>
      <c r="B62" s="1">
        <f>2*PI()*3.6</f>
        <v>22.61946710584651</v>
      </c>
    </row>
    <row r="63" spans="1:3" ht="13.15" x14ac:dyDescent="0.25">
      <c r="A63" s="61">
        <v>12</v>
      </c>
      <c r="B63" s="1">
        <f>2*PI()*3.6</f>
        <v>22.61946710584651</v>
      </c>
    </row>
    <row r="64" spans="1:3" ht="13.15" x14ac:dyDescent="0.25">
      <c r="A64" s="61">
        <v>13</v>
      </c>
      <c r="B64" s="1">
        <f>8.04+4.53</f>
        <v>12.57</v>
      </c>
    </row>
    <row r="65" spans="1:3" ht="13.15" x14ac:dyDescent="0.25">
      <c r="A65" s="25" t="s">
        <v>108</v>
      </c>
      <c r="B65" s="45">
        <f>+SUM(B52:B64)</f>
        <v>251.96840131753953</v>
      </c>
      <c r="C65" s="68"/>
    </row>
    <row r="66" spans="1:3" ht="13.15" x14ac:dyDescent="0.25">
      <c r="B66" s="68"/>
      <c r="C66" s="68"/>
    </row>
    <row r="67" spans="1:3" ht="13.15" x14ac:dyDescent="0.25">
      <c r="A67" s="61"/>
    </row>
    <row r="78" spans="1:3" ht="13.15" x14ac:dyDescent="0.25">
      <c r="A78" s="25" t="s">
        <v>130</v>
      </c>
      <c r="B78" s="70" t="s">
        <v>142</v>
      </c>
      <c r="C78" s="61"/>
    </row>
    <row r="79" spans="1:3" ht="13.15" x14ac:dyDescent="0.25">
      <c r="A79" s="61" t="s">
        <v>128</v>
      </c>
      <c r="B79" s="61" t="s">
        <v>131</v>
      </c>
    </row>
    <row r="80" spans="1:3" ht="13.15" x14ac:dyDescent="0.25">
      <c r="A80" s="61">
        <v>1</v>
      </c>
      <c r="B80" s="68">
        <v>46.54</v>
      </c>
    </row>
    <row r="81" spans="1:3" ht="13.15" x14ac:dyDescent="0.25">
      <c r="A81" s="61">
        <v>2</v>
      </c>
      <c r="B81" s="68">
        <v>46.54</v>
      </c>
    </row>
    <row r="82" spans="1:3" ht="13.15" x14ac:dyDescent="0.25">
      <c r="A82" s="61"/>
      <c r="B82" s="68"/>
    </row>
    <row r="83" spans="1:3" ht="13.15" x14ac:dyDescent="0.25">
      <c r="A83" s="61"/>
    </row>
    <row r="84" spans="1:3" ht="13.15" x14ac:dyDescent="0.25">
      <c r="A84" s="61"/>
    </row>
    <row r="85" spans="1:3" ht="13.15" x14ac:dyDescent="0.25">
      <c r="A85" s="61"/>
    </row>
    <row r="86" spans="1:3" ht="13.15" x14ac:dyDescent="0.25">
      <c r="A86" s="61"/>
    </row>
    <row r="87" spans="1:3" ht="13.15" x14ac:dyDescent="0.25">
      <c r="A87" s="61"/>
    </row>
    <row r="88" spans="1:3" ht="13.15" x14ac:dyDescent="0.25">
      <c r="A88" s="61"/>
    </row>
    <row r="89" spans="1:3" ht="13.15" x14ac:dyDescent="0.25">
      <c r="A89" s="61"/>
    </row>
    <row r="90" spans="1:3" ht="13.15" x14ac:dyDescent="0.25">
      <c r="A90" s="61"/>
    </row>
    <row r="91" spans="1:3" ht="13.15" x14ac:dyDescent="0.25">
      <c r="A91" s="61"/>
    </row>
    <row r="92" spans="1:3" ht="13.15" x14ac:dyDescent="0.25">
      <c r="A92" s="61"/>
    </row>
    <row r="93" spans="1:3" ht="13.15" x14ac:dyDescent="0.25">
      <c r="A93" s="25" t="s">
        <v>108</v>
      </c>
      <c r="B93" s="45">
        <f>+SUM(B80:B92)</f>
        <v>93.08</v>
      </c>
      <c r="C93" s="68"/>
    </row>
    <row r="104" spans="1:3" x14ac:dyDescent="0.2">
      <c r="B104" s="313"/>
      <c r="C104" s="313"/>
    </row>
    <row r="105" spans="1:3" ht="13.15" x14ac:dyDescent="0.25">
      <c r="A105" s="25"/>
      <c r="B105" s="61"/>
      <c r="C105" s="61"/>
    </row>
    <row r="106" spans="1:3" ht="13.15" x14ac:dyDescent="0.25">
      <c r="A106" s="61"/>
      <c r="B106" s="68"/>
      <c r="C106" s="61"/>
    </row>
    <row r="107" spans="1:3" ht="13.15" x14ac:dyDescent="0.25">
      <c r="A107" s="61"/>
      <c r="B107" s="68"/>
      <c r="C107" s="61"/>
    </row>
    <row r="108" spans="1:3" ht="13.15" x14ac:dyDescent="0.25">
      <c r="A108" s="61"/>
      <c r="B108" s="68"/>
      <c r="C108" s="61"/>
    </row>
    <row r="109" spans="1:3" ht="13.15" x14ac:dyDescent="0.25">
      <c r="A109" s="61"/>
    </row>
    <row r="110" spans="1:3" x14ac:dyDescent="0.2">
      <c r="A110" s="25"/>
    </row>
    <row r="111" spans="1:3" ht="13.15" x14ac:dyDescent="0.25">
      <c r="A111" s="69"/>
      <c r="B111" s="68"/>
    </row>
    <row r="112" spans="1:3" ht="13.15" x14ac:dyDescent="0.25">
      <c r="A112" s="61"/>
      <c r="B112" s="68"/>
    </row>
    <row r="113" spans="1:2" ht="13.15" x14ac:dyDescent="0.25">
      <c r="A113" s="61"/>
      <c r="B113" s="68"/>
    </row>
    <row r="114" spans="1:2" ht="13.15" x14ac:dyDescent="0.25">
      <c r="A114" s="61"/>
      <c r="B114" s="68"/>
    </row>
    <row r="115" spans="1:2" ht="13.15" x14ac:dyDescent="0.25">
      <c r="A115" s="61"/>
      <c r="B115" s="68"/>
    </row>
    <row r="116" spans="1:2" ht="13.15" x14ac:dyDescent="0.25">
      <c r="A116" s="61"/>
    </row>
    <row r="117" spans="1:2" ht="13.15" x14ac:dyDescent="0.25">
      <c r="A117" s="69"/>
      <c r="B117" s="68"/>
    </row>
    <row r="118" spans="1:2" ht="13.15" x14ac:dyDescent="0.25">
      <c r="A118" s="61"/>
      <c r="B118" s="68"/>
    </row>
    <row r="119" spans="1:2" ht="13.15" x14ac:dyDescent="0.25">
      <c r="A119" s="61"/>
      <c r="B119" s="68"/>
    </row>
    <row r="120" spans="1:2" ht="13.15" x14ac:dyDescent="0.25">
      <c r="A120" s="61"/>
      <c r="B120" s="68"/>
    </row>
    <row r="121" spans="1:2" ht="13.15" x14ac:dyDescent="0.25">
      <c r="A121" s="61"/>
    </row>
    <row r="130" spans="1:3" x14ac:dyDescent="0.2">
      <c r="B130" s="313"/>
      <c r="C130" s="313"/>
    </row>
    <row r="131" spans="1:3" ht="13.15" x14ac:dyDescent="0.25">
      <c r="A131" s="25"/>
      <c r="B131" s="61"/>
      <c r="C131" s="61"/>
    </row>
    <row r="132" spans="1:3" ht="13.15" x14ac:dyDescent="0.25">
      <c r="A132" s="61"/>
      <c r="B132" s="68"/>
      <c r="C132" s="61"/>
    </row>
    <row r="133" spans="1:3" ht="13.15" x14ac:dyDescent="0.25">
      <c r="A133" s="61"/>
      <c r="B133" s="68"/>
      <c r="C133" s="61"/>
    </row>
    <row r="134" spans="1:3" ht="13.15" x14ac:dyDescent="0.25">
      <c r="A134" s="61"/>
      <c r="B134" s="68"/>
    </row>
    <row r="135" spans="1:3" ht="13.15" x14ac:dyDescent="0.25">
      <c r="A135" s="61"/>
      <c r="B135" s="68"/>
      <c r="C135" s="61"/>
    </row>
    <row r="158" spans="1:3" x14ac:dyDescent="0.2">
      <c r="B158" s="313"/>
      <c r="C158" s="313"/>
    </row>
    <row r="159" spans="1:3" ht="13.15" x14ac:dyDescent="0.25">
      <c r="A159" s="25"/>
      <c r="B159" s="61"/>
      <c r="C159" s="61"/>
    </row>
    <row r="160" spans="1:3" ht="13.15" x14ac:dyDescent="0.25">
      <c r="A160" s="61"/>
      <c r="B160" s="68"/>
      <c r="C160" s="61"/>
    </row>
    <row r="161" spans="1:3" ht="13.15" x14ac:dyDescent="0.25">
      <c r="A161" s="61"/>
      <c r="B161" s="68"/>
      <c r="C161" s="61"/>
    </row>
    <row r="162" spans="1:3" ht="13.15" x14ac:dyDescent="0.25">
      <c r="A162" s="61"/>
      <c r="B162" s="68"/>
    </row>
    <row r="163" spans="1:3" ht="13.15" x14ac:dyDescent="0.25">
      <c r="A163" s="61"/>
    </row>
    <row r="173" spans="1:3" x14ac:dyDescent="0.2">
      <c r="B173" s="313"/>
      <c r="C173" s="313"/>
    </row>
    <row r="174" spans="1:3" ht="13.15" x14ac:dyDescent="0.25">
      <c r="A174" s="25"/>
      <c r="B174" s="61"/>
      <c r="C174" s="61"/>
    </row>
    <row r="175" spans="1:3" ht="13.15" x14ac:dyDescent="0.25">
      <c r="A175" s="61"/>
      <c r="B175" s="68"/>
      <c r="C175" s="61"/>
    </row>
    <row r="176" spans="1:3" ht="13.15" x14ac:dyDescent="0.25">
      <c r="A176" s="61"/>
      <c r="B176" s="68"/>
      <c r="C176" s="61"/>
    </row>
    <row r="177" spans="1:3" ht="13.15" x14ac:dyDescent="0.25">
      <c r="A177" s="61"/>
      <c r="B177" s="68"/>
      <c r="C177" s="61"/>
    </row>
    <row r="178" spans="1:3" ht="13.15" x14ac:dyDescent="0.25">
      <c r="A178" s="61"/>
    </row>
    <row r="200" spans="1:3" x14ac:dyDescent="0.2">
      <c r="B200" s="313"/>
      <c r="C200" s="313"/>
    </row>
    <row r="201" spans="1:3" ht="13.15" x14ac:dyDescent="0.25">
      <c r="A201" s="25"/>
      <c r="B201" s="61"/>
      <c r="C201" s="61"/>
    </row>
    <row r="202" spans="1:3" ht="13.15" x14ac:dyDescent="0.25">
      <c r="A202" s="61"/>
      <c r="B202" s="68"/>
      <c r="C202" s="61"/>
    </row>
    <row r="203" spans="1:3" ht="13.15" x14ac:dyDescent="0.25">
      <c r="A203" s="61"/>
      <c r="B203" s="68"/>
      <c r="C203" s="61"/>
    </row>
    <row r="204" spans="1:3" ht="13.15" x14ac:dyDescent="0.25">
      <c r="A204" s="61"/>
      <c r="B204" s="68"/>
    </row>
    <row r="205" spans="1:3" ht="13.15" x14ac:dyDescent="0.25">
      <c r="A205" s="61"/>
      <c r="B205" s="68"/>
      <c r="C205" s="61"/>
    </row>
  </sheetData>
  <mergeCells count="5">
    <mergeCell ref="B158:C158"/>
    <mergeCell ref="B173:C173"/>
    <mergeCell ref="B200:C200"/>
    <mergeCell ref="B104:C104"/>
    <mergeCell ref="B130:C130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B3:H14"/>
  <sheetViews>
    <sheetView zoomScale="160" zoomScaleNormal="160" workbookViewId="0">
      <selection activeCell="E15" sqref="E15"/>
    </sheetView>
  </sheetViews>
  <sheetFormatPr baseColWidth="10" defaultRowHeight="12.55" x14ac:dyDescent="0.2"/>
  <sheetData>
    <row r="3" spans="2:8" x14ac:dyDescent="0.2">
      <c r="B3" s="1" t="s">
        <v>114</v>
      </c>
      <c r="C3" s="1"/>
      <c r="D3" s="1"/>
      <c r="E3" s="1"/>
      <c r="F3" s="1"/>
      <c r="G3" s="1"/>
      <c r="H3" s="1"/>
    </row>
    <row r="4" spans="2:8" x14ac:dyDescent="0.2">
      <c r="B4" s="1" t="s">
        <v>115</v>
      </c>
      <c r="C4" s="1"/>
      <c r="D4" s="1"/>
      <c r="E4" s="1"/>
      <c r="F4" s="1" t="s">
        <v>116</v>
      </c>
      <c r="G4" s="1"/>
      <c r="H4" s="1"/>
    </row>
    <row r="5" spans="2:8" x14ac:dyDescent="0.2">
      <c r="B5" s="1" t="s">
        <v>117</v>
      </c>
      <c r="C5" s="1" t="s">
        <v>42</v>
      </c>
      <c r="D5" s="1" t="s">
        <v>6</v>
      </c>
      <c r="E5" s="1"/>
      <c r="F5" s="1" t="s">
        <v>118</v>
      </c>
      <c r="G5" s="1"/>
      <c r="H5" s="1" t="s">
        <v>119</v>
      </c>
    </row>
    <row r="6" spans="2:8" x14ac:dyDescent="0.2">
      <c r="B6" s="1"/>
      <c r="C6" s="1" t="s">
        <v>34</v>
      </c>
      <c r="D6" s="1" t="s">
        <v>120</v>
      </c>
      <c r="E6" s="1"/>
      <c r="F6" s="1" t="s">
        <v>34</v>
      </c>
      <c r="G6" s="1"/>
      <c r="H6" s="1" t="s">
        <v>34</v>
      </c>
    </row>
    <row r="7" spans="2:8" x14ac:dyDescent="0.2">
      <c r="B7" s="1"/>
      <c r="C7" s="1"/>
      <c r="D7" s="1"/>
      <c r="E7" s="1"/>
      <c r="F7" s="1"/>
      <c r="G7" s="1"/>
      <c r="H7" s="1"/>
    </row>
    <row r="8" spans="2:8" x14ac:dyDescent="0.2">
      <c r="B8" s="25" t="s">
        <v>8</v>
      </c>
      <c r="C8" s="1">
        <v>6.35</v>
      </c>
      <c r="D8" s="1">
        <v>31.669217443593606</v>
      </c>
      <c r="E8" s="1"/>
      <c r="F8" s="1">
        <v>300</v>
      </c>
      <c r="G8" s="46">
        <f t="shared" ref="G8:G14" si="0">+F8/1000</f>
        <v>0.3</v>
      </c>
      <c r="H8" s="1">
        <v>390</v>
      </c>
    </row>
    <row r="9" spans="2:8" x14ac:dyDescent="0.2">
      <c r="B9" s="25" t="s">
        <v>9</v>
      </c>
      <c r="C9" s="1">
        <v>9.5249999999999986</v>
      </c>
      <c r="D9" s="1">
        <v>71.255739248085604</v>
      </c>
      <c r="E9" s="1"/>
      <c r="F9" s="1">
        <v>415.70508089956542</v>
      </c>
      <c r="G9" s="46">
        <f t="shared" si="0"/>
        <v>0.41570508089956543</v>
      </c>
      <c r="H9" s="1">
        <v>540.41660516943512</v>
      </c>
    </row>
    <row r="10" spans="2:8" x14ac:dyDescent="0.2">
      <c r="B10" s="25" t="s">
        <v>10</v>
      </c>
      <c r="C10" s="1">
        <v>12.7</v>
      </c>
      <c r="D10" s="1">
        <v>126.67686977437442</v>
      </c>
      <c r="E10" s="1"/>
      <c r="F10" s="1">
        <v>554.27344119942063</v>
      </c>
      <c r="G10" s="46">
        <f t="shared" si="0"/>
        <v>0.55427344119942068</v>
      </c>
      <c r="H10" s="1">
        <v>720.55547355924682</v>
      </c>
    </row>
    <row r="11" spans="2:8" x14ac:dyDescent="0.2">
      <c r="B11" s="25" t="s">
        <v>11</v>
      </c>
      <c r="C11" s="1">
        <v>15.875</v>
      </c>
      <c r="D11" s="1">
        <v>197.93260902246004</v>
      </c>
      <c r="E11" s="1"/>
      <c r="F11" s="1">
        <v>692.84180149927579</v>
      </c>
      <c r="G11" s="46">
        <f t="shared" si="0"/>
        <v>0.69284180149927577</v>
      </c>
      <c r="H11" s="1">
        <v>900.69434194905853</v>
      </c>
    </row>
    <row r="12" spans="2:8" x14ac:dyDescent="0.2">
      <c r="B12" s="25" t="s">
        <v>12</v>
      </c>
      <c r="C12" s="1">
        <v>19.049999999999997</v>
      </c>
      <c r="D12" s="1">
        <v>285.02295699234242</v>
      </c>
      <c r="E12" s="1"/>
      <c r="F12" s="1">
        <v>831.41016179913083</v>
      </c>
      <c r="G12" s="46">
        <f t="shared" si="0"/>
        <v>0.83141016179913085</v>
      </c>
      <c r="H12" s="1">
        <v>1080.8332103388702</v>
      </c>
    </row>
    <row r="13" spans="2:8" x14ac:dyDescent="0.2">
      <c r="B13" s="25" t="s">
        <v>13</v>
      </c>
      <c r="C13" s="1">
        <v>22.224999999999998</v>
      </c>
      <c r="D13" s="1">
        <v>387.94791368402161</v>
      </c>
      <c r="E13" s="1"/>
      <c r="F13" s="1">
        <v>1198.2087625928652</v>
      </c>
      <c r="G13" s="46">
        <f t="shared" si="0"/>
        <v>1.1982087625928652</v>
      </c>
      <c r="H13" s="1">
        <v>1557.6713913707249</v>
      </c>
    </row>
    <row r="14" spans="2:8" x14ac:dyDescent="0.2">
      <c r="B14" s="25" t="s">
        <v>14</v>
      </c>
      <c r="C14" s="1">
        <v>25.4</v>
      </c>
      <c r="D14" s="1">
        <v>506.7074790974977</v>
      </c>
      <c r="E14" s="1"/>
      <c r="F14" s="1">
        <v>1369.3814429632746</v>
      </c>
      <c r="G14" s="46">
        <f t="shared" si="0"/>
        <v>1.3693814429632747</v>
      </c>
      <c r="H14" s="1">
        <v>1780.1958758522571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5070-D9EB-4850-972A-6D2B1BF7FEE3}">
  <sheetPr codeName="Hoja1">
    <tabColor theme="2" tint="-0.249977111117893"/>
  </sheetPr>
  <dimension ref="A1:H27"/>
  <sheetViews>
    <sheetView view="pageBreakPreview" zoomScaleNormal="115" zoomScaleSheetLayoutView="100" workbookViewId="0">
      <selection activeCell="C4" sqref="C4"/>
    </sheetView>
  </sheetViews>
  <sheetFormatPr baseColWidth="10" defaultColWidth="11.44140625" defaultRowHeight="12.55" x14ac:dyDescent="0.2"/>
  <cols>
    <col min="1" max="1" width="10.88671875" style="1" bestFit="1" customWidth="1"/>
    <col min="2" max="2" width="11.44140625" style="1"/>
    <col min="3" max="3" width="12.109375" style="1" customWidth="1"/>
    <col min="4" max="4" width="13.44140625" style="1" bestFit="1" customWidth="1"/>
    <col min="5" max="5" width="12.88671875" style="1" bestFit="1" customWidth="1"/>
    <col min="6" max="6" width="26.44140625" style="1" customWidth="1"/>
    <col min="7" max="16384" width="11.44140625" style="1"/>
  </cols>
  <sheetData>
    <row r="1" spans="1:8" ht="13.15" x14ac:dyDescent="0.25">
      <c r="A1" s="24"/>
      <c r="B1" s="24"/>
      <c r="C1" s="24"/>
      <c r="D1" s="24"/>
      <c r="E1" s="24"/>
      <c r="F1" s="26"/>
    </row>
    <row r="2" spans="1:8" ht="30.05" customHeight="1" x14ac:dyDescent="0.5">
      <c r="A2" s="280" t="s">
        <v>165</v>
      </c>
      <c r="B2" s="280"/>
      <c r="C2" s="280"/>
      <c r="D2" s="280"/>
      <c r="E2" s="280"/>
      <c r="F2" s="280"/>
    </row>
    <row r="3" spans="1:8" ht="13.95" customHeight="1" x14ac:dyDescent="0.25">
      <c r="A3" s="284" t="s">
        <v>166</v>
      </c>
      <c r="B3" s="284"/>
      <c r="C3" s="156">
        <v>8</v>
      </c>
      <c r="D3" s="156"/>
      <c r="E3" s="156"/>
      <c r="F3" s="156"/>
    </row>
    <row r="4" spans="1:8" ht="13.95" customHeight="1" x14ac:dyDescent="0.25">
      <c r="A4" s="156"/>
      <c r="B4" s="156"/>
      <c r="C4" s="156"/>
      <c r="D4" s="156"/>
      <c r="E4" s="156"/>
      <c r="F4" s="156"/>
    </row>
    <row r="5" spans="1:8" ht="13.95" customHeight="1" x14ac:dyDescent="0.25">
      <c r="A5" s="285" t="s">
        <v>167</v>
      </c>
      <c r="B5" s="285"/>
      <c r="C5" s="285"/>
      <c r="D5" s="48"/>
      <c r="E5" s="48"/>
      <c r="F5" s="157"/>
    </row>
    <row r="6" spans="1:8" ht="13.95" customHeight="1" x14ac:dyDescent="0.25">
      <c r="A6" s="48" t="s">
        <v>123</v>
      </c>
      <c r="B6" s="48" t="s">
        <v>100</v>
      </c>
      <c r="C6" s="48" t="s">
        <v>111</v>
      </c>
      <c r="D6" s="156" t="s">
        <v>101</v>
      </c>
      <c r="E6" s="48"/>
      <c r="F6" s="157"/>
    </row>
    <row r="7" spans="1:8" ht="13.95" customHeight="1" x14ac:dyDescent="0.3">
      <c r="A7" s="44">
        <v>0.5</v>
      </c>
      <c r="B7" s="44">
        <v>0.9</v>
      </c>
      <c r="C7" s="44">
        <v>7.0000000000000007E-2</v>
      </c>
      <c r="D7" s="158">
        <f>+A7*C7*B7</f>
        <v>3.1500000000000007E-2</v>
      </c>
      <c r="E7" s="48"/>
      <c r="F7" s="157"/>
    </row>
    <row r="8" spans="1:8" ht="13.95" customHeight="1" x14ac:dyDescent="0.3">
      <c r="A8" s="44"/>
      <c r="B8" s="44"/>
      <c r="C8" s="44"/>
      <c r="D8" s="158"/>
      <c r="E8" s="48"/>
      <c r="F8" s="157"/>
    </row>
    <row r="9" spans="1:8" ht="13.95" customHeight="1" x14ac:dyDescent="0.3">
      <c r="A9" s="285" t="s">
        <v>168</v>
      </c>
      <c r="B9" s="285"/>
      <c r="C9" s="285"/>
      <c r="D9" s="158"/>
      <c r="E9" s="48"/>
      <c r="F9" s="157"/>
    </row>
    <row r="10" spans="1:8" ht="13.95" customHeight="1" x14ac:dyDescent="0.25">
      <c r="A10" s="48" t="s">
        <v>123</v>
      </c>
      <c r="B10" s="48" t="s">
        <v>100</v>
      </c>
      <c r="C10" s="48" t="s">
        <v>111</v>
      </c>
      <c r="D10" s="156" t="s">
        <v>101</v>
      </c>
      <c r="E10" s="48"/>
      <c r="F10" s="157"/>
    </row>
    <row r="11" spans="1:8" ht="13.95" customHeight="1" x14ac:dyDescent="0.3">
      <c r="A11" s="44">
        <v>0.1</v>
      </c>
      <c r="B11" s="44">
        <f>B7+A7+B7</f>
        <v>2.2999999999999998</v>
      </c>
      <c r="C11" s="44">
        <v>0.3</v>
      </c>
      <c r="D11" s="158">
        <f>+A11*C11*B11</f>
        <v>6.8999999999999992E-2</v>
      </c>
      <c r="E11" s="48"/>
      <c r="F11" s="157"/>
    </row>
    <row r="12" spans="1:8" ht="13.95" customHeight="1" x14ac:dyDescent="0.3">
      <c r="A12" s="44"/>
      <c r="B12" s="44"/>
      <c r="C12" s="44"/>
      <c r="D12" s="158"/>
      <c r="E12" s="48"/>
      <c r="F12" s="157"/>
    </row>
    <row r="13" spans="1:8" ht="13.95" customHeight="1" x14ac:dyDescent="0.3">
      <c r="A13" s="71" t="s">
        <v>169</v>
      </c>
      <c r="B13" s="71"/>
      <c r="C13" s="71"/>
      <c r="D13" s="159">
        <f>(D11+D7)*C3</f>
        <v>0.80400000000000005</v>
      </c>
      <c r="E13" s="48"/>
      <c r="F13" s="157"/>
    </row>
    <row r="14" spans="1:8" ht="13.95" customHeight="1" x14ac:dyDescent="0.3">
      <c r="A14" s="160"/>
      <c r="B14" s="160"/>
      <c r="C14" s="160"/>
      <c r="D14" s="161"/>
      <c r="E14" s="24"/>
      <c r="F14" s="26"/>
    </row>
    <row r="15" spans="1:8" ht="13.95" customHeight="1" x14ac:dyDescent="0.25">
      <c r="A15" s="162" t="s">
        <v>170</v>
      </c>
      <c r="B15" s="162"/>
      <c r="C15" s="163"/>
      <c r="D15" s="163"/>
      <c r="E15" s="163"/>
      <c r="F15" s="164"/>
      <c r="H15" s="45"/>
    </row>
    <row r="16" spans="1:8" ht="13.95" customHeight="1" x14ac:dyDescent="0.25">
      <c r="A16" s="165" t="s">
        <v>0</v>
      </c>
      <c r="B16" s="165" t="s">
        <v>1</v>
      </c>
      <c r="C16" s="165" t="s">
        <v>2</v>
      </c>
      <c r="D16" s="165" t="s">
        <v>103</v>
      </c>
      <c r="E16" s="165" t="s">
        <v>37</v>
      </c>
      <c r="F16" s="165" t="s">
        <v>3</v>
      </c>
    </row>
    <row r="17" spans="1:8" ht="13.95" customHeight="1" x14ac:dyDescent="0.3">
      <c r="A17" s="165"/>
      <c r="B17" s="166">
        <f>C3*(ROUNDUP((B7/0.15),0))+1</f>
        <v>49</v>
      </c>
      <c r="C17" s="167" t="s">
        <v>28</v>
      </c>
      <c r="D17" s="168">
        <f>A7-0.1</f>
        <v>0.4</v>
      </c>
      <c r="E17" s="169">
        <f>+VLOOKUP(C17,PESOS!$B$3:$F$26,5,FALSE)*B17*D17</f>
        <v>5.9212267095962376</v>
      </c>
      <c r="F17" s="165" t="s">
        <v>171</v>
      </c>
      <c r="H17" s="47"/>
    </row>
    <row r="18" spans="1:8" ht="13.95" customHeight="1" x14ac:dyDescent="0.3">
      <c r="A18" s="163"/>
      <c r="B18" s="166">
        <f>C3*(ROUNDUP((A7/0.15),0))+1</f>
        <v>33</v>
      </c>
      <c r="C18" s="167" t="s">
        <v>28</v>
      </c>
      <c r="D18" s="168">
        <f>B7-0.1</f>
        <v>0.8</v>
      </c>
      <c r="E18" s="169">
        <f>+VLOOKUP(C18,PESOS!$B$3:$F$26,5,FALSE)*B18*D18</f>
        <v>7.9755298537418717</v>
      </c>
      <c r="F18" s="165" t="s">
        <v>172</v>
      </c>
    </row>
    <row r="19" spans="1:8" ht="13.95" customHeight="1" x14ac:dyDescent="0.3">
      <c r="A19" s="163"/>
      <c r="B19" s="166"/>
      <c r="C19" s="167"/>
      <c r="D19" s="168"/>
      <c r="E19" s="169"/>
      <c r="F19" s="165"/>
    </row>
    <row r="20" spans="1:8" ht="13.95" customHeight="1" x14ac:dyDescent="0.3">
      <c r="A20" s="162" t="s">
        <v>173</v>
      </c>
      <c r="B20" s="162"/>
      <c r="C20" s="167"/>
      <c r="D20" s="168"/>
      <c r="E20" s="169"/>
      <c r="F20" s="165"/>
    </row>
    <row r="21" spans="1:8" ht="13.95" customHeight="1" x14ac:dyDescent="0.25">
      <c r="A21" s="165" t="s">
        <v>0</v>
      </c>
      <c r="B21" s="165" t="s">
        <v>1</v>
      </c>
      <c r="C21" s="165" t="s">
        <v>2</v>
      </c>
      <c r="D21" s="165" t="s">
        <v>103</v>
      </c>
      <c r="E21" s="165" t="s">
        <v>37</v>
      </c>
      <c r="F21" s="165" t="s">
        <v>3</v>
      </c>
    </row>
    <row r="22" spans="1:8" ht="13.95" customHeight="1" x14ac:dyDescent="0.3">
      <c r="A22" s="165"/>
      <c r="B22" s="166">
        <f>ROUNDUP((B11/(6-0.45))*C3*2,0)</f>
        <v>7</v>
      </c>
      <c r="C22" s="167" t="s">
        <v>9</v>
      </c>
      <c r="D22" s="168">
        <v>6</v>
      </c>
      <c r="E22" s="169">
        <f>+VLOOKUP(C22,PESOS!$B$3:$F$26,5,FALSE)*B22*D22</f>
        <v>23.49301723009382</v>
      </c>
      <c r="F22" s="165" t="s">
        <v>174</v>
      </c>
    </row>
    <row r="23" spans="1:8" ht="13.95" customHeight="1" x14ac:dyDescent="0.3">
      <c r="A23" s="163"/>
      <c r="B23" s="166">
        <f>ROUNDUP(((B11/0.2))*C3,0)+2</f>
        <v>94</v>
      </c>
      <c r="C23" s="167" t="s">
        <v>9</v>
      </c>
      <c r="D23" s="168">
        <v>0.44</v>
      </c>
      <c r="E23" s="169">
        <f>+VLOOKUP(C23,PESOS!$B$3:$F$26,5,FALSE)*B23*D23</f>
        <v>23.135028396111441</v>
      </c>
      <c r="F23" s="165" t="s">
        <v>175</v>
      </c>
    </row>
    <row r="24" spans="1:8" ht="13.95" customHeight="1" x14ac:dyDescent="0.3">
      <c r="A24" s="163"/>
      <c r="B24" s="166"/>
      <c r="C24" s="167"/>
      <c r="D24" s="168"/>
      <c r="E24" s="169"/>
      <c r="F24" s="165"/>
    </row>
    <row r="25" spans="1:8" ht="21" customHeight="1" x14ac:dyDescent="0.4">
      <c r="A25" s="283" t="s">
        <v>122</v>
      </c>
      <c r="B25" s="283"/>
      <c r="C25" s="283"/>
      <c r="D25" s="283"/>
      <c r="E25" s="89">
        <f>(SUM(E17:E18)+SUM(E22:E23))</f>
        <v>60.524802189543372</v>
      </c>
      <c r="F25" s="170"/>
    </row>
    <row r="26" spans="1:8" x14ac:dyDescent="0.2">
      <c r="F26" s="25"/>
    </row>
    <row r="27" spans="1:8" ht="13.15" x14ac:dyDescent="0.25">
      <c r="B27" s="67"/>
    </row>
  </sheetData>
  <mergeCells count="5">
    <mergeCell ref="A2:F2"/>
    <mergeCell ref="A3:B3"/>
    <mergeCell ref="A5:C5"/>
    <mergeCell ref="A9:C9"/>
    <mergeCell ref="A25:D25"/>
  </mergeCells>
  <pageMargins left="0.70866141732283472" right="0.70866141732283472" top="0.74803149606299213" bottom="0.74803149606299213" header="0.31496062992125984" footer="0.31496062992125984"/>
  <pageSetup paperSize="122" scale="53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/>
  <dimension ref="A1:O26"/>
  <sheetViews>
    <sheetView workbookViewId="0">
      <selection activeCell="B28" sqref="B28"/>
    </sheetView>
  </sheetViews>
  <sheetFormatPr baseColWidth="10" defaultColWidth="11.44140625" defaultRowHeight="12.55" x14ac:dyDescent="0.2"/>
  <cols>
    <col min="1" max="1" width="11.44140625" style="1"/>
    <col min="2" max="2" width="20.5546875" style="1" bestFit="1" customWidth="1"/>
    <col min="3" max="7" width="11.44140625" style="1"/>
    <col min="8" max="9" width="12.88671875" style="1" customWidth="1"/>
    <col min="10" max="11" width="13.5546875" style="1" customWidth="1"/>
    <col min="12" max="12" width="11.44140625" style="1"/>
    <col min="13" max="13" width="12.88671875" style="1" customWidth="1"/>
    <col min="14" max="16384" width="11.44140625" style="1"/>
  </cols>
  <sheetData>
    <row r="1" spans="1:15" x14ac:dyDescent="0.2">
      <c r="A1" s="20" t="s">
        <v>36</v>
      </c>
      <c r="B1" s="17" t="s">
        <v>4</v>
      </c>
      <c r="C1" s="18" t="s">
        <v>5</v>
      </c>
      <c r="D1" s="17" t="s">
        <v>6</v>
      </c>
      <c r="E1" s="17" t="s">
        <v>7</v>
      </c>
      <c r="F1" s="17" t="s">
        <v>32</v>
      </c>
      <c r="H1" s="16" t="s">
        <v>93</v>
      </c>
      <c r="I1" s="13"/>
      <c r="J1" s="16" t="s">
        <v>94</v>
      </c>
      <c r="K1" s="13"/>
      <c r="M1" s="17" t="s">
        <v>96</v>
      </c>
      <c r="O1" s="1" t="s">
        <v>97</v>
      </c>
    </row>
    <row r="2" spans="1:15" x14ac:dyDescent="0.2">
      <c r="A2" s="20"/>
      <c r="B2" s="6"/>
      <c r="C2" s="19" t="s">
        <v>34</v>
      </c>
      <c r="D2" s="6" t="s">
        <v>35</v>
      </c>
      <c r="E2" s="6" t="s">
        <v>34</v>
      </c>
      <c r="F2" s="6" t="s">
        <v>33</v>
      </c>
      <c r="H2" s="2" t="s">
        <v>91</v>
      </c>
      <c r="I2" s="2" t="s">
        <v>92</v>
      </c>
      <c r="J2" s="2" t="s">
        <v>92</v>
      </c>
      <c r="K2" s="2" t="s">
        <v>95</v>
      </c>
      <c r="M2" s="6" t="s">
        <v>34</v>
      </c>
      <c r="O2" s="1" t="s">
        <v>34</v>
      </c>
    </row>
    <row r="3" spans="1:15" x14ac:dyDescent="0.2">
      <c r="A3" s="1">
        <v>2</v>
      </c>
      <c r="B3" s="7" t="s">
        <v>8</v>
      </c>
      <c r="C3" s="21">
        <f>25.4*A3/8</f>
        <v>6.35</v>
      </c>
      <c r="D3" s="2">
        <f t="shared" ref="D3:D26" si="0">PI()*(C3/2)^2</f>
        <v>31.669217443593606</v>
      </c>
      <c r="E3" s="2">
        <f>2*PI()*(C3/2)</f>
        <v>19.949113350295185</v>
      </c>
      <c r="F3" s="14">
        <f>7850*D3/1000000</f>
        <v>0.24860335693220981</v>
      </c>
      <c r="H3" s="3">
        <f>MAX(60,4*C3)</f>
        <v>60</v>
      </c>
      <c r="I3" s="3">
        <f>12*C3</f>
        <v>76.199999999999989</v>
      </c>
      <c r="J3" s="3">
        <f>IF(C3&lt;=16,6*C3,12*C3)</f>
        <v>38.099999999999994</v>
      </c>
      <c r="K3" s="3">
        <f>MAX(75,6*C3)</f>
        <v>75</v>
      </c>
      <c r="M3" s="3">
        <f>IF(C3&lt;=25.4,6*C3,IF(C3&lt;=34.935,8*C3,10*C3))</f>
        <v>38.099999999999994</v>
      </c>
      <c r="O3" s="15">
        <f>MAX(0,IF(C3&lt;=19.05,C3*12*420/(25*SQRT(21)),C3*3*420/(5*SQRT(21))))</f>
        <v>279.35381436450797</v>
      </c>
    </row>
    <row r="4" spans="1:15" x14ac:dyDescent="0.2">
      <c r="A4" s="1">
        <v>3</v>
      </c>
      <c r="B4" s="7" t="s">
        <v>9</v>
      </c>
      <c r="C4" s="21">
        <f t="shared" ref="C4:C14" si="1">25.4*A4/8</f>
        <v>9.5249999999999986</v>
      </c>
      <c r="D4" s="2">
        <f t="shared" si="0"/>
        <v>71.255739248085604</v>
      </c>
      <c r="E4" s="2">
        <f t="shared" ref="E4:E26" si="2">2*PI()*(C4/2)</f>
        <v>29.923670025442775</v>
      </c>
      <c r="F4" s="14">
        <f t="shared" ref="F4:F26" si="3">7850*D4/1000000</f>
        <v>0.55935755309747193</v>
      </c>
      <c r="H4" s="3">
        <f t="shared" ref="H4:H26" si="4">MAX(60,4*C4)</f>
        <v>60</v>
      </c>
      <c r="I4" s="3">
        <f t="shared" ref="I4:I26" si="5">12*C4</f>
        <v>114.29999999999998</v>
      </c>
      <c r="J4" s="3">
        <f t="shared" ref="J4:J14" si="6">IF(C4&lt;=16,6*C4,12*C4)</f>
        <v>57.149999999999991</v>
      </c>
      <c r="K4" s="3">
        <f t="shared" ref="K4:K26" si="7">MAX(75,6*C4)</f>
        <v>75</v>
      </c>
      <c r="M4" s="3">
        <f t="shared" ref="M4:M26" si="8">IF(C4&lt;=25.4,6*C4,IF(C4&lt;=34.935,8*C4,10*C4))</f>
        <v>57.149999999999991</v>
      </c>
      <c r="O4" s="15">
        <f t="shared" ref="O4:O26" si="9">MAX(0,IF(C4&lt;=19.05,C4*12*420/(25*SQRT(21)),C4*3*420/(5*SQRT(21))))</f>
        <v>419.03072154676198</v>
      </c>
    </row>
    <row r="5" spans="1:15" x14ac:dyDescent="0.2">
      <c r="A5" s="1">
        <v>4</v>
      </c>
      <c r="B5" s="7" t="s">
        <v>10</v>
      </c>
      <c r="C5" s="21">
        <f t="shared" si="1"/>
        <v>12.7</v>
      </c>
      <c r="D5" s="2">
        <f t="shared" si="0"/>
        <v>126.67686977437442</v>
      </c>
      <c r="E5" s="2">
        <f t="shared" si="2"/>
        <v>39.898226700590371</v>
      </c>
      <c r="F5" s="14">
        <f t="shared" si="3"/>
        <v>0.99441342772883923</v>
      </c>
      <c r="H5" s="3">
        <f t="shared" si="4"/>
        <v>60</v>
      </c>
      <c r="I5" s="3">
        <f t="shared" si="5"/>
        <v>152.39999999999998</v>
      </c>
      <c r="J5" s="3">
        <f t="shared" si="6"/>
        <v>76.199999999999989</v>
      </c>
      <c r="K5" s="3">
        <f t="shared" si="7"/>
        <v>76.199999999999989</v>
      </c>
      <c r="M5" s="3">
        <f t="shared" si="8"/>
        <v>76.199999999999989</v>
      </c>
      <c r="O5" s="15">
        <f t="shared" si="9"/>
        <v>558.70762872901594</v>
      </c>
    </row>
    <row r="6" spans="1:15" x14ac:dyDescent="0.2">
      <c r="A6" s="1">
        <v>5</v>
      </c>
      <c r="B6" s="7" t="s">
        <v>11</v>
      </c>
      <c r="C6" s="21">
        <f t="shared" si="1"/>
        <v>15.875</v>
      </c>
      <c r="D6" s="2">
        <f t="shared" si="0"/>
        <v>197.93260902246004</v>
      </c>
      <c r="E6" s="2">
        <f t="shared" si="2"/>
        <v>49.872783375737967</v>
      </c>
      <c r="F6" s="14">
        <f t="shared" si="3"/>
        <v>1.5537709808263114</v>
      </c>
      <c r="H6" s="3">
        <f t="shared" si="4"/>
        <v>63.5</v>
      </c>
      <c r="I6" s="3">
        <f t="shared" si="5"/>
        <v>190.5</v>
      </c>
      <c r="J6" s="3">
        <f t="shared" si="6"/>
        <v>95.25</v>
      </c>
      <c r="K6" s="3">
        <f t="shared" si="7"/>
        <v>95.25</v>
      </c>
      <c r="M6" s="3">
        <f t="shared" si="8"/>
        <v>95.25</v>
      </c>
      <c r="O6" s="15">
        <f t="shared" si="9"/>
        <v>698.38453591127006</v>
      </c>
    </row>
    <row r="7" spans="1:15" x14ac:dyDescent="0.2">
      <c r="A7" s="1">
        <v>6</v>
      </c>
      <c r="B7" s="7" t="s">
        <v>12</v>
      </c>
      <c r="C7" s="21">
        <f t="shared" si="1"/>
        <v>19.049999999999997</v>
      </c>
      <c r="D7" s="2">
        <f t="shared" si="0"/>
        <v>285.02295699234242</v>
      </c>
      <c r="E7" s="2">
        <f t="shared" si="2"/>
        <v>59.847340050885549</v>
      </c>
      <c r="F7" s="14">
        <f t="shared" si="3"/>
        <v>2.2374302123898877</v>
      </c>
      <c r="H7" s="3">
        <f t="shared" si="4"/>
        <v>76.199999999999989</v>
      </c>
      <c r="I7" s="3">
        <f t="shared" si="5"/>
        <v>228.59999999999997</v>
      </c>
      <c r="J7" s="3">
        <f t="shared" si="6"/>
        <v>228.59999999999997</v>
      </c>
      <c r="K7" s="3">
        <f t="shared" si="7"/>
        <v>114.29999999999998</v>
      </c>
      <c r="M7" s="3">
        <f t="shared" si="8"/>
        <v>114.29999999999998</v>
      </c>
      <c r="O7" s="15">
        <f t="shared" si="9"/>
        <v>838.06144309352396</v>
      </c>
    </row>
    <row r="8" spans="1:15" x14ac:dyDescent="0.2">
      <c r="A8" s="1">
        <v>7</v>
      </c>
      <c r="B8" s="7" t="s">
        <v>13</v>
      </c>
      <c r="C8" s="21">
        <f t="shared" si="1"/>
        <v>22.224999999999998</v>
      </c>
      <c r="D8" s="2">
        <f t="shared" si="0"/>
        <v>387.94791368402161</v>
      </c>
      <c r="E8" s="2">
        <f>2*PI()*(C8/2)</f>
        <v>69.821896726033145</v>
      </c>
      <c r="F8" s="14">
        <f t="shared" si="3"/>
        <v>3.0453911224195696</v>
      </c>
      <c r="H8" s="3">
        <f t="shared" si="4"/>
        <v>88.899999999999991</v>
      </c>
      <c r="I8" s="3">
        <f t="shared" si="5"/>
        <v>266.7</v>
      </c>
      <c r="J8" s="3">
        <f t="shared" si="6"/>
        <v>266.7</v>
      </c>
      <c r="K8" s="3">
        <f t="shared" si="7"/>
        <v>133.35</v>
      </c>
      <c r="M8" s="3">
        <f t="shared" si="8"/>
        <v>133.35</v>
      </c>
      <c r="O8" s="15">
        <f t="shared" si="9"/>
        <v>1222.1729378447226</v>
      </c>
    </row>
    <row r="9" spans="1:15" x14ac:dyDescent="0.2">
      <c r="A9" s="1">
        <v>8</v>
      </c>
      <c r="B9" s="7" t="s">
        <v>14</v>
      </c>
      <c r="C9" s="21">
        <f t="shared" si="1"/>
        <v>25.4</v>
      </c>
      <c r="D9" s="2">
        <f t="shared" si="0"/>
        <v>506.7074790974977</v>
      </c>
      <c r="E9" s="2">
        <f t="shared" si="2"/>
        <v>79.796453401180742</v>
      </c>
      <c r="F9" s="14">
        <f t="shared" si="3"/>
        <v>3.9776537109153569</v>
      </c>
      <c r="H9" s="3">
        <f t="shared" si="4"/>
        <v>101.6</v>
      </c>
      <c r="I9" s="3">
        <f t="shared" si="5"/>
        <v>304.79999999999995</v>
      </c>
      <c r="J9" s="3">
        <f t="shared" si="6"/>
        <v>304.79999999999995</v>
      </c>
      <c r="K9" s="3">
        <f t="shared" si="7"/>
        <v>152.39999999999998</v>
      </c>
      <c r="M9" s="3">
        <f t="shared" si="8"/>
        <v>152.39999999999998</v>
      </c>
      <c r="O9" s="15">
        <f t="shared" si="9"/>
        <v>1396.7690718225399</v>
      </c>
    </row>
    <row r="10" spans="1:15" x14ac:dyDescent="0.2">
      <c r="A10" s="1">
        <v>9</v>
      </c>
      <c r="B10" s="7" t="s">
        <v>15</v>
      </c>
      <c r="C10" s="21">
        <f t="shared" si="1"/>
        <v>28.574999999999999</v>
      </c>
      <c r="D10" s="2">
        <f t="shared" si="0"/>
        <v>641.3016532327706</v>
      </c>
      <c r="E10" s="2">
        <f t="shared" si="2"/>
        <v>89.771010076328338</v>
      </c>
      <c r="F10" s="14">
        <f t="shared" si="3"/>
        <v>5.0342179778772493</v>
      </c>
      <c r="H10" s="22">
        <f t="shared" si="4"/>
        <v>114.3</v>
      </c>
      <c r="I10" s="22">
        <f t="shared" si="5"/>
        <v>342.9</v>
      </c>
      <c r="J10" s="22">
        <f t="shared" si="6"/>
        <v>342.9</v>
      </c>
      <c r="K10" s="22">
        <f t="shared" si="7"/>
        <v>171.45</v>
      </c>
      <c r="M10" s="3">
        <f t="shared" si="8"/>
        <v>228.6</v>
      </c>
      <c r="O10" s="15">
        <f t="shared" si="9"/>
        <v>1571.3652058003577</v>
      </c>
    </row>
    <row r="11" spans="1:15" x14ac:dyDescent="0.2">
      <c r="A11" s="1">
        <v>10</v>
      </c>
      <c r="B11" s="7" t="s">
        <v>16</v>
      </c>
      <c r="C11" s="21">
        <f t="shared" si="1"/>
        <v>31.75</v>
      </c>
      <c r="D11" s="2">
        <f t="shared" si="0"/>
        <v>791.73043608984017</v>
      </c>
      <c r="E11" s="2">
        <f>2*PI()*(C11/2)</f>
        <v>99.745566751475934</v>
      </c>
      <c r="F11" s="14">
        <f t="shared" si="3"/>
        <v>6.2150839233052455</v>
      </c>
      <c r="H11" s="22">
        <f t="shared" si="4"/>
        <v>127</v>
      </c>
      <c r="I11" s="22">
        <f t="shared" si="5"/>
        <v>381</v>
      </c>
      <c r="J11" s="22">
        <f t="shared" si="6"/>
        <v>381</v>
      </c>
      <c r="K11" s="22">
        <f t="shared" si="7"/>
        <v>190.5</v>
      </c>
      <c r="M11" s="3">
        <f t="shared" si="8"/>
        <v>254</v>
      </c>
      <c r="O11" s="15">
        <f t="shared" si="9"/>
        <v>1745.9613397781752</v>
      </c>
    </row>
    <row r="12" spans="1:15" x14ac:dyDescent="0.2">
      <c r="A12" s="1">
        <v>11</v>
      </c>
      <c r="B12" s="7" t="s">
        <v>17</v>
      </c>
      <c r="C12" s="21">
        <f t="shared" si="1"/>
        <v>34.924999999999997</v>
      </c>
      <c r="D12" s="2">
        <f t="shared" si="0"/>
        <v>957.99382766870644</v>
      </c>
      <c r="E12" s="2">
        <f t="shared" si="2"/>
        <v>109.72012342662352</v>
      </c>
      <c r="F12" s="14">
        <f t="shared" si="3"/>
        <v>7.5202515471993454</v>
      </c>
      <c r="H12" s="22">
        <f t="shared" si="4"/>
        <v>139.69999999999999</v>
      </c>
      <c r="I12" s="22">
        <f t="shared" si="5"/>
        <v>419.09999999999997</v>
      </c>
      <c r="J12" s="22">
        <f t="shared" si="6"/>
        <v>419.09999999999997</v>
      </c>
      <c r="K12" s="22">
        <f t="shared" si="7"/>
        <v>209.54999999999998</v>
      </c>
      <c r="M12" s="3">
        <f t="shared" si="8"/>
        <v>279.39999999999998</v>
      </c>
      <c r="O12" s="15">
        <f t="shared" si="9"/>
        <v>1920.5574737559928</v>
      </c>
    </row>
    <row r="13" spans="1:15" x14ac:dyDescent="0.2">
      <c r="A13" s="1">
        <v>14</v>
      </c>
      <c r="B13" s="7" t="s">
        <v>18</v>
      </c>
      <c r="C13" s="21">
        <f t="shared" si="1"/>
        <v>44.449999999999996</v>
      </c>
      <c r="D13" s="2">
        <f t="shared" si="0"/>
        <v>1551.7916547360865</v>
      </c>
      <c r="E13" s="2">
        <f t="shared" si="2"/>
        <v>139.64379345206629</v>
      </c>
      <c r="F13" s="14">
        <f t="shared" si="3"/>
        <v>12.181564489678278</v>
      </c>
      <c r="H13" s="22">
        <f t="shared" si="4"/>
        <v>177.79999999999998</v>
      </c>
      <c r="I13" s="22">
        <f t="shared" si="5"/>
        <v>533.4</v>
      </c>
      <c r="J13" s="22">
        <f t="shared" si="6"/>
        <v>533.4</v>
      </c>
      <c r="K13" s="22">
        <f t="shared" si="7"/>
        <v>266.7</v>
      </c>
      <c r="M13" s="3">
        <f t="shared" si="8"/>
        <v>444.49999999999994</v>
      </c>
      <c r="O13" s="15">
        <f t="shared" si="9"/>
        <v>2444.3458756894452</v>
      </c>
    </row>
    <row r="14" spans="1:15" x14ac:dyDescent="0.2">
      <c r="A14" s="1">
        <v>18</v>
      </c>
      <c r="B14" s="7" t="s">
        <v>19</v>
      </c>
      <c r="C14" s="21">
        <f t="shared" si="1"/>
        <v>57.15</v>
      </c>
      <c r="D14" s="2">
        <f t="shared" si="0"/>
        <v>2565.2066129310824</v>
      </c>
      <c r="E14" s="2">
        <f t="shared" si="2"/>
        <v>179.54202015265668</v>
      </c>
      <c r="F14" s="14">
        <f t="shared" si="3"/>
        <v>20.136871911508997</v>
      </c>
      <c r="H14" s="22">
        <f t="shared" si="4"/>
        <v>228.6</v>
      </c>
      <c r="I14" s="22">
        <f t="shared" si="5"/>
        <v>685.8</v>
      </c>
      <c r="J14" s="22">
        <f t="shared" si="6"/>
        <v>685.8</v>
      </c>
      <c r="K14" s="22">
        <f t="shared" si="7"/>
        <v>342.9</v>
      </c>
      <c r="M14" s="3">
        <f t="shared" si="8"/>
        <v>571.5</v>
      </c>
      <c r="O14" s="15">
        <f t="shared" si="9"/>
        <v>3142.7304116007153</v>
      </c>
    </row>
    <row r="15" spans="1:15" x14ac:dyDescent="0.2">
      <c r="B15" s="7" t="s">
        <v>20</v>
      </c>
      <c r="C15" s="21">
        <v>3</v>
      </c>
      <c r="D15" s="2">
        <f t="shared" si="0"/>
        <v>7.0685834705770345</v>
      </c>
      <c r="E15" s="2">
        <f>2*PI()*(C15/2)</f>
        <v>9.4247779607693793</v>
      </c>
      <c r="F15" s="14">
        <f t="shared" si="3"/>
        <v>5.5488380244029724E-2</v>
      </c>
      <c r="H15" s="3">
        <f t="shared" si="4"/>
        <v>60</v>
      </c>
      <c r="I15" s="3">
        <f t="shared" si="5"/>
        <v>36</v>
      </c>
      <c r="J15" s="3">
        <f>IF(C15&lt;=16,6*C15,12*C15)</f>
        <v>18</v>
      </c>
      <c r="K15" s="3">
        <f t="shared" si="7"/>
        <v>75</v>
      </c>
      <c r="M15" s="3">
        <f t="shared" si="8"/>
        <v>18</v>
      </c>
      <c r="O15" s="15">
        <f t="shared" si="9"/>
        <v>131.9781800147282</v>
      </c>
    </row>
    <row r="16" spans="1:15" x14ac:dyDescent="0.2">
      <c r="A16" s="1">
        <f>3/8*2.54</f>
        <v>0.95250000000000001</v>
      </c>
      <c r="B16" s="7" t="s">
        <v>21</v>
      </c>
      <c r="C16" s="21">
        <v>3.5</v>
      </c>
      <c r="D16" s="2">
        <f t="shared" si="0"/>
        <v>9.6211275016187408</v>
      </c>
      <c r="E16" s="2">
        <f t="shared" si="2"/>
        <v>10.995574287564276</v>
      </c>
      <c r="F16" s="14">
        <f t="shared" si="3"/>
        <v>7.5525850887707108E-2</v>
      </c>
      <c r="H16" s="3">
        <f t="shared" si="4"/>
        <v>60</v>
      </c>
      <c r="I16" s="3">
        <f t="shared" si="5"/>
        <v>42</v>
      </c>
      <c r="J16" s="3">
        <f t="shared" ref="J16:J26" si="10">IF(C16&lt;=16,6*C16,12*C16)</f>
        <v>21</v>
      </c>
      <c r="K16" s="3">
        <f t="shared" si="7"/>
        <v>75</v>
      </c>
      <c r="M16" s="3">
        <f t="shared" si="8"/>
        <v>21</v>
      </c>
      <c r="O16" s="15">
        <f t="shared" si="9"/>
        <v>153.97454335051623</v>
      </c>
    </row>
    <row r="17" spans="1:15" x14ac:dyDescent="0.2">
      <c r="A17" s="1">
        <f>3/4*2.54</f>
        <v>1.905</v>
      </c>
      <c r="B17" s="7" t="s">
        <v>22</v>
      </c>
      <c r="C17" s="21">
        <v>4</v>
      </c>
      <c r="D17" s="2">
        <f t="shared" si="0"/>
        <v>12.566370614359172</v>
      </c>
      <c r="E17" s="2">
        <f t="shared" si="2"/>
        <v>12.566370614359172</v>
      </c>
      <c r="F17" s="14">
        <f t="shared" si="3"/>
        <v>9.8646009322719497E-2</v>
      </c>
      <c r="H17" s="3">
        <f t="shared" si="4"/>
        <v>60</v>
      </c>
      <c r="I17" s="3">
        <f t="shared" si="5"/>
        <v>48</v>
      </c>
      <c r="J17" s="3">
        <f t="shared" si="10"/>
        <v>24</v>
      </c>
      <c r="K17" s="3">
        <f t="shared" si="7"/>
        <v>75</v>
      </c>
      <c r="M17" s="3">
        <f t="shared" si="8"/>
        <v>24</v>
      </c>
      <c r="O17" s="15">
        <f t="shared" si="9"/>
        <v>175.97090668630426</v>
      </c>
    </row>
    <row r="18" spans="1:15" x14ac:dyDescent="0.2">
      <c r="B18" s="7" t="s">
        <v>23</v>
      </c>
      <c r="C18" s="21">
        <v>4.5</v>
      </c>
      <c r="D18" s="2">
        <f t="shared" si="0"/>
        <v>15.904312808798327</v>
      </c>
      <c r="E18" s="2">
        <f>2*PI()*(C18/2)</f>
        <v>14.137166941154069</v>
      </c>
      <c r="F18" s="14">
        <f t="shared" si="3"/>
        <v>0.12484885554906687</v>
      </c>
      <c r="H18" s="3">
        <f t="shared" si="4"/>
        <v>60</v>
      </c>
      <c r="I18" s="3">
        <f t="shared" si="5"/>
        <v>54</v>
      </c>
      <c r="J18" s="3">
        <f t="shared" si="10"/>
        <v>27</v>
      </c>
      <c r="K18" s="3">
        <f t="shared" si="7"/>
        <v>75</v>
      </c>
      <c r="M18" s="3">
        <f t="shared" si="8"/>
        <v>27</v>
      </c>
      <c r="O18" s="15">
        <f t="shared" si="9"/>
        <v>197.96727002209229</v>
      </c>
    </row>
    <row r="19" spans="1:15" x14ac:dyDescent="0.2">
      <c r="B19" s="7" t="s">
        <v>24</v>
      </c>
      <c r="C19" s="21">
        <v>5</v>
      </c>
      <c r="D19" s="2">
        <f t="shared" si="0"/>
        <v>19.634954084936208</v>
      </c>
      <c r="E19" s="2">
        <f t="shared" si="2"/>
        <v>15.707963267948966</v>
      </c>
      <c r="F19" s="14">
        <f t="shared" si="3"/>
        <v>0.15413438956674921</v>
      </c>
      <c r="H19" s="3">
        <f t="shared" si="4"/>
        <v>60</v>
      </c>
      <c r="I19" s="3">
        <f t="shared" si="5"/>
        <v>60</v>
      </c>
      <c r="J19" s="3">
        <f t="shared" si="10"/>
        <v>30</v>
      </c>
      <c r="K19" s="3">
        <f t="shared" si="7"/>
        <v>75</v>
      </c>
      <c r="M19" s="3">
        <f t="shared" si="8"/>
        <v>30</v>
      </c>
      <c r="O19" s="15">
        <f t="shared" si="9"/>
        <v>219.96363335788033</v>
      </c>
    </row>
    <row r="20" spans="1:15" x14ac:dyDescent="0.2">
      <c r="B20" s="7" t="s">
        <v>25</v>
      </c>
      <c r="C20" s="21">
        <v>5.5</v>
      </c>
      <c r="D20" s="2">
        <f t="shared" si="0"/>
        <v>23.758294442772812</v>
      </c>
      <c r="E20" s="2">
        <f>2*PI()*(C20/2)</f>
        <v>17.27875959474386</v>
      </c>
      <c r="F20" s="14">
        <f t="shared" si="3"/>
        <v>0.18650261137576657</v>
      </c>
      <c r="H20" s="3">
        <f t="shared" si="4"/>
        <v>60</v>
      </c>
      <c r="I20" s="3">
        <f t="shared" si="5"/>
        <v>66</v>
      </c>
      <c r="J20" s="3">
        <f t="shared" si="10"/>
        <v>33</v>
      </c>
      <c r="K20" s="3">
        <f t="shared" si="7"/>
        <v>75</v>
      </c>
      <c r="M20" s="3">
        <f t="shared" si="8"/>
        <v>33</v>
      </c>
      <c r="O20" s="15">
        <f t="shared" si="9"/>
        <v>241.95999669366836</v>
      </c>
    </row>
    <row r="21" spans="1:15" x14ac:dyDescent="0.2">
      <c r="B21" s="7" t="s">
        <v>26</v>
      </c>
      <c r="C21" s="21">
        <v>6</v>
      </c>
      <c r="D21" s="2">
        <f t="shared" si="0"/>
        <v>28.274333882308138</v>
      </c>
      <c r="E21" s="2">
        <f t="shared" si="2"/>
        <v>18.849555921538759</v>
      </c>
      <c r="F21" s="14">
        <f t="shared" si="3"/>
        <v>0.2219535209761189</v>
      </c>
      <c r="H21" s="3">
        <f t="shared" si="4"/>
        <v>60</v>
      </c>
      <c r="I21" s="3">
        <f t="shared" si="5"/>
        <v>72</v>
      </c>
      <c r="J21" s="3">
        <f t="shared" si="10"/>
        <v>36</v>
      </c>
      <c r="K21" s="3">
        <f t="shared" si="7"/>
        <v>75</v>
      </c>
      <c r="M21" s="3">
        <f t="shared" si="8"/>
        <v>36</v>
      </c>
      <c r="O21" s="15">
        <f t="shared" si="9"/>
        <v>263.95636002945639</v>
      </c>
    </row>
    <row r="22" spans="1:15" x14ac:dyDescent="0.2">
      <c r="B22" s="7" t="s">
        <v>27</v>
      </c>
      <c r="C22" s="21">
        <v>6.5</v>
      </c>
      <c r="D22" s="2">
        <f t="shared" si="0"/>
        <v>33.183072403542191</v>
      </c>
      <c r="E22" s="2">
        <f t="shared" si="2"/>
        <v>20.420352248333657</v>
      </c>
      <c r="F22" s="14">
        <f t="shared" si="3"/>
        <v>0.26048711836780619</v>
      </c>
      <c r="H22" s="3">
        <f t="shared" si="4"/>
        <v>60</v>
      </c>
      <c r="I22" s="3">
        <f t="shared" si="5"/>
        <v>78</v>
      </c>
      <c r="J22" s="3">
        <f>IF(C22&lt;=16,6*C22,12*C22)</f>
        <v>39</v>
      </c>
      <c r="K22" s="3">
        <f t="shared" si="7"/>
        <v>75</v>
      </c>
      <c r="M22" s="3">
        <f t="shared" si="8"/>
        <v>39</v>
      </c>
      <c r="O22" s="15">
        <f t="shared" si="9"/>
        <v>285.95272336524442</v>
      </c>
    </row>
    <row r="23" spans="1:15" x14ac:dyDescent="0.2">
      <c r="B23" s="7" t="s">
        <v>28</v>
      </c>
      <c r="C23" s="21">
        <v>7</v>
      </c>
      <c r="D23" s="2">
        <f t="shared" si="0"/>
        <v>38.484510006474963</v>
      </c>
      <c r="E23" s="2">
        <f t="shared" si="2"/>
        <v>21.991148575128552</v>
      </c>
      <c r="F23" s="14">
        <f>7850*D23/1000000</f>
        <v>0.30210340355082843</v>
      </c>
      <c r="H23" s="3">
        <f t="shared" si="4"/>
        <v>60</v>
      </c>
      <c r="I23" s="3">
        <f t="shared" si="5"/>
        <v>84</v>
      </c>
      <c r="J23" s="3">
        <f t="shared" si="10"/>
        <v>42</v>
      </c>
      <c r="K23" s="3">
        <f t="shared" si="7"/>
        <v>75</v>
      </c>
      <c r="M23" s="3">
        <f t="shared" si="8"/>
        <v>42</v>
      </c>
      <c r="O23" s="15">
        <f t="shared" si="9"/>
        <v>307.94908670103246</v>
      </c>
    </row>
    <row r="24" spans="1:15" x14ac:dyDescent="0.2">
      <c r="B24" s="7" t="s">
        <v>29</v>
      </c>
      <c r="C24" s="21">
        <v>7.5</v>
      </c>
      <c r="D24" s="2">
        <f t="shared" si="0"/>
        <v>44.178646691106465</v>
      </c>
      <c r="E24" s="2">
        <f t="shared" si="2"/>
        <v>23.561944901923447</v>
      </c>
      <c r="F24" s="14">
        <f t="shared" si="3"/>
        <v>0.34680237652518575</v>
      </c>
      <c r="H24" s="3">
        <f t="shared" si="4"/>
        <v>60</v>
      </c>
      <c r="I24" s="3">
        <f t="shared" si="5"/>
        <v>90</v>
      </c>
      <c r="J24" s="3">
        <f t="shared" si="10"/>
        <v>45</v>
      </c>
      <c r="K24" s="3">
        <f t="shared" si="7"/>
        <v>75</v>
      </c>
      <c r="M24" s="3">
        <f t="shared" si="8"/>
        <v>45</v>
      </c>
      <c r="O24" s="15">
        <f t="shared" si="9"/>
        <v>329.94545003682049</v>
      </c>
    </row>
    <row r="25" spans="1:15" x14ac:dyDescent="0.2">
      <c r="B25" s="7" t="s">
        <v>30</v>
      </c>
      <c r="C25" s="21">
        <v>8</v>
      </c>
      <c r="D25" s="2">
        <f t="shared" si="0"/>
        <v>50.26548245743669</v>
      </c>
      <c r="E25" s="2">
        <f t="shared" si="2"/>
        <v>25.132741228718345</v>
      </c>
      <c r="F25" s="14">
        <f t="shared" si="3"/>
        <v>0.39458403729087799</v>
      </c>
      <c r="H25" s="3">
        <f t="shared" si="4"/>
        <v>60</v>
      </c>
      <c r="I25" s="3">
        <f t="shared" si="5"/>
        <v>96</v>
      </c>
      <c r="J25" s="3">
        <f t="shared" si="10"/>
        <v>48</v>
      </c>
      <c r="K25" s="3">
        <f t="shared" si="7"/>
        <v>75</v>
      </c>
      <c r="M25" s="3">
        <f t="shared" si="8"/>
        <v>48</v>
      </c>
      <c r="O25" s="15">
        <f t="shared" si="9"/>
        <v>351.94181337260852</v>
      </c>
    </row>
    <row r="26" spans="1:15" x14ac:dyDescent="0.2">
      <c r="B26" s="7" t="s">
        <v>31</v>
      </c>
      <c r="C26" s="21">
        <v>8.5</v>
      </c>
      <c r="D26" s="2">
        <f t="shared" si="0"/>
        <v>56.745017305465637</v>
      </c>
      <c r="E26" s="2">
        <f t="shared" si="2"/>
        <v>26.703537555513243</v>
      </c>
      <c r="F26" s="14">
        <f t="shared" si="3"/>
        <v>0.44544838584790525</v>
      </c>
      <c r="H26" s="3">
        <f t="shared" si="4"/>
        <v>60</v>
      </c>
      <c r="I26" s="3">
        <f t="shared" si="5"/>
        <v>102</v>
      </c>
      <c r="J26" s="3">
        <f t="shared" si="10"/>
        <v>51</v>
      </c>
      <c r="K26" s="3">
        <f t="shared" si="7"/>
        <v>75</v>
      </c>
      <c r="M26" s="3">
        <f t="shared" si="8"/>
        <v>51</v>
      </c>
      <c r="O26" s="15">
        <f t="shared" si="9"/>
        <v>373.93817670839655</v>
      </c>
    </row>
  </sheetData>
  <phoneticPr fontId="1" type="noConversion"/>
  <pageMargins left="1.17" right="0.75" top="2.085" bottom="1" header="0" footer="0"/>
  <pageSetup paperSize="9" scale="81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2:M41"/>
  <sheetViews>
    <sheetView view="pageBreakPreview" topLeftCell="A16" zoomScale="130" zoomScaleNormal="115" workbookViewId="0">
      <selection activeCell="C31" sqref="C31"/>
    </sheetView>
  </sheetViews>
  <sheetFormatPr baseColWidth="10" defaultColWidth="11.44140625" defaultRowHeight="12.55" x14ac:dyDescent="0.2"/>
  <cols>
    <col min="1" max="1" width="5" style="1" customWidth="1"/>
    <col min="2" max="3" width="6.44140625" style="1" customWidth="1"/>
    <col min="4" max="4" width="7.109375" style="1" bestFit="1" customWidth="1"/>
    <col min="5" max="5" width="6.33203125" style="1" customWidth="1"/>
    <col min="6" max="6" width="6.44140625" style="1" customWidth="1"/>
    <col min="7" max="7" width="6.33203125" style="1" customWidth="1"/>
    <col min="8" max="10" width="6.44140625" style="1" customWidth="1"/>
    <col min="11" max="11" width="9.33203125" style="1" bestFit="1" customWidth="1"/>
    <col min="12" max="13" width="11.5546875" customWidth="1"/>
    <col min="14" max="16384" width="11.44140625" style="1"/>
  </cols>
  <sheetData>
    <row r="2" spans="1:11" x14ac:dyDescent="0.2">
      <c r="A2" s="9" t="s">
        <v>89</v>
      </c>
      <c r="B2" s="10" t="s">
        <v>90</v>
      </c>
      <c r="C2" s="11"/>
      <c r="D2" s="9" t="s">
        <v>39</v>
      </c>
      <c r="E2" s="10" t="s">
        <v>43</v>
      </c>
      <c r="F2" s="11"/>
      <c r="G2" s="10" t="s">
        <v>44</v>
      </c>
      <c r="H2" s="11"/>
      <c r="I2" s="10" t="s">
        <v>61</v>
      </c>
      <c r="J2" s="11"/>
      <c r="K2" s="9" t="s">
        <v>50</v>
      </c>
    </row>
    <row r="3" spans="1:11" x14ac:dyDescent="0.2">
      <c r="A3" s="8" t="s">
        <v>38</v>
      </c>
      <c r="B3" s="8" t="s">
        <v>40</v>
      </c>
      <c r="C3" s="8" t="s">
        <v>41</v>
      </c>
      <c r="D3" s="8" t="s">
        <v>38</v>
      </c>
      <c r="E3" s="8" t="s">
        <v>42</v>
      </c>
      <c r="F3" s="8" t="s">
        <v>51</v>
      </c>
      <c r="G3" s="8" t="s">
        <v>42</v>
      </c>
      <c r="H3" s="8" t="s">
        <v>52</v>
      </c>
      <c r="I3" s="8" t="s">
        <v>60</v>
      </c>
      <c r="J3" s="8" t="s">
        <v>59</v>
      </c>
      <c r="K3" s="8" t="s">
        <v>49</v>
      </c>
    </row>
    <row r="4" spans="1:11" x14ac:dyDescent="0.2">
      <c r="A4" s="5">
        <v>1</v>
      </c>
      <c r="B4" s="4">
        <v>1</v>
      </c>
      <c r="C4" s="4">
        <v>1</v>
      </c>
      <c r="D4" s="6" t="s">
        <v>88</v>
      </c>
      <c r="E4" s="6" t="s">
        <v>20</v>
      </c>
      <c r="F4" s="4">
        <v>0.15</v>
      </c>
      <c r="G4" s="6" t="s">
        <v>20</v>
      </c>
      <c r="H4" s="4">
        <v>0.25</v>
      </c>
      <c r="I4" s="3">
        <f>VLOOKUP(E4,PESOS!$B$3:$F$26,3,FALSE)*1/F4</f>
        <v>47.1238898038469</v>
      </c>
      <c r="J4" s="3">
        <f>VLOOKUP(G4,PESOS!$B$3:$F$26,3,FALSE)*1/H4</f>
        <v>28.274333882308138</v>
      </c>
      <c r="K4" s="12">
        <f>A4*(VLOOKUP(E4,PESOS!$B$3:$F$26,5,FALSE)*(B4*ROUNDUP(C4/F4,0))+VLOOKUP(G4,PESOS!$B$3:$F$26,5,FALSE)*(C4*ROUNDUP(B4/H4,0)))</f>
        <v>0.61037218268432691</v>
      </c>
    </row>
    <row r="5" spans="1:11" x14ac:dyDescent="0.2">
      <c r="A5" s="5">
        <v>1</v>
      </c>
      <c r="B5" s="4">
        <v>1</v>
      </c>
      <c r="C5" s="4">
        <v>1</v>
      </c>
      <c r="D5" s="6" t="s">
        <v>54</v>
      </c>
      <c r="E5" s="6" t="s">
        <v>22</v>
      </c>
      <c r="F5" s="4">
        <v>0.25</v>
      </c>
      <c r="G5" s="6" t="s">
        <v>22</v>
      </c>
      <c r="H5" s="4">
        <v>0.35</v>
      </c>
      <c r="I5" s="3">
        <f>VLOOKUP(E5,PESOS!$B$3:$F$26,3,FALSE)*1/F5</f>
        <v>50.26548245743669</v>
      </c>
      <c r="J5" s="3">
        <f>VLOOKUP(G5,PESOS!$B$3:$F$26,3,FALSE)*1/H5</f>
        <v>35.903916041026207</v>
      </c>
      <c r="K5" s="12">
        <f>A5*(VLOOKUP(E5,PESOS!$B$3:$F$26,5,FALSE)*(B5*ROUNDUP(C5/F5,0))+VLOOKUP(G5,PESOS!$B$3:$F$26,5,FALSE)*(C5*ROUNDUP(B5/H5,0)))</f>
        <v>0.69052206525903648</v>
      </c>
    </row>
    <row r="6" spans="1:11" x14ac:dyDescent="0.2">
      <c r="A6" s="5">
        <v>1</v>
      </c>
      <c r="B6" s="4">
        <v>1</v>
      </c>
      <c r="C6" s="4">
        <v>1</v>
      </c>
      <c r="D6" s="6" t="s">
        <v>55</v>
      </c>
      <c r="E6" s="6" t="s">
        <v>20</v>
      </c>
      <c r="F6" s="4">
        <v>0.1</v>
      </c>
      <c r="G6" s="6" t="s">
        <v>20</v>
      </c>
      <c r="H6" s="4">
        <v>0.15</v>
      </c>
      <c r="I6" s="3">
        <f>VLOOKUP(E6,PESOS!$B$3:$F$26,3,FALSE)*1/F6</f>
        <v>70.685834705770347</v>
      </c>
      <c r="J6" s="3">
        <f>VLOOKUP(G6,PESOS!$B$3:$F$26,3,FALSE)*1/H6</f>
        <v>47.1238898038469</v>
      </c>
      <c r="K6" s="12">
        <f>A6*(VLOOKUP(E6,PESOS!$B$3:$F$26,5,FALSE)*(B6*ROUNDUP(C6/F6,0))+VLOOKUP(G6,PESOS!$B$3:$F$26,5,FALSE)*(C6*ROUNDUP(B6/H6,0)))</f>
        <v>0.94330246414850527</v>
      </c>
    </row>
    <row r="7" spans="1:11" x14ac:dyDescent="0.2">
      <c r="A7" s="5">
        <v>1</v>
      </c>
      <c r="B7" s="4">
        <v>1</v>
      </c>
      <c r="C7" s="4">
        <v>1</v>
      </c>
      <c r="D7" s="6" t="s">
        <v>56</v>
      </c>
      <c r="E7" s="6" t="s">
        <v>22</v>
      </c>
      <c r="F7" s="4">
        <v>0.15</v>
      </c>
      <c r="G7" s="6" t="s">
        <v>22</v>
      </c>
      <c r="H7" s="4">
        <v>0.25</v>
      </c>
      <c r="I7" s="3">
        <f>VLOOKUP(E7,PESOS!$B$3:$F$26,3,FALSE)*1/F7</f>
        <v>83.775804095727821</v>
      </c>
      <c r="J7" s="3">
        <f>VLOOKUP(G7,PESOS!$B$3:$F$26,3,FALSE)*1/H7</f>
        <v>50.26548245743669</v>
      </c>
      <c r="K7" s="12">
        <f>A7*(VLOOKUP(E7,PESOS!$B$3:$F$26,5,FALSE)*(B7*ROUNDUP(C7/F7,0))+VLOOKUP(G7,PESOS!$B$3:$F$26,5,FALSE)*(C7*ROUNDUP(B7/H7,0)))</f>
        <v>1.0851061025499145</v>
      </c>
    </row>
    <row r="8" spans="1:11" x14ac:dyDescent="0.2">
      <c r="A8" s="5">
        <v>1</v>
      </c>
      <c r="B8" s="4">
        <v>1</v>
      </c>
      <c r="C8" s="4">
        <v>1</v>
      </c>
      <c r="D8" s="6" t="s">
        <v>57</v>
      </c>
      <c r="E8" s="6" t="s">
        <v>23</v>
      </c>
      <c r="F8" s="4">
        <v>0.15</v>
      </c>
      <c r="G8" s="6" t="s">
        <v>22</v>
      </c>
      <c r="H8" s="4">
        <v>0.25</v>
      </c>
      <c r="I8" s="3">
        <f>VLOOKUP(E8,PESOS!$B$3:$F$26,3,FALSE)*1/F8</f>
        <v>106.02875205865551</v>
      </c>
      <c r="J8" s="3">
        <f>VLOOKUP(G8,PESOS!$B$3:$F$26,3,FALSE)*1/H8</f>
        <v>50.26548245743669</v>
      </c>
      <c r="K8" s="12">
        <f>A8*(VLOOKUP(E8,PESOS!$B$3:$F$26,5,FALSE)*(B8*ROUNDUP(C8/F8,0))+VLOOKUP(G8,PESOS!$B$3:$F$26,5,FALSE)*(C8*ROUNDUP(B8/H8,0)))</f>
        <v>1.2685260261343461</v>
      </c>
    </row>
    <row r="9" spans="1:11" x14ac:dyDescent="0.2">
      <c r="A9" s="5">
        <v>1</v>
      </c>
      <c r="B9" s="4">
        <v>1</v>
      </c>
      <c r="C9" s="4">
        <v>1</v>
      </c>
      <c r="D9" s="6" t="s">
        <v>58</v>
      </c>
      <c r="E9" s="6" t="s">
        <v>23</v>
      </c>
      <c r="F9" s="4">
        <v>0.15</v>
      </c>
      <c r="G9" s="6" t="s">
        <v>20</v>
      </c>
      <c r="H9" s="4">
        <v>0.25</v>
      </c>
      <c r="I9" s="3">
        <f>VLOOKUP(E9,PESOS!$B$3:$F$26,3,FALSE)*1/F9</f>
        <v>106.02875205865551</v>
      </c>
      <c r="J9" s="3">
        <f>VLOOKUP(G9,PESOS!$B$3:$F$26,3,FALSE)*1/H9</f>
        <v>28.274333882308138</v>
      </c>
      <c r="K9" s="12">
        <f>A9*(VLOOKUP(E9,PESOS!$B$3:$F$26,5,FALSE)*(B9*ROUNDUP(C9/F9,0))+VLOOKUP(G9,PESOS!$B$3:$F$26,5,FALSE)*(C9*ROUNDUP(B9/H9,0)))</f>
        <v>1.0958955098195871</v>
      </c>
    </row>
    <row r="10" spans="1:11" x14ac:dyDescent="0.2">
      <c r="A10" s="5">
        <v>1</v>
      </c>
      <c r="B10" s="4">
        <v>1</v>
      </c>
      <c r="C10" s="4">
        <v>1</v>
      </c>
      <c r="D10" s="6" t="s">
        <v>62</v>
      </c>
      <c r="E10" s="23" t="s">
        <v>24</v>
      </c>
      <c r="F10" s="4">
        <v>0.15</v>
      </c>
      <c r="G10" s="6" t="s">
        <v>22</v>
      </c>
      <c r="H10" s="4">
        <v>0.3</v>
      </c>
      <c r="I10" s="3">
        <f>VLOOKUP(E10,PESOS!$B$3:$F$26,3,FALSE)*1/F10</f>
        <v>130.89969389957471</v>
      </c>
      <c r="J10" s="3">
        <f>VLOOKUP(G10,PESOS!$B$3:$F$26,3,FALSE)*1/H10</f>
        <v>41.887902047863911</v>
      </c>
      <c r="K10" s="12">
        <f>A10*(VLOOKUP(E10,PESOS!$B$3:$F$26,5,FALSE)*(B10*ROUNDUP(C10/F10,0))+VLOOKUP(G10,PESOS!$B$3:$F$26,5,FALSE)*(C10*ROUNDUP(B10/H10,0)))</f>
        <v>1.4735247642581224</v>
      </c>
    </row>
    <row r="11" spans="1:11" x14ac:dyDescent="0.2">
      <c r="A11" s="5">
        <v>1</v>
      </c>
      <c r="B11" s="4">
        <v>1</v>
      </c>
      <c r="C11" s="4">
        <v>1</v>
      </c>
      <c r="D11" s="6" t="s">
        <v>63</v>
      </c>
      <c r="E11" s="6" t="s">
        <v>25</v>
      </c>
      <c r="F11" s="4">
        <v>0.15</v>
      </c>
      <c r="G11" s="6" t="s">
        <v>22</v>
      </c>
      <c r="H11" s="4">
        <v>0.25</v>
      </c>
      <c r="I11" s="3">
        <f>VLOOKUP(E11,PESOS!$B$3:$F$26,3,FALSE)*1/F11</f>
        <v>158.38862961848542</v>
      </c>
      <c r="J11" s="3">
        <f>VLOOKUP(G11,PESOS!$B$3:$F$26,3,FALSE)*1/H11</f>
        <v>50.26548245743669</v>
      </c>
      <c r="K11" s="12">
        <f>A11*(VLOOKUP(E11,PESOS!$B$3:$F$26,5,FALSE)*(B11*ROUNDUP(C11/F11,0))+VLOOKUP(G11,PESOS!$B$3:$F$26,5,FALSE)*(C11*ROUNDUP(B11/H11,0)))</f>
        <v>1.7001023169212439</v>
      </c>
    </row>
    <row r="12" spans="1:11" x14ac:dyDescent="0.2">
      <c r="A12" s="5">
        <v>1</v>
      </c>
      <c r="B12" s="4">
        <v>1</v>
      </c>
      <c r="C12" s="4">
        <v>1</v>
      </c>
      <c r="D12" s="6" t="s">
        <v>64</v>
      </c>
      <c r="E12" s="6" t="s">
        <v>24</v>
      </c>
      <c r="F12" s="4">
        <v>0.1</v>
      </c>
      <c r="G12" s="6" t="s">
        <v>21</v>
      </c>
      <c r="H12" s="4">
        <v>0.3</v>
      </c>
      <c r="I12" s="3">
        <f>VLOOKUP(E12,PESOS!$B$3:$F$26,3,FALSE)*1/F12</f>
        <v>196.34954084936206</v>
      </c>
      <c r="J12" s="3">
        <f>VLOOKUP(G12,PESOS!$B$3:$F$26,3,FALSE)*1/H12</f>
        <v>32.070425005395805</v>
      </c>
      <c r="K12" s="12">
        <f>A12*(VLOOKUP(E12,PESOS!$B$3:$F$26,5,FALSE)*(B12*ROUNDUP(C12/F12,0))+VLOOKUP(G12,PESOS!$B$3:$F$26,5,FALSE)*(C12*ROUNDUP(B12/H12,0)))</f>
        <v>1.8434472992183206</v>
      </c>
    </row>
    <row r="13" spans="1:11" x14ac:dyDescent="0.2">
      <c r="A13" s="5">
        <v>1</v>
      </c>
      <c r="B13" s="4">
        <v>1</v>
      </c>
      <c r="C13" s="4">
        <v>1</v>
      </c>
      <c r="D13" s="6" t="s">
        <v>65</v>
      </c>
      <c r="E13" s="6" t="s">
        <v>27</v>
      </c>
      <c r="F13" s="4">
        <v>0.15</v>
      </c>
      <c r="G13" s="6" t="s">
        <v>22</v>
      </c>
      <c r="H13" s="4">
        <v>0.25</v>
      </c>
      <c r="I13" s="3">
        <f>VLOOKUP(E13,PESOS!$B$3:$F$26,3,FALSE)*1/F13</f>
        <v>221.22048269028127</v>
      </c>
      <c r="J13" s="3">
        <f>VLOOKUP(G13,PESOS!$B$3:$F$26,3,FALSE)*1/H13</f>
        <v>50.26548245743669</v>
      </c>
      <c r="K13" s="12">
        <f>A13*(VLOOKUP(E13,PESOS!$B$3:$F$26,5,FALSE)*(B13*ROUNDUP(C13/F13,0))+VLOOKUP(G13,PESOS!$B$3:$F$26,5,FALSE)*(C13*ROUNDUP(B13/H13,0)))</f>
        <v>2.2179938658655214</v>
      </c>
    </row>
    <row r="14" spans="1:11" x14ac:dyDescent="0.2">
      <c r="A14" s="5">
        <v>1</v>
      </c>
      <c r="B14" s="4">
        <v>1</v>
      </c>
      <c r="C14" s="4">
        <v>1</v>
      </c>
      <c r="D14" s="6" t="s">
        <v>48</v>
      </c>
      <c r="E14" s="6" t="s">
        <v>28</v>
      </c>
      <c r="F14" s="4">
        <v>0.15</v>
      </c>
      <c r="G14" s="6" t="s">
        <v>24</v>
      </c>
      <c r="H14" s="4">
        <v>0.25</v>
      </c>
      <c r="I14" s="3">
        <f>VLOOKUP(E14,PESOS!$B$3:$F$26,3,FALSE)*1/F14</f>
        <v>256.56340004316644</v>
      </c>
      <c r="J14" s="3">
        <f>VLOOKUP(G14,PESOS!$B$3:$F$26,3,FALSE)*1/H14</f>
        <v>78.539816339744831</v>
      </c>
      <c r="K14" s="12">
        <f>A14*(VLOOKUP(E14,PESOS!$B$3:$F$26,5,FALSE)*(B14*ROUNDUP(C14/F14,0))+VLOOKUP(G14,PESOS!$B$3:$F$26,5,FALSE)*(C14*ROUNDUP(B14/H14,0)))</f>
        <v>2.7312613831227956</v>
      </c>
    </row>
    <row r="15" spans="1:11" x14ac:dyDescent="0.2">
      <c r="A15" s="3">
        <v>1</v>
      </c>
      <c r="B15" s="4">
        <v>1</v>
      </c>
      <c r="C15" s="4">
        <v>1</v>
      </c>
      <c r="D15" s="7" t="s">
        <v>66</v>
      </c>
      <c r="E15" s="6" t="s">
        <v>26</v>
      </c>
      <c r="F15" s="2">
        <v>0.1</v>
      </c>
      <c r="G15" s="6" t="s">
        <v>24</v>
      </c>
      <c r="H15" s="2">
        <v>0.25</v>
      </c>
      <c r="I15" s="3">
        <f>VLOOKUP(E15,PESOS!$B$3:$F$26,3,FALSE)*1/F15</f>
        <v>282.74333882308139</v>
      </c>
      <c r="J15" s="3">
        <f>VLOOKUP(G15,PESOS!$B$3:$F$26,3,FALSE)*1/H15</f>
        <v>78.539816339744831</v>
      </c>
      <c r="K15" s="12">
        <f>A15*(VLOOKUP(E15,PESOS!$B$3:$F$26,5,FALSE)*(B15*ROUNDUP(C15/F15,0))+VLOOKUP(G15,PESOS!$B$3:$F$26,5,FALSE)*(C15*ROUNDUP(B15/H15,0)))</f>
        <v>2.8360727680281856</v>
      </c>
    </row>
    <row r="16" spans="1:11" x14ac:dyDescent="0.2">
      <c r="A16" s="3">
        <v>1</v>
      </c>
      <c r="B16" s="4">
        <v>1</v>
      </c>
      <c r="C16" s="4">
        <v>1</v>
      </c>
      <c r="D16" s="7" t="s">
        <v>53</v>
      </c>
      <c r="E16" s="6" t="s">
        <v>30</v>
      </c>
      <c r="F16" s="2">
        <v>0.15</v>
      </c>
      <c r="G16" s="7" t="s">
        <v>23</v>
      </c>
      <c r="H16" s="2">
        <v>0.25</v>
      </c>
      <c r="I16" s="3">
        <f>VLOOKUP(E16,PESOS!$B$3:$F$26,3,FALSE)*1/F16</f>
        <v>335.10321638291128</v>
      </c>
      <c r="J16" s="3">
        <f>VLOOKUP(G16,PESOS!$B$3:$F$26,3,FALSE)*1/H16</f>
        <v>63.617251235193308</v>
      </c>
      <c r="K16" s="12">
        <f>A16*(VLOOKUP(E16,PESOS!$B$3:$F$26,5,FALSE)*(B16*ROUNDUP(C16/F16,0))+VLOOKUP(G16,PESOS!$B$3:$F$26,5,FALSE)*(C16*ROUNDUP(B16/H16,0)))</f>
        <v>3.2614836832324134</v>
      </c>
    </row>
    <row r="17" spans="1:11" x14ac:dyDescent="0.2">
      <c r="A17" s="3">
        <v>1</v>
      </c>
      <c r="B17" s="4">
        <v>1</v>
      </c>
      <c r="C17" s="4">
        <v>1</v>
      </c>
      <c r="D17" s="7" t="s">
        <v>67</v>
      </c>
      <c r="E17" s="7" t="s">
        <v>30</v>
      </c>
      <c r="F17" s="2">
        <v>0.15</v>
      </c>
      <c r="G17" s="7" t="s">
        <v>26</v>
      </c>
      <c r="H17" s="2">
        <v>0.2</v>
      </c>
      <c r="I17" s="3">
        <f>VLOOKUP(E17,PESOS!$B$3:$F$26,3,FALSE)*1/F17</f>
        <v>335.10321638291128</v>
      </c>
      <c r="J17" s="3">
        <f>VLOOKUP(G17,PESOS!$B$3:$F$26,3,FALSE)*1/H17</f>
        <v>141.37166941154069</v>
      </c>
      <c r="K17" s="12">
        <f>A17*(VLOOKUP(E17,PESOS!$B$3:$F$26,5,FALSE)*(B17*ROUNDUP(C17/F17,0))+VLOOKUP(G17,PESOS!$B$3:$F$26,5,FALSE)*(C17*ROUNDUP(B17/H17,0)))</f>
        <v>3.8718558659167401</v>
      </c>
    </row>
    <row r="18" spans="1:11" x14ac:dyDescent="0.2">
      <c r="A18" s="3">
        <v>1</v>
      </c>
      <c r="B18" s="4">
        <v>1</v>
      </c>
      <c r="C18" s="4">
        <v>1</v>
      </c>
      <c r="D18" s="7" t="s">
        <v>68</v>
      </c>
      <c r="E18" s="7" t="s">
        <v>31</v>
      </c>
      <c r="F18" s="2">
        <v>0.15</v>
      </c>
      <c r="G18" s="7" t="s">
        <v>24</v>
      </c>
      <c r="H18" s="2">
        <v>0.25</v>
      </c>
      <c r="I18" s="3">
        <f>VLOOKUP(E18,PESOS!$B$3:$F$26,3,FALSE)*1/F18</f>
        <v>378.30011536977094</v>
      </c>
      <c r="J18" s="3">
        <f>VLOOKUP(G18,PESOS!$B$3:$F$26,3,FALSE)*1/H18</f>
        <v>78.539816339744831</v>
      </c>
      <c r="K18" s="12">
        <f>A18*(VLOOKUP(E18,PESOS!$B$3:$F$26,5,FALSE)*(B18*ROUNDUP(C18/F18,0))+VLOOKUP(G18,PESOS!$B$3:$F$26,5,FALSE)*(C18*ROUNDUP(B18/H18,0)))</f>
        <v>3.7346762592023333</v>
      </c>
    </row>
    <row r="19" spans="1:11" x14ac:dyDescent="0.2">
      <c r="A19" s="3">
        <v>1</v>
      </c>
      <c r="B19" s="4">
        <v>1</v>
      </c>
      <c r="C19" s="4">
        <v>1</v>
      </c>
      <c r="D19" s="7" t="s">
        <v>69</v>
      </c>
      <c r="E19" s="7" t="s">
        <v>29</v>
      </c>
      <c r="F19" s="2">
        <v>0.1</v>
      </c>
      <c r="G19" s="7" t="s">
        <v>25</v>
      </c>
      <c r="H19" s="2">
        <v>0.25</v>
      </c>
      <c r="I19" s="3">
        <f>VLOOKUP(E19,PESOS!$B$3:$F$26,3,FALSE)*1/F19</f>
        <v>441.78646691106462</v>
      </c>
      <c r="J19" s="3">
        <f>VLOOKUP(G19,PESOS!$B$3:$F$26,3,FALSE)*1/H19</f>
        <v>95.033177771091246</v>
      </c>
      <c r="K19" s="12">
        <f>A19*(VLOOKUP(E19,PESOS!$B$3:$F$26,5,FALSE)*(B19*ROUNDUP(C19/F19,0))+VLOOKUP(G19,PESOS!$B$3:$F$26,5,FALSE)*(C19*ROUNDUP(B19/H19,0)))</f>
        <v>4.2140342107549236</v>
      </c>
    </row>
    <row r="20" spans="1:11" x14ac:dyDescent="0.2">
      <c r="A20" s="3">
        <v>1</v>
      </c>
      <c r="B20" s="4">
        <v>1</v>
      </c>
      <c r="C20" s="4">
        <v>1</v>
      </c>
      <c r="D20" s="7" t="s">
        <v>70</v>
      </c>
      <c r="E20" s="6" t="s">
        <v>30</v>
      </c>
      <c r="F20" s="2">
        <v>0.1</v>
      </c>
      <c r="G20" s="6" t="s">
        <v>26</v>
      </c>
      <c r="H20" s="2">
        <v>0.2</v>
      </c>
      <c r="I20" s="3">
        <f>VLOOKUP(E20,PESOS!$B$3:$F$26,3,FALSE)*1/F20</f>
        <v>502.6548245743669</v>
      </c>
      <c r="J20" s="3">
        <f>VLOOKUP(G20,PESOS!$B$3:$F$26,3,FALSE)*1/H20</f>
        <v>141.37166941154069</v>
      </c>
      <c r="K20" s="12">
        <f>A20*(VLOOKUP(E20,PESOS!$B$3:$F$26,5,FALSE)*(B20*ROUNDUP(C20/F20,0))+VLOOKUP(G20,PESOS!$B$3:$F$26,5,FALSE)*(C20*ROUNDUP(B20/H20,0)))</f>
        <v>5.0556079777893741</v>
      </c>
    </row>
    <row r="21" spans="1:11" x14ac:dyDescent="0.2">
      <c r="A21" s="3">
        <v>1</v>
      </c>
      <c r="B21" s="4">
        <v>1</v>
      </c>
      <c r="C21" s="4">
        <v>1</v>
      </c>
      <c r="D21" s="7" t="s">
        <v>71</v>
      </c>
      <c r="E21" s="7" t="s">
        <v>31</v>
      </c>
      <c r="F21" s="2">
        <v>0.1</v>
      </c>
      <c r="G21" s="7" t="s">
        <v>26</v>
      </c>
      <c r="H21" s="2">
        <v>0.2</v>
      </c>
      <c r="I21" s="3">
        <f>VLOOKUP(E21,PESOS!$B$3:$F$26,3,FALSE)*1/F21</f>
        <v>567.45017305465637</v>
      </c>
      <c r="J21" s="3">
        <f>VLOOKUP(G21,PESOS!$B$3:$F$26,3,FALSE)*1/H21</f>
        <v>141.37166941154069</v>
      </c>
      <c r="K21" s="12">
        <f>A21*(VLOOKUP(E21,PESOS!$B$3:$F$26,5,FALSE)*(B21*ROUNDUP(C21/F21,0))+VLOOKUP(G21,PESOS!$B$3:$F$26,5,FALSE)*(C21*ROUNDUP(B21/H21,0)))</f>
        <v>5.5642514633596472</v>
      </c>
    </row>
    <row r="22" spans="1:11" x14ac:dyDescent="0.2">
      <c r="A22" s="3">
        <v>1</v>
      </c>
      <c r="B22" s="4">
        <v>1</v>
      </c>
      <c r="C22" s="4">
        <v>1</v>
      </c>
      <c r="D22" s="7" t="s">
        <v>72</v>
      </c>
      <c r="E22" s="7" t="s">
        <v>20</v>
      </c>
      <c r="F22" s="2">
        <v>0.3</v>
      </c>
      <c r="G22" s="7" t="str">
        <f t="shared" ref="G22:G35" si="0">E22</f>
        <v>3.0M</v>
      </c>
      <c r="H22" s="2">
        <f t="shared" ref="H22:H35" si="1">F22</f>
        <v>0.3</v>
      </c>
      <c r="I22" s="3">
        <f>VLOOKUP(E22,PESOS!$B$3:$F$26,3,FALSE)*1/F22</f>
        <v>23.56194490192345</v>
      </c>
      <c r="J22" s="3">
        <f>VLOOKUP(G22,PESOS!$B$3:$F$26,3,FALSE)*1/H22</f>
        <v>23.56194490192345</v>
      </c>
      <c r="K22" s="12">
        <f>A22*(VLOOKUP(E22,PESOS!$B$3:$F$26,5,FALSE)*(B22*ROUNDUP(C22/F22,0))+VLOOKUP(G22,PESOS!$B$3:$F$26,5,FALSE)*(C22*ROUNDUP(B22/H22,0)))</f>
        <v>0.44390704195223779</v>
      </c>
    </row>
    <row r="23" spans="1:11" x14ac:dyDescent="0.2">
      <c r="A23" s="3">
        <v>1</v>
      </c>
      <c r="B23" s="4">
        <v>1</v>
      </c>
      <c r="C23" s="4">
        <v>1</v>
      </c>
      <c r="D23" s="7" t="s">
        <v>73</v>
      </c>
      <c r="E23" s="7" t="s">
        <v>21</v>
      </c>
      <c r="F23" s="2">
        <v>0.15</v>
      </c>
      <c r="G23" s="7" t="str">
        <f t="shared" si="0"/>
        <v>3.5M</v>
      </c>
      <c r="H23" s="2">
        <f t="shared" si="1"/>
        <v>0.15</v>
      </c>
      <c r="I23" s="3">
        <f>VLOOKUP(E23,PESOS!$B$3:$F$26,3,FALSE)*1/F23</f>
        <v>64.14085001079161</v>
      </c>
      <c r="J23" s="3">
        <f>VLOOKUP(G23,PESOS!$B$3:$F$26,3,FALSE)*1/H23</f>
        <v>64.14085001079161</v>
      </c>
      <c r="K23" s="12">
        <f>A23*(VLOOKUP(E23,PESOS!$B$3:$F$26,5,FALSE)*(B23*ROUNDUP(C23/F23,0))+VLOOKUP(G23,PESOS!$B$3:$F$26,5,FALSE)*(C23*ROUNDUP(B23/H23,0)))</f>
        <v>1.0573619124278995</v>
      </c>
    </row>
    <row r="24" spans="1:11" x14ac:dyDescent="0.2">
      <c r="A24" s="3">
        <v>1</v>
      </c>
      <c r="B24" s="4">
        <v>1</v>
      </c>
      <c r="C24" s="4">
        <v>1</v>
      </c>
      <c r="D24" s="7" t="s">
        <v>74</v>
      </c>
      <c r="E24" s="7" t="s">
        <v>22</v>
      </c>
      <c r="F24" s="2">
        <v>0.15</v>
      </c>
      <c r="G24" s="7" t="str">
        <f t="shared" si="0"/>
        <v>4.0M</v>
      </c>
      <c r="H24" s="2">
        <f t="shared" si="1"/>
        <v>0.15</v>
      </c>
      <c r="I24" s="3">
        <f>VLOOKUP(E24,PESOS!$B$3:$F$26,3,FALSE)*1/F24</f>
        <v>83.775804095727821</v>
      </c>
      <c r="J24" s="3">
        <f>VLOOKUP(G24,PESOS!$B$3:$F$26,3,FALSE)*1/H24</f>
        <v>83.775804095727821</v>
      </c>
      <c r="K24" s="12">
        <f>A24*(VLOOKUP(E24,PESOS!$B$3:$F$26,5,FALSE)*(B24*ROUNDUP(C24/F24,0))+VLOOKUP(G24,PESOS!$B$3:$F$26,5,FALSE)*(C24*ROUNDUP(B24/H24,0)))</f>
        <v>1.381044130518073</v>
      </c>
    </row>
    <row r="25" spans="1:11" x14ac:dyDescent="0.2">
      <c r="A25" s="3">
        <v>1</v>
      </c>
      <c r="B25" s="4">
        <v>1</v>
      </c>
      <c r="C25" s="4">
        <v>1</v>
      </c>
      <c r="D25" s="7" t="s">
        <v>75</v>
      </c>
      <c r="E25" s="7" t="s">
        <v>23</v>
      </c>
      <c r="F25" s="2">
        <v>0.15</v>
      </c>
      <c r="G25" s="7" t="str">
        <f t="shared" si="0"/>
        <v>4.5M</v>
      </c>
      <c r="H25" s="2">
        <f t="shared" si="1"/>
        <v>0.15</v>
      </c>
      <c r="I25" s="3">
        <f>VLOOKUP(E25,PESOS!$B$3:$F$26,3,FALSE)*1/F25</f>
        <v>106.02875205865551</v>
      </c>
      <c r="J25" s="3">
        <f>VLOOKUP(G25,PESOS!$B$3:$F$26,3,FALSE)*1/H25</f>
        <v>106.02875205865551</v>
      </c>
      <c r="K25" s="12">
        <f>A25*(VLOOKUP(E25,PESOS!$B$3:$F$26,5,FALSE)*(B25*ROUNDUP(C25/F25,0))+VLOOKUP(G25,PESOS!$B$3:$F$26,5,FALSE)*(C25*ROUNDUP(B25/H25,0)))</f>
        <v>1.7478839776869362</v>
      </c>
    </row>
    <row r="26" spans="1:11" x14ac:dyDescent="0.2">
      <c r="A26" s="3">
        <v>1</v>
      </c>
      <c r="B26" s="4">
        <v>1</v>
      </c>
      <c r="C26" s="4">
        <v>1</v>
      </c>
      <c r="D26" s="7" t="s">
        <v>76</v>
      </c>
      <c r="E26" s="7" t="s">
        <v>24</v>
      </c>
      <c r="F26" s="2">
        <v>0.15</v>
      </c>
      <c r="G26" s="7" t="str">
        <f t="shared" si="0"/>
        <v>5.0M</v>
      </c>
      <c r="H26" s="2">
        <f t="shared" si="1"/>
        <v>0.15</v>
      </c>
      <c r="I26" s="3">
        <f>VLOOKUP(E26,PESOS!$B$3:$F$26,3,FALSE)*1/F26</f>
        <v>130.89969389957471</v>
      </c>
      <c r="J26" s="3">
        <f>VLOOKUP(G26,PESOS!$B$3:$F$26,3,FALSE)*1/H26</f>
        <v>130.89969389957471</v>
      </c>
      <c r="K26" s="12">
        <f>A26*(VLOOKUP(E26,PESOS!$B$3:$F$26,5,FALSE)*(B26*ROUNDUP(C26/F26,0))+VLOOKUP(G26,PESOS!$B$3:$F$26,5,FALSE)*(C26*ROUNDUP(B26/H26,0)))</f>
        <v>2.1578814539344888</v>
      </c>
    </row>
    <row r="27" spans="1:11" x14ac:dyDescent="0.2">
      <c r="A27" s="3">
        <v>1</v>
      </c>
      <c r="B27" s="4">
        <v>1</v>
      </c>
      <c r="C27" s="4">
        <v>1</v>
      </c>
      <c r="D27" s="7" t="s">
        <v>77</v>
      </c>
      <c r="E27" s="7" t="s">
        <v>25</v>
      </c>
      <c r="F27" s="2">
        <v>0.15</v>
      </c>
      <c r="G27" s="7" t="str">
        <f t="shared" si="0"/>
        <v>5.5M</v>
      </c>
      <c r="H27" s="2">
        <f t="shared" si="1"/>
        <v>0.15</v>
      </c>
      <c r="I27" s="3">
        <f>VLOOKUP(E27,PESOS!$B$3:$F$26,3,FALSE)*1/F27</f>
        <v>158.38862961848542</v>
      </c>
      <c r="J27" s="3">
        <f>VLOOKUP(G27,PESOS!$B$3:$F$26,3,FALSE)*1/H27</f>
        <v>158.38862961848542</v>
      </c>
      <c r="K27" s="12">
        <f>A27*(VLOOKUP(E27,PESOS!$B$3:$F$26,5,FALSE)*(B27*ROUNDUP(C27/F27,0))+VLOOKUP(G27,PESOS!$B$3:$F$26,5,FALSE)*(C27*ROUNDUP(B27/H27,0)))</f>
        <v>2.6110365592607319</v>
      </c>
    </row>
    <row r="28" spans="1:11" x14ac:dyDescent="0.2">
      <c r="A28" s="3">
        <v>1</v>
      </c>
      <c r="B28" s="4">
        <v>1</v>
      </c>
      <c r="C28" s="4">
        <v>1</v>
      </c>
      <c r="D28" s="7" t="s">
        <v>46</v>
      </c>
      <c r="E28" s="7" t="s">
        <v>26</v>
      </c>
      <c r="F28" s="2">
        <v>0.15</v>
      </c>
      <c r="G28" s="7" t="str">
        <f t="shared" si="0"/>
        <v>6.0M</v>
      </c>
      <c r="H28" s="2">
        <f t="shared" si="1"/>
        <v>0.15</v>
      </c>
      <c r="I28" s="3">
        <f>VLOOKUP(E28,PESOS!$B$3:$F$26,3,FALSE)*1/F28</f>
        <v>188.4955592153876</v>
      </c>
      <c r="J28" s="3">
        <f>VLOOKUP(G28,PESOS!$B$3:$F$26,3,FALSE)*1/H28</f>
        <v>188.4955592153876</v>
      </c>
      <c r="K28" s="12">
        <f>A28*(VLOOKUP(E28,PESOS!$B$3:$F$26,5,FALSE)*(B28*ROUNDUP(C28/F28,0))+VLOOKUP(G28,PESOS!$B$3:$F$26,5,FALSE)*(C28*ROUNDUP(B28/H28,0)))</f>
        <v>3.1073492936656644</v>
      </c>
    </row>
    <row r="29" spans="1:11" x14ac:dyDescent="0.2">
      <c r="A29" s="3">
        <v>1</v>
      </c>
      <c r="B29" s="4">
        <v>1</v>
      </c>
      <c r="C29" s="4">
        <v>1</v>
      </c>
      <c r="D29" s="7" t="s">
        <v>47</v>
      </c>
      <c r="E29" s="7" t="s">
        <v>27</v>
      </c>
      <c r="F29" s="2">
        <v>0.15</v>
      </c>
      <c r="G29" s="7" t="str">
        <f t="shared" si="0"/>
        <v>6.5M</v>
      </c>
      <c r="H29" s="2">
        <f t="shared" si="1"/>
        <v>0.15</v>
      </c>
      <c r="I29" s="3">
        <f>VLOOKUP(E29,PESOS!$B$3:$F$26,3,FALSE)*1/F29</f>
        <v>221.22048269028127</v>
      </c>
      <c r="J29" s="3">
        <f>VLOOKUP(G29,PESOS!$B$3:$F$26,3,FALSE)*1/H29</f>
        <v>221.22048269028127</v>
      </c>
      <c r="K29" s="12">
        <f>A29*(VLOOKUP(E29,PESOS!$B$3:$F$26,5,FALSE)*(B29*ROUNDUP(C29/F29,0))+VLOOKUP(G29,PESOS!$B$3:$F$26,5,FALSE)*(C29*ROUNDUP(B29/H29,0)))</f>
        <v>3.6468196571492868</v>
      </c>
    </row>
    <row r="30" spans="1:11" x14ac:dyDescent="0.2">
      <c r="A30" s="3">
        <v>1</v>
      </c>
      <c r="B30" s="4">
        <v>6</v>
      </c>
      <c r="C30" s="4">
        <v>2.35</v>
      </c>
      <c r="D30" s="28" t="s">
        <v>263</v>
      </c>
      <c r="E30" s="7" t="s">
        <v>28</v>
      </c>
      <c r="F30" s="2">
        <v>0.15</v>
      </c>
      <c r="G30" s="7" t="str">
        <f t="shared" si="0"/>
        <v>7.0M</v>
      </c>
      <c r="H30" s="2">
        <f t="shared" si="1"/>
        <v>0.15</v>
      </c>
      <c r="I30" s="3">
        <f>VLOOKUP(E30,PESOS!$B$3:$F$26,3,FALSE)*1/F30</f>
        <v>256.56340004316644</v>
      </c>
      <c r="J30" s="3">
        <f>VLOOKUP(G30,PESOS!$B$3:$F$26,3,FALSE)*1/H30</f>
        <v>256.56340004316644</v>
      </c>
      <c r="K30" s="12">
        <f>A30*(VLOOKUP(E30,PESOS!$B$3:$F$26,5,FALSE)*(B30*ROUNDUP(C30/F30,0))+VLOOKUP(G30,PESOS!$B$3:$F$26,5,FALSE)*(C30*ROUNDUP(B30/H30,0)))</f>
        <v>57.399646674657404</v>
      </c>
    </row>
    <row r="31" spans="1:11" x14ac:dyDescent="0.2">
      <c r="A31" s="3">
        <v>1</v>
      </c>
      <c r="B31" s="4">
        <v>1</v>
      </c>
      <c r="C31" s="4">
        <v>1</v>
      </c>
      <c r="D31" s="7" t="s">
        <v>45</v>
      </c>
      <c r="E31" s="6" t="s">
        <v>29</v>
      </c>
      <c r="F31" s="2">
        <v>0.15</v>
      </c>
      <c r="G31" s="7" t="str">
        <f t="shared" si="0"/>
        <v>7.5M</v>
      </c>
      <c r="H31" s="2">
        <f t="shared" si="1"/>
        <v>0.15</v>
      </c>
      <c r="I31" s="3">
        <f>VLOOKUP(E31,PESOS!$B$3:$F$26,3,FALSE)*1/F31</f>
        <v>294.5243112740431</v>
      </c>
      <c r="J31" s="3">
        <f>VLOOKUP(G31,PESOS!$B$3:$F$26,3,FALSE)*1/H31</f>
        <v>294.5243112740431</v>
      </c>
      <c r="K31" s="12">
        <f>A31*(VLOOKUP(E31,PESOS!$B$3:$F$26,5,FALSE)*(B31*ROUNDUP(C31/F31,0))+VLOOKUP(G31,PESOS!$B$3:$F$26,5,FALSE)*(C31*ROUNDUP(B31/H31,0)))</f>
        <v>4.855233271352601</v>
      </c>
    </row>
    <row r="32" spans="1:11" x14ac:dyDescent="0.2">
      <c r="A32" s="3">
        <v>1</v>
      </c>
      <c r="B32" s="4">
        <v>1</v>
      </c>
      <c r="C32" s="4">
        <v>1</v>
      </c>
      <c r="D32" s="7" t="s">
        <v>78</v>
      </c>
      <c r="E32" s="7" t="s">
        <v>30</v>
      </c>
      <c r="F32" s="2">
        <v>0.15</v>
      </c>
      <c r="G32" s="7" t="str">
        <f t="shared" si="0"/>
        <v>8.0M</v>
      </c>
      <c r="H32" s="2">
        <f t="shared" si="1"/>
        <v>0.15</v>
      </c>
      <c r="I32" s="3">
        <f>VLOOKUP(E32,PESOS!$B$3:$F$26,3,FALSE)*1/F32</f>
        <v>335.10321638291128</v>
      </c>
      <c r="J32" s="3">
        <f>VLOOKUP(G32,PESOS!$B$3:$F$26,3,FALSE)*1/H32</f>
        <v>335.10321638291128</v>
      </c>
      <c r="K32" s="12">
        <f>A32*(VLOOKUP(E32,PESOS!$B$3:$F$26,5,FALSE)*(B32*ROUNDUP(C32/F32,0))+VLOOKUP(G32,PESOS!$B$3:$F$26,5,FALSE)*(C32*ROUNDUP(B32/H32,0)))</f>
        <v>5.5241765220722918</v>
      </c>
    </row>
    <row r="33" spans="1:11" x14ac:dyDescent="0.2">
      <c r="A33" s="3">
        <v>1</v>
      </c>
      <c r="B33" s="4">
        <v>1</v>
      </c>
      <c r="C33" s="4">
        <v>1</v>
      </c>
      <c r="D33" s="7" t="s">
        <v>79</v>
      </c>
      <c r="E33" s="7" t="s">
        <v>31</v>
      </c>
      <c r="F33" s="2">
        <v>0.15</v>
      </c>
      <c r="G33" s="7" t="str">
        <f t="shared" si="0"/>
        <v>8.5M</v>
      </c>
      <c r="H33" s="2">
        <f t="shared" si="1"/>
        <v>0.15</v>
      </c>
      <c r="I33" s="3">
        <f>VLOOKUP(E33,PESOS!$B$3:$F$26,3,FALSE)*1/F33</f>
        <v>378.30011536977094</v>
      </c>
      <c r="J33" s="3">
        <f>VLOOKUP(G33,PESOS!$B$3:$F$26,3,FALSE)*1/H33</f>
        <v>378.30011536977094</v>
      </c>
      <c r="K33" s="12">
        <f>A33*(VLOOKUP(E33,PESOS!$B$3:$F$26,5,FALSE)*(B33*ROUNDUP(C33/F33,0))+VLOOKUP(G33,PESOS!$B$3:$F$26,5,FALSE)*(C33*ROUNDUP(B33/H33,0)))</f>
        <v>6.236277401870673</v>
      </c>
    </row>
    <row r="34" spans="1:11" x14ac:dyDescent="0.2">
      <c r="A34" s="3">
        <v>1</v>
      </c>
      <c r="B34" s="4">
        <v>1</v>
      </c>
      <c r="C34" s="4">
        <v>1</v>
      </c>
      <c r="D34" s="7" t="s">
        <v>80</v>
      </c>
      <c r="E34" s="7" t="s">
        <v>29</v>
      </c>
      <c r="F34" s="2">
        <v>0.1</v>
      </c>
      <c r="G34" s="7" t="str">
        <f t="shared" si="0"/>
        <v>7.5M</v>
      </c>
      <c r="H34" s="2">
        <f t="shared" si="1"/>
        <v>0.1</v>
      </c>
      <c r="I34" s="3">
        <f>VLOOKUP(E34,PESOS!$B$3:$F$26,3,FALSE)*1/F34</f>
        <v>441.78646691106462</v>
      </c>
      <c r="J34" s="3">
        <f>VLOOKUP(G34,PESOS!$B$3:$F$26,3,FALSE)*1/H34</f>
        <v>441.78646691106462</v>
      </c>
      <c r="K34" s="12">
        <f>A34*(VLOOKUP(E34,PESOS!$B$3:$F$26,5,FALSE)*(B34*ROUNDUP(C34/F34,0))+VLOOKUP(G34,PESOS!$B$3:$F$26,5,FALSE)*(C34*ROUNDUP(B34/H34,0)))</f>
        <v>6.936047530503715</v>
      </c>
    </row>
    <row r="35" spans="1:11" x14ac:dyDescent="0.2">
      <c r="A35" s="3">
        <v>1</v>
      </c>
      <c r="B35" s="4">
        <v>1</v>
      </c>
      <c r="C35" s="4">
        <v>1</v>
      </c>
      <c r="D35" s="7" t="s">
        <v>81</v>
      </c>
      <c r="E35" s="7" t="s">
        <v>31</v>
      </c>
      <c r="F35" s="2">
        <v>0.1</v>
      </c>
      <c r="G35" s="7" t="str">
        <f t="shared" si="0"/>
        <v>8.5M</v>
      </c>
      <c r="H35" s="2">
        <f t="shared" si="1"/>
        <v>0.1</v>
      </c>
      <c r="I35" s="3">
        <f>VLOOKUP(E35,PESOS!$B$3:$F$26,3,FALSE)*1/F35</f>
        <v>567.45017305465637</v>
      </c>
      <c r="J35" s="3">
        <f>VLOOKUP(G35,PESOS!$B$3:$F$26,3,FALSE)*1/H35</f>
        <v>567.45017305465637</v>
      </c>
      <c r="K35" s="12">
        <f>A35*(VLOOKUP(E35,PESOS!$B$3:$F$26,5,FALSE)*(B35*ROUNDUP(C35/F35,0))+VLOOKUP(G35,PESOS!$B$3:$F$26,5,FALSE)*(C35*ROUNDUP(B35/H35,0)))</f>
        <v>8.9089677169581059</v>
      </c>
    </row>
    <row r="36" spans="1:11" x14ac:dyDescent="0.2">
      <c r="A36" s="3">
        <v>1</v>
      </c>
      <c r="B36" s="4">
        <v>1</v>
      </c>
      <c r="C36" s="4">
        <v>1</v>
      </c>
      <c r="D36" s="7" t="s">
        <v>82</v>
      </c>
      <c r="E36" s="7" t="s">
        <v>22</v>
      </c>
      <c r="F36" s="2">
        <v>0.15</v>
      </c>
      <c r="G36" s="7" t="s">
        <v>22</v>
      </c>
      <c r="H36" s="2">
        <v>0.3</v>
      </c>
      <c r="I36" s="3">
        <f>VLOOKUP(E36,PESOS!$B$3:$F$26,3,FALSE)*1/F36</f>
        <v>83.775804095727821</v>
      </c>
      <c r="J36" s="3">
        <f>VLOOKUP(G36,PESOS!$B$3:$F$26,3,FALSE)*1/H36</f>
        <v>41.887902047863911</v>
      </c>
      <c r="K36" s="12">
        <f>A36*(VLOOKUP(E36,PESOS!$B$3:$F$26,5,FALSE)*(B36*ROUNDUP(C36/F36,0))+VLOOKUP(G36,PESOS!$B$3:$F$26,5,FALSE)*(C36*ROUNDUP(B36/H36,0)))</f>
        <v>1.0851061025499145</v>
      </c>
    </row>
    <row r="37" spans="1:11" x14ac:dyDescent="0.2">
      <c r="A37" s="3">
        <v>1</v>
      </c>
      <c r="B37" s="4">
        <v>1</v>
      </c>
      <c r="C37" s="4">
        <v>1</v>
      </c>
      <c r="D37" s="7" t="s">
        <v>83</v>
      </c>
      <c r="E37" s="7" t="s">
        <v>24</v>
      </c>
      <c r="F37" s="2">
        <v>0.2</v>
      </c>
      <c r="G37" s="7" t="s">
        <v>24</v>
      </c>
      <c r="H37" s="2">
        <v>0.2</v>
      </c>
      <c r="I37" s="3">
        <f>VLOOKUP(E37,PESOS!$B$3:$F$26,3,FALSE)*1/F37</f>
        <v>98.174770424681029</v>
      </c>
      <c r="J37" s="3">
        <f>VLOOKUP(G37,PESOS!$B$3:$F$26,3,FALSE)*1/H37</f>
        <v>98.174770424681029</v>
      </c>
      <c r="K37" s="12">
        <f>A37*(VLOOKUP(E37,PESOS!$B$3:$F$26,5,FALSE)*(B37*ROUNDUP(C37/F37,0))+VLOOKUP(G37,PESOS!$B$3:$F$26,5,FALSE)*(C37*ROUNDUP(B37/H37,0)))</f>
        <v>1.5413438956674921</v>
      </c>
    </row>
    <row r="38" spans="1:11" x14ac:dyDescent="0.2">
      <c r="A38" s="3">
        <v>1</v>
      </c>
      <c r="B38" s="4">
        <v>1</v>
      </c>
      <c r="C38" s="4">
        <v>1</v>
      </c>
      <c r="D38" s="7" t="s">
        <v>84</v>
      </c>
      <c r="E38" s="7" t="s">
        <v>24</v>
      </c>
      <c r="F38" s="2">
        <v>0.15</v>
      </c>
      <c r="G38" s="7" t="s">
        <v>24</v>
      </c>
      <c r="H38" s="2">
        <v>0.3</v>
      </c>
      <c r="I38" s="3">
        <f>VLOOKUP(E38,PESOS!$B$3:$F$26,3,FALSE)*1/F38</f>
        <v>130.89969389957471</v>
      </c>
      <c r="J38" s="3">
        <f>VLOOKUP(G38,PESOS!$B$3:$F$26,3,FALSE)*1/H38</f>
        <v>65.449846949787357</v>
      </c>
      <c r="K38" s="12">
        <f>A38*(VLOOKUP(E38,PESOS!$B$3:$F$26,5,FALSE)*(B38*ROUNDUP(C38/F38,0))+VLOOKUP(G38,PESOS!$B$3:$F$26,5,FALSE)*(C38*ROUNDUP(B38/H38,0)))</f>
        <v>1.6954782852342412</v>
      </c>
    </row>
    <row r="39" spans="1:11" x14ac:dyDescent="0.2">
      <c r="A39" s="3">
        <v>1</v>
      </c>
      <c r="B39" s="4">
        <v>1</v>
      </c>
      <c r="C39" s="4">
        <v>1</v>
      </c>
      <c r="D39" s="7" t="s">
        <v>85</v>
      </c>
      <c r="E39" s="7" t="s">
        <v>20</v>
      </c>
      <c r="F39" s="2">
        <v>0.15</v>
      </c>
      <c r="G39" s="7" t="s">
        <v>20</v>
      </c>
      <c r="H39" s="2">
        <v>0.15</v>
      </c>
      <c r="I39" s="3">
        <f>VLOOKUP(E39,PESOS!$B$3:$F$26,3,FALSE)*1/F39</f>
        <v>47.1238898038469</v>
      </c>
      <c r="J39" s="3">
        <f>VLOOKUP(G39,PESOS!$B$3:$F$26,3,FALSE)*1/H39</f>
        <v>47.1238898038469</v>
      </c>
      <c r="K39" s="12">
        <f>A39*(VLOOKUP(E39,PESOS!$B$3:$F$26,5,FALSE)*(B39*ROUNDUP(C39/F39,0))+VLOOKUP(G39,PESOS!$B$3:$F$26,5,FALSE)*(C39*ROUNDUP(B39/H39,0)))</f>
        <v>0.77683732341641609</v>
      </c>
    </row>
    <row r="40" spans="1:11" x14ac:dyDescent="0.2">
      <c r="A40" s="3">
        <v>1</v>
      </c>
      <c r="B40" s="4">
        <v>1</v>
      </c>
      <c r="C40" s="4">
        <v>1</v>
      </c>
      <c r="D40" s="7" t="s">
        <v>86</v>
      </c>
      <c r="E40" s="7" t="s">
        <v>22</v>
      </c>
      <c r="F40" s="2">
        <v>0.25</v>
      </c>
      <c r="G40" s="7" t="s">
        <v>22</v>
      </c>
      <c r="H40" s="2">
        <v>0.25</v>
      </c>
      <c r="I40" s="3">
        <f>VLOOKUP(E40,PESOS!$B$3:$F$26,3,FALSE)*1/F40</f>
        <v>50.26548245743669</v>
      </c>
      <c r="J40" s="3">
        <f>VLOOKUP(G40,PESOS!$B$3:$F$26,3,FALSE)*1/H40</f>
        <v>50.26548245743669</v>
      </c>
      <c r="K40" s="12">
        <f>A40*(VLOOKUP(E40,PESOS!$B$3:$F$26,5,FALSE)*(B40*ROUNDUP(C40/F40,0))+VLOOKUP(G40,PESOS!$B$3:$F$26,5,FALSE)*(C40*ROUNDUP(B40/H40,0)))</f>
        <v>0.78916807458175597</v>
      </c>
    </row>
    <row r="41" spans="1:11" x14ac:dyDescent="0.2">
      <c r="A41" s="3">
        <v>1</v>
      </c>
      <c r="B41" s="4">
        <v>1</v>
      </c>
      <c r="C41" s="4">
        <v>1</v>
      </c>
      <c r="D41" s="7" t="s">
        <v>87</v>
      </c>
      <c r="E41" s="7" t="s">
        <v>22</v>
      </c>
      <c r="F41" s="14">
        <v>0.125</v>
      </c>
      <c r="G41" s="7" t="s">
        <v>22</v>
      </c>
      <c r="H41" s="14">
        <v>0.125</v>
      </c>
      <c r="I41" s="3">
        <f>VLOOKUP(E41,PESOS!$B$3:$F$26,3,FALSE)*1/F41</f>
        <v>100.53096491487338</v>
      </c>
      <c r="J41" s="3">
        <f>VLOOKUP(G41,PESOS!$B$3:$F$26,3,FALSE)*1/H41</f>
        <v>100.53096491487338</v>
      </c>
      <c r="K41" s="12">
        <f>A41*(VLOOKUP(E41,PESOS!$B$3:$F$26,5,FALSE)*(B41*ROUNDUP(C41/F41,0))+VLOOKUP(G41,PESOS!$B$3:$F$26,5,FALSE)*(C41*ROUNDUP(B41/H41,0)))</f>
        <v>1.5783361491635119</v>
      </c>
    </row>
  </sheetData>
  <phoneticPr fontId="1" type="noConversion"/>
  <pageMargins left="1.3474015748031496" right="0.78740157480314965" top="0.98425196850393704" bottom="0.98425196850393704" header="0" footer="0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443F-8DCF-4738-A8C6-BB0B1CE3DDC1}">
  <sheetPr codeName="Hoja3">
    <tabColor theme="8" tint="-0.249977111117893"/>
  </sheetPr>
  <dimension ref="A1:K41"/>
  <sheetViews>
    <sheetView view="pageBreakPreview" zoomScale="115" zoomScaleNormal="115" zoomScaleSheetLayoutView="115" workbookViewId="0">
      <selection activeCell="B18" sqref="B18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5.88671875" style="1" bestFit="1" customWidth="1"/>
    <col min="5" max="5" width="10.88671875" style="1" bestFit="1" customWidth="1"/>
    <col min="6" max="6" width="24.44140625" style="1" customWidth="1"/>
    <col min="7" max="7" width="16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164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291" t="s">
        <v>150</v>
      </c>
      <c r="B3" s="291"/>
      <c r="C3" s="291"/>
      <c r="D3" s="291"/>
      <c r="E3" s="291"/>
      <c r="F3" s="291"/>
      <c r="G3" s="291"/>
    </row>
    <row r="4" spans="1:11" ht="13.95" customHeight="1" x14ac:dyDescent="0.3">
      <c r="A4" s="119"/>
      <c r="B4" s="119"/>
      <c r="C4" s="119"/>
      <c r="D4" s="119"/>
      <c r="E4" s="119"/>
      <c r="F4" s="119"/>
      <c r="G4" s="119"/>
    </row>
    <row r="5" spans="1:11" ht="13.95" customHeight="1" x14ac:dyDescent="0.3">
      <c r="A5" s="48"/>
      <c r="B5" s="49" t="s">
        <v>162</v>
      </c>
      <c r="C5" s="49"/>
      <c r="D5" s="34"/>
      <c r="E5" s="34"/>
      <c r="F5" s="35"/>
      <c r="G5" s="119"/>
    </row>
    <row r="6" spans="1:11" ht="13.95" customHeight="1" x14ac:dyDescent="0.3">
      <c r="A6" s="48" t="s">
        <v>105</v>
      </c>
      <c r="B6" s="34" t="s">
        <v>123</v>
      </c>
      <c r="C6" s="34" t="s">
        <v>113</v>
      </c>
      <c r="D6" s="34" t="s">
        <v>111</v>
      </c>
      <c r="E6" s="71" t="s">
        <v>101</v>
      </c>
      <c r="F6" s="94" t="s">
        <v>3</v>
      </c>
      <c r="G6" s="119"/>
    </row>
    <row r="7" spans="1:11" ht="13.95" customHeight="1" x14ac:dyDescent="0.3">
      <c r="A7" s="48">
        <v>2</v>
      </c>
      <c r="B7" s="44">
        <v>0.2</v>
      </c>
      <c r="C7" s="44">
        <v>88.9</v>
      </c>
      <c r="D7" s="44">
        <v>0.2</v>
      </c>
      <c r="E7" s="29">
        <f>+B7*C7*D7*A7</f>
        <v>7.112000000000001</v>
      </c>
      <c r="F7" s="48" t="s">
        <v>151</v>
      </c>
      <c r="G7" s="119"/>
    </row>
    <row r="8" spans="1:11" ht="13.95" customHeight="1" x14ac:dyDescent="0.3">
      <c r="A8" s="96"/>
      <c r="B8" s="49" t="s">
        <v>152</v>
      </c>
      <c r="C8" s="49"/>
      <c r="D8" s="96"/>
      <c r="E8" s="96"/>
      <c r="F8" s="96"/>
      <c r="G8" s="96"/>
    </row>
    <row r="9" spans="1:11" ht="13.95" customHeight="1" x14ac:dyDescent="0.3">
      <c r="A9" s="71" t="s">
        <v>153</v>
      </c>
      <c r="B9" s="71" t="s">
        <v>105</v>
      </c>
      <c r="C9" s="71" t="s">
        <v>106</v>
      </c>
      <c r="D9" s="71" t="s">
        <v>143</v>
      </c>
      <c r="E9" s="71" t="s">
        <v>101</v>
      </c>
      <c r="F9" s="96" t="s">
        <v>102</v>
      </c>
      <c r="G9" s="96"/>
    </row>
    <row r="10" spans="1:11" ht="13.95" customHeight="1" x14ac:dyDescent="0.3">
      <c r="A10" s="44"/>
      <c r="B10" s="95">
        <v>1</v>
      </c>
      <c r="C10" s="113">
        <v>0.19</v>
      </c>
      <c r="D10" s="44">
        <v>88.9</v>
      </c>
      <c r="E10" s="29">
        <f>B10*C10*D10</f>
        <v>16.891000000000002</v>
      </c>
      <c r="F10" s="292" t="s">
        <v>154</v>
      </c>
      <c r="G10" s="292"/>
    </row>
    <row r="11" spans="1:11" ht="13.95" customHeight="1" x14ac:dyDescent="0.3">
      <c r="A11" s="44"/>
      <c r="B11" s="95"/>
      <c r="C11" s="97"/>
      <c r="D11" s="97"/>
      <c r="E11" s="29"/>
      <c r="F11" s="34"/>
      <c r="G11" s="96"/>
    </row>
    <row r="12" spans="1:11" ht="21.3" x14ac:dyDescent="0.4">
      <c r="A12" s="282" t="s">
        <v>121</v>
      </c>
      <c r="B12" s="282"/>
      <c r="C12" s="282"/>
      <c r="D12" s="54">
        <f>E7+SUM(E10)</f>
        <v>24.003000000000004</v>
      </c>
      <c r="E12" s="54"/>
      <c r="F12" s="54"/>
      <c r="G12" s="54"/>
    </row>
    <row r="13" spans="1:11" ht="13.95" customHeight="1" x14ac:dyDescent="0.3">
      <c r="A13" s="31"/>
      <c r="B13" s="27"/>
      <c r="C13" s="31"/>
      <c r="D13" s="32"/>
      <c r="E13" s="33"/>
      <c r="F13" s="33"/>
      <c r="G13" s="31"/>
    </row>
    <row r="14" spans="1:11" s="62" customFormat="1" ht="13.95" customHeight="1" x14ac:dyDescent="0.3">
      <c r="A14" s="24"/>
      <c r="B14" s="27"/>
      <c r="C14" s="31"/>
      <c r="D14" s="32"/>
      <c r="E14" s="33"/>
      <c r="F14" s="33"/>
      <c r="G14" s="31"/>
    </row>
    <row r="15" spans="1:11" s="62" customFormat="1" ht="13.95" customHeight="1" x14ac:dyDescent="0.3">
      <c r="A15" s="288" t="s">
        <v>126</v>
      </c>
      <c r="B15" s="288"/>
      <c r="C15" s="288"/>
      <c r="D15" s="288"/>
      <c r="E15" s="288"/>
      <c r="F15" s="288"/>
      <c r="G15" s="288"/>
    </row>
    <row r="16" spans="1:11" s="62" customFormat="1" ht="13.95" customHeight="1" x14ac:dyDescent="0.3">
      <c r="A16" s="100" t="s">
        <v>163</v>
      </c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2"/>
      <c r="H16" s="63"/>
      <c r="K16" s="102"/>
    </row>
    <row r="17" spans="1:11" s="62" customFormat="1" ht="13.95" customHeight="1" x14ac:dyDescent="0.3">
      <c r="A17" s="154">
        <v>2</v>
      </c>
      <c r="B17" s="103">
        <f>((D10/0.15)+1)*2</f>
        <v>1187.3333333333335</v>
      </c>
      <c r="C17" s="103"/>
      <c r="D17" s="104" t="s">
        <v>28</v>
      </c>
      <c r="E17" s="105">
        <v>0.74</v>
      </c>
      <c r="F17" s="98">
        <f>+VLOOKUP(D17,PESOS!$B$3:$F$25,5,FALSE)*B17*E17</f>
        <v>265.43610645051922</v>
      </c>
      <c r="G17" s="102" t="s">
        <v>137</v>
      </c>
      <c r="H17" s="63"/>
      <c r="K17" s="102"/>
    </row>
    <row r="18" spans="1:11" s="62" customFormat="1" ht="13.95" customHeight="1" x14ac:dyDescent="0.3">
      <c r="A18" s="120"/>
      <c r="B18" s="103">
        <f>ROUNDUP(((D10)/(6-0.4)),0)*12</f>
        <v>192</v>
      </c>
      <c r="C18" s="103"/>
      <c r="D18" s="104" t="s">
        <v>28</v>
      </c>
      <c r="E18" s="105">
        <v>6</v>
      </c>
      <c r="F18" s="98">
        <f>+VLOOKUP(D18,PESOS!$B$3:$F$25,5,FALSE)*B18*E18</f>
        <v>348.02312089055437</v>
      </c>
      <c r="G18" s="102" t="s">
        <v>136</v>
      </c>
    </row>
    <row r="19" spans="1:11" s="62" customFormat="1" ht="13.95" customHeight="1" x14ac:dyDescent="0.3">
      <c r="A19" s="287"/>
      <c r="B19" s="287"/>
      <c r="C19" s="287"/>
      <c r="D19" s="287"/>
      <c r="E19" s="98"/>
      <c r="F19" s="98"/>
      <c r="G19" s="99"/>
    </row>
    <row r="20" spans="1:11" s="62" customFormat="1" ht="13.95" customHeight="1" x14ac:dyDescent="0.3">
      <c r="A20" s="288" t="s">
        <v>127</v>
      </c>
      <c r="B20" s="288"/>
      <c r="C20" s="288"/>
      <c r="D20" s="288"/>
      <c r="E20" s="288"/>
      <c r="F20" s="288"/>
      <c r="G20" s="288"/>
    </row>
    <row r="21" spans="1:11" s="62" customFormat="1" ht="13.95" customHeight="1" x14ac:dyDescent="0.3">
      <c r="A21" s="100" t="s">
        <v>163</v>
      </c>
      <c r="B21" s="101" t="s">
        <v>124</v>
      </c>
      <c r="C21" s="101"/>
      <c r="D21" s="101" t="s">
        <v>104</v>
      </c>
      <c r="E21" s="101" t="s">
        <v>113</v>
      </c>
      <c r="F21" s="101" t="s">
        <v>112</v>
      </c>
      <c r="G21" s="102"/>
      <c r="H21" s="63"/>
      <c r="I21" s="63"/>
    </row>
    <row r="22" spans="1:11" s="62" customFormat="1" ht="13.95" customHeight="1" x14ac:dyDescent="0.3">
      <c r="A22" s="154">
        <v>1</v>
      </c>
      <c r="B22" s="103">
        <f>ROUNDUP((((D10)/0.15))+1,0)</f>
        <v>594</v>
      </c>
      <c r="C22" s="103"/>
      <c r="D22" s="104" t="s">
        <v>28</v>
      </c>
      <c r="E22" s="105">
        <v>0.9</v>
      </c>
      <c r="F22" s="98">
        <f>+VLOOKUP(D22,PESOS!$B$3:$F$25,5,FALSE)*B22*E22</f>
        <v>161.50447953827288</v>
      </c>
      <c r="G22" s="102" t="s">
        <v>137</v>
      </c>
      <c r="H22" s="63"/>
      <c r="I22" s="63"/>
    </row>
    <row r="23" spans="1:11" s="62" customFormat="1" ht="13.95" customHeight="1" x14ac:dyDescent="0.3">
      <c r="A23" s="154">
        <v>3</v>
      </c>
      <c r="B23" s="103">
        <f>ROUNDUP(((D10)/0.15)+1,0)</f>
        <v>594</v>
      </c>
      <c r="C23" s="103"/>
      <c r="D23" s="104" t="s">
        <v>28</v>
      </c>
      <c r="E23" s="105">
        <v>0.89</v>
      </c>
      <c r="F23" s="98">
        <f>+VLOOKUP(D23,PESOS!$B$3:$F$25,5,FALSE)*B23*E23</f>
        <v>159.70998532118097</v>
      </c>
      <c r="G23" s="102" t="s">
        <v>137</v>
      </c>
      <c r="H23" s="63"/>
      <c r="I23" s="63"/>
    </row>
    <row r="24" spans="1:11" s="62" customFormat="1" ht="13.95" customHeight="1" x14ac:dyDescent="0.3">
      <c r="A24" s="154">
        <v>4</v>
      </c>
      <c r="B24" s="103">
        <f>ROUNDUP(((D10)/0.15)+1,0)</f>
        <v>594</v>
      </c>
      <c r="C24" s="103"/>
      <c r="D24" s="104" t="s">
        <v>28</v>
      </c>
      <c r="E24" s="105">
        <v>0.89</v>
      </c>
      <c r="F24" s="98">
        <f>+VLOOKUP(D24,PESOS!$B$3:$F$25,5,FALSE)*B24*E24</f>
        <v>159.70998532118097</v>
      </c>
      <c r="G24" s="102" t="s">
        <v>137</v>
      </c>
      <c r="H24" s="63"/>
      <c r="I24" s="63"/>
    </row>
    <row r="25" spans="1:11" s="62" customFormat="1" ht="13.95" customHeight="1" x14ac:dyDescent="0.3">
      <c r="A25" s="120"/>
      <c r="B25" s="103">
        <f>ROUNDUP(((D10)/(6-0.4)),0)*9</f>
        <v>144</v>
      </c>
      <c r="C25" s="103"/>
      <c r="D25" s="104" t="s">
        <v>28</v>
      </c>
      <c r="E25" s="105">
        <v>6</v>
      </c>
      <c r="F25" s="98">
        <f>+VLOOKUP(D25,PESOS!$B$3:$F$25,5,FALSE)*B25*E25</f>
        <v>261.01734066791579</v>
      </c>
      <c r="G25" s="102" t="s">
        <v>136</v>
      </c>
    </row>
    <row r="26" spans="1:11" s="62" customFormat="1" ht="13.95" customHeight="1" x14ac:dyDescent="0.3">
      <c r="A26" s="287"/>
      <c r="B26" s="287"/>
      <c r="C26" s="287"/>
      <c r="D26" s="287"/>
      <c r="E26" s="98"/>
      <c r="F26" s="98"/>
      <c r="G26" s="99"/>
    </row>
    <row r="27" spans="1:11" s="62" customFormat="1" ht="13.95" customHeight="1" x14ac:dyDescent="0.3">
      <c r="A27" s="288" t="s">
        <v>155</v>
      </c>
      <c r="B27" s="288"/>
      <c r="C27" s="288"/>
      <c r="D27" s="288"/>
      <c r="E27" s="288"/>
      <c r="F27" s="288"/>
      <c r="G27" s="288"/>
    </row>
    <row r="28" spans="1:11" s="62" customFormat="1" ht="13.95" customHeight="1" x14ac:dyDescent="0.3">
      <c r="A28" s="101"/>
      <c r="B28" s="101" t="s">
        <v>124</v>
      </c>
      <c r="C28" s="101"/>
      <c r="D28" s="101" t="s">
        <v>104</v>
      </c>
      <c r="E28" s="101" t="s">
        <v>113</v>
      </c>
      <c r="F28" s="101" t="s">
        <v>112</v>
      </c>
      <c r="G28" s="102"/>
      <c r="H28" s="63"/>
      <c r="I28" s="63"/>
    </row>
    <row r="29" spans="1:11" s="62" customFormat="1" ht="13.95" customHeight="1" x14ac:dyDescent="0.3">
      <c r="A29" s="102"/>
      <c r="B29" s="103">
        <f>((ROUNDUP(((C7))/(6-0.45),0)+1)*4)*A7</f>
        <v>144</v>
      </c>
      <c r="C29" s="103"/>
      <c r="D29" s="104" t="s">
        <v>9</v>
      </c>
      <c r="E29" s="105">
        <v>6</v>
      </c>
      <c r="F29" s="98">
        <f>+VLOOKUP(D29,PESOS!$B$3:$F$25,5,FALSE)*B29*E29</f>
        <v>483.28492587621577</v>
      </c>
      <c r="G29" s="102" t="s">
        <v>135</v>
      </c>
      <c r="H29" s="63"/>
      <c r="I29" s="63"/>
    </row>
    <row r="30" spans="1:11" ht="15.05" x14ac:dyDescent="0.3">
      <c r="A30" s="102"/>
      <c r="B30" s="103">
        <f>A7*(ROUNDUP(((C7)/0.2)+2,0))</f>
        <v>894</v>
      </c>
      <c r="C30" s="103"/>
      <c r="D30" s="104" t="s">
        <v>9</v>
      </c>
      <c r="E30" s="105">
        <v>0.68</v>
      </c>
      <c r="F30" s="98">
        <f>+VLOOKUP(D30,PESOS!$B$3:$F$25,5,FALSE)*B30*E30</f>
        <v>340.04464367901517</v>
      </c>
      <c r="G30" s="102" t="s">
        <v>133</v>
      </c>
      <c r="H30" s="25"/>
      <c r="K30" s="42"/>
    </row>
    <row r="31" spans="1:11" ht="13.95" customHeight="1" x14ac:dyDescent="0.3">
      <c r="A31" s="288"/>
      <c r="B31" s="288"/>
      <c r="C31" s="288"/>
      <c r="D31" s="288"/>
      <c r="E31" s="288"/>
      <c r="F31" s="288"/>
      <c r="G31" s="288"/>
    </row>
    <row r="32" spans="1:11" ht="21.3" x14ac:dyDescent="0.4">
      <c r="A32" s="289" t="s">
        <v>156</v>
      </c>
      <c r="B32" s="289"/>
      <c r="C32" s="289"/>
      <c r="D32" s="289"/>
      <c r="E32" s="289"/>
      <c r="F32" s="121">
        <f>SUM(F17:F18)+SUM(F22:F25)+SUM(F29:F30)</f>
        <v>2178.7305877448553</v>
      </c>
      <c r="G32" s="64"/>
    </row>
    <row r="33" spans="1:7" ht="13.15" x14ac:dyDescent="0.25">
      <c r="A33" s="24"/>
      <c r="B33" s="24"/>
      <c r="C33" s="24"/>
      <c r="D33" s="24"/>
      <c r="E33" s="24"/>
      <c r="F33" s="24"/>
      <c r="G33" s="24"/>
    </row>
    <row r="34" spans="1:7" ht="15.05" x14ac:dyDescent="0.3">
      <c r="A34" s="286"/>
      <c r="B34" s="286"/>
      <c r="C34" s="286"/>
      <c r="D34" s="286"/>
      <c r="E34" s="286"/>
      <c r="F34" s="286"/>
      <c r="G34" s="286"/>
    </row>
    <row r="35" spans="1:7" ht="15.05" x14ac:dyDescent="0.3">
      <c r="A35" s="118"/>
      <c r="B35" s="118"/>
      <c r="C35" s="106"/>
      <c r="D35" s="106"/>
      <c r="E35" s="107"/>
      <c r="F35" s="118"/>
      <c r="G35" s="118"/>
    </row>
    <row r="36" spans="1:7" ht="15.05" x14ac:dyDescent="0.3">
      <c r="A36" s="118"/>
      <c r="B36" s="118"/>
      <c r="C36" s="118"/>
      <c r="D36" s="118"/>
      <c r="E36" s="118"/>
      <c r="F36" s="118"/>
      <c r="G36" s="118"/>
    </row>
    <row r="37" spans="1:7" ht="15.05" x14ac:dyDescent="0.3">
      <c r="A37" s="108"/>
      <c r="B37" s="108"/>
      <c r="C37" s="108"/>
      <c r="D37" s="108"/>
      <c r="E37" s="108"/>
      <c r="F37" s="108"/>
      <c r="G37" s="59"/>
    </row>
    <row r="38" spans="1:7" ht="15.05" x14ac:dyDescent="0.3">
      <c r="A38" s="59"/>
      <c r="B38" s="78"/>
      <c r="C38" s="78"/>
      <c r="D38" s="109"/>
      <c r="E38" s="77"/>
      <c r="F38" s="33"/>
      <c r="G38" s="59"/>
    </row>
    <row r="39" spans="1:7" ht="15.05" x14ac:dyDescent="0.3">
      <c r="A39" s="59"/>
      <c r="B39" s="78"/>
      <c r="C39" s="110"/>
      <c r="D39" s="111"/>
      <c r="E39" s="77"/>
      <c r="F39" s="33"/>
      <c r="G39" s="59"/>
    </row>
    <row r="40" spans="1:7" ht="21.3" x14ac:dyDescent="0.4">
      <c r="A40" s="279"/>
      <c r="B40" s="279"/>
      <c r="C40" s="279"/>
      <c r="D40" s="279"/>
      <c r="E40" s="279"/>
      <c r="F40" s="112"/>
      <c r="G40" s="24"/>
    </row>
    <row r="41" spans="1:7" ht="13.15" x14ac:dyDescent="0.25">
      <c r="A41" s="24"/>
      <c r="B41" s="24"/>
      <c r="C41" s="24"/>
      <c r="D41" s="24"/>
      <c r="E41" s="24"/>
      <c r="F41" s="24"/>
      <c r="G41" s="24"/>
    </row>
  </sheetData>
  <mergeCells count="13">
    <mergeCell ref="A2:G2"/>
    <mergeCell ref="A3:G3"/>
    <mergeCell ref="F10:G10"/>
    <mergeCell ref="A12:C12"/>
    <mergeCell ref="A15:G15"/>
    <mergeCell ref="A34:G34"/>
    <mergeCell ref="A40:E40"/>
    <mergeCell ref="A19:D19"/>
    <mergeCell ref="A20:G20"/>
    <mergeCell ref="A26:D26"/>
    <mergeCell ref="A27:G27"/>
    <mergeCell ref="A31:G31"/>
    <mergeCell ref="A32:E32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5E6A-3718-4E9B-9F6A-1A3249F5ADD8}">
  <sheetPr codeName="Hoja4">
    <tabColor theme="8" tint="-0.249977111117893"/>
  </sheetPr>
  <dimension ref="A1:K41"/>
  <sheetViews>
    <sheetView view="pageBreakPreview" zoomScaleNormal="115" zoomScaleSheetLayoutView="100" workbookViewId="0">
      <selection activeCell="A26" sqref="A26:D26"/>
    </sheetView>
  </sheetViews>
  <sheetFormatPr baseColWidth="10" defaultColWidth="11.44140625" defaultRowHeight="12.55" x14ac:dyDescent="0.2"/>
  <cols>
    <col min="1" max="1" width="10.88671875" style="1" bestFit="1" customWidth="1"/>
    <col min="2" max="2" width="16.5546875" style="1" bestFit="1" customWidth="1"/>
    <col min="3" max="3" width="10.88671875" style="1" bestFit="1" customWidth="1"/>
    <col min="4" max="4" width="15.88671875" style="1" bestFit="1" customWidth="1"/>
    <col min="5" max="5" width="10.88671875" style="1" bestFit="1" customWidth="1"/>
    <col min="6" max="6" width="24.44140625" style="1" customWidth="1"/>
    <col min="7" max="7" width="16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6.3" x14ac:dyDescent="0.5">
      <c r="A2" s="290" t="s">
        <v>210</v>
      </c>
      <c r="B2" s="290"/>
      <c r="C2" s="290"/>
      <c r="D2" s="290"/>
      <c r="E2" s="290"/>
      <c r="F2" s="290"/>
      <c r="G2" s="290"/>
    </row>
    <row r="3" spans="1:11" ht="13.95" customHeight="1" x14ac:dyDescent="0.3">
      <c r="A3" s="291" t="s">
        <v>150</v>
      </c>
      <c r="B3" s="291"/>
      <c r="C3" s="291"/>
      <c r="D3" s="291"/>
      <c r="E3" s="291"/>
      <c r="F3" s="291"/>
      <c r="G3" s="291"/>
    </row>
    <row r="4" spans="1:11" ht="13.95" customHeight="1" x14ac:dyDescent="0.3">
      <c r="A4" s="119"/>
      <c r="B4" s="119"/>
      <c r="C4" s="119"/>
      <c r="D4" s="119"/>
      <c r="E4" s="119"/>
      <c r="F4" s="119"/>
      <c r="G4" s="119"/>
    </row>
    <row r="5" spans="1:11" ht="13.95" customHeight="1" x14ac:dyDescent="0.3">
      <c r="A5" s="48"/>
      <c r="B5" s="49" t="s">
        <v>162</v>
      </c>
      <c r="C5" s="49"/>
      <c r="D5" s="34"/>
      <c r="E5" s="34"/>
      <c r="F5" s="35"/>
      <c r="G5" s="119"/>
    </row>
    <row r="6" spans="1:11" ht="13.95" customHeight="1" x14ac:dyDescent="0.3">
      <c r="A6" s="48" t="s">
        <v>105</v>
      </c>
      <c r="B6" s="34" t="s">
        <v>123</v>
      </c>
      <c r="C6" s="34" t="s">
        <v>113</v>
      </c>
      <c r="D6" s="34" t="s">
        <v>111</v>
      </c>
      <c r="E6" s="71" t="s">
        <v>101</v>
      </c>
      <c r="F6" s="94" t="s">
        <v>3</v>
      </c>
      <c r="G6" s="119"/>
    </row>
    <row r="7" spans="1:11" ht="13.95" customHeight="1" x14ac:dyDescent="0.3">
      <c r="A7" s="48">
        <v>2</v>
      </c>
      <c r="B7" s="44">
        <v>0.2</v>
      </c>
      <c r="C7" s="44">
        <v>31.15</v>
      </c>
      <c r="D7" s="44">
        <v>0.2</v>
      </c>
      <c r="E7" s="29">
        <f>+B7*C7*D7*A7</f>
        <v>2.4920000000000004</v>
      </c>
      <c r="F7" s="48" t="s">
        <v>151</v>
      </c>
      <c r="G7" s="119"/>
    </row>
    <row r="8" spans="1:11" ht="13.95" customHeight="1" x14ac:dyDescent="0.3">
      <c r="A8" s="96"/>
      <c r="B8" s="49" t="s">
        <v>152</v>
      </c>
      <c r="C8" s="49"/>
      <c r="D8" s="96"/>
      <c r="E8" s="96"/>
      <c r="F8" s="96"/>
      <c r="G8" s="96"/>
    </row>
    <row r="9" spans="1:11" ht="13.95" customHeight="1" x14ac:dyDescent="0.3">
      <c r="A9" s="71" t="s">
        <v>153</v>
      </c>
      <c r="B9" s="71" t="s">
        <v>105</v>
      </c>
      <c r="C9" s="71" t="s">
        <v>106</v>
      </c>
      <c r="D9" s="71" t="s">
        <v>143</v>
      </c>
      <c r="E9" s="71" t="s">
        <v>101</v>
      </c>
      <c r="F9" s="96" t="s">
        <v>102</v>
      </c>
      <c r="G9" s="96"/>
    </row>
    <row r="10" spans="1:11" ht="13.95" customHeight="1" x14ac:dyDescent="0.3">
      <c r="A10" s="44"/>
      <c r="B10" s="95">
        <v>1</v>
      </c>
      <c r="C10" s="113">
        <v>0.22539999999999999</v>
      </c>
      <c r="D10" s="44">
        <v>31.15</v>
      </c>
      <c r="E10" s="29">
        <f>B10*C10*D10</f>
        <v>7.0212099999999991</v>
      </c>
      <c r="F10" s="292" t="s">
        <v>154</v>
      </c>
      <c r="G10" s="292"/>
    </row>
    <row r="11" spans="1:11" ht="13.95" customHeight="1" x14ac:dyDescent="0.3">
      <c r="A11" s="44"/>
      <c r="B11" s="95"/>
      <c r="C11" s="97"/>
      <c r="D11" s="97"/>
      <c r="E11" s="29"/>
      <c r="F11" s="34"/>
      <c r="G11" s="96"/>
    </row>
    <row r="12" spans="1:11" ht="21.3" x14ac:dyDescent="0.4">
      <c r="A12" s="282" t="s">
        <v>121</v>
      </c>
      <c r="B12" s="282"/>
      <c r="C12" s="282"/>
      <c r="D12" s="54">
        <f>E7+SUM(E10)</f>
        <v>9.5132099999999991</v>
      </c>
      <c r="E12" s="54"/>
      <c r="F12" s="54"/>
      <c r="G12" s="54"/>
    </row>
    <row r="13" spans="1:11" ht="13.95" customHeight="1" x14ac:dyDescent="0.3">
      <c r="A13" s="31"/>
      <c r="B13" s="27"/>
      <c r="C13" s="31"/>
      <c r="D13" s="32"/>
      <c r="E13" s="33"/>
      <c r="F13" s="33"/>
      <c r="G13" s="31"/>
    </row>
    <row r="14" spans="1:11" s="62" customFormat="1" ht="13.95" customHeight="1" x14ac:dyDescent="0.3">
      <c r="A14" s="24"/>
      <c r="B14" s="27"/>
      <c r="C14" s="31"/>
      <c r="D14" s="32"/>
      <c r="E14" s="33"/>
      <c r="F14" s="33"/>
      <c r="G14" s="31"/>
    </row>
    <row r="15" spans="1:11" s="62" customFormat="1" ht="13.95" customHeight="1" x14ac:dyDescent="0.3">
      <c r="A15" s="288" t="s">
        <v>126</v>
      </c>
      <c r="B15" s="288"/>
      <c r="C15" s="288"/>
      <c r="D15" s="288"/>
      <c r="E15" s="288"/>
      <c r="F15" s="288"/>
      <c r="G15" s="288"/>
    </row>
    <row r="16" spans="1:11" s="62" customFormat="1" ht="13.95" customHeight="1" x14ac:dyDescent="0.3">
      <c r="A16" s="100" t="s">
        <v>163</v>
      </c>
      <c r="B16" s="101" t="s">
        <v>124</v>
      </c>
      <c r="C16" s="101"/>
      <c r="D16" s="101" t="s">
        <v>104</v>
      </c>
      <c r="E16" s="101" t="s">
        <v>113</v>
      </c>
      <c r="F16" s="101" t="s">
        <v>112</v>
      </c>
      <c r="G16" s="102"/>
      <c r="H16" s="63"/>
      <c r="K16" s="102"/>
    </row>
    <row r="17" spans="1:11" s="62" customFormat="1" ht="13.95" customHeight="1" x14ac:dyDescent="0.3">
      <c r="A17" s="154">
        <v>3</v>
      </c>
      <c r="B17" s="103">
        <f>((D10/0.15)+1)</f>
        <v>208.66666666666666</v>
      </c>
      <c r="C17" s="103"/>
      <c r="D17" s="104" t="s">
        <v>9</v>
      </c>
      <c r="E17" s="105">
        <v>0.8</v>
      </c>
      <c r="F17" s="98">
        <f>+VLOOKUP(D17,PESOS!$B$3:$F$25,5,FALSE)*B17*E17</f>
        <v>93.375420863737986</v>
      </c>
      <c r="G17" s="102" t="s">
        <v>137</v>
      </c>
      <c r="H17" s="63"/>
      <c r="K17" s="102"/>
    </row>
    <row r="18" spans="1:11" s="62" customFormat="1" ht="13.95" customHeight="1" x14ac:dyDescent="0.3">
      <c r="A18" s="120"/>
      <c r="B18" s="103">
        <f>ROUNDUP(((D10)/(6-0.4)),0)*14</f>
        <v>84</v>
      </c>
      <c r="C18" s="103"/>
      <c r="D18" s="104" t="s">
        <v>9</v>
      </c>
      <c r="E18" s="105">
        <v>6</v>
      </c>
      <c r="F18" s="98">
        <f>+VLOOKUP(D18,PESOS!$B$3:$F$25,5,FALSE)*B18*E18</f>
        <v>281.91620676112586</v>
      </c>
      <c r="G18" s="102" t="s">
        <v>136</v>
      </c>
    </row>
    <row r="19" spans="1:11" s="62" customFormat="1" ht="13.95" customHeight="1" x14ac:dyDescent="0.3">
      <c r="A19" s="287"/>
      <c r="B19" s="287"/>
      <c r="C19" s="287"/>
      <c r="D19" s="287"/>
      <c r="E19" s="98"/>
      <c r="F19" s="98"/>
      <c r="G19" s="99"/>
    </row>
    <row r="20" spans="1:11" s="62" customFormat="1" ht="13.95" customHeight="1" x14ac:dyDescent="0.3">
      <c r="A20" s="288" t="s">
        <v>127</v>
      </c>
      <c r="B20" s="288"/>
      <c r="C20" s="288"/>
      <c r="D20" s="288"/>
      <c r="E20" s="288"/>
      <c r="F20" s="288"/>
      <c r="G20" s="288"/>
    </row>
    <row r="21" spans="1:11" s="62" customFormat="1" ht="13.95" customHeight="1" x14ac:dyDescent="0.3">
      <c r="A21" s="100" t="s">
        <v>163</v>
      </c>
      <c r="B21" s="101" t="s">
        <v>124</v>
      </c>
      <c r="C21" s="101"/>
      <c r="D21" s="101" t="s">
        <v>104</v>
      </c>
      <c r="E21" s="101" t="s">
        <v>113</v>
      </c>
      <c r="F21" s="101" t="s">
        <v>112</v>
      </c>
      <c r="G21" s="102"/>
      <c r="H21" s="63"/>
      <c r="I21" s="63"/>
    </row>
    <row r="22" spans="1:11" s="62" customFormat="1" ht="13.95" customHeight="1" x14ac:dyDescent="0.3">
      <c r="A22" s="154">
        <v>1</v>
      </c>
      <c r="B22" s="103">
        <f>ROUNDUP((((D10)/0.15))+1,0)</f>
        <v>209</v>
      </c>
      <c r="C22" s="103"/>
      <c r="D22" s="104" t="s">
        <v>10</v>
      </c>
      <c r="E22" s="105">
        <v>2.5299999999999998</v>
      </c>
      <c r="F22" s="98">
        <f>+VLOOKUP(D22,PESOS!$B$3:$F$25,5,FALSE)*B22*E22</f>
        <v>525.81598818017835</v>
      </c>
      <c r="G22" s="102" t="s">
        <v>137</v>
      </c>
      <c r="H22" s="63"/>
      <c r="I22" s="63"/>
    </row>
    <row r="23" spans="1:11" s="62" customFormat="1" ht="13.95" customHeight="1" x14ac:dyDescent="0.3">
      <c r="A23" s="154">
        <v>2</v>
      </c>
      <c r="B23" s="103">
        <f>ROUNDUP(((D10)/0.15)+1,0)</f>
        <v>209</v>
      </c>
      <c r="C23" s="103"/>
      <c r="D23" s="104" t="s">
        <v>9</v>
      </c>
      <c r="E23" s="105">
        <v>1.45</v>
      </c>
      <c r="F23" s="98">
        <f>+VLOOKUP(D23,PESOS!$B$3:$F$25,5,FALSE)*B23*E23</f>
        <v>169.51330646618885</v>
      </c>
      <c r="G23" s="102" t="s">
        <v>137</v>
      </c>
      <c r="H23" s="63"/>
      <c r="I23" s="63"/>
    </row>
    <row r="24" spans="1:11" s="62" customFormat="1" ht="13.95" customHeight="1" x14ac:dyDescent="0.3">
      <c r="A24" s="154">
        <v>4</v>
      </c>
      <c r="B24" s="103">
        <f>ROUNDUP(((D10)/0.15)+1,0)</f>
        <v>209</v>
      </c>
      <c r="C24" s="103"/>
      <c r="D24" s="104" t="s">
        <v>10</v>
      </c>
      <c r="E24" s="105">
        <v>0.9</v>
      </c>
      <c r="F24" s="98">
        <f>+VLOOKUP(D24,PESOS!$B$3:$F$25,5,FALSE)*B24*E24</f>
        <v>187.04916575579466</v>
      </c>
      <c r="G24" s="102" t="s">
        <v>137</v>
      </c>
      <c r="H24" s="63"/>
      <c r="I24" s="63"/>
    </row>
    <row r="25" spans="1:11" s="62" customFormat="1" ht="13.95" customHeight="1" x14ac:dyDescent="0.3">
      <c r="A25" s="120"/>
      <c r="B25" s="103">
        <f>ROUNDUP(((D10)/(6-0.4)),0)*18</f>
        <v>108</v>
      </c>
      <c r="C25" s="103"/>
      <c r="D25" s="104" t="s">
        <v>9</v>
      </c>
      <c r="E25" s="105">
        <v>6</v>
      </c>
      <c r="F25" s="98">
        <f>+VLOOKUP(D25,PESOS!$B$3:$F$25,5,FALSE)*B25*E25</f>
        <v>362.46369440716182</v>
      </c>
      <c r="G25" s="102" t="s">
        <v>136</v>
      </c>
    </row>
    <row r="26" spans="1:11" s="62" customFormat="1" ht="13.95" customHeight="1" x14ac:dyDescent="0.3">
      <c r="A26" s="287"/>
      <c r="B26" s="287"/>
      <c r="C26" s="287"/>
      <c r="D26" s="287"/>
      <c r="E26" s="98"/>
      <c r="F26" s="98"/>
      <c r="G26" s="99"/>
    </row>
    <row r="27" spans="1:11" s="62" customFormat="1" ht="13.95" customHeight="1" x14ac:dyDescent="0.3">
      <c r="A27" s="288" t="s">
        <v>155</v>
      </c>
      <c r="B27" s="288"/>
      <c r="C27" s="288"/>
      <c r="D27" s="288"/>
      <c r="E27" s="288"/>
      <c r="F27" s="288"/>
      <c r="G27" s="288"/>
    </row>
    <row r="28" spans="1:11" s="62" customFormat="1" ht="13.95" customHeight="1" x14ac:dyDescent="0.3">
      <c r="A28" s="101"/>
      <c r="B28" s="101" t="s">
        <v>124</v>
      </c>
      <c r="C28" s="101"/>
      <c r="D28" s="101" t="s">
        <v>104</v>
      </c>
      <c r="E28" s="101" t="s">
        <v>113</v>
      </c>
      <c r="F28" s="101" t="s">
        <v>112</v>
      </c>
      <c r="G28" s="102"/>
      <c r="H28" s="63"/>
      <c r="I28" s="63"/>
    </row>
    <row r="29" spans="1:11" s="62" customFormat="1" ht="13.95" customHeight="1" x14ac:dyDescent="0.3">
      <c r="A29" s="102"/>
      <c r="B29" s="103">
        <f>((ROUNDUP(((C7))/(6-0.45),0)+1)*4)*A7</f>
        <v>56</v>
      </c>
      <c r="C29" s="103"/>
      <c r="D29" s="104" t="s">
        <v>9</v>
      </c>
      <c r="E29" s="105">
        <v>6</v>
      </c>
      <c r="F29" s="98">
        <f>+VLOOKUP(D29,PESOS!$B$3:$F$25,5,FALSE)*B29*E29</f>
        <v>187.94413784075056</v>
      </c>
      <c r="G29" s="102" t="s">
        <v>135</v>
      </c>
      <c r="H29" s="63"/>
      <c r="I29" s="63"/>
    </row>
    <row r="30" spans="1:11" ht="15.05" x14ac:dyDescent="0.3">
      <c r="A30" s="102"/>
      <c r="B30" s="103">
        <f>A7*(ROUNDUP(((C7)/0.2)+2,0))</f>
        <v>316</v>
      </c>
      <c r="C30" s="103"/>
      <c r="D30" s="104" t="s">
        <v>9</v>
      </c>
      <c r="E30" s="105">
        <v>0.68</v>
      </c>
      <c r="F30" s="98">
        <f>+VLOOKUP(D30,PESOS!$B$3:$F$25,5,FALSE)*B30*E30</f>
        <v>120.19475100958478</v>
      </c>
      <c r="G30" s="102" t="s">
        <v>133</v>
      </c>
      <c r="H30" s="25"/>
      <c r="K30" s="42"/>
    </row>
    <row r="31" spans="1:11" ht="13.95" customHeight="1" x14ac:dyDescent="0.3">
      <c r="A31" s="288"/>
      <c r="B31" s="288"/>
      <c r="C31" s="288"/>
      <c r="D31" s="288"/>
      <c r="E31" s="288"/>
      <c r="F31" s="288"/>
      <c r="G31" s="288"/>
    </row>
    <row r="32" spans="1:11" ht="21.3" x14ac:dyDescent="0.4">
      <c r="A32" s="289" t="s">
        <v>156</v>
      </c>
      <c r="B32" s="289"/>
      <c r="C32" s="289"/>
      <c r="D32" s="289"/>
      <c r="E32" s="289"/>
      <c r="F32" s="121">
        <f>SUM(F17:F18)+SUM(F22:F25)+SUM(F29:F30)</f>
        <v>1928.2726712845229</v>
      </c>
      <c r="G32" s="64"/>
    </row>
    <row r="33" spans="1:7" ht="13.15" x14ac:dyDescent="0.25">
      <c r="A33" s="24"/>
      <c r="B33" s="24"/>
      <c r="C33" s="24"/>
      <c r="D33" s="24"/>
      <c r="E33" s="24"/>
      <c r="F33" s="24"/>
      <c r="G33" s="24"/>
    </row>
    <row r="34" spans="1:7" ht="15.05" x14ac:dyDescent="0.3">
      <c r="A34" s="286"/>
      <c r="B34" s="286"/>
      <c r="C34" s="286"/>
      <c r="D34" s="286"/>
      <c r="E34" s="286"/>
      <c r="F34" s="286"/>
      <c r="G34" s="286"/>
    </row>
    <row r="35" spans="1:7" ht="15.05" x14ac:dyDescent="0.3">
      <c r="A35" s="118"/>
      <c r="B35" s="118"/>
      <c r="C35" s="106"/>
      <c r="D35" s="106"/>
      <c r="E35" s="107"/>
      <c r="F35" s="118"/>
      <c r="G35" s="118"/>
    </row>
    <row r="36" spans="1:7" ht="15.05" x14ac:dyDescent="0.3">
      <c r="A36" s="118"/>
      <c r="B36" s="118"/>
      <c r="C36" s="118"/>
      <c r="D36" s="118"/>
      <c r="E36" s="118"/>
      <c r="F36" s="118"/>
      <c r="G36" s="118"/>
    </row>
    <row r="37" spans="1:7" ht="15.05" x14ac:dyDescent="0.3">
      <c r="A37" s="108"/>
      <c r="B37" s="108"/>
      <c r="C37" s="108"/>
      <c r="D37" s="108"/>
      <c r="E37" s="108"/>
      <c r="F37" s="108"/>
      <c r="G37" s="59"/>
    </row>
    <row r="38" spans="1:7" ht="15.05" x14ac:dyDescent="0.3">
      <c r="A38" s="59"/>
      <c r="B38" s="78"/>
      <c r="C38" s="78"/>
      <c r="D38" s="109"/>
      <c r="E38" s="77"/>
      <c r="F38" s="33"/>
      <c r="G38" s="59"/>
    </row>
    <row r="39" spans="1:7" ht="15.05" x14ac:dyDescent="0.3">
      <c r="A39" s="59"/>
      <c r="B39" s="78"/>
      <c r="C39" s="110"/>
      <c r="D39" s="111"/>
      <c r="E39" s="77"/>
      <c r="F39" s="33"/>
      <c r="G39" s="59"/>
    </row>
    <row r="40" spans="1:7" ht="21.3" x14ac:dyDescent="0.4">
      <c r="A40" s="279"/>
      <c r="B40" s="279"/>
      <c r="C40" s="279"/>
      <c r="D40" s="279"/>
      <c r="E40" s="279"/>
      <c r="F40" s="112"/>
      <c r="G40" s="24"/>
    </row>
    <row r="41" spans="1:7" ht="13.15" x14ac:dyDescent="0.25">
      <c r="A41" s="24"/>
      <c r="B41" s="24"/>
      <c r="C41" s="24"/>
      <c r="D41" s="24"/>
      <c r="E41" s="24"/>
      <c r="F41" s="24"/>
      <c r="G41" s="24"/>
    </row>
  </sheetData>
  <mergeCells count="13">
    <mergeCell ref="A19:D19"/>
    <mergeCell ref="A2:G2"/>
    <mergeCell ref="A3:G3"/>
    <mergeCell ref="F10:G10"/>
    <mergeCell ref="A12:C12"/>
    <mergeCell ref="A15:G15"/>
    <mergeCell ref="A40:E40"/>
    <mergeCell ref="A20:G20"/>
    <mergeCell ref="A26:D26"/>
    <mergeCell ref="A27:G27"/>
    <mergeCell ref="A31:G31"/>
    <mergeCell ref="A32:E32"/>
    <mergeCell ref="A34:G34"/>
  </mergeCells>
  <pageMargins left="0.70866141732283472" right="0.70866141732283472" top="0.74803149606299213" bottom="0.74803149606299213" header="0.31496062992125984" footer="0.31496062992125984"/>
  <pageSetup paperSize="122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9374-ADF9-4392-90DE-94B0106A122D}">
  <sheetPr codeName="Hoja5">
    <tabColor theme="6" tint="-0.249977111117893"/>
  </sheetPr>
  <dimension ref="A1:G32"/>
  <sheetViews>
    <sheetView view="pageBreakPreview" zoomScale="85" zoomScaleNormal="115" zoomScaleSheetLayoutView="85" workbookViewId="0">
      <selection activeCell="B13" sqref="B13"/>
    </sheetView>
  </sheetViews>
  <sheetFormatPr baseColWidth="10" defaultColWidth="11.44140625" defaultRowHeight="12.55" x14ac:dyDescent="0.2"/>
  <cols>
    <col min="1" max="1" width="10.88671875" style="124" bestFit="1" customWidth="1"/>
    <col min="2" max="2" width="16.5546875" style="124" bestFit="1" customWidth="1"/>
    <col min="3" max="3" width="13.88671875" style="124" bestFit="1" customWidth="1"/>
    <col min="4" max="4" width="14.109375" style="124" bestFit="1" customWidth="1"/>
    <col min="5" max="5" width="11.6640625" style="124" bestFit="1" customWidth="1"/>
    <col min="6" max="6" width="23.33203125" style="124" bestFit="1" customWidth="1"/>
    <col min="7" max="7" width="16" style="124" bestFit="1" customWidth="1"/>
    <col min="8" max="10" width="11.44140625" style="124"/>
    <col min="11" max="11" width="16.33203125" style="124" bestFit="1" customWidth="1"/>
    <col min="12" max="16384" width="11.44140625" style="124"/>
  </cols>
  <sheetData>
    <row r="1" spans="1:7" ht="15.05" x14ac:dyDescent="0.3">
      <c r="A1" s="122"/>
      <c r="B1" s="122"/>
      <c r="C1" s="122"/>
      <c r="D1" s="122"/>
      <c r="E1" s="122"/>
      <c r="F1" s="122"/>
      <c r="G1" s="123"/>
    </row>
    <row r="2" spans="1:7" ht="28.2" x14ac:dyDescent="0.5">
      <c r="A2" s="294" t="s">
        <v>157</v>
      </c>
      <c r="B2" s="294"/>
      <c r="C2" s="294"/>
      <c r="D2" s="294"/>
      <c r="E2" s="294"/>
      <c r="F2" s="294"/>
      <c r="G2" s="294"/>
    </row>
    <row r="4" spans="1:7" ht="15.05" x14ac:dyDescent="0.3">
      <c r="A4" s="295" t="s">
        <v>158</v>
      </c>
      <c r="B4" s="295"/>
      <c r="C4" s="295"/>
      <c r="D4" s="295"/>
      <c r="E4" s="295"/>
      <c r="F4" s="295"/>
      <c r="G4" s="295"/>
    </row>
    <row r="5" spans="1:7" ht="15.05" x14ac:dyDescent="0.3">
      <c r="A5" s="125"/>
      <c r="B5" s="126"/>
      <c r="C5" s="125"/>
      <c r="D5" s="125"/>
      <c r="E5" s="125"/>
      <c r="F5" s="125"/>
      <c r="G5" s="125"/>
    </row>
    <row r="6" spans="1:7" ht="15.05" x14ac:dyDescent="0.3">
      <c r="A6" s="127" t="s">
        <v>105</v>
      </c>
      <c r="B6" s="127" t="s">
        <v>104</v>
      </c>
      <c r="C6" s="127" t="s">
        <v>111</v>
      </c>
      <c r="D6" s="127" t="s">
        <v>107</v>
      </c>
      <c r="E6" s="127" t="s">
        <v>101</v>
      </c>
      <c r="F6" s="125" t="s">
        <v>102</v>
      </c>
      <c r="G6" s="125"/>
    </row>
    <row r="7" spans="1:7" ht="15.05" x14ac:dyDescent="0.3">
      <c r="A7" s="128">
        <v>1</v>
      </c>
      <c r="B7" s="126">
        <v>2.4</v>
      </c>
      <c r="C7" s="126">
        <v>1</v>
      </c>
      <c r="D7" s="126">
        <v>0.1</v>
      </c>
      <c r="E7" s="129">
        <f>(((PI()*(B7/2)^2)-(PI()*((B7-D7*2)/2)^2))*C7)*A7</f>
        <v>0.72256631032565322</v>
      </c>
      <c r="F7" s="296" t="s">
        <v>211</v>
      </c>
      <c r="G7" s="296"/>
    </row>
    <row r="8" spans="1:7" ht="15.05" x14ac:dyDescent="0.3">
      <c r="A8" s="128"/>
      <c r="B8" s="126"/>
      <c r="C8" s="126"/>
      <c r="D8" s="126"/>
      <c r="E8" s="129"/>
      <c r="F8" s="155"/>
      <c r="G8" s="155"/>
    </row>
    <row r="9" spans="1:7" ht="21.3" x14ac:dyDescent="0.4">
      <c r="A9" s="297" t="s">
        <v>121</v>
      </c>
      <c r="B9" s="297"/>
      <c r="C9" s="297"/>
      <c r="D9" s="115">
        <f>SUM(E7:E7)</f>
        <v>0.72256631032565322</v>
      </c>
      <c r="E9" s="115"/>
      <c r="F9" s="115"/>
      <c r="G9" s="115"/>
    </row>
    <row r="10" spans="1:7" ht="15.05" x14ac:dyDescent="0.3">
      <c r="A10" s="130"/>
      <c r="B10" s="117"/>
      <c r="C10" s="130"/>
      <c r="D10" s="131"/>
      <c r="E10" s="132"/>
      <c r="F10" s="132"/>
      <c r="G10" s="130"/>
    </row>
    <row r="11" spans="1:7" ht="15.05" x14ac:dyDescent="0.3">
      <c r="A11" s="298" t="s">
        <v>159</v>
      </c>
      <c r="B11" s="298"/>
      <c r="C11" s="298"/>
      <c r="D11" s="298"/>
      <c r="E11" s="298"/>
      <c r="F11" s="298"/>
      <c r="G11" s="298"/>
    </row>
    <row r="12" spans="1:7" ht="15.05" x14ac:dyDescent="0.3">
      <c r="A12" s="133"/>
      <c r="B12" s="133" t="s">
        <v>124</v>
      </c>
      <c r="C12" s="133"/>
      <c r="D12" s="133" t="s">
        <v>104</v>
      </c>
      <c r="E12" s="133" t="s">
        <v>113</v>
      </c>
      <c r="F12" s="133" t="s">
        <v>112</v>
      </c>
      <c r="G12" s="134"/>
    </row>
    <row r="13" spans="1:7" ht="15.05" x14ac:dyDescent="0.3">
      <c r="A13" s="134"/>
      <c r="B13" s="135">
        <f>ROUNDUP((((PI()*(B7-0.1))/0.15)),0)*A7</f>
        <v>49</v>
      </c>
      <c r="C13" s="135"/>
      <c r="D13" s="136" t="s">
        <v>28</v>
      </c>
      <c r="E13" s="137">
        <f>(C7-0.1)</f>
        <v>0.9</v>
      </c>
      <c r="F13" s="138">
        <f>+VLOOKUP(D13,PESOS!$B$3:$F$25,5,FALSE)*B13*E13</f>
        <v>13.322760096591535</v>
      </c>
      <c r="G13" s="134" t="s">
        <v>212</v>
      </c>
    </row>
    <row r="14" spans="1:7" ht="15.05" x14ac:dyDescent="0.3">
      <c r="A14" s="134"/>
      <c r="B14" s="135"/>
      <c r="C14" s="135"/>
      <c r="D14" s="136"/>
      <c r="E14" s="137"/>
      <c r="F14" s="138"/>
      <c r="G14" s="134"/>
    </row>
    <row r="15" spans="1:7" ht="15.05" x14ac:dyDescent="0.3">
      <c r="A15" s="298" t="s">
        <v>160</v>
      </c>
      <c r="B15" s="298"/>
      <c r="C15" s="298"/>
      <c r="D15" s="298"/>
      <c r="E15" s="298"/>
      <c r="F15" s="298"/>
      <c r="G15" s="298"/>
    </row>
    <row r="16" spans="1:7" ht="15.05" x14ac:dyDescent="0.3">
      <c r="A16" s="133"/>
      <c r="B16" s="133" t="s">
        <v>161</v>
      </c>
      <c r="C16" s="133"/>
      <c r="D16" s="133" t="s">
        <v>104</v>
      </c>
      <c r="E16" s="133" t="s">
        <v>113</v>
      </c>
      <c r="F16" s="133" t="s">
        <v>112</v>
      </c>
      <c r="G16" s="134"/>
    </row>
    <row r="17" spans="1:7" ht="15.05" x14ac:dyDescent="0.3">
      <c r="A17" s="134"/>
      <c r="B17" s="135">
        <f>ROUNDUP((((C7-0.1)/0.15)+1),0)*A7</f>
        <v>7</v>
      </c>
      <c r="C17" s="133"/>
      <c r="D17" s="136" t="s">
        <v>28</v>
      </c>
      <c r="E17" s="137">
        <f>2*PI()*((B7/2)-(D7/2))</f>
        <v>7.2256631032565233</v>
      </c>
      <c r="F17" s="138">
        <f>+VLOOKUP(D17,PESOS!$B$3:$F$25,5,FALSE)*B17*E17</f>
        <v>15.280281914838056</v>
      </c>
      <c r="G17" s="134" t="s">
        <v>212</v>
      </c>
    </row>
    <row r="18" spans="1:7" ht="15.05" x14ac:dyDescent="0.3">
      <c r="A18" s="134"/>
      <c r="B18" s="135"/>
      <c r="C18" s="133"/>
      <c r="D18" s="136"/>
      <c r="E18" s="137"/>
      <c r="F18" s="138"/>
      <c r="G18" s="134"/>
    </row>
    <row r="19" spans="1:7" ht="21.3" x14ac:dyDescent="0.4">
      <c r="A19" s="299" t="s">
        <v>149</v>
      </c>
      <c r="B19" s="299"/>
      <c r="C19" s="299"/>
      <c r="D19" s="299"/>
      <c r="E19" s="299"/>
      <c r="F19" s="139">
        <f>SUM(F16:F17)+SUM(F13:F13)</f>
        <v>28.603042011429594</v>
      </c>
      <c r="G19" s="140"/>
    </row>
    <row r="21" spans="1:7" ht="15.05" x14ac:dyDescent="0.3">
      <c r="A21" s="141"/>
      <c r="B21" s="141"/>
      <c r="C21" s="141"/>
      <c r="D21" s="141"/>
      <c r="E21" s="141"/>
      <c r="F21" s="141"/>
      <c r="G21" s="141"/>
    </row>
    <row r="22" spans="1:7" ht="15.05" x14ac:dyDescent="0.3">
      <c r="A22" s="116"/>
      <c r="B22" s="116"/>
      <c r="C22" s="116"/>
      <c r="D22" s="116"/>
      <c r="E22" s="116"/>
      <c r="F22" s="141"/>
      <c r="G22" s="141"/>
    </row>
    <row r="23" spans="1:7" ht="15.05" x14ac:dyDescent="0.3">
      <c r="A23" s="142"/>
      <c r="B23" s="143"/>
      <c r="C23" s="144"/>
      <c r="D23" s="144"/>
      <c r="E23" s="145"/>
      <c r="F23" s="122"/>
      <c r="G23" s="141"/>
    </row>
    <row r="24" spans="1:7" ht="21.3" x14ac:dyDescent="0.4">
      <c r="A24" s="293"/>
      <c r="B24" s="293"/>
      <c r="C24" s="293"/>
      <c r="D24" s="146"/>
      <c r="E24" s="146"/>
      <c r="F24" s="146"/>
      <c r="G24" s="146"/>
    </row>
    <row r="25" spans="1:7" ht="15.05" x14ac:dyDescent="0.3">
      <c r="A25" s="130"/>
      <c r="B25" s="117"/>
      <c r="C25" s="130"/>
      <c r="D25" s="131"/>
      <c r="E25" s="132"/>
      <c r="F25" s="132"/>
      <c r="G25" s="130"/>
    </row>
    <row r="26" spans="1:7" ht="15.05" x14ac:dyDescent="0.3">
      <c r="A26" s="300"/>
      <c r="B26" s="300"/>
      <c r="C26" s="300"/>
      <c r="D26" s="300"/>
      <c r="E26" s="300"/>
      <c r="F26" s="300"/>
      <c r="G26" s="300"/>
    </row>
    <row r="27" spans="1:7" ht="15.05" x14ac:dyDescent="0.3">
      <c r="A27" s="147"/>
      <c r="B27" s="147"/>
      <c r="C27" s="147"/>
      <c r="D27" s="147"/>
      <c r="E27" s="147"/>
      <c r="F27" s="147"/>
      <c r="G27" s="148"/>
    </row>
    <row r="28" spans="1:7" ht="15.05" x14ac:dyDescent="0.3">
      <c r="A28" s="148"/>
      <c r="B28" s="149"/>
      <c r="C28" s="149"/>
      <c r="D28" s="150"/>
      <c r="E28" s="151"/>
      <c r="F28" s="132"/>
      <c r="G28" s="148"/>
    </row>
    <row r="29" spans="1:7" ht="15.05" x14ac:dyDescent="0.3">
      <c r="A29" s="300"/>
      <c r="B29" s="300"/>
      <c r="C29" s="300"/>
      <c r="D29" s="300"/>
      <c r="E29" s="300"/>
      <c r="F29" s="300"/>
      <c r="G29" s="300"/>
    </row>
    <row r="30" spans="1:7" ht="15.05" x14ac:dyDescent="0.3">
      <c r="A30" s="147"/>
      <c r="B30" s="147"/>
      <c r="C30" s="147"/>
      <c r="D30" s="147"/>
      <c r="E30" s="147"/>
      <c r="F30" s="147"/>
      <c r="G30" s="148"/>
    </row>
    <row r="31" spans="1:7" ht="15.05" x14ac:dyDescent="0.3">
      <c r="A31" s="148"/>
      <c r="B31" s="149"/>
      <c r="C31" s="147"/>
      <c r="D31" s="150"/>
      <c r="E31" s="152"/>
      <c r="F31" s="132"/>
      <c r="G31" s="148"/>
    </row>
    <row r="32" spans="1:7" ht="21.3" x14ac:dyDescent="0.4">
      <c r="A32" s="293"/>
      <c r="B32" s="293"/>
      <c r="C32" s="293"/>
      <c r="D32" s="293"/>
      <c r="E32" s="293"/>
      <c r="F32" s="153"/>
      <c r="G32" s="114"/>
    </row>
  </sheetData>
  <mergeCells count="11">
    <mergeCell ref="A32:E32"/>
    <mergeCell ref="A2:G2"/>
    <mergeCell ref="A4:G4"/>
    <mergeCell ref="F7:G7"/>
    <mergeCell ref="A9:C9"/>
    <mergeCell ref="A11:G11"/>
    <mergeCell ref="A15:G15"/>
    <mergeCell ref="A19:E19"/>
    <mergeCell ref="A24:C24"/>
    <mergeCell ref="A26:G26"/>
    <mergeCell ref="A29:G29"/>
  </mergeCells>
  <pageMargins left="0.70866141732283472" right="0.70866141732283472" top="0.74803149606299213" bottom="0.74803149606299213" header="0.31496062992125984" footer="0.31496062992125984"/>
  <pageSetup paperSize="153" scale="74" orientation="portrait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ECEF-569C-4555-92F3-26F98F3D707F}">
  <sheetPr codeName="Hoja6">
    <tabColor theme="6" tint="-0.249977111117893"/>
  </sheetPr>
  <dimension ref="A1:K33"/>
  <sheetViews>
    <sheetView view="pageBreakPreview" zoomScale="85" zoomScaleNormal="115" zoomScaleSheetLayoutView="85" workbookViewId="0">
      <selection activeCell="A19" sqref="A19"/>
    </sheetView>
  </sheetViews>
  <sheetFormatPr baseColWidth="10" defaultColWidth="11.44140625" defaultRowHeight="12.55" x14ac:dyDescent="0.2"/>
  <cols>
    <col min="1" max="1" width="8" style="1" customWidth="1"/>
    <col min="2" max="2" width="14.33203125" style="1" customWidth="1"/>
    <col min="3" max="3" width="16.33203125" style="1" customWidth="1"/>
    <col min="4" max="4" width="15.109375" style="1" customWidth="1"/>
    <col min="5" max="5" width="14.5546875" style="1" customWidth="1"/>
    <col min="6" max="6" width="23.33203125" style="1" bestFit="1" customWidth="1"/>
    <col min="7" max="7" width="31" style="1" customWidth="1"/>
    <col min="8" max="10" width="11.44140625" style="1"/>
    <col min="11" max="11" width="16.33203125" style="1" bestFit="1" customWidth="1"/>
    <col min="12" max="16384" width="11.44140625" style="1"/>
  </cols>
  <sheetData>
    <row r="1" spans="1:11" ht="15.05" x14ac:dyDescent="0.3">
      <c r="A1" s="38"/>
      <c r="B1" s="38"/>
      <c r="C1" s="38"/>
      <c r="D1" s="38"/>
      <c r="E1" s="38"/>
      <c r="F1" s="38"/>
      <c r="G1" s="39"/>
    </row>
    <row r="2" spans="1:11" ht="28.2" x14ac:dyDescent="0.5">
      <c r="A2" s="280" t="s">
        <v>198</v>
      </c>
      <c r="B2" s="280"/>
      <c r="C2" s="280"/>
      <c r="D2" s="280"/>
      <c r="E2" s="280"/>
      <c r="F2" s="280"/>
      <c r="G2" s="280"/>
    </row>
    <row r="3" spans="1:11" ht="18" customHeight="1" x14ac:dyDescent="0.5">
      <c r="A3" s="225"/>
      <c r="B3" s="225"/>
      <c r="C3" s="225"/>
      <c r="D3" s="225"/>
      <c r="E3" s="225"/>
      <c r="F3" s="225"/>
      <c r="G3" s="225"/>
    </row>
    <row r="4" spans="1:11" ht="13.95" customHeight="1" x14ac:dyDescent="0.3">
      <c r="A4" s="291" t="s">
        <v>199</v>
      </c>
      <c r="B4" s="291"/>
      <c r="C4" s="291"/>
      <c r="D4" s="291"/>
      <c r="E4" s="291"/>
      <c r="F4" s="291"/>
      <c r="G4" s="291"/>
    </row>
    <row r="5" spans="1:11" ht="13.95" customHeight="1" x14ac:dyDescent="0.3">
      <c r="A5" s="96"/>
      <c r="B5" s="96"/>
      <c r="C5" s="96"/>
      <c r="D5" s="96"/>
      <c r="E5" s="96"/>
      <c r="F5" s="96"/>
      <c r="G5" s="96"/>
    </row>
    <row r="6" spans="1:11" ht="13.95" customHeight="1" x14ac:dyDescent="0.3">
      <c r="A6" s="71" t="s">
        <v>200</v>
      </c>
      <c r="B6" s="71" t="s">
        <v>201</v>
      </c>
      <c r="C6" s="71" t="s">
        <v>111</v>
      </c>
      <c r="D6" s="71" t="s">
        <v>197</v>
      </c>
      <c r="E6" s="71" t="s">
        <v>101</v>
      </c>
      <c r="F6" s="96" t="s">
        <v>102</v>
      </c>
      <c r="G6" s="96"/>
    </row>
    <row r="7" spans="1:11" ht="13.95" customHeight="1" x14ac:dyDescent="0.3">
      <c r="A7" s="226">
        <v>1</v>
      </c>
      <c r="B7" s="44">
        <v>127.9</v>
      </c>
      <c r="C7" s="44">
        <v>1</v>
      </c>
      <c r="D7" s="44">
        <v>0.1</v>
      </c>
      <c r="E7" s="29">
        <f>B7*C7*D7*A7</f>
        <v>12.790000000000001</v>
      </c>
      <c r="F7" s="302" t="s">
        <v>202</v>
      </c>
      <c r="G7" s="302"/>
    </row>
    <row r="8" spans="1:11" ht="13.95" customHeight="1" x14ac:dyDescent="0.3">
      <c r="A8" s="226"/>
      <c r="B8" s="44"/>
      <c r="C8" s="44"/>
      <c r="D8" s="44"/>
      <c r="E8" s="29"/>
      <c r="F8" s="227"/>
      <c r="G8" s="227"/>
    </row>
    <row r="9" spans="1:11" ht="22.25" customHeight="1" x14ac:dyDescent="0.4">
      <c r="A9" s="282" t="s">
        <v>121</v>
      </c>
      <c r="B9" s="282"/>
      <c r="C9" s="282"/>
      <c r="D9" s="54"/>
      <c r="E9" s="54">
        <f>SUM(E7:E8)</f>
        <v>12.790000000000001</v>
      </c>
      <c r="F9" s="54"/>
      <c r="G9" s="54"/>
    </row>
    <row r="10" spans="1:11" ht="13.95" customHeight="1" x14ac:dyDescent="0.3">
      <c r="A10" s="31"/>
      <c r="B10" s="27"/>
      <c r="C10" s="31"/>
      <c r="D10" s="32"/>
      <c r="E10" s="33"/>
      <c r="F10" s="33"/>
      <c r="G10" s="31"/>
    </row>
    <row r="11" spans="1:11" ht="13.95" customHeight="1" x14ac:dyDescent="0.3">
      <c r="A11" s="301" t="s">
        <v>203</v>
      </c>
      <c r="B11" s="301"/>
      <c r="C11" s="301"/>
      <c r="D11" s="301"/>
      <c r="E11" s="301"/>
      <c r="F11" s="301"/>
      <c r="G11" s="301"/>
    </row>
    <row r="12" spans="1:11" ht="13.95" customHeight="1" x14ac:dyDescent="0.3">
      <c r="A12" s="228"/>
      <c r="B12" s="228" t="s">
        <v>124</v>
      </c>
      <c r="C12" s="228"/>
      <c r="D12" s="228" t="s">
        <v>104</v>
      </c>
      <c r="E12" s="228" t="s">
        <v>113</v>
      </c>
      <c r="F12" s="228" t="s">
        <v>112</v>
      </c>
      <c r="G12" s="42" t="s">
        <v>102</v>
      </c>
    </row>
    <row r="13" spans="1:11" ht="13.95" customHeight="1" x14ac:dyDescent="0.3">
      <c r="A13" s="42"/>
      <c r="B13" s="229">
        <f>ROUNDUP(((B7)-0.1)/0.15,0)+2</f>
        <v>854</v>
      </c>
      <c r="C13" s="229"/>
      <c r="D13" s="50" t="s">
        <v>28</v>
      </c>
      <c r="E13" s="43">
        <f>C7-0.1</f>
        <v>0.9</v>
      </c>
      <c r="F13" s="30">
        <f>+VLOOKUP(D13,PESOS!$B$3:$F$25,5,FALSE)*B13*E13*A7</f>
        <v>232.19667596916673</v>
      </c>
      <c r="G13" s="230" t="s">
        <v>135</v>
      </c>
      <c r="H13" s="25"/>
      <c r="K13" s="42"/>
    </row>
    <row r="14" spans="1:11" ht="13.95" customHeight="1" x14ac:dyDescent="0.3">
      <c r="A14" s="42"/>
      <c r="B14" s="229"/>
      <c r="C14" s="229"/>
      <c r="D14" s="50"/>
      <c r="E14" s="43"/>
      <c r="F14" s="30"/>
      <c r="G14" s="230"/>
      <c r="H14" s="25"/>
      <c r="K14" s="42"/>
    </row>
    <row r="15" spans="1:11" ht="13.95" customHeight="1" x14ac:dyDescent="0.3">
      <c r="A15" s="301" t="s">
        <v>204</v>
      </c>
      <c r="B15" s="301"/>
      <c r="C15" s="301"/>
      <c r="D15" s="301"/>
      <c r="E15" s="301"/>
      <c r="F15" s="301"/>
      <c r="G15" s="301"/>
    </row>
    <row r="16" spans="1:11" ht="13.95" customHeight="1" x14ac:dyDescent="0.3">
      <c r="A16" s="228"/>
      <c r="B16" s="228" t="s">
        <v>105</v>
      </c>
      <c r="C16" s="228" t="s">
        <v>205</v>
      </c>
      <c r="D16" s="228" t="s">
        <v>104</v>
      </c>
      <c r="E16" s="228" t="s">
        <v>113</v>
      </c>
      <c r="F16" s="228" t="s">
        <v>112</v>
      </c>
      <c r="G16" s="42" t="s">
        <v>102</v>
      </c>
    </row>
    <row r="17" spans="1:10" ht="13.95" customHeight="1" x14ac:dyDescent="0.3">
      <c r="A17" s="229"/>
      <c r="B17" s="229">
        <f>((((C7-0.1)/0.15)+1))</f>
        <v>7</v>
      </c>
      <c r="C17" s="231">
        <f>B17*(ROUNDUP(((B7)/(6-0.5)),0)+1)</f>
        <v>175</v>
      </c>
      <c r="D17" s="50" t="s">
        <v>28</v>
      </c>
      <c r="E17" s="43">
        <v>6</v>
      </c>
      <c r="F17" s="30">
        <f>+VLOOKUP(D17,PESOS!$B$3:$F$25,5,FALSE)*E17*C17*A7</f>
        <v>317.20857372836986</v>
      </c>
      <c r="G17" s="230" t="s">
        <v>135</v>
      </c>
      <c r="H17" s="25"/>
      <c r="I17" s="25"/>
    </row>
    <row r="18" spans="1:10" ht="13.95" customHeight="1" x14ac:dyDescent="0.3">
      <c r="A18" s="229">
        <v>28</v>
      </c>
      <c r="B18" s="229">
        <f>((((C7-0.1)/0.15)+1))</f>
        <v>7</v>
      </c>
      <c r="C18" s="42" t="s">
        <v>206</v>
      </c>
      <c r="D18" s="50" t="s">
        <v>9</v>
      </c>
      <c r="E18" s="43">
        <v>0.6</v>
      </c>
      <c r="F18" s="30">
        <f>+VLOOKUP(D18,PESOS!$B$3:$F$25,5,FALSE)*B18*E18*A18*A7</f>
        <v>65.780448244262686</v>
      </c>
      <c r="G18" s="230" t="s">
        <v>207</v>
      </c>
      <c r="H18" s="25"/>
      <c r="I18" s="25"/>
    </row>
    <row r="19" spans="1:10" ht="13.5" customHeight="1" x14ac:dyDescent="0.3">
      <c r="A19" s="229"/>
      <c r="B19" s="229"/>
      <c r="C19" s="228"/>
      <c r="D19" s="50"/>
      <c r="E19" s="43"/>
      <c r="F19" s="30"/>
      <c r="G19" s="230"/>
      <c r="H19" s="25"/>
      <c r="I19" s="25"/>
    </row>
    <row r="20" spans="1:10" ht="21.3" x14ac:dyDescent="0.4">
      <c r="A20" s="283" t="s">
        <v>149</v>
      </c>
      <c r="B20" s="283"/>
      <c r="C20" s="283"/>
      <c r="D20" s="283"/>
      <c r="E20" s="283"/>
      <c r="F20" s="53">
        <f>SUM(F13:F14)+SUM(F17:F19)</f>
        <v>615.18569794179928</v>
      </c>
      <c r="G20" s="232"/>
      <c r="J20" s="45"/>
    </row>
    <row r="22" spans="1:10" ht="15.05" x14ac:dyDescent="0.3">
      <c r="A22" s="233"/>
      <c r="B22" s="233"/>
      <c r="C22" s="233"/>
      <c r="D22" s="233"/>
      <c r="E22" s="233"/>
      <c r="F22" s="233"/>
      <c r="G22" s="233"/>
    </row>
    <row r="23" spans="1:10" ht="15.05" x14ac:dyDescent="0.3">
      <c r="A23" s="160"/>
      <c r="B23" s="160"/>
      <c r="C23" s="160"/>
      <c r="D23" s="160"/>
      <c r="E23" s="160"/>
      <c r="F23" s="233"/>
      <c r="G23" s="233"/>
    </row>
    <row r="24" spans="1:10" ht="15.05" x14ac:dyDescent="0.3">
      <c r="A24" s="73"/>
      <c r="B24" s="234"/>
      <c r="C24" s="235"/>
      <c r="D24" s="235"/>
      <c r="E24" s="236"/>
      <c r="F24" s="38"/>
      <c r="G24" s="233"/>
    </row>
    <row r="25" spans="1:10" ht="21.3" x14ac:dyDescent="0.4">
      <c r="A25" s="279"/>
      <c r="B25" s="279"/>
      <c r="C25" s="279"/>
      <c r="D25" s="237"/>
      <c r="E25" s="237"/>
      <c r="F25" s="237"/>
      <c r="G25" s="237"/>
    </row>
    <row r="26" spans="1:10" ht="15.05" x14ac:dyDescent="0.3">
      <c r="A26" s="31"/>
      <c r="B26" s="27"/>
      <c r="C26" s="31"/>
      <c r="D26" s="32"/>
      <c r="E26" s="33"/>
      <c r="F26" s="33"/>
      <c r="G26" s="31"/>
    </row>
    <row r="27" spans="1:10" ht="15.05" x14ac:dyDescent="0.3">
      <c r="A27" s="286"/>
      <c r="B27" s="286"/>
      <c r="C27" s="286"/>
      <c r="D27" s="286"/>
      <c r="E27" s="286"/>
      <c r="F27" s="286"/>
      <c r="G27" s="286"/>
    </row>
    <row r="28" spans="1:10" ht="15.05" x14ac:dyDescent="0.3">
      <c r="A28" s="108"/>
      <c r="B28" s="108"/>
      <c r="C28" s="108"/>
      <c r="D28" s="108"/>
      <c r="E28" s="108"/>
      <c r="F28" s="108"/>
      <c r="G28" s="59"/>
    </row>
    <row r="29" spans="1:10" ht="15.05" x14ac:dyDescent="0.3">
      <c r="A29" s="59"/>
      <c r="B29" s="78"/>
      <c r="C29" s="78"/>
      <c r="D29" s="76"/>
      <c r="E29" s="77"/>
      <c r="F29" s="33"/>
      <c r="G29" s="59"/>
    </row>
    <row r="30" spans="1:10" ht="15.05" x14ac:dyDescent="0.3">
      <c r="A30" s="286"/>
      <c r="B30" s="286"/>
      <c r="C30" s="286"/>
      <c r="D30" s="286"/>
      <c r="E30" s="286"/>
      <c r="F30" s="286"/>
      <c r="G30" s="286"/>
    </row>
    <row r="31" spans="1:10" ht="15.05" x14ac:dyDescent="0.3">
      <c r="A31" s="108"/>
      <c r="B31" s="108"/>
      <c r="C31" s="108"/>
      <c r="D31" s="108"/>
      <c r="E31" s="108"/>
      <c r="F31" s="108"/>
      <c r="G31" s="59"/>
    </row>
    <row r="32" spans="1:10" ht="15.05" x14ac:dyDescent="0.3">
      <c r="A32" s="59"/>
      <c r="B32" s="78"/>
      <c r="C32" s="108"/>
      <c r="D32" s="76"/>
      <c r="E32" s="238"/>
      <c r="F32" s="33"/>
      <c r="G32" s="59"/>
    </row>
    <row r="33" spans="1:7" ht="21.3" x14ac:dyDescent="0.4">
      <c r="A33" s="279"/>
      <c r="B33" s="279"/>
      <c r="C33" s="279"/>
      <c r="D33" s="279"/>
      <c r="E33" s="279"/>
      <c r="F33" s="80"/>
      <c r="G33" s="24"/>
    </row>
  </sheetData>
  <mergeCells count="11">
    <mergeCell ref="A20:E20"/>
    <mergeCell ref="A25:C25"/>
    <mergeCell ref="A27:G27"/>
    <mergeCell ref="A30:G30"/>
    <mergeCell ref="A33:E33"/>
    <mergeCell ref="A15:G15"/>
    <mergeCell ref="A2:G2"/>
    <mergeCell ref="A4:G4"/>
    <mergeCell ref="F7:G7"/>
    <mergeCell ref="A9:C9"/>
    <mergeCell ref="A11:G11"/>
  </mergeCells>
  <pageMargins left="0.70866141732283472" right="0.70866141732283472" top="0.74803149606299213" bottom="0.74803149606299213" header="0.31496062992125984" footer="0.31496062992125984"/>
  <pageSetup paperSize="153" scale="63" orientation="portrait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625A-FF5A-4D72-8A50-89650B780772}">
  <sheetPr codeName="Hoja7">
    <tabColor theme="5" tint="-0.249977111117893"/>
  </sheetPr>
  <dimension ref="A1:G32"/>
  <sheetViews>
    <sheetView view="pageBreakPreview" zoomScale="55" zoomScaleNormal="115" zoomScaleSheetLayoutView="55" workbookViewId="0">
      <selection activeCell="I30" sqref="I30"/>
    </sheetView>
  </sheetViews>
  <sheetFormatPr baseColWidth="10" defaultColWidth="11.44140625" defaultRowHeight="12.55" x14ac:dyDescent="0.2"/>
  <cols>
    <col min="1" max="1" width="14.33203125" style="124" customWidth="1"/>
    <col min="2" max="2" width="11.33203125" style="124" bestFit="1" customWidth="1"/>
    <col min="3" max="3" width="12.44140625" style="124" bestFit="1" customWidth="1"/>
    <col min="4" max="4" width="14.109375" style="124" bestFit="1" customWidth="1"/>
    <col min="5" max="5" width="18.5546875" style="124" bestFit="1" customWidth="1"/>
    <col min="6" max="6" width="21.5546875" style="124" bestFit="1" customWidth="1"/>
    <col min="7" max="7" width="12" style="124" bestFit="1" customWidth="1"/>
    <col min="8" max="16384" width="11.44140625" style="124"/>
  </cols>
  <sheetData>
    <row r="1" spans="1:6" ht="13.15" x14ac:dyDescent="0.25">
      <c r="A1" s="114"/>
      <c r="B1" s="114"/>
      <c r="C1" s="114"/>
      <c r="D1" s="114"/>
      <c r="E1" s="114"/>
      <c r="F1" s="177"/>
    </row>
    <row r="2" spans="1:6" ht="30.05" customHeight="1" x14ac:dyDescent="0.5">
      <c r="A2" s="294" t="s">
        <v>213</v>
      </c>
      <c r="B2" s="294"/>
      <c r="C2" s="294"/>
      <c r="D2" s="294"/>
      <c r="E2" s="294"/>
      <c r="F2" s="294"/>
    </row>
    <row r="3" spans="1:6" ht="13.95" customHeight="1" x14ac:dyDescent="0.3">
      <c r="A3" s="240" t="s">
        <v>214</v>
      </c>
      <c r="B3" s="240"/>
      <c r="C3" s="190"/>
      <c r="D3" s="190"/>
      <c r="E3" s="190"/>
      <c r="F3" s="241"/>
    </row>
    <row r="4" spans="1:6" ht="13.95" customHeight="1" x14ac:dyDescent="0.3">
      <c r="A4" s="185"/>
      <c r="B4" s="190" t="s">
        <v>98</v>
      </c>
      <c r="C4" s="190" t="s">
        <v>99</v>
      </c>
      <c r="D4" s="190" t="s">
        <v>100</v>
      </c>
      <c r="E4" s="188" t="s">
        <v>101</v>
      </c>
      <c r="F4" s="242" t="s">
        <v>3</v>
      </c>
    </row>
    <row r="5" spans="1:6" ht="13.95" customHeight="1" x14ac:dyDescent="0.3">
      <c r="A5" s="185"/>
      <c r="B5" s="243">
        <v>0.3</v>
      </c>
      <c r="C5" s="243">
        <v>0.4</v>
      </c>
      <c r="D5" s="243">
        <v>14.5</v>
      </c>
      <c r="E5" s="244">
        <f>+B5*C5*D5</f>
        <v>1.74</v>
      </c>
      <c r="F5" s="186" t="s">
        <v>215</v>
      </c>
    </row>
    <row r="6" spans="1:6" ht="13.95" customHeight="1" x14ac:dyDescent="0.3">
      <c r="A6" s="185"/>
      <c r="B6" s="243"/>
      <c r="C6" s="243"/>
      <c r="D6" s="243"/>
      <c r="E6" s="244"/>
      <c r="F6" s="186"/>
    </row>
    <row r="7" spans="1:6" ht="13.95" customHeight="1" x14ac:dyDescent="0.3">
      <c r="A7" s="240" t="s">
        <v>216</v>
      </c>
      <c r="B7" s="240"/>
      <c r="C7" s="190"/>
      <c r="D7" s="190"/>
      <c r="E7" s="190"/>
      <c r="F7" s="241"/>
    </row>
    <row r="8" spans="1:6" ht="13.95" customHeight="1" x14ac:dyDescent="0.3">
      <c r="A8" s="185" t="s">
        <v>105</v>
      </c>
      <c r="B8" s="190" t="s">
        <v>104</v>
      </c>
      <c r="C8" s="190"/>
      <c r="D8" s="190" t="s">
        <v>111</v>
      </c>
      <c r="E8" s="188" t="s">
        <v>101</v>
      </c>
      <c r="F8" s="242" t="s">
        <v>3</v>
      </c>
    </row>
    <row r="9" spans="1:6" ht="13.95" customHeight="1" x14ac:dyDescent="0.3">
      <c r="A9" s="185">
        <v>6</v>
      </c>
      <c r="B9" s="243">
        <v>0.3</v>
      </c>
      <c r="C9" s="243"/>
      <c r="D9" s="243">
        <v>1</v>
      </c>
      <c r="E9" s="244">
        <f>(PI()/4)*(B9*B9)*A9*D9</f>
        <v>0.42411500823462212</v>
      </c>
      <c r="F9" s="186" t="s">
        <v>217</v>
      </c>
    </row>
    <row r="10" spans="1:6" ht="13.95" customHeight="1" x14ac:dyDescent="0.3">
      <c r="A10" s="185"/>
      <c r="B10" s="243"/>
      <c r="C10" s="243"/>
      <c r="D10" s="243"/>
      <c r="E10" s="244"/>
      <c r="F10" s="186"/>
    </row>
    <row r="11" spans="1:6" ht="21.3" x14ac:dyDescent="0.4">
      <c r="A11" s="297" t="s">
        <v>121</v>
      </c>
      <c r="B11" s="297"/>
      <c r="C11" s="297"/>
      <c r="D11" s="297"/>
      <c r="E11" s="115">
        <f>SUM(E5:E10)</f>
        <v>2.1641150082346221</v>
      </c>
      <c r="F11" s="222"/>
    </row>
    <row r="12" spans="1:6" ht="15.05" x14ac:dyDescent="0.3">
      <c r="A12" s="245"/>
      <c r="B12" s="221"/>
      <c r="C12" s="122"/>
      <c r="D12" s="122"/>
      <c r="E12" s="122"/>
      <c r="F12" s="123"/>
    </row>
    <row r="13" spans="1:6" ht="15.05" x14ac:dyDescent="0.3">
      <c r="A13" s="246" t="s">
        <v>218</v>
      </c>
      <c r="B13" s="247"/>
      <c r="C13" s="247"/>
      <c r="D13" s="247"/>
      <c r="E13" s="247"/>
      <c r="F13" s="247"/>
    </row>
    <row r="14" spans="1:6" ht="15.05" x14ac:dyDescent="0.3">
      <c r="A14" s="228"/>
      <c r="B14" s="228" t="s">
        <v>219</v>
      </c>
      <c r="C14" s="228" t="s">
        <v>104</v>
      </c>
      <c r="D14" s="228" t="s">
        <v>113</v>
      </c>
      <c r="E14" s="228" t="s">
        <v>112</v>
      </c>
      <c r="F14" s="42"/>
    </row>
    <row r="15" spans="1:6" ht="15.05" x14ac:dyDescent="0.3">
      <c r="A15" s="229"/>
      <c r="B15" s="229">
        <f>((ROUNDUP(((D5))/(6-0.7)+1,0)))*6</f>
        <v>24</v>
      </c>
      <c r="C15" s="50" t="s">
        <v>11</v>
      </c>
      <c r="D15" s="43">
        <v>6</v>
      </c>
      <c r="E15" s="30">
        <f>+VLOOKUP(C15,PESOS!$B$3:$F$25,5,FALSE)*B15*D15</f>
        <v>223.74302123898886</v>
      </c>
      <c r="F15" s="42" t="s">
        <v>135</v>
      </c>
    </row>
    <row r="16" spans="1:6" ht="15.05" x14ac:dyDescent="0.3">
      <c r="A16" s="229"/>
      <c r="B16" s="229">
        <f>(ROUNDUP(((D5)/0.2)+2,0))</f>
        <v>75</v>
      </c>
      <c r="C16" s="50" t="s">
        <v>9</v>
      </c>
      <c r="D16" s="43">
        <v>1.2</v>
      </c>
      <c r="E16" s="30">
        <f>+VLOOKUP(C16,PESOS!$B$3:$F$25,5,FALSE)*B16*D16</f>
        <v>50.342179778772469</v>
      </c>
      <c r="F16" s="42" t="s">
        <v>133</v>
      </c>
    </row>
    <row r="17" spans="1:7" ht="15.05" x14ac:dyDescent="0.3">
      <c r="A17" s="229"/>
      <c r="B17" s="229"/>
      <c r="C17" s="50"/>
      <c r="D17" s="43"/>
      <c r="E17" s="30"/>
      <c r="F17" s="42"/>
    </row>
    <row r="18" spans="1:7" ht="15.05" x14ac:dyDescent="0.3">
      <c r="A18" s="246" t="s">
        <v>220</v>
      </c>
      <c r="B18" s="247"/>
      <c r="C18" s="247"/>
      <c r="D18" s="247"/>
      <c r="E18" s="247"/>
      <c r="F18" s="247"/>
    </row>
    <row r="19" spans="1:7" ht="15.05" x14ac:dyDescent="0.3">
      <c r="A19" s="228"/>
      <c r="B19" s="228" t="s">
        <v>219</v>
      </c>
      <c r="C19" s="228" t="s">
        <v>104</v>
      </c>
      <c r="D19" s="228" t="s">
        <v>113</v>
      </c>
      <c r="E19" s="228" t="s">
        <v>112</v>
      </c>
      <c r="F19" s="42"/>
    </row>
    <row r="20" spans="1:7" ht="15.05" x14ac:dyDescent="0.3">
      <c r="A20" s="229"/>
      <c r="B20" s="229">
        <f>6*A9</f>
        <v>36</v>
      </c>
      <c r="C20" s="50" t="s">
        <v>11</v>
      </c>
      <c r="D20" s="43">
        <v>1.5</v>
      </c>
      <c r="E20" s="30">
        <f>+VLOOKUP(C20,PESOS!$B$3:$F$25,5,FALSE)*B20*D20</f>
        <v>83.903632964620812</v>
      </c>
      <c r="F20" s="42" t="s">
        <v>135</v>
      </c>
    </row>
    <row r="21" spans="1:7" ht="15.05" x14ac:dyDescent="0.3">
      <c r="A21" s="229"/>
      <c r="B21" s="229">
        <f>(ROUNDUP(((D9)/0.15),0))*A9</f>
        <v>42</v>
      </c>
      <c r="C21" s="50" t="s">
        <v>9</v>
      </c>
      <c r="D21" s="43">
        <v>0.83</v>
      </c>
      <c r="E21" s="30">
        <f>+VLOOKUP(C21,PESOS!$B$3:$F$25,5,FALSE)*B21*D21</f>
        <v>19.499204300977869</v>
      </c>
      <c r="F21" s="42" t="s">
        <v>133</v>
      </c>
    </row>
    <row r="22" spans="1:7" ht="15.05" x14ac:dyDescent="0.3">
      <c r="A22" s="134"/>
      <c r="B22" s="248"/>
      <c r="C22" s="136"/>
      <c r="D22" s="137"/>
      <c r="E22" s="138"/>
      <c r="F22" s="134"/>
    </row>
    <row r="23" spans="1:7" ht="21.3" x14ac:dyDescent="0.4">
      <c r="A23" s="299" t="s">
        <v>122</v>
      </c>
      <c r="B23" s="299"/>
      <c r="C23" s="299"/>
      <c r="D23" s="299"/>
      <c r="E23" s="139">
        <f>SUM(E15:E22)</f>
        <v>377.48803828336003</v>
      </c>
      <c r="F23" s="249"/>
    </row>
    <row r="25" spans="1:7" ht="15.65" x14ac:dyDescent="0.3">
      <c r="A25" s="250" t="s">
        <v>221</v>
      </c>
      <c r="B25" s="251"/>
      <c r="C25" s="252"/>
      <c r="D25" s="252"/>
      <c r="E25" s="252"/>
      <c r="F25" s="252"/>
      <c r="G25" s="253"/>
    </row>
    <row r="26" spans="1:7" ht="15.65" x14ac:dyDescent="0.3">
      <c r="A26" s="250" t="s">
        <v>222</v>
      </c>
      <c r="B26" s="251">
        <v>77</v>
      </c>
      <c r="C26" s="254" t="s">
        <v>223</v>
      </c>
      <c r="D26" s="252"/>
      <c r="E26" s="252"/>
      <c r="F26" s="252"/>
      <c r="G26" s="253"/>
    </row>
    <row r="27" spans="1:7" ht="15.65" x14ac:dyDescent="0.3">
      <c r="A27" s="250"/>
      <c r="B27" s="251"/>
      <c r="C27" s="252"/>
      <c r="D27" s="252"/>
      <c r="E27" s="252"/>
      <c r="F27" s="252"/>
      <c r="G27" s="253"/>
    </row>
    <row r="28" spans="1:7" ht="30.05" x14ac:dyDescent="0.3">
      <c r="A28" s="255" t="s">
        <v>113</v>
      </c>
      <c r="B28" s="256" t="s">
        <v>224</v>
      </c>
      <c r="C28" s="256" t="s">
        <v>225</v>
      </c>
      <c r="D28" s="253" t="s">
        <v>3</v>
      </c>
      <c r="E28" s="253"/>
      <c r="F28" s="251"/>
      <c r="G28" s="257"/>
    </row>
    <row r="29" spans="1:7" ht="15.05" x14ac:dyDescent="0.3">
      <c r="A29" s="258">
        <f>3.35*B26</f>
        <v>257.95</v>
      </c>
      <c r="B29" s="259">
        <v>4.0019999999999998</v>
      </c>
      <c r="C29" s="260">
        <f>A29*B29</f>
        <v>1032.3158999999998</v>
      </c>
      <c r="D29" s="254" t="s">
        <v>226</v>
      </c>
      <c r="E29" s="253"/>
      <c r="F29" s="261"/>
    </row>
    <row r="30" spans="1:7" ht="15.05" x14ac:dyDescent="0.3">
      <c r="A30" s="262"/>
      <c r="B30" s="262"/>
      <c r="C30" s="260"/>
      <c r="D30" s="254"/>
      <c r="E30" s="253"/>
      <c r="F30" s="261"/>
    </row>
    <row r="31" spans="1:7" ht="13.15" x14ac:dyDescent="0.25">
      <c r="A31" s="24"/>
      <c r="B31" s="24"/>
      <c r="C31" s="24"/>
      <c r="D31" s="24"/>
      <c r="E31" s="24"/>
      <c r="F31" s="24"/>
      <c r="G31" s="1"/>
    </row>
    <row r="32" spans="1:7" ht="21.3" x14ac:dyDescent="0.4">
      <c r="A32" s="303" t="s">
        <v>122</v>
      </c>
      <c r="B32" s="303"/>
      <c r="C32" s="303"/>
      <c r="D32" s="303"/>
      <c r="E32" s="263">
        <f>SUM(C29:C30)</f>
        <v>1032.3158999999998</v>
      </c>
      <c r="F32" s="264"/>
      <c r="G32" s="264"/>
    </row>
  </sheetData>
  <mergeCells count="4">
    <mergeCell ref="A2:F2"/>
    <mergeCell ref="A11:D11"/>
    <mergeCell ref="A23:D23"/>
    <mergeCell ref="A32:D32"/>
  </mergeCells>
  <pageMargins left="0.70866141732283461" right="0.70866141732283461" top="0.74803149606299213" bottom="0.74803149606299213" header="0.31496062992125984" footer="0.31496062992125984"/>
  <pageSetup paperSize="122" scale="4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1656-BA77-47EB-9414-3589E696E1F6}">
  <sheetPr codeName="Hoja8">
    <tabColor theme="9" tint="-0.249977111117893"/>
  </sheetPr>
  <dimension ref="A1:J26"/>
  <sheetViews>
    <sheetView view="pageBreakPreview" zoomScaleNormal="115" zoomScaleSheetLayoutView="100" workbookViewId="0">
      <selection activeCell="C5" sqref="C5"/>
    </sheetView>
  </sheetViews>
  <sheetFormatPr baseColWidth="10" defaultColWidth="11.44140625" defaultRowHeight="12.55" x14ac:dyDescent="0.2"/>
  <cols>
    <col min="1" max="1" width="10.88671875" style="124" bestFit="1" customWidth="1"/>
    <col min="2" max="2" width="11.44140625" style="124"/>
    <col min="3" max="3" width="11.6640625" style="124" customWidth="1"/>
    <col min="4" max="4" width="16.44140625" style="124" customWidth="1"/>
    <col min="5" max="5" width="16.109375" style="124" customWidth="1"/>
    <col min="6" max="6" width="32.109375" style="124" customWidth="1"/>
    <col min="7" max="16384" width="11.44140625" style="124"/>
  </cols>
  <sheetData>
    <row r="1" spans="1:10" ht="13.15" x14ac:dyDescent="0.25">
      <c r="A1" s="114"/>
      <c r="B1" s="114"/>
      <c r="C1" s="114"/>
      <c r="D1" s="114"/>
      <c r="E1" s="114"/>
      <c r="F1" s="177"/>
    </row>
    <row r="2" spans="1:10" ht="30.05" customHeight="1" x14ac:dyDescent="0.5">
      <c r="A2" s="294" t="s">
        <v>183</v>
      </c>
      <c r="B2" s="294"/>
      <c r="C2" s="294"/>
      <c r="D2" s="294"/>
      <c r="E2" s="294"/>
      <c r="F2" s="294"/>
    </row>
    <row r="3" spans="1:10" ht="13.5" customHeight="1" x14ac:dyDescent="0.2">
      <c r="A3" s="304"/>
      <c r="B3" s="304"/>
      <c r="C3" s="178"/>
      <c r="D3" s="304"/>
      <c r="E3" s="304"/>
      <c r="F3" s="178"/>
    </row>
    <row r="4" spans="1:10" ht="13.95" customHeight="1" x14ac:dyDescent="0.25">
      <c r="A4" s="305" t="s">
        <v>176</v>
      </c>
      <c r="B4" s="305"/>
      <c r="C4" s="305"/>
      <c r="D4" s="305"/>
      <c r="E4" s="171"/>
      <c r="F4" s="179"/>
    </row>
    <row r="5" spans="1:10" ht="13.95" customHeight="1" x14ac:dyDescent="0.25">
      <c r="A5" s="171" t="s">
        <v>123</v>
      </c>
      <c r="B5" s="171" t="s">
        <v>111</v>
      </c>
      <c r="C5" s="171" t="s">
        <v>100</v>
      </c>
      <c r="D5" s="180" t="s">
        <v>101</v>
      </c>
      <c r="E5" s="171" t="s">
        <v>177</v>
      </c>
      <c r="F5" s="176" t="s">
        <v>102</v>
      </c>
    </row>
    <row r="6" spans="1:10" ht="13.95" customHeight="1" x14ac:dyDescent="0.3">
      <c r="A6" s="181">
        <v>0.7</v>
      </c>
      <c r="B6" s="181">
        <v>1</v>
      </c>
      <c r="C6" s="181">
        <v>0.8</v>
      </c>
      <c r="D6" s="182">
        <f>A6*C6*B6*E6</f>
        <v>6.7199999999999989</v>
      </c>
      <c r="E6" s="171">
        <v>12</v>
      </c>
      <c r="F6" s="183" t="s">
        <v>184</v>
      </c>
    </row>
    <row r="7" spans="1:10" ht="13.95" customHeight="1" x14ac:dyDescent="0.3">
      <c r="A7" s="181">
        <v>0.4</v>
      </c>
      <c r="B7" s="181">
        <v>0.4</v>
      </c>
      <c r="C7" s="181">
        <v>30.6</v>
      </c>
      <c r="D7" s="182">
        <f>A7*C7*B7*E7</f>
        <v>4.8960000000000008</v>
      </c>
      <c r="E7" s="171">
        <v>1</v>
      </c>
      <c r="F7" s="183" t="s">
        <v>185</v>
      </c>
    </row>
    <row r="8" spans="1:10" ht="21.3" x14ac:dyDescent="0.4">
      <c r="A8" s="297" t="s">
        <v>121</v>
      </c>
      <c r="B8" s="297"/>
      <c r="C8" s="297"/>
      <c r="D8" s="115">
        <f>+SUM(D6:D7)</f>
        <v>11.616</v>
      </c>
      <c r="E8" s="115"/>
      <c r="F8" s="115"/>
      <c r="G8" s="115"/>
    </row>
    <row r="9" spans="1:10" s="185" customFormat="1" ht="13.95" customHeight="1" x14ac:dyDescent="0.3">
      <c r="A9" s="116"/>
      <c r="B9" s="116"/>
      <c r="C9" s="116"/>
      <c r="D9" s="184"/>
      <c r="E9" s="114"/>
      <c r="F9" s="177"/>
    </row>
    <row r="10" spans="1:10" s="185" customFormat="1" ht="13.95" customHeight="1" x14ac:dyDescent="0.3">
      <c r="A10" s="306" t="s">
        <v>178</v>
      </c>
      <c r="B10" s="306"/>
      <c r="C10" s="306"/>
      <c r="D10" s="306"/>
      <c r="E10" s="186"/>
      <c r="F10" s="187"/>
      <c r="J10" s="185" t="s">
        <v>38</v>
      </c>
    </row>
    <row r="11" spans="1:10" s="185" customFormat="1" ht="13.95" customHeight="1" x14ac:dyDescent="0.3">
      <c r="A11" s="188"/>
      <c r="B11" s="188"/>
      <c r="C11" s="188"/>
      <c r="D11" s="189"/>
      <c r="E11" s="186"/>
      <c r="F11" s="187"/>
    </row>
    <row r="12" spans="1:10" s="185" customFormat="1" ht="13.95" customHeight="1" x14ac:dyDescent="0.3">
      <c r="A12" s="190" t="s">
        <v>179</v>
      </c>
      <c r="B12" s="190" t="s">
        <v>180</v>
      </c>
      <c r="C12" s="190" t="s">
        <v>181</v>
      </c>
      <c r="D12" s="186" t="s">
        <v>101</v>
      </c>
      <c r="E12" s="186" t="s">
        <v>177</v>
      </c>
      <c r="F12" s="187"/>
    </row>
    <row r="13" spans="1:10" ht="13.95" customHeight="1" x14ac:dyDescent="0.3">
      <c r="A13" s="191">
        <v>0.8</v>
      </c>
      <c r="B13" s="191">
        <v>0.7</v>
      </c>
      <c r="C13" s="191">
        <v>0.5</v>
      </c>
      <c r="D13" s="192">
        <f>A13*B13*C13*E13</f>
        <v>3.3599999999999994</v>
      </c>
      <c r="E13" s="186">
        <f>E6</f>
        <v>12</v>
      </c>
      <c r="F13" s="193"/>
    </row>
    <row r="14" spans="1:10" ht="21.3" x14ac:dyDescent="0.4">
      <c r="A14" s="297" t="s">
        <v>121</v>
      </c>
      <c r="B14" s="297"/>
      <c r="C14" s="297"/>
      <c r="D14" s="115">
        <f>+SUM(D13:D13)</f>
        <v>3.3599999999999994</v>
      </c>
      <c r="E14" s="115"/>
      <c r="F14" s="115"/>
    </row>
    <row r="15" spans="1:10" ht="13.95" customHeight="1" x14ac:dyDescent="0.3">
      <c r="A15" s="116"/>
      <c r="B15" s="116"/>
      <c r="C15" s="116"/>
      <c r="D15" s="184"/>
      <c r="E15" s="114"/>
      <c r="F15" s="177"/>
      <c r="H15" s="194"/>
    </row>
    <row r="16" spans="1:10" ht="13.95" customHeight="1" x14ac:dyDescent="0.25">
      <c r="A16" s="195" t="s">
        <v>182</v>
      </c>
      <c r="B16" s="196"/>
      <c r="C16" s="197"/>
      <c r="D16" s="197"/>
      <c r="E16" s="197"/>
      <c r="F16" s="198"/>
    </row>
    <row r="17" spans="1:8" ht="13.95" customHeight="1" x14ac:dyDescent="0.25">
      <c r="A17" s="199" t="s">
        <v>0</v>
      </c>
      <c r="B17" s="199" t="s">
        <v>1</v>
      </c>
      <c r="C17" s="199" t="s">
        <v>2</v>
      </c>
      <c r="D17" s="199" t="s">
        <v>103</v>
      </c>
      <c r="E17" s="199" t="s">
        <v>37</v>
      </c>
      <c r="F17" s="199" t="s">
        <v>3</v>
      </c>
      <c r="H17" s="200"/>
    </row>
    <row r="18" spans="1:8" ht="13.95" customHeight="1" x14ac:dyDescent="0.3">
      <c r="A18" s="199"/>
      <c r="B18" s="201">
        <f>E6*12</f>
        <v>144</v>
      </c>
      <c r="C18" s="202" t="s">
        <v>12</v>
      </c>
      <c r="D18" s="203">
        <v>1.33</v>
      </c>
      <c r="E18" s="204">
        <f>+VLOOKUP(C18,PESOS!$B$3:$F$26,5,FALSE)*B18*D18</f>
        <v>428.51263427691134</v>
      </c>
      <c r="F18" s="199" t="s">
        <v>186</v>
      </c>
    </row>
    <row r="19" spans="1:8" ht="13.95" customHeight="1" x14ac:dyDescent="0.3">
      <c r="A19" s="197"/>
      <c r="B19" s="201">
        <f>E6*10</f>
        <v>120</v>
      </c>
      <c r="C19" s="202" t="s">
        <v>12</v>
      </c>
      <c r="D19" s="203">
        <v>1.43</v>
      </c>
      <c r="E19" s="204">
        <f>+VLOOKUP(C19,PESOS!$B$3:$F$26,5,FALSE)*B19*D19</f>
        <v>383.94302444610469</v>
      </c>
      <c r="F19" s="199" t="s">
        <v>187</v>
      </c>
    </row>
    <row r="20" spans="1:8" ht="15.05" x14ac:dyDescent="0.3">
      <c r="A20" s="197"/>
      <c r="B20" s="201">
        <f>4*(ROUNDUP((C7)/(6-0.8),0))+2</f>
        <v>26</v>
      </c>
      <c r="C20" s="202" t="s">
        <v>11</v>
      </c>
      <c r="D20" s="203">
        <v>6</v>
      </c>
      <c r="E20" s="204">
        <f>+VLOOKUP(C20,PESOS!$B$3:$F$26,5,FALSE)*B20*D20</f>
        <v>242.3882730089046</v>
      </c>
      <c r="F20" s="199" t="s">
        <v>194</v>
      </c>
    </row>
    <row r="21" spans="1:8" ht="15.05" x14ac:dyDescent="0.3">
      <c r="A21" s="197"/>
      <c r="B21" s="201">
        <f>(ROUNDUP((C7)/(0.15),0))+2</f>
        <v>206</v>
      </c>
      <c r="C21" s="202" t="s">
        <v>9</v>
      </c>
      <c r="D21" s="203">
        <v>1.4</v>
      </c>
      <c r="E21" s="204">
        <f>+VLOOKUP(C21,PESOS!$B$3:$F$26,5,FALSE)*B21*D21</f>
        <v>161.31871831331091</v>
      </c>
      <c r="F21" s="199" t="s">
        <v>195</v>
      </c>
    </row>
    <row r="22" spans="1:8" ht="15.05" x14ac:dyDescent="0.3">
      <c r="A22" s="197"/>
      <c r="B22" s="201"/>
      <c r="C22" s="202"/>
      <c r="D22" s="203"/>
      <c r="E22" s="204"/>
      <c r="F22" s="199"/>
    </row>
    <row r="23" spans="1:8" ht="21.3" x14ac:dyDescent="0.4">
      <c r="A23" s="299" t="s">
        <v>149</v>
      </c>
      <c r="B23" s="299"/>
      <c r="C23" s="299"/>
      <c r="D23" s="299"/>
      <c r="E23" s="205">
        <f>SUM(E18:E22)</f>
        <v>1216.1626500452317</v>
      </c>
      <c r="F23" s="206"/>
    </row>
    <row r="24" spans="1:8" ht="15.05" x14ac:dyDescent="0.3">
      <c r="A24" s="116"/>
      <c r="B24" s="116"/>
      <c r="C24" s="116"/>
      <c r="D24" s="116"/>
      <c r="E24" s="207"/>
      <c r="F24" s="117"/>
    </row>
    <row r="26" spans="1:8" ht="13.15" x14ac:dyDescent="0.25">
      <c r="B26" s="208"/>
    </row>
  </sheetData>
  <mergeCells count="8">
    <mergeCell ref="A14:C14"/>
    <mergeCell ref="A23:D23"/>
    <mergeCell ref="A2:F2"/>
    <mergeCell ref="A3:B3"/>
    <mergeCell ref="D3:E3"/>
    <mergeCell ref="A4:D4"/>
    <mergeCell ref="A8:C8"/>
    <mergeCell ref="A10:D10"/>
  </mergeCells>
  <pageMargins left="0.74803149606299213" right="0.74803149606299213" top="1.5354330708661419" bottom="0.98425196850393704" header="0" footer="0"/>
  <pageSetup paperSize="153" scale="78" orientation="portrait" horizontalDpi="4294967293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1392E905B87144881E8471077D9EBB" ma:contentTypeVersion="20" ma:contentTypeDescription="Crear nuevo documento." ma:contentTypeScope="" ma:versionID="1bb78a1f96931190e0ed9ef5d1d719bc">
  <xsd:schema xmlns:xsd="http://www.w3.org/2001/XMLSchema" xmlns:xs="http://www.w3.org/2001/XMLSchema" xmlns:p="http://schemas.microsoft.com/office/2006/metadata/properties" xmlns:ns2="e93764ad-fff4-42ac-bffb-0b6274662fb4" xmlns:ns3="d7c7bd0c-6e9e-4ee7-b036-46633fa647c0" targetNamespace="http://schemas.microsoft.com/office/2006/metadata/properties" ma:root="true" ma:fieldsID="2cae1c825090dd5c0fb326f358dd0cc9" ns2:_="" ns3:_="">
    <xsd:import namespace="e93764ad-fff4-42ac-bffb-0b6274662fb4"/>
    <xsd:import namespace="d7c7bd0c-6e9e-4ee7-b036-46633fa64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Doc_x002e_Tipo" minOccurs="0"/>
                <xsd:element ref="ns2:Zona" minOccurs="0"/>
                <xsd:element ref="ns2:Disciplina" minOccurs="0"/>
                <xsd:element ref="ns2:Fase" minOccurs="0"/>
                <xsd:element ref="ns2:Estado" minOccurs="0"/>
                <xsd:element ref="ns2:_x0072_ml1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764ad-fff4-42ac-bffb-0b6274662f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Doc_x002e_Tipo" ma:index="11" nillable="true" ma:displayName="Doc.Tipo" ma:default="IE archivo de intercambio de información" ma:format="Dropdown" ma:internalName="Doc_x002e_Tipo">
      <xsd:simpleType>
        <xsd:restriction base="dms:Choice">
          <xsd:enumeration value="AF archivo de animación (de un modelo)"/>
          <xsd:enumeration value="BQ lista de cantidades"/>
          <xsd:enumeration value="CA cálculos"/>
          <xsd:enumeration value="CM modelo combinado (modelo combinado multidisciplinar)"/>
          <xsd:enumeration value="CO correspondencia"/>
          <xsd:enumeration value="CP plan de costes"/>
          <xsd:enumeration value="CR representación de los choques"/>
          <xsd:enumeration value="DB base de datos"/>
          <xsd:enumeration value="DR representación de dibujos"/>
          <xsd:enumeration value="FN nota de archivo"/>
          <xsd:enumeration value="HS salud y seguridad"/>
          <xsd:enumeration value="IE archivo de intercambio de información"/>
          <xsd:enumeration value="M2 modelo 2D"/>
          <xsd:enumeration value="M3 modelo 3D"/>
          <xsd:enumeration value="MI actas / notas de actuación"/>
          <xsd:enumeration value="MR modelo de representación para otras representaciones, por ejemplo, análisis térmico, etc."/>
          <xsd:enumeration value="MS declaración de método"/>
          <xsd:enumeration value="PP Presentación"/>
          <xsd:enumeration value="PR programa"/>
          <xsd:enumeration value="RD hoja de datos de la sala"/>
          <xsd:enumeration value="RI solicitud de información"/>
          <xsd:enumeration value="RP informe"/>
          <xsd:enumeration value="SA programa de alojamiento"/>
          <xsd:enumeration value="SH horario"/>
          <xsd:enumeration value="SN lista de problemas"/>
          <xsd:enumeration value="SP pliego de condiciones"/>
          <xsd:enumeration value="SU encuesta"/>
          <xsd:enumeration value="VS visualización"/>
        </xsd:restriction>
      </xsd:simpleType>
    </xsd:element>
    <xsd:element name="Zona" ma:index="12" nillable="true" ma:displayName="Zona" ma:default="Torre 02" ma:format="Dropdown" ma:internalName="Zona">
      <xsd:simpleType>
        <xsd:restriction base="dms:Choice">
          <xsd:enumeration value="Torre 02"/>
          <xsd:enumeration value="Subestructura"/>
          <xsd:enumeration value="Superestructura"/>
          <xsd:enumeration value="Bombeo"/>
          <xsd:enumeration value="Parqueadero"/>
          <xsd:enumeration value="Lobby"/>
          <xsd:enumeration value="Ludoteca"/>
          <xsd:enumeration value="Gateadores"/>
          <xsd:enumeration value="Salón Comunal 2"/>
          <xsd:enumeration value="Cinema"/>
          <xsd:enumeration value="Local Comercial 1"/>
          <xsd:enumeration value="Sótano 06"/>
          <xsd:enumeration value="Sótano 05"/>
          <xsd:enumeration value="Sótano 04"/>
          <xsd:enumeration value="Sótano 03"/>
          <xsd:enumeration value="Sótano 02"/>
          <xsd:enumeration value="Sótano 01"/>
          <xsd:enumeration value="Piso 01"/>
          <xsd:enumeration value="Piso 02"/>
          <xsd:enumeration value="Piso 03"/>
          <xsd:enumeration value="PIso 04"/>
          <xsd:enumeration value="Piso 11"/>
          <xsd:enumeration value="PIso 19"/>
          <xsd:enumeration value="PIso 20"/>
          <xsd:enumeration value="PIso 21"/>
          <xsd:enumeration value="Cubierta"/>
          <xsd:enumeration value="Apto Tipo 01A"/>
          <xsd:enumeration value="Apto Tipo 01B"/>
          <xsd:enumeration value="Apto Tipo 02"/>
          <xsd:enumeration value="Apto Tipo 03"/>
          <xsd:enumeration value="Punto Fijo"/>
        </xsd:restriction>
      </xsd:simpleType>
    </xsd:element>
    <xsd:element name="Disciplina" ma:index="13" nillable="true" ma:displayName="Disciplina" ma:default="GDP" ma:format="Dropdown" ma:internalName="Disciplina">
      <xsd:simpleType>
        <xsd:restriction base="dms:Choice">
          <xsd:enumeration value="GDP"/>
          <xsd:enumeration value="COS"/>
          <xsd:enumeration value="PRG"/>
          <xsd:enumeration value="ARQ_URB"/>
          <xsd:enumeration value="ARQ_MAM"/>
          <xsd:enumeration value="ARQ_ACA"/>
          <xsd:enumeration value="ARQ_AMO"/>
          <xsd:enumeration value="ARQ_BIO"/>
          <xsd:enumeration value="ARQ_SOS"/>
          <xsd:enumeration value="EST_HOR"/>
          <xsd:enumeration value="EST_REF"/>
          <xsd:enumeration value="EST_MET"/>
          <xsd:enumeration value="AGU_SUM"/>
          <xsd:enumeration value="AGU_SAN"/>
          <xsd:enumeration value="AGU_PLU"/>
          <xsd:enumeration value="AGU_PCI"/>
          <xsd:enumeration value="MEC_GNR"/>
          <xsd:enumeration value="MEC_AAC"/>
          <xsd:enumeration value="MEC_VEN"/>
          <xsd:enumeration value="MEC_CAL"/>
          <xsd:enumeration value="ELE_POT"/>
          <xsd:enumeration value="ELE_ILU"/>
          <xsd:enumeration value="ELE_COM"/>
          <xsd:enumeration value="ELE_CTV"/>
          <xsd:enumeration value="ELE_CIT"/>
          <xsd:enumeration value="ELE_SSH"/>
          <xsd:enumeration value="ELE_SDA"/>
          <xsd:enumeration value="ELE_SPR"/>
          <xsd:enumeration value="TOP_MDT"/>
          <xsd:enumeration value="TOP_FOT"/>
          <xsd:enumeration value="TOP_LID"/>
        </xsd:restriction>
      </xsd:simpleType>
    </xsd:element>
    <xsd:element name="Fase" ma:index="14" nillable="true" ma:displayName="Fase" ma:default="03_Diseño_Conceptual" ma:format="Dropdown" ma:internalName="Fase">
      <xsd:simpleType>
        <xsd:restriction base="dms:Choice">
          <xsd:enumeration value="01_Estrategia"/>
          <xsd:enumeration value="02_Planeación"/>
          <xsd:enumeration value="03_Diseño_Conceptual"/>
          <xsd:enumeration value="04_Coord_Espacial"/>
          <xsd:enumeration value="05_Diseño_Técnico"/>
          <xsd:enumeration value="06_PreConstrucción"/>
          <xsd:enumeration value="07_Construcción"/>
          <xsd:enumeration value="08_Entrega"/>
          <xsd:enumeration value="09_Cierre"/>
          <xsd:enumeration value="10_O&amp;M"/>
          <xsd:enumeration value="11_Renovación"/>
          <xsd:enumeration value="12_Disposición Final"/>
        </xsd:restriction>
      </xsd:simpleType>
    </xsd:element>
    <xsd:element name="Estado" ma:index="15" nillable="true" ma:displayName="Estado" ma:default="S0 Estado inicial Revisión y versión preliminares" ma:format="Dropdown" ma:internalName="Estado">
      <xsd:simpleType>
        <xsd:restriction base="dms:Choice">
          <xsd:enumeration value="S0 Estado inicial Revisión y versión preliminares"/>
          <xsd:enumeration value="S1 Apto para la coordinación Revisión preliminar"/>
          <xsd:enumeration value="S2 Apto para información Revisión preliminar"/>
          <xsd:enumeration value="S3 Adecuado para revisión y comentarios Revisión preliminar"/>
          <xsd:enumeration value="S4 Adecuado para la aprobación de la etapa Revisión preliminar"/>
          <xsd:enumeration value="S5 Retirada N/A"/>
          <xsd:enumeration value="S6 Apto para autorización PIM Revisión preliminar"/>
          <xsd:enumeration value="S7 Apto para autorización AIM Revisión preliminar"/>
          <xsd:enumeration value="A01 Estrategia Autorizado y aceptado"/>
          <xsd:enumeration value="A02 Planeación Autorizado y aceptado"/>
          <xsd:enumeration value="A03 Diseño_Conceptual Autorizado y aceptado"/>
          <xsd:enumeration value="A04 Coord_Espacial Autorizado y aceptado"/>
          <xsd:enumeration value="A05 Diseño_Técnico Autorizado y aceptado"/>
          <xsd:enumeration value="A06 PreConstrucción Autorizado y aceptado"/>
          <xsd:enumeration value="A07 Construcción Autorizado y aceptado"/>
          <xsd:enumeration value="ACR Documento de registro construido Autorizado y aceptado"/>
          <xsd:enumeration value="A08 Entrega Autorizado y aceptado"/>
          <xsd:enumeration value="A09 Cierre Autorizado y aceptado"/>
          <xsd:enumeration value="A10 O&amp;M Autorizado y aceptado"/>
          <xsd:enumeration value="A11 Renovación Autorizado y aceptado"/>
          <xsd:enumeration value="A12 Disposición Final Autorizado y aceptado"/>
          <xsd:enumeration value="B01 Estrategia Autorizado parcialmente (con comentarios)"/>
          <xsd:enumeration value="B02 Planeación Autorizado parcialmente (con comentarios)"/>
          <xsd:enumeration value="B03 Diseño_Conceptual Autorizado parcialmente (con comentarios)"/>
          <xsd:enumeration value="B04 Coord_Espacial Autorizado parcialmente (con comentarios)"/>
          <xsd:enumeration value="B05 Diseño_Técnico Autorizado parcialmente (con comentarios)"/>
          <xsd:enumeration value="B06 PreConstrucción Autorizado parcialmente (con comentarios)"/>
          <xsd:enumeration value="B07 Construcción Autorizado parcialmente (con comentarios)"/>
          <xsd:enumeration value="BCR Documento de registro construido Autorizado parcialmente (con comentarios)"/>
          <xsd:enumeration value="B08 Entrega Autorizado parcialmente (con comentarios)"/>
          <xsd:enumeration value="B09 Cierre Autorizado parcialmente (con comentarios)"/>
          <xsd:enumeration value="B10 O&amp;M Autorizado parcialmente (con comentarios)"/>
          <xsd:enumeration value="B11 Renovación Autorizado parcialmente (con comentarios)"/>
          <xsd:enumeration value="A12 Disposición Final Autorizado parcialmente (con comentarios)"/>
        </xsd:restriction>
      </xsd:simpleType>
    </xsd:element>
    <xsd:element name="_x0072_ml1" ma:index="16" nillable="true" ma:displayName="Text" ma:internalName="_x0072_ml1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0673d49f-fa79-4f7f-996a-17eec79b65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7bd0c-6e9e-4ee7-b036-46633fa647c0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658ddbdd-b00e-4c4a-9cee-0b8f9c731748}" ma:internalName="TaxCatchAll" ma:showField="CatchAllData" ma:web="d7c7bd0c-6e9e-4ee7-b036-46633fa64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4DE9F3-2205-484D-A68A-E9B98C998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0AE0FC-16B9-4C82-B837-754BE60DF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3764ad-fff4-42ac-bffb-0b6274662fb4"/>
    <ds:schemaRef ds:uri="d7c7bd0c-6e9e-4ee7-b036-46633fa64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56</vt:i4>
      </vt:variant>
    </vt:vector>
  </HeadingPairs>
  <TitlesOfParts>
    <vt:vector size="87" baseType="lpstr">
      <vt:lpstr>Portada</vt:lpstr>
      <vt:lpstr>1-Bordillos </vt:lpstr>
      <vt:lpstr>2-Bebedero de agua</vt:lpstr>
      <vt:lpstr>3-Banca corrida SIN ESPALDAR</vt:lpstr>
      <vt:lpstr>4-Banca corrida CON ESPALDAR</vt:lpstr>
      <vt:lpstr>5-Contenedor Raiz Circular</vt:lpstr>
      <vt:lpstr>6-Contenedores Raiz LONG</vt:lpstr>
      <vt:lpstr>7-Estructura CERRAMIENTO</vt:lpstr>
      <vt:lpstr>8-Cerramiento CANCHAS</vt:lpstr>
      <vt:lpstr>9-Dados Cancha Multiple</vt:lpstr>
      <vt:lpstr>10-Dados Cancha BALONCESTO</vt:lpstr>
      <vt:lpstr>11-Dados Cancha MICROFUTBOL</vt:lpstr>
      <vt:lpstr>12-Dados Cancha VOLEYBOL</vt:lpstr>
      <vt:lpstr>13-Dados Cancha TENIS TOUCH</vt:lpstr>
      <vt:lpstr>14-Escaleras sobre TERRENO</vt:lpstr>
      <vt:lpstr>15-Tarima en MADERA BODEGA</vt:lpstr>
      <vt:lpstr>16-Piso Deck MADERA CAFETERIA</vt:lpstr>
      <vt:lpstr>17-Deck MADERA EDF PROM SOCIAL</vt:lpstr>
      <vt:lpstr>18-Barandilla METALICA</vt:lpstr>
      <vt:lpstr>19-Topellantas en CONCRETO</vt:lpstr>
      <vt:lpstr>20-Muro contencion HMAX 1.00m</vt:lpstr>
      <vt:lpstr>21-Graderia Canchas </vt:lpstr>
      <vt:lpstr>22-Graderia Cancha VOLEYBOL</vt:lpstr>
      <vt:lpstr>23-Graderia Cancha ATLETISMO</vt:lpstr>
      <vt:lpstr>24-Graderia Canchas TENIS TOUCH</vt:lpstr>
      <vt:lpstr>25-Graderia Cancha MICROFUTBOL</vt:lpstr>
      <vt:lpstr>26-RAMPA METALICA</vt:lpstr>
      <vt:lpstr>Datos entrada</vt:lpstr>
      <vt:lpstr>Traslapos</vt:lpstr>
      <vt:lpstr>PESOS</vt:lpstr>
      <vt:lpstr>MALLAS</vt:lpstr>
      <vt:lpstr>'10-Dados Cancha BALONCESTO'!Área_de_impresión</vt:lpstr>
      <vt:lpstr>'11-Dados Cancha MICROFUTBOL'!Área_de_impresión</vt:lpstr>
      <vt:lpstr>'12-Dados Cancha VOLEYBOL'!Área_de_impresión</vt:lpstr>
      <vt:lpstr>'13-Dados Cancha TENIS TOUCH'!Área_de_impresión</vt:lpstr>
      <vt:lpstr>'14-Escaleras sobre TERRENO'!Área_de_impresión</vt:lpstr>
      <vt:lpstr>'15-Tarima en MADERA BODEGA'!Área_de_impresión</vt:lpstr>
      <vt:lpstr>'16-Piso Deck MADERA CAFETERIA'!Área_de_impresión</vt:lpstr>
      <vt:lpstr>'17-Deck MADERA EDF PROM SOCIAL'!Área_de_impresión</vt:lpstr>
      <vt:lpstr>'18-Barandilla METALICA'!Área_de_impresión</vt:lpstr>
      <vt:lpstr>'19-Topellantas en CONCRETO'!Área_de_impresión</vt:lpstr>
      <vt:lpstr>'1-Bordillos '!Área_de_impresión</vt:lpstr>
      <vt:lpstr>'20-Muro contencion HMAX 1.00m'!Área_de_impresión</vt:lpstr>
      <vt:lpstr>'21-Graderia Canchas '!Área_de_impresión</vt:lpstr>
      <vt:lpstr>'22-Graderia Cancha VOLEYBOL'!Área_de_impresión</vt:lpstr>
      <vt:lpstr>'23-Graderia Cancha ATLETISMO'!Área_de_impresión</vt:lpstr>
      <vt:lpstr>'24-Graderia Canchas TENIS TOUCH'!Área_de_impresión</vt:lpstr>
      <vt:lpstr>'25-Graderia Cancha MICROFUTBOL'!Área_de_impresión</vt:lpstr>
      <vt:lpstr>'26-RAMPA METALICA'!Área_de_impresión</vt:lpstr>
      <vt:lpstr>'2-Bebedero de agua'!Área_de_impresión</vt:lpstr>
      <vt:lpstr>'3-Banca corrida SIN ESPALDAR'!Área_de_impresión</vt:lpstr>
      <vt:lpstr>'4-Banca corrida CON ESPALDAR'!Área_de_impresión</vt:lpstr>
      <vt:lpstr>'5-Contenedor Raiz Circular'!Área_de_impresión</vt:lpstr>
      <vt:lpstr>'6-Contenedores Raiz LONG'!Área_de_impresión</vt:lpstr>
      <vt:lpstr>'7-Estructura CERRAMIENTO'!Área_de_impresión</vt:lpstr>
      <vt:lpstr>'8-Cerramiento CANCHAS'!Área_de_impresión</vt:lpstr>
      <vt:lpstr>'9-Dados Cancha Multiple'!Área_de_impresión</vt:lpstr>
      <vt:lpstr>MALLAS!Área_de_impresión</vt:lpstr>
      <vt:lpstr>Portada!Área_de_impresión</vt:lpstr>
      <vt:lpstr>'10-Dados Cancha BALONCESTO'!Títulos_a_imprimir</vt:lpstr>
      <vt:lpstr>'11-Dados Cancha MICROFUTBOL'!Títulos_a_imprimir</vt:lpstr>
      <vt:lpstr>'12-Dados Cancha VOLEYBOL'!Títulos_a_imprimir</vt:lpstr>
      <vt:lpstr>'13-Dados Cancha TENIS TOUCH'!Títulos_a_imprimir</vt:lpstr>
      <vt:lpstr>'14-Escaleras sobre TERRENO'!Títulos_a_imprimir</vt:lpstr>
      <vt:lpstr>'15-Tarima en MADERA BODEGA'!Títulos_a_imprimir</vt:lpstr>
      <vt:lpstr>'16-Piso Deck MADERA CAFETERIA'!Títulos_a_imprimir</vt:lpstr>
      <vt:lpstr>'17-Deck MADERA EDF PROM SOCIAL'!Títulos_a_imprimir</vt:lpstr>
      <vt:lpstr>'18-Barandilla METALICA'!Títulos_a_imprimir</vt:lpstr>
      <vt:lpstr>'19-Topellantas en CONCRETO'!Títulos_a_imprimir</vt:lpstr>
      <vt:lpstr>'1-Bordillos '!Títulos_a_imprimir</vt:lpstr>
      <vt:lpstr>'20-Muro contencion HMAX 1.00m'!Títulos_a_imprimir</vt:lpstr>
      <vt:lpstr>'21-Graderia Canchas '!Títulos_a_imprimir</vt:lpstr>
      <vt:lpstr>'22-Graderia Cancha VOLEYBOL'!Títulos_a_imprimir</vt:lpstr>
      <vt:lpstr>'23-Graderia Cancha ATLETISMO'!Títulos_a_imprimir</vt:lpstr>
      <vt:lpstr>'24-Graderia Canchas TENIS TOUCH'!Títulos_a_imprimir</vt:lpstr>
      <vt:lpstr>'25-Graderia Cancha MICROFUTBOL'!Títulos_a_imprimir</vt:lpstr>
      <vt:lpstr>'26-RAMPA METALICA'!Títulos_a_imprimir</vt:lpstr>
      <vt:lpstr>'2-Bebedero de agua'!Títulos_a_imprimir</vt:lpstr>
      <vt:lpstr>'3-Banca corrida SIN ESPALDAR'!Títulos_a_imprimir</vt:lpstr>
      <vt:lpstr>'4-Banca corrida CON ESPALDAR'!Títulos_a_imprimir</vt:lpstr>
      <vt:lpstr>'5-Contenedor Raiz Circular'!Títulos_a_imprimir</vt:lpstr>
      <vt:lpstr>'6-Contenedores Raiz LONG'!Títulos_a_imprimir</vt:lpstr>
      <vt:lpstr>'7-Estructura CERRAMIENTO'!Títulos_a_imprimir</vt:lpstr>
      <vt:lpstr>'8-Cerramiento CANCHAS'!Títulos_a_imprimir</vt:lpstr>
      <vt:lpstr>'9-Dados Cancha Multiple'!Títulos_a_imprimir</vt:lpstr>
      <vt:lpstr>MALLAS!Títulos_a_imprimir</vt:lpstr>
      <vt:lpstr>Portada!Títulos_a_imprimir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Sebastian Arias</cp:lastModifiedBy>
  <cp:lastPrinted>2021-11-19T14:43:22Z</cp:lastPrinted>
  <dcterms:created xsi:type="dcterms:W3CDTF">2008-01-03T18:53:52Z</dcterms:created>
  <dcterms:modified xsi:type="dcterms:W3CDTF">2023-03-07T20:49:42Z</dcterms:modified>
</cp:coreProperties>
</file>